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drawings/drawing18.xml" ContentType="application/vnd.openxmlformats-officedocument.drawing+xml"/>
  <Override PartName="/xl/drawings/drawing19.xml" ContentType="application/vnd.openxmlformats-officedocument.drawing+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drawings/drawing20.xml" ContentType="application/vnd.openxmlformats-officedocument.drawing+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6478714-AED1-4915-9EF6-FFFD59767203}" xr6:coauthVersionLast="47" xr6:coauthVersionMax="47" xr10:uidLastSave="{00000000-0000-0000-0000-000000000000}"/>
  <bookViews>
    <workbookView xWindow="390" yWindow="390" windowWidth="28800" windowHeight="15345" firstSheet="44" activeTab="49" xr2:uid="{992023F3-CAB7-4E5B-A348-08D563A0EF40}"/>
  </bookViews>
  <sheets>
    <sheet name="Home" sheetId="71" r:id="rId1"/>
    <sheet name="Results" sheetId="13" r:id="rId2"/>
    <sheet name="Input - Enterprise" sheetId="72" r:id="rId3"/>
    <sheet name="Input - Site" sheetId="75" r:id="rId4"/>
    <sheet name="Input - Pasture Beef" sheetId="80" r:id="rId5"/>
    <sheet name="Input - Pasture Beef (Enteric)" sheetId="86" r:id="rId6"/>
    <sheet name="Input - Livestock sales" sheetId="77" r:id="rId7"/>
    <sheet name="Input - Beef cattle purchases" sheetId="110" r:id="rId8"/>
    <sheet name="Input - Pasture" sheetId="106" r:id="rId9"/>
    <sheet name="Input - Fert Prod System" sheetId="76" r:id="rId10"/>
    <sheet name="Input - Fertiliser" sheetId="88" r:id="rId11"/>
    <sheet name="Input - Fuel" sheetId="99" r:id="rId12"/>
    <sheet name="Input - Electricity" sheetId="96" r:id="rId13"/>
    <sheet name="Input - Common farm inputs" sheetId="111" r:id="rId14"/>
    <sheet name="Input - Crop pasture farm input" sheetId="112" r:id="rId15"/>
    <sheet name="Input - Livestock farm Inputs" sheetId="113" r:id="rId16"/>
    <sheet name="Input - Freight" sheetId="114" r:id="rId17"/>
    <sheet name="Input - Manure sent off-site" sheetId="115" r:id="rId18"/>
    <sheet name="4.2.1.1-2 Methane" sheetId="81" r:id="rId19"/>
    <sheet name="4.2.1.3-4 Soil direct N20" sheetId="82" r:id="rId20"/>
    <sheet name="4.2.1.5-6 Soil Atmos Dep" sheetId="83" r:id="rId21"/>
    <sheet name="4.2.1.7-8 Soil leach runoff" sheetId="84" r:id="rId22"/>
    <sheet name="5.1.1.1-2 Inorganic fert N2O" sheetId="89" r:id="rId23"/>
    <sheet name="5.1.1.3-4 Inorganic fert CO2" sheetId="90" r:id="rId24"/>
    <sheet name="5.2.1.1-2 Organic Fert N2O" sheetId="91" r:id="rId25"/>
    <sheet name="5.3.1.1-2 Lime CO2" sheetId="92" r:id="rId26"/>
    <sheet name="5.4.1.1-4 Atmos deposition" sheetId="93" r:id="rId27"/>
    <sheet name="5.5.1.1-2 Leaching and runoff" sheetId="94" r:id="rId28"/>
    <sheet name="6.2.1.1-2 Pasture residue N2O" sheetId="107" r:id="rId29"/>
    <sheet name="6.3.1.1-2 Leach runoff pasture" sheetId="108" r:id="rId30"/>
    <sheet name="8.1.1.1-2 Transport fuel" sheetId="100" r:id="rId31"/>
    <sheet name="8.2.1.1-2 Stationary fuel" sheetId="101" r:id="rId32"/>
    <sheet name="14.1.1-2 Purchased electricity" sheetId="97" r:id="rId33"/>
    <sheet name="15 Scope 3" sheetId="116" r:id="rId34"/>
    <sheet name="Calcs - Manure sent off-site" sheetId="117" r:id="rId35"/>
    <sheet name="Constants - Pasture Beef" sheetId="85" r:id="rId36"/>
    <sheet name="Constants - Ag Residue" sheetId="109" r:id="rId37"/>
    <sheet name="Constants - Common Livestock" sheetId="119" r:id="rId38"/>
    <sheet name="Constants - Electricity" sheetId="98" r:id="rId39"/>
    <sheet name="Constants - Fertiliser" sheetId="95" r:id="rId40"/>
    <sheet name="Constants - Fuel" sheetId="102" r:id="rId41"/>
    <sheet name="Constants - Scope 3" sheetId="118" r:id="rId42"/>
    <sheet name="Constants - Common" sheetId="79" r:id="rId43"/>
    <sheet name="Acknowledgements" sheetId="121" r:id="rId44"/>
    <sheet name="Input - Solid waste" sheetId="103" r:id="rId45"/>
    <sheet name="3.2.1.1-2 Enteric Methane" sheetId="87" r:id="rId46"/>
    <sheet name="10.1.1-2 Solid waste treatment" sheetId="104" r:id="rId47"/>
    <sheet name="Constants - Solid Waste" sheetId="105" r:id="rId48"/>
    <sheet name="Overview" sheetId="120" r:id="rId49"/>
    <sheet name="Input - Data quality" sheetId="78" r:id="rId50"/>
  </sheets>
  <definedNames>
    <definedName name="_Toc225350871" localSheetId="26">'5.4.1.1-4 Atmos deposition'!$C$1</definedName>
    <definedName name="_Toc225350871" localSheetId="2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29">_xlfn.LAMBDA(_xlpm.M_burnc,_xlpm.CC_c,_xlpm.EF_CH4,_xlpm.C_CH4, (_xlpm.M_burnc * _xlpm.CC_c) * _xlpm.EF_CH4 * _xlpm.C_CH4 * 10 ^ (-3))</definedName>
    <definedName name="AgResidue_Equations_FieldBurning.VEERG_6_4_1_1__1__MethaneEmissionsFromBurningOfCropResidues" localSheetId="36">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9">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29">_xlfn.LAMBDA("E_{CH4}=\sum\nolimits_c(M_{burn,c}\times CC_{c})\times EF_{CH4}\times C_{CH4}\times 10^{-3}")</definedName>
    <definedName name="AgResidue_Equations_FieldBurning.VEERG_6_4_1_1__1__MethaneEmissionsFromBurningOfCropResidues_LatexEquation" localSheetId="36">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29">_xlfn.LAMBDA(_xlpm.M_burnc,_xlpm.NC_AGc,_xlpm.EF_N2O,_xlpm.C_N2O, (_xlpm.M_burnc * _xlpm.NC_AGc) * _xlpm.EF_N2O * _xlpm.C_N2O * 10 ^ (-3))</definedName>
    <definedName name="AgResidue_Equations_FieldBurning.VEERG_6_4_1_1__2__NitrousOxideEmissionsFromBurningOfCropResidues" localSheetId="36">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9">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29">_xlfn.LAMBDA("E_{N2O}=\sum\nolimits_c(M_{burn,c}\times NC_{AGc})\times EF_{N2O}\times C_{N2O}\times 10^{-3}")</definedName>
    <definedName name="AgResidue_Equations_FieldBurning.VEERG_6_4_1_1__2__NitrousOxideEmissionsFromBurningOfCropResidues_LatexEquation" localSheetId="36">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29">_xlfn.LAMBDA(_xlpm.P_c,_xlpm.R_AGc,_xlpm.S_c,_xlpm.DM_c,_xlpm.Z_c,_xlpm.F_c, _xlpm.P_c * _xlpm.R_AGc * _xlpm.S_c * _xlpm.DM_c * _xlpm.Z_c * _xlpm.F_c)</definedName>
    <definedName name="AgResidue_Equations_FieldBurning.VEERG_6_4_1_1__3__MassOfCropResidueBurnt" localSheetId="36">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9">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8">_xlfn.LAMBDA("M_burnc")</definedName>
    <definedName name="AgResidue_Equations_FieldBurning.VEERG_6_4_1_1__3__MassOfCropResidueBurnt_Variable" localSheetId="29">_xlfn.LAMBDA("M_burnc")</definedName>
    <definedName name="AgResidue_Equations_FieldBurning.VEERG_6_4_1_1__3__MassOfCropResidueBurnt_Variable" localSheetId="36">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33">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7">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3">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4">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5">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7">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33">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7">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3">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4">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5">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7">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1">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34">_xlfn.LAMBDA(("Table A.2.2.6: Fraction of inorganic fertiliser f that volatilises as NH3 and NOx ((kg NH3-N + NOx-N)/kg N) (FracGASFf)"))</definedName>
    <definedName name="Fertiliser_SourceData.Fertiliser_FracGASF_Source" localSheetId="39">_xlfn.LAMBDA(("Table A.2.2.6: Fraction of inorganic fertiliser f that volatilises as NH3 and NOx ((kg NH3-N + NOx-N)/kg N) (FracGASFf)"))</definedName>
    <definedName name="Fertiliser_SourceData.Fertiliser_FracGASF_Source" localSheetId="41">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7">_xlfn.LAMBDA(("Table A.2.2.6: Fraction of inorganic fertiliser f that volatilises as NH3 and NOx ((kg NH3-N + NOx-N)/kg N) (FracGASFf)"))</definedName>
    <definedName name="Fertiliser_SourceData.Fertiliser_FracGASF_Source" localSheetId="4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2">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2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22">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22">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4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4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0">_xlfn.LAMBDA(_xlpm.Cell,
    RIGHT(_xlpm.Cell,LEN(_xlpm.Cell)-FIND(", ",_xlpm.Cell))
)</definedName>
    <definedName name="Fuel_InputFunctions.Fuel_GetStationaryFuelString" localSheetId="31">_xlfn.LAMBDA(_xlpm.Cell,
    RIGHT(_xlpm.Cell,LEN(_xlpm.Cell)-FIND(", ",_xlpm.Cell))
)</definedName>
    <definedName name="Fuel_InputFunctions.Fuel_GetStationaryFuelString" localSheetId="40">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45">'3.2.1.1-2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9">'6.3.1.1-2 Leach runoff pasture'!$N$44:$O$46</definedName>
    <definedName name="M1_Table_E_N2O">'5.1.1.1-2 Inorganic fert N2O'!$D$59:$E$78</definedName>
    <definedName name="M1_Table_E_N2O_Consumer_1" localSheetId="29">'6.3.1.1-2 Leach runoff pasture'!$D$44:$E$46</definedName>
    <definedName name="M1_Table_I_j_k_l" localSheetId="45">'3.2.1.1-2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45">'3.2.1.1-2 Enteric Methane'!$D$20:$G$21</definedName>
    <definedName name="M1_Table_LC_j_k45">'4.2.1.1-2 Methane'!$D$21:$H$25</definedName>
    <definedName name="M1_Table_LC_j_k45_Consumer_1">'4.2.1.3-4 Soil direct N20'!$D$86:$G$87</definedName>
    <definedName name="M1_Table_LWG_j_k_l" localSheetId="45">'3.2.1.1-2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9">'6.3.1.1-2 Leach runoff pasture'!$D$23:$I$25</definedName>
    <definedName name="M1_Table_MA_j_k45" localSheetId="45">'3.2.1.1-2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45">'3.2.1.1-2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45">'3.2.1.1-2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45">'3.2.1.1-2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N2O'!$M$44:$W$59</definedName>
    <definedName name="M2_Table_I_j_k_l" localSheetId="45">'3.2.1.1-2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45">'3.2.1.1-2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45">'3.2.1.1-2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9">'6.3.1.1-2 Leach runoff pasture'!$N$23:$S$23</definedName>
    <definedName name="M2_Table_MA_j_k45" localSheetId="45">'3.2.1.1-2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45">'3.2.1.1-2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45">'3.2.1.1-2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1">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1">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1">_xlfn.LAMBDA(_xlpm.E_N2O,_xlpm.E_ad,_xlpm.E_leach,
    _xlpm.E_N2O + _xlpm.E_ad + _xlpm.E_leach
  )</definedName>
    <definedName name="Scope3_Equations.VEERG_15_13_1_3__1_EmissionsFromSolidWasteTreatmentFacility" localSheetId="40">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3">_xlfn.LAMBDA(0.24)</definedName>
    <definedName name="SourceData_Dairy.SourceData_Dairy_FractionOfNitrogenLostThroughLeachingAndRunoff_Data" localSheetId="34">_xlfn.LAMBDA(0.24)</definedName>
    <definedName name="SourceData_Dairy.SourceData_Dairy_FractionOfNitrogenLostThroughLeachingAndRunoff_Data" localSheetId="41">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7">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34">_xlfn.LAMBDA("Default fraction of N that is lost through leaching and runoff when manure is excreted to pasture, range and paddock (m=14).")</definedName>
    <definedName name="SourceData_Dairy.SourceData_Dairy_FractionOfNitrogenLostThroughLeachingAndRunoff_Title" localSheetId="41">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7">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3">_xlfn.LAMBDA("Fraction")</definedName>
    <definedName name="SourceData_Dairy.SourceData_Dairy_FractionOfNitrogenLostThroughLeachingAndRunoff_Unit" localSheetId="34">_xlfn.LAMBDA("Fraction")</definedName>
    <definedName name="SourceData_Dairy.SourceData_Dairy_FractionOfNitrogenLostThroughLeachingAndRunoff_Unit" localSheetId="41">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7">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1">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34">_xlfn.LAMBDA(
    _xlfn.MAKEARRAY(3, 2,
      _xlfn.LAMBDA(_xlpm.r,_xlpm.c,
        INDEX({"Animal Class j","MRj";"Milking cows, and house cows",1.1;"All other cattle classes",1}, _xlpm.r, _xlpm.c)
      )
    )
  )</definedName>
    <definedName name="SourceData_Dairy.SourceData_Dairy_IncreasedMetabolicRateMilk_Data" localSheetId="41">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7">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1">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1">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3">_xlfn.LAMBDA(
    _xlfn.MAKEARRAY(5, 2,
      _xlfn.LAMBDA(_xlpm.r,_xlpm.c,
        INDEX({"Livestock Class j","Average Liveweight (kg)";"Chicken",1.3;"Hen &gt;/=1 yr",2;"Pullets",1.4;"Broilers",1.2}, _xlpm.r, _xlpm.c)
      )
    )
  )</definedName>
    <definedName name="SourceData_Poultry.SourceData_Poultry_Liveweights_Data" localSheetId="34">_xlfn.LAMBDA(
    _xlfn.MAKEARRAY(5, 2,
      _xlfn.LAMBDA(_xlpm.r,_xlpm.c,
        INDEX({"Livestock Class j","Average Liveweight (kg)";"Chicken",1.3;"Hen &gt;/=1 yr",2;"Pullets",1.4;"Broilers",1.2}, _xlpm.r, _xlpm.c)
      )
    )
  )</definedName>
    <definedName name="SourceData_Poultry.SourceData_Poultry_Liveweights_Data" localSheetId="41">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7">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34">_xlfn.LAMBDA(
    _xlfn.MAKEARRAY(5, 2,
      _xlfn.LAMBDA(_xlpm.r,_xlpm.c,
        INDEX({"Class","Ij";"Boars",2.62;"Sows",2.3;"Gilts",2.5;"Others",1.71}, _xlpm.r, _xlpm.c)
      )
    )
  )</definedName>
    <definedName name="SourceData_Swine.SourceData_Swine_FeedIntake_Data" localSheetId="41">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7">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1">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34">_xlfn.LAMBDA(
    _xlfn.MAKEARRAY(5, 2,
      _xlfn.LAMBDA(_xlpm.r,_xlpm.c,
        INDEX({"Class","VSj";"Boars",0.4;"Sows",0.46;"Gilts",0.55;"Others",0.39}, _xlpm.r, _xlpm.c)
      )
    )
  )</definedName>
    <definedName name="SourceData_Swine.SourceData_Swine_VolatileSolids_Data" localSheetId="41">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7">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3">'Calcs - Manure sent off-site'!$E$55</definedName>
    <definedName name="VEERG_5_4_1_3__1_OrganicFertiliserAtmosphericDepositionN2OEmissions_Result_Method1" localSheetId="34">'Calcs - Manure sent off-site'!$E$55</definedName>
    <definedName name="VEERG_5_4_1_3__1_OrganicFertiliserAtmosphericDepositionN2OEmissions_Result_Method1" localSheetId="41">'Calcs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3">'Calcs - Manure sent off-site'!$E$90</definedName>
    <definedName name="VEERG_5_5_1_1__1_FertiliserLeachingAndRunoffN2OEmissions_Result_Method1" localSheetId="34">'Calcs - Manure sent off-site'!$E$90</definedName>
    <definedName name="VEERG_5_5_1_1__1_FertiliserLeachingAndRunoffN2OEmissions_Result_Method1" localSheetId="41">'Calcs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9">'6.3.1.1-2 Leach runoff pasture'!$E$48</definedName>
    <definedName name="VEERG_6_3_1_1__1__LeachingAndRunoffEmissionsCropAndPastureResidue_Result_Method2" localSheetId="29">'6.3.1.1-2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 i="87" l="1"/>
  <c r="X22" i="87"/>
  <c r="W22" i="87"/>
  <c r="G21" i="87"/>
  <c r="F21" i="87"/>
  <c r="E21" i="87"/>
  <c r="D21" i="87"/>
  <c r="F627" i="116" a="1"/>
  <c r="F627" i="116" s="1"/>
  <c r="E627" i="116" a="1"/>
  <c r="E627" i="116" s="1"/>
  <c r="D627" i="116" a="1"/>
  <c r="D627" i="116" s="1"/>
  <c r="F609" i="116" a="1"/>
  <c r="F609" i="116" s="1"/>
  <c r="E609" i="116" a="1"/>
  <c r="E609" i="116" s="1"/>
  <c r="D609" i="116" a="1"/>
  <c r="D609" i="116" s="1"/>
  <c r="F490" i="116" a="1"/>
  <c r="F490" i="116" s="1"/>
  <c r="E490" i="116" a="1"/>
  <c r="E490" i="116" s="1"/>
  <c r="D490" i="116" a="1"/>
  <c r="D490" i="116" s="1"/>
  <c r="F448" i="116" a="1"/>
  <c r="F448" i="116" s="1"/>
  <c r="E448" i="116" a="1"/>
  <c r="E448" i="116" s="1"/>
  <c r="D448" i="116" a="1"/>
  <c r="D448" i="116" s="1"/>
  <c r="F430" i="116" a="1"/>
  <c r="F430" i="116" s="1"/>
  <c r="E430" i="116" a="1"/>
  <c r="D430" i="116" a="1"/>
  <c r="D430" i="116" s="1"/>
  <c r="G336" i="116" a="1"/>
  <c r="G336" i="116" s="1"/>
  <c r="L336" i="116" s="1"/>
  <c r="F336" i="116" a="1"/>
  <c r="F336" i="116" s="1"/>
  <c r="E336" i="116" a="1"/>
  <c r="E336" i="116" s="1"/>
  <c r="D336" i="116" a="1"/>
  <c r="D336" i="116" s="1"/>
  <c r="D305" i="116" a="1"/>
  <c r="D305" i="116" s="1"/>
  <c r="AD237" i="116" a="1"/>
  <c r="AD237" i="116" s="1"/>
  <c r="AC237" i="116" a="1"/>
  <c r="Z237" i="116" a="1"/>
  <c r="Z237" i="116" s="1"/>
  <c r="Y237" i="116" a="1"/>
  <c r="Y237" i="116" s="1"/>
  <c r="V237" i="116" a="1"/>
  <c r="V237" i="116" s="1"/>
  <c r="U237" i="116" a="1"/>
  <c r="U237" i="116" s="1"/>
  <c r="R237" i="116" a="1"/>
  <c r="R237" i="116" s="1"/>
  <c r="Q237" i="116" a="1"/>
  <c r="Q237" i="116" s="1"/>
  <c r="P237" i="116" a="1"/>
  <c r="O237" i="116" a="1"/>
  <c r="O237" i="116" s="1"/>
  <c r="D237" i="116" a="1"/>
  <c r="D237" i="116" s="1"/>
  <c r="D221" i="116" a="1"/>
  <c r="D221" i="116" s="1"/>
  <c r="AA119" i="116" a="1"/>
  <c r="AA119" i="116" s="1"/>
  <c r="Z119" i="116" a="1"/>
  <c r="Z119" i="116" s="1"/>
  <c r="Y119" i="116" a="1"/>
  <c r="Y119" i="116" s="1"/>
  <c r="W119" i="116" a="1"/>
  <c r="W119" i="116" s="1"/>
  <c r="V119" i="116" a="1"/>
  <c r="V119" i="116" s="1"/>
  <c r="U119" i="116" a="1"/>
  <c r="U119" i="116" s="1"/>
  <c r="S119" i="116" a="1"/>
  <c r="S119" i="116" s="1"/>
  <c r="R119" i="116" a="1"/>
  <c r="R119" i="116" s="1"/>
  <c r="Q119" i="116" a="1"/>
  <c r="Q119" i="116" s="1"/>
  <c r="O119" i="116" a="1"/>
  <c r="O119" i="116" s="1"/>
  <c r="N119" i="116" a="1"/>
  <c r="N119" i="116" s="1"/>
  <c r="M119" i="116" a="1"/>
  <c r="M119" i="116" s="1"/>
  <c r="E119" i="116" a="1"/>
  <c r="E119" i="116" s="1"/>
  <c r="D119" i="116" a="1"/>
  <c r="D119" i="116" s="1"/>
  <c r="K23" i="116" a="1"/>
  <c r="K23" i="116" s="1"/>
  <c r="G23" i="116" a="1"/>
  <c r="G23" i="116" s="1"/>
  <c r="F23" i="116" a="1"/>
  <c r="F23" i="116" s="1"/>
  <c r="E23" i="116" a="1"/>
  <c r="E23" i="116" s="1"/>
  <c r="D23" i="116" a="1"/>
  <c r="D23" i="116" s="1"/>
  <c r="D32" i="101"/>
  <c r="D25" i="101"/>
  <c r="F39" i="100"/>
  <c r="M39" i="100" s="1" a="1"/>
  <c r="M39" i="100" s="1"/>
  <c r="D37" i="100"/>
  <c r="D34" i="100"/>
  <c r="D33" i="100"/>
  <c r="D25" i="100"/>
  <c r="D75" i="94"/>
  <c r="D74" i="94"/>
  <c r="D73" i="94"/>
  <c r="D72" i="94"/>
  <c r="D71" i="94"/>
  <c r="D70" i="94"/>
  <c r="D69" i="94"/>
  <c r="D68" i="94"/>
  <c r="D134" i="93" a="1"/>
  <c r="D134" i="93" s="1"/>
  <c r="D102" i="93" a="1"/>
  <c r="D102" i="93" s="1"/>
  <c r="G25" i="92" a="1"/>
  <c r="G25" i="92" s="1"/>
  <c r="F25" i="92" a="1"/>
  <c r="F25" i="92" s="1"/>
  <c r="D25" i="92" a="1"/>
  <c r="D25" i="92" s="1"/>
  <c r="H20" i="91" a="1"/>
  <c r="H20" i="91" s="1"/>
  <c r="E20" i="91" a="1"/>
  <c r="E20" i="91" s="1"/>
  <c r="D20" i="91" a="1"/>
  <c r="D20" i="91" s="1"/>
  <c r="N97" i="89" a="1"/>
  <c r="N97" i="89" s="1"/>
  <c r="N87" i="89" a="1"/>
  <c r="N87" i="89" s="1"/>
  <c r="N55" i="89" a="1"/>
  <c r="N55" i="89" s="1"/>
  <c r="N45" i="89" a="1"/>
  <c r="N45" i="89" s="1"/>
  <c r="I148" i="82"/>
  <c r="G87" i="82"/>
  <c r="F87" i="82"/>
  <c r="E87" i="82"/>
  <c r="D87" i="82"/>
  <c r="W274" i="81"/>
  <c r="W273" i="81"/>
  <c r="W272" i="81"/>
  <c r="W271" i="81"/>
  <c r="W270" i="81"/>
  <c r="W269" i="81"/>
  <c r="W268" i="81"/>
  <c r="W267" i="81"/>
  <c r="W266" i="81"/>
  <c r="W265" i="81"/>
  <c r="W264" i="81"/>
  <c r="W263" i="81"/>
  <c r="W262" i="81"/>
  <c r="W261" i="81"/>
  <c r="W260" i="81"/>
  <c r="W259" i="81"/>
  <c r="W258" i="81"/>
  <c r="W257" i="81"/>
  <c r="W256" i="81"/>
  <c r="W255" i="81"/>
  <c r="W254" i="81"/>
  <c r="W253" i="81"/>
  <c r="W252" i="81"/>
  <c r="W251" i="81"/>
  <c r="D242" i="81"/>
  <c r="D241" i="81"/>
  <c r="D240" i="81"/>
  <c r="D239" i="81"/>
  <c r="D238" i="81"/>
  <c r="D237" i="81"/>
  <c r="D236" i="81"/>
  <c r="D235" i="81"/>
  <c r="W200" i="81"/>
  <c r="W199" i="81"/>
  <c r="W198" i="81"/>
  <c r="W197" i="81"/>
  <c r="W196" i="81"/>
  <c r="W195" i="81"/>
  <c r="W194" i="81"/>
  <c r="W193" i="81"/>
  <c r="W192" i="81"/>
  <c r="W191" i="81"/>
  <c r="W190" i="81"/>
  <c r="W189" i="81"/>
  <c r="W188" i="81"/>
  <c r="W187" i="81"/>
  <c r="W186" i="81"/>
  <c r="W185" i="81"/>
  <c r="W184" i="81"/>
  <c r="D184" i="81"/>
  <c r="W183" i="81"/>
  <c r="D183" i="81"/>
  <c r="W182" i="81"/>
  <c r="D182" i="81"/>
  <c r="W181" i="81"/>
  <c r="D181" i="81"/>
  <c r="W180" i="81"/>
  <c r="D180" i="81"/>
  <c r="W179" i="81"/>
  <c r="D179" i="81"/>
  <c r="W178" i="81"/>
  <c r="D178" i="81"/>
  <c r="W177" i="81"/>
  <c r="D177" i="81"/>
  <c r="W172" i="81"/>
  <c r="D172" i="81"/>
  <c r="W171" i="81"/>
  <c r="D171" i="81"/>
  <c r="D166" i="81"/>
  <c r="D165" i="81"/>
  <c r="F33" i="81"/>
  <c r="E33" i="81"/>
  <c r="F32" i="81"/>
  <c r="E32" i="81"/>
  <c r="F31" i="81"/>
  <c r="E31" i="81"/>
  <c r="F30" i="81"/>
  <c r="E30" i="81"/>
  <c r="H25" i="81"/>
  <c r="G25" i="81"/>
  <c r="F25" i="81"/>
  <c r="E25" i="81"/>
  <c r="H24" i="81"/>
  <c r="G24" i="81"/>
  <c r="F24" i="81"/>
  <c r="E24" i="81"/>
  <c r="H23" i="81"/>
  <c r="G23" i="81"/>
  <c r="F23" i="81"/>
  <c r="E23" i="81"/>
  <c r="H22" i="81"/>
  <c r="G22" i="81"/>
  <c r="F22" i="81"/>
  <c r="E22" i="81"/>
  <c r="J21" i="99" a="1"/>
  <c r="J21" i="99" s="1"/>
  <c r="G21" i="99" a="1"/>
  <c r="G21" i="99" s="1"/>
  <c r="J20" i="99" a="1"/>
  <c r="J20" i="99" s="1"/>
  <c r="G20" i="99" a="1"/>
  <c r="G20" i="99" s="1"/>
  <c r="J19" i="99" a="1"/>
  <c r="J19" i="99" s="1"/>
  <c r="G19" i="99" a="1"/>
  <c r="G19" i="99" s="1"/>
  <c r="J18" i="99" a="1"/>
  <c r="J18" i="99" s="1"/>
  <c r="G18" i="99" a="1"/>
  <c r="G18" i="99" s="1"/>
  <c r="J17" i="99" a="1"/>
  <c r="J17" i="99"/>
  <c r="G17" i="99" a="1"/>
  <c r="G17" i="99" s="1"/>
  <c r="J16" i="110" a="1"/>
  <c r="J16" i="110" s="1"/>
  <c r="J15" i="110" a="1"/>
  <c r="J15" i="110" s="1"/>
  <c r="J14" i="110" a="1"/>
  <c r="J14" i="110" s="1"/>
  <c r="J13" i="110" a="1"/>
  <c r="J13" i="110" s="1"/>
  <c r="J12" i="110" a="1"/>
  <c r="J12" i="110" s="1"/>
  <c r="J11" i="110" a="1"/>
  <c r="J11" i="110" s="1"/>
  <c r="J10" i="110" a="1"/>
  <c r="J10" i="110" s="1"/>
  <c r="J9" i="110" a="1"/>
  <c r="J9" i="110" s="1"/>
  <c r="E65" i="119" a="1"/>
  <c r="E65" i="119" s="1"/>
  <c r="D65" i="119" a="1"/>
  <c r="D65" i="119" s="1"/>
  <c r="D63" i="119" a="1"/>
  <c r="D63" i="119" s="1"/>
  <c r="D62" i="119" a="1"/>
  <c r="D62" i="119" s="1"/>
  <c r="E60" i="119" a="1"/>
  <c r="E60" i="119" s="1"/>
  <c r="D60" i="119" a="1"/>
  <c r="D60" i="119" s="1"/>
  <c r="D58" i="119" a="1"/>
  <c r="D58" i="119" s="1"/>
  <c r="D57" i="119" a="1"/>
  <c r="D57" i="119" s="1"/>
  <c r="E55" i="119" a="1"/>
  <c r="E55" i="119" s="1"/>
  <c r="D55" i="119" a="1"/>
  <c r="D55" i="119" s="1"/>
  <c r="D53" i="119" a="1"/>
  <c r="D53" i="119" s="1"/>
  <c r="D52" i="119" a="1"/>
  <c r="D52" i="119" s="1"/>
  <c r="E50" i="119" a="1"/>
  <c r="E50" i="119" s="1"/>
  <c r="D50" i="119" a="1"/>
  <c r="D50" i="119" s="1"/>
  <c r="E49" i="119" a="1"/>
  <c r="E49" i="119" s="1"/>
  <c r="D49" i="119" a="1"/>
  <c r="D49" i="119" s="1"/>
  <c r="E48" i="119" a="1"/>
  <c r="E48" i="119" s="1"/>
  <c r="D48" i="119" a="1"/>
  <c r="D48" i="119" s="1"/>
  <c r="E47" i="119" a="1"/>
  <c r="E47" i="119" s="1"/>
  <c r="D47" i="119" a="1"/>
  <c r="D47" i="119" s="1"/>
  <c r="E46" i="119" a="1"/>
  <c r="E46" i="119" s="1"/>
  <c r="D46" i="119" a="1"/>
  <c r="D46" i="119" s="1"/>
  <c r="E45" i="119" a="1"/>
  <c r="E45" i="119" s="1"/>
  <c r="D45" i="119" a="1"/>
  <c r="D45" i="119" s="1"/>
  <c r="E44" i="119" a="1"/>
  <c r="E44" i="119" s="1"/>
  <c r="D44" i="119" a="1"/>
  <c r="D44" i="119" s="1"/>
  <c r="D42" i="119" a="1"/>
  <c r="D42" i="119" s="1"/>
  <c r="D41" i="119" a="1"/>
  <c r="D41" i="119" s="1"/>
  <c r="E39" i="119" a="1"/>
  <c r="E39" i="119" s="1"/>
  <c r="D39" i="119" a="1"/>
  <c r="D39" i="119" s="1"/>
  <c r="E38" i="119" a="1"/>
  <c r="E38" i="119" s="1"/>
  <c r="D38" i="119" a="1"/>
  <c r="D38" i="119" s="1"/>
  <c r="E37" i="119" a="1"/>
  <c r="E37" i="119" s="1"/>
  <c r="D37" i="119" a="1"/>
  <c r="D37" i="119" s="1"/>
  <c r="E36" i="119" a="1"/>
  <c r="E36" i="119" s="1"/>
  <c r="D36" i="119" a="1"/>
  <c r="D36" i="119" s="1"/>
  <c r="E35" i="119" a="1"/>
  <c r="E35" i="119" s="1"/>
  <c r="D35" i="119" a="1"/>
  <c r="D35" i="119" s="1"/>
  <c r="E34" i="119" a="1"/>
  <c r="E34" i="119" s="1"/>
  <c r="D34" i="119" a="1"/>
  <c r="D34" i="119" s="1"/>
  <c r="E33" i="119" a="1"/>
  <c r="E33" i="119" s="1"/>
  <c r="D33" i="119" a="1"/>
  <c r="D33" i="119" s="1"/>
  <c r="E32" i="119" a="1"/>
  <c r="E32" i="119" s="1"/>
  <c r="D32" i="119" a="1"/>
  <c r="D32" i="119" s="1"/>
  <c r="D30" i="119" a="1"/>
  <c r="D30" i="119" s="1"/>
  <c r="D29" i="119" a="1"/>
  <c r="D29" i="119" s="1"/>
  <c r="F27" i="119" a="1"/>
  <c r="F27" i="119" s="1"/>
  <c r="E27" i="119" a="1"/>
  <c r="E27" i="119"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a="1"/>
  <c r="F15" i="119" s="1"/>
  <c r="E15" i="119" a="1"/>
  <c r="E15" i="119" s="1"/>
  <c r="D15" i="119" a="1"/>
  <c r="D15"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D8" i="119" a="1"/>
  <c r="D8" i="119" s="1"/>
  <c r="D7" i="119" a="1"/>
  <c r="D7" i="119" s="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a="1"/>
  <c r="H235" i="118" s="1"/>
  <c r="G235" i="118" a="1"/>
  <c r="G235" i="118" s="1"/>
  <c r="F235" i="118" a="1"/>
  <c r="F235" i="118" s="1"/>
  <c r="E235" i="118" a="1"/>
  <c r="E235" i="118"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D213" i="118" a="1"/>
  <c r="D213" i="118" s="1"/>
  <c r="I209" i="118" a="1"/>
  <c r="I209" i="118" s="1"/>
  <c r="H209" i="118" a="1"/>
  <c r="H209" i="118" s="1"/>
  <c r="G209" i="118" a="1"/>
  <c r="G209" i="118" s="1"/>
  <c r="F209" i="118" a="1"/>
  <c r="F209" i="118" s="1"/>
  <c r="E209" i="118" a="1"/>
  <c r="E209" i="118" s="1"/>
  <c r="D27" i="112" s="1"/>
  <c r="D470" i="116" s="1"/>
  <c r="F470" i="116" s="1" a="1"/>
  <c r="F470" i="116" s="1"/>
  <c r="D209" i="118" a="1"/>
  <c r="D209" i="118" s="1"/>
  <c r="I208" i="118" a="1"/>
  <c r="I208" i="118" s="1"/>
  <c r="H208" i="118" a="1"/>
  <c r="H208" i="118" s="1"/>
  <c r="G208" i="118" a="1"/>
  <c r="G208" i="118" s="1"/>
  <c r="F208" i="118" a="1"/>
  <c r="F208" i="118" s="1"/>
  <c r="E208" i="118" a="1"/>
  <c r="E208" i="118" s="1"/>
  <c r="D26" i="112" s="1"/>
  <c r="D469" i="116" s="1"/>
  <c r="F469" i="116" s="1" a="1"/>
  <c r="F469" i="116" s="1"/>
  <c r="D208" i="118" a="1"/>
  <c r="D208" i="118" s="1"/>
  <c r="I207" i="118" a="1"/>
  <c r="I207" i="118" s="1"/>
  <c r="H207" i="118" a="1"/>
  <c r="H207" i="118" s="1"/>
  <c r="G207" i="118" a="1"/>
  <c r="G207" i="118" s="1"/>
  <c r="F207" i="118" a="1"/>
  <c r="F207" i="118" s="1"/>
  <c r="E207" i="118" a="1"/>
  <c r="E207" i="118" s="1"/>
  <c r="D25" i="112" s="1"/>
  <c r="D468" i="116" s="1"/>
  <c r="F468" i="116" s="1" a="1"/>
  <c r="F468" i="116" s="1"/>
  <c r="D207" i="118" a="1"/>
  <c r="D207" i="118" s="1"/>
  <c r="I206" i="118" a="1"/>
  <c r="I206" i="118" s="1"/>
  <c r="H206" i="118" a="1"/>
  <c r="H206" i="118" s="1"/>
  <c r="G206" i="118" a="1"/>
  <c r="G206" i="118" s="1"/>
  <c r="F206" i="118" a="1"/>
  <c r="F206" i="118" s="1"/>
  <c r="E206" i="118" a="1"/>
  <c r="E206" i="118" s="1"/>
  <c r="D206" i="118" a="1"/>
  <c r="D206" i="118" s="1"/>
  <c r="I205" i="118" a="1"/>
  <c r="I205" i="118" s="1"/>
  <c r="H205" i="118" a="1"/>
  <c r="H205" i="118" s="1"/>
  <c r="G205" i="118" a="1"/>
  <c r="G205" i="118" s="1"/>
  <c r="F205" i="118" a="1"/>
  <c r="F205" i="118" s="1"/>
  <c r="E205" i="118" a="1"/>
  <c r="E205" i="118" s="1"/>
  <c r="D24" i="112" s="1"/>
  <c r="D467" i="116" s="1"/>
  <c r="F467" i="116" s="1" a="1"/>
  <c r="F467" i="116" s="1"/>
  <c r="D205" i="118" a="1"/>
  <c r="D205" i="118" s="1"/>
  <c r="I204" i="118" a="1"/>
  <c r="I204" i="118" s="1"/>
  <c r="H204" i="118" a="1"/>
  <c r="H204" i="118" s="1"/>
  <c r="G204" i="118" a="1"/>
  <c r="G204" i="118" s="1"/>
  <c r="F204" i="118" a="1"/>
  <c r="F204" i="118" s="1"/>
  <c r="E204" i="118" a="1"/>
  <c r="E204" i="118" s="1"/>
  <c r="D23" i="112" s="1"/>
  <c r="D466" i="116" s="1"/>
  <c r="D204" i="118" a="1"/>
  <c r="D204" i="118" s="1"/>
  <c r="I203" i="118" a="1"/>
  <c r="I203" i="118" s="1"/>
  <c r="H203" i="118" a="1"/>
  <c r="H203" i="118" s="1"/>
  <c r="G203" i="118" a="1"/>
  <c r="G203" i="118" s="1"/>
  <c r="F203" i="118" a="1"/>
  <c r="F203" i="118" s="1"/>
  <c r="E203" i="118" a="1"/>
  <c r="E203" i="118" s="1"/>
  <c r="D48" i="113" s="1"/>
  <c r="D480" i="116" s="1"/>
  <c r="F480" i="116" s="1" a="1"/>
  <c r="F480" i="116" s="1"/>
  <c r="D203" i="118" a="1"/>
  <c r="D203" i="118" s="1"/>
  <c r="I202" i="118" a="1"/>
  <c r="I202" i="118" s="1"/>
  <c r="H202" i="118" a="1"/>
  <c r="H202" i="118" s="1"/>
  <c r="G202" i="118" a="1"/>
  <c r="G202" i="118" s="1"/>
  <c r="F202" i="118" a="1"/>
  <c r="F202" i="118" s="1"/>
  <c r="E202" i="118" a="1"/>
  <c r="E202" i="118"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c r="K181" i="118" a="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c r="F176" i="118" a="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7"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a="1"/>
  <c r="F118" i="118" s="1"/>
  <c r="L118" i="118" s="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P123" i="116" s="1" a="1"/>
  <c r="P123" i="116" s="1"/>
  <c r="D90" i="118" a="1"/>
  <c r="D90" i="118" s="1"/>
  <c r="I86" i="118" a="1"/>
  <c r="I86" i="118" s="1"/>
  <c r="H86" i="118"/>
  <c r="H86" i="118" a="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G454" i="116" s="1" a="1"/>
  <c r="G454" i="116"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D78" i="118"/>
  <c r="D78" i="118" a="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D34" i="118" a="1"/>
  <c r="D34" i="118" s="1"/>
  <c r="R85" i="117" a="1"/>
  <c r="R85" i="117" s="1"/>
  <c r="N85" i="117" a="1"/>
  <c r="N85" i="117" s="1"/>
  <c r="H85" i="117" a="1"/>
  <c r="H85" i="117" s="1"/>
  <c r="D85" i="117" a="1"/>
  <c r="D85" i="117" s="1"/>
  <c r="O83" i="117" a="1"/>
  <c r="O83" i="117" s="1"/>
  <c r="E83" i="117" a="1"/>
  <c r="E83" i="117" s="1"/>
  <c r="O82" i="117" a="1"/>
  <c r="O82" i="117" s="1"/>
  <c r="E82" i="117" a="1"/>
  <c r="E82" i="117" s="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P74"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c r="G48" i="117" a="1"/>
  <c r="D48" i="117" a="1"/>
  <c r="D48" i="117" s="1"/>
  <c r="O46" i="117" a="1"/>
  <c r="O46" i="117" s="1"/>
  <c r="E46" i="117" a="1"/>
  <c r="E46" i="117" s="1"/>
  <c r="O45" i="117" a="1"/>
  <c r="O45" i="117" s="1"/>
  <c r="E45" i="117" a="1"/>
  <c r="E45" i="117" s="1"/>
  <c r="N41" i="117" a="1"/>
  <c r="N41" i="117" s="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c r="E29" i="117" a="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O10" i="117" a="1"/>
  <c r="O10" i="117" s="1"/>
  <c r="E10" i="117" a="1"/>
  <c r="E10" i="117" s="1"/>
  <c r="N6" i="117" a="1"/>
  <c r="N6" i="117" s="1"/>
  <c r="D6" i="117" a="1"/>
  <c r="D6" i="117" s="1"/>
  <c r="N5" i="117" a="1"/>
  <c r="N5" i="117" s="1"/>
  <c r="D5" i="117" a="1"/>
  <c r="D5" i="117" s="1"/>
  <c r="J635" i="116" a="1"/>
  <c r="J635" i="116" s="1"/>
  <c r="J633" i="116" a="1"/>
  <c r="J633" i="116" s="1"/>
  <c r="J618" i="116" a="1"/>
  <c r="J618" i="116" s="1"/>
  <c r="J617" i="116" a="1"/>
  <c r="J617" i="116" s="1"/>
  <c r="J616" i="116" a="1"/>
  <c r="J616" i="116" s="1"/>
  <c r="J613" i="116" a="1"/>
  <c r="J613" i="116" s="1"/>
  <c r="J612" i="116" a="1"/>
  <c r="J612" i="116" s="1"/>
  <c r="J611" i="116" a="1"/>
  <c r="J611" i="116" s="1"/>
  <c r="J610" i="116" a="1"/>
  <c r="J610" i="116" s="1"/>
  <c r="J615" i="116" a="1"/>
  <c r="J615" i="116" s="1"/>
  <c r="G601" i="116" a="1"/>
  <c r="G601" i="116" s="1"/>
  <c r="D601" i="116" a="1"/>
  <c r="D601" i="116" s="1"/>
  <c r="E599" i="116" a="1"/>
  <c r="E599" i="116" s="1"/>
  <c r="E598" i="116" a="1"/>
  <c r="E598" i="116" s="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a="1"/>
  <c r="D539" i="116" s="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6" i="116" a="1"/>
  <c r="K496" i="116" s="1"/>
  <c r="K495" i="116" a="1"/>
  <c r="K495" i="116" s="1"/>
  <c r="K494" i="116" a="1"/>
  <c r="K494" i="116" s="1"/>
  <c r="K493" i="116" a="1"/>
  <c r="K493"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2" i="116" a="1"/>
  <c r="J452" i="116" s="1"/>
  <c r="J449" i="116" a="1"/>
  <c r="J449" i="116" s="1"/>
  <c r="J434" i="116" a="1"/>
  <c r="J434" i="116" s="1"/>
  <c r="G424" i="116" a="1"/>
  <c r="G424" i="116" s="1"/>
  <c r="D424" i="116" a="1"/>
  <c r="D424" i="116" s="1"/>
  <c r="E422" i="116" a="1"/>
  <c r="E422" i="116" s="1"/>
  <c r="E421" i="116" a="1"/>
  <c r="E421" i="116" s="1"/>
  <c r="D416" i="116" a="1"/>
  <c r="D416" i="116" s="1"/>
  <c r="D415" i="116" a="1"/>
  <c r="D415" i="116" s="1"/>
  <c r="J406" i="116" a="1"/>
  <c r="J406" i="116" s="1"/>
  <c r="J404" i="116" a="1"/>
  <c r="J404" i="116" s="1"/>
  <c r="J403" i="116" a="1"/>
  <c r="J403" i="116" s="1"/>
  <c r="K402" i="116"/>
  <c r="J402" i="116" a="1"/>
  <c r="J402" i="116" s="1"/>
  <c r="J400" i="116" a="1"/>
  <c r="J400" i="116" s="1"/>
  <c r="J399" i="116" a="1"/>
  <c r="J399" i="116" s="1"/>
  <c r="J401" i="116" a="1"/>
  <c r="J401" i="116" s="1"/>
  <c r="F392" i="116" a="1"/>
  <c r="F392" i="116" s="1"/>
  <c r="D392" i="116" a="1"/>
  <c r="D392" i="116" s="1"/>
  <c r="E390" i="116" a="1"/>
  <c r="E390" i="116" s="1"/>
  <c r="E389" i="116" a="1"/>
  <c r="E389" i="116" s="1"/>
  <c r="D384" i="116" a="1"/>
  <c r="D384" i="116" s="1"/>
  <c r="D383" i="116"/>
  <c r="D383" i="116" a="1"/>
  <c r="F362" i="116" a="1"/>
  <c r="F362" i="116" s="1"/>
  <c r="D362" i="116" a="1"/>
  <c r="D362" i="116" s="1"/>
  <c r="E360" i="116" a="1"/>
  <c r="E360" i="116" s="1"/>
  <c r="E359" i="116" a="1"/>
  <c r="E359" i="116" s="1"/>
  <c r="D354" i="116" a="1"/>
  <c r="D354" i="116" s="1"/>
  <c r="D353" i="116" a="1"/>
  <c r="D353" i="116" s="1"/>
  <c r="D352" i="116" a="1"/>
  <c r="D352" i="116" s="1"/>
  <c r="L343" i="116"/>
  <c r="L342" i="116"/>
  <c r="K342" i="116" a="1"/>
  <c r="K342" i="116" s="1"/>
  <c r="L340" i="116"/>
  <c r="L339" i="116"/>
  <c r="L338" i="116"/>
  <c r="L337" i="116"/>
  <c r="L341" i="116"/>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G106" i="116" a="1"/>
  <c r="G106" i="116" s="1"/>
  <c r="D106" i="116" a="1"/>
  <c r="D106" i="116" s="1"/>
  <c r="E104" i="116" a="1"/>
  <c r="E104" i="116" s="1"/>
  <c r="E103" i="116" a="1"/>
  <c r="E103" i="116" s="1"/>
  <c r="D99" i="116" a="1"/>
  <c r="D99" i="116" s="1"/>
  <c r="D98" i="116" a="1"/>
  <c r="D98" i="116" s="1"/>
  <c r="J61" i="116" a="1"/>
  <c r="J61" i="116" s="1"/>
  <c r="G13" i="116" a="1"/>
  <c r="G13" i="116" s="1"/>
  <c r="D13" i="116" a="1"/>
  <c r="D13" i="116" s="1"/>
  <c r="E11" i="116" a="1"/>
  <c r="E11" i="116" s="1"/>
  <c r="F35" i="116" s="1"/>
  <c r="E10" i="116" a="1"/>
  <c r="E10" i="116" s="1"/>
  <c r="D6" i="116" a="1"/>
  <c r="D6" i="116" s="1"/>
  <c r="D5" i="116" a="1"/>
  <c r="D5" i="116" s="1"/>
  <c r="H19" i="112"/>
  <c r="L19" i="112" s="1"/>
  <c r="R18" i="112"/>
  <c r="O18" i="112"/>
  <c r="L18" i="112"/>
  <c r="H18" i="112"/>
  <c r="H17" i="112"/>
  <c r="L17" i="112" s="1"/>
  <c r="H16" i="112"/>
  <c r="O16" i="112" s="1"/>
  <c r="R15" i="112"/>
  <c r="O15" i="112"/>
  <c r="H15" i="112"/>
  <c r="L15" i="112" s="1"/>
  <c r="H14" i="112"/>
  <c r="O14" i="112" s="1"/>
  <c r="H13" i="112"/>
  <c r="R13" i="112" s="1"/>
  <c r="L12" i="112"/>
  <c r="H12" i="112"/>
  <c r="O12" i="112" s="1"/>
  <c r="H11" i="112"/>
  <c r="R11" i="112" s="1"/>
  <c r="H10" i="112"/>
  <c r="R10" i="112" s="1"/>
  <c r="Q8" i="112" a="1"/>
  <c r="Q8" i="112" s="1"/>
  <c r="N8" i="112" a="1"/>
  <c r="N8" i="112" s="1"/>
  <c r="K8" i="112" a="1"/>
  <c r="K8" i="112" s="1"/>
  <c r="F235" i="109" a="1"/>
  <c r="F235" i="109" s="1"/>
  <c r="E235" i="109" a="1"/>
  <c r="E235" i="109" s="1"/>
  <c r="D235" i="109" a="1"/>
  <c r="D235" i="109" s="1"/>
  <c r="F234" i="109" a="1"/>
  <c r="F234" i="109" s="1"/>
  <c r="E234" i="109" a="1"/>
  <c r="E234" i="109" s="1"/>
  <c r="D234" i="109" a="1"/>
  <c r="D234" i="109" s="1"/>
  <c r="F233" i="109" a="1"/>
  <c r="F233" i="109" s="1"/>
  <c r="E233" i="109" a="1"/>
  <c r="E233" i="109" s="1"/>
  <c r="D233" i="109" a="1"/>
  <c r="D233" i="109" s="1"/>
  <c r="F232" i="109" a="1"/>
  <c r="F232" i="109" s="1"/>
  <c r="E232" i="109" a="1"/>
  <c r="E232" i="109" s="1"/>
  <c r="D232" i="109" a="1"/>
  <c r="D232" i="109" s="1"/>
  <c r="F231" i="109" a="1"/>
  <c r="F231" i="109" s="1"/>
  <c r="E231" i="109" a="1"/>
  <c r="E231" i="109" s="1"/>
  <c r="D231" i="109" a="1"/>
  <c r="D231" i="109" s="1"/>
  <c r="F230" i="109" a="1"/>
  <c r="F230" i="109" s="1"/>
  <c r="E230" i="109" a="1"/>
  <c r="E230" i="109" s="1"/>
  <c r="D230" i="109" a="1"/>
  <c r="D230" i="109" s="1"/>
  <c r="F229" i="109" a="1"/>
  <c r="F229" i="109" s="1"/>
  <c r="E229" i="109" a="1"/>
  <c r="E229" i="109" s="1"/>
  <c r="D229" i="109" a="1"/>
  <c r="D229" i="109" s="1"/>
  <c r="F228" i="109" a="1"/>
  <c r="F228" i="109" s="1"/>
  <c r="E228" i="109" a="1"/>
  <c r="E228" i="109" s="1"/>
  <c r="D228" i="109" a="1"/>
  <c r="D228" i="109" s="1"/>
  <c r="F227" i="109" a="1"/>
  <c r="F227" i="109" s="1"/>
  <c r="E227" i="109" a="1"/>
  <c r="E227" i="109" s="1"/>
  <c r="D227" i="109" a="1"/>
  <c r="D227" i="109" s="1"/>
  <c r="F226" i="109" a="1"/>
  <c r="F226" i="109" s="1"/>
  <c r="E226" i="109" a="1"/>
  <c r="E226" i="109" s="1"/>
  <c r="D226" i="109" a="1"/>
  <c r="D226" i="109" s="1"/>
  <c r="F225" i="109" a="1"/>
  <c r="F225" i="109" s="1"/>
  <c r="E225" i="109" a="1"/>
  <c r="E225" i="109" s="1"/>
  <c r="D225" i="109" a="1"/>
  <c r="D225" i="109" s="1"/>
  <c r="F224" i="109" a="1"/>
  <c r="F224" i="109" s="1"/>
  <c r="E224" i="109" a="1"/>
  <c r="E224" i="109" s="1"/>
  <c r="D224" i="109" a="1"/>
  <c r="D224" i="109" s="1"/>
  <c r="F223" i="109" a="1"/>
  <c r="F223" i="109" s="1"/>
  <c r="E223" i="109" a="1"/>
  <c r="E223" i="109" s="1"/>
  <c r="D223" i="109" a="1"/>
  <c r="D223" i="109" s="1"/>
  <c r="F222" i="109" a="1"/>
  <c r="F222" i="109" s="1"/>
  <c r="E222" i="109" a="1"/>
  <c r="E222" i="109" s="1"/>
  <c r="D222" i="109" a="1"/>
  <c r="D222" i="109" s="1"/>
  <c r="F221" i="109" a="1"/>
  <c r="F221" i="109" s="1"/>
  <c r="E221" i="109" a="1"/>
  <c r="E221" i="109" s="1"/>
  <c r="D221" i="109" a="1"/>
  <c r="D221" i="109" s="1"/>
  <c r="F220" i="109" a="1"/>
  <c r="F220" i="109" s="1"/>
  <c r="E220" i="109" a="1"/>
  <c r="E220" i="109" s="1"/>
  <c r="D220" i="109" a="1"/>
  <c r="D220" i="109" s="1"/>
  <c r="F219" i="109" a="1"/>
  <c r="F219" i="109" s="1"/>
  <c r="E219" i="109" a="1"/>
  <c r="E219" i="109" s="1"/>
  <c r="D219" i="109" a="1"/>
  <c r="D219" i="109" s="1"/>
  <c r="F218" i="109" a="1"/>
  <c r="F218" i="109" s="1"/>
  <c r="E218" i="109" a="1"/>
  <c r="E218" i="109" s="1"/>
  <c r="D218" i="109" a="1"/>
  <c r="D218" i="109" s="1"/>
  <c r="F217" i="109" a="1"/>
  <c r="F217" i="109" s="1"/>
  <c r="E217" i="109" a="1"/>
  <c r="E217" i="109" s="1"/>
  <c r="D217" i="109" a="1"/>
  <c r="D217" i="109" s="1"/>
  <c r="F216" i="109" a="1"/>
  <c r="F216" i="109" s="1"/>
  <c r="E216" i="109" a="1"/>
  <c r="E216" i="109" s="1"/>
  <c r="D216" i="109" a="1"/>
  <c r="D216" i="109" s="1"/>
  <c r="F215" i="109" a="1"/>
  <c r="F215" i="109" s="1"/>
  <c r="E215" i="109" a="1"/>
  <c r="E215" i="109" s="1"/>
  <c r="D215" i="109" a="1"/>
  <c r="D215" i="109" s="1"/>
  <c r="F214" i="109" a="1"/>
  <c r="F214" i="109" s="1"/>
  <c r="E214" i="109" a="1"/>
  <c r="E214" i="109" s="1"/>
  <c r="D214" i="109" a="1"/>
  <c r="D214" i="109" s="1"/>
  <c r="F213" i="109" a="1"/>
  <c r="F213" i="109" s="1"/>
  <c r="E213" i="109" a="1"/>
  <c r="E213" i="109" s="1"/>
  <c r="D213" i="109" a="1"/>
  <c r="D213" i="109" s="1"/>
  <c r="F212" i="109" a="1"/>
  <c r="F212" i="109" s="1"/>
  <c r="E212" i="109" a="1"/>
  <c r="E212" i="109" s="1"/>
  <c r="D212" i="109" a="1"/>
  <c r="D212" i="109" s="1"/>
  <c r="F211" i="109" a="1"/>
  <c r="F211" i="109" s="1"/>
  <c r="E211" i="109" a="1"/>
  <c r="E211" i="109" s="1"/>
  <c r="D211" i="109" a="1"/>
  <c r="D211" i="109" s="1"/>
  <c r="F210" i="109" a="1"/>
  <c r="F210" i="109" s="1"/>
  <c r="E210" i="109" a="1"/>
  <c r="E210" i="109" s="1"/>
  <c r="D210" i="109" a="1"/>
  <c r="D210" i="109" s="1"/>
  <c r="F209" i="109" a="1"/>
  <c r="F209" i="109" s="1"/>
  <c r="E209" i="109" a="1"/>
  <c r="E209" i="109" s="1"/>
  <c r="D209" i="109" a="1"/>
  <c r="D209" i="109" s="1"/>
  <c r="F208" i="109" a="1"/>
  <c r="F208" i="109" s="1"/>
  <c r="E208" i="109" a="1"/>
  <c r="E208" i="109" s="1"/>
  <c r="D208" i="109" a="1"/>
  <c r="D208" i="109" s="1"/>
  <c r="F207" i="109" a="1"/>
  <c r="F207" i="109" s="1"/>
  <c r="E207" i="109" a="1"/>
  <c r="E207" i="109" s="1"/>
  <c r="D207" i="109" a="1"/>
  <c r="D207" i="109" s="1"/>
  <c r="F206" i="109" a="1"/>
  <c r="F206" i="109" s="1"/>
  <c r="E206" i="109" a="1"/>
  <c r="E206" i="109" s="1"/>
  <c r="D206" i="109" a="1"/>
  <c r="D206" i="109" s="1"/>
  <c r="F205" i="109" a="1"/>
  <c r="F205" i="109" s="1"/>
  <c r="E205" i="109" a="1"/>
  <c r="E205" i="109" s="1"/>
  <c r="D205" i="109" a="1"/>
  <c r="D205" i="109" s="1"/>
  <c r="F204" i="109" a="1"/>
  <c r="F204" i="109" s="1"/>
  <c r="E204" i="109" a="1"/>
  <c r="E204" i="109" s="1"/>
  <c r="D204" i="109" a="1"/>
  <c r="D204" i="109" s="1"/>
  <c r="F203" i="109" a="1"/>
  <c r="F203" i="109" s="1"/>
  <c r="E203" i="109" a="1"/>
  <c r="E203" i="109" s="1"/>
  <c r="D203" i="109" a="1"/>
  <c r="D203" i="109" s="1"/>
  <c r="F202" i="109" a="1"/>
  <c r="F202" i="109" s="1"/>
  <c r="E202" i="109" a="1"/>
  <c r="E202" i="109" s="1"/>
  <c r="D202" i="109" a="1"/>
  <c r="D202" i="109" s="1"/>
  <c r="F201" i="109" a="1"/>
  <c r="F201" i="109" s="1"/>
  <c r="E201" i="109" a="1"/>
  <c r="E201" i="109" s="1"/>
  <c r="D201" i="109" a="1"/>
  <c r="D201" i="109" s="1"/>
  <c r="F200" i="109" a="1"/>
  <c r="F200" i="109" s="1"/>
  <c r="E200" i="109" a="1"/>
  <c r="E200" i="109" s="1"/>
  <c r="D200" i="109" a="1"/>
  <c r="D200" i="109" s="1"/>
  <c r="F199" i="109" a="1"/>
  <c r="F199" i="109" s="1"/>
  <c r="E199" i="109" a="1"/>
  <c r="E199" i="109" s="1"/>
  <c r="D199" i="109" a="1"/>
  <c r="D199" i="109" s="1"/>
  <c r="F198" i="109" a="1"/>
  <c r="F198" i="109" s="1"/>
  <c r="E198" i="109" a="1"/>
  <c r="E198" i="109" s="1"/>
  <c r="D198" i="109" a="1"/>
  <c r="D198" i="109" s="1"/>
  <c r="F197" i="109" a="1"/>
  <c r="F197" i="109" s="1"/>
  <c r="E197" i="109" a="1"/>
  <c r="E197" i="109" s="1"/>
  <c r="D197" i="109" a="1"/>
  <c r="D197" i="109" s="1"/>
  <c r="F196" i="109" a="1"/>
  <c r="F196" i="109" s="1"/>
  <c r="E196" i="109" a="1"/>
  <c r="E196" i="109" s="1"/>
  <c r="D196" i="109" a="1"/>
  <c r="D196" i="109" s="1"/>
  <c r="F195" i="109" a="1"/>
  <c r="F195" i="109" s="1"/>
  <c r="E195" i="109" a="1"/>
  <c r="E195" i="109" s="1"/>
  <c r="D195" i="109" a="1"/>
  <c r="D195" i="109" s="1"/>
  <c r="F194" i="109" a="1"/>
  <c r="F194" i="109" s="1"/>
  <c r="E194" i="109" a="1"/>
  <c r="E194" i="109" s="1"/>
  <c r="D194" i="109" a="1"/>
  <c r="D194" i="109" s="1"/>
  <c r="F193" i="109" a="1"/>
  <c r="F193" i="109" s="1"/>
  <c r="E193" i="109" a="1"/>
  <c r="E193" i="109" s="1"/>
  <c r="D193" i="109" a="1"/>
  <c r="D193" i="109" s="1"/>
  <c r="F192" i="109" a="1"/>
  <c r="F192" i="109" s="1"/>
  <c r="E192" i="109" a="1"/>
  <c r="E192" i="109" s="1"/>
  <c r="D192" i="109" a="1"/>
  <c r="D192" i="109" s="1"/>
  <c r="F191" i="109" a="1"/>
  <c r="F191" i="109" s="1"/>
  <c r="E191" i="109" a="1"/>
  <c r="E191" i="109" s="1"/>
  <c r="D191" i="109" a="1"/>
  <c r="D191" i="109" s="1"/>
  <c r="F190" i="109" a="1"/>
  <c r="F190" i="109" s="1"/>
  <c r="E190" i="109" a="1"/>
  <c r="E190" i="109" s="1"/>
  <c r="D190" i="109" a="1"/>
  <c r="D190" i="109" s="1"/>
  <c r="F189" i="109" a="1"/>
  <c r="F189" i="109" s="1"/>
  <c r="E189" i="109" a="1"/>
  <c r="E189" i="109" s="1"/>
  <c r="D189" i="109" a="1"/>
  <c r="D189" i="109" s="1"/>
  <c r="F188" i="109" a="1"/>
  <c r="F188" i="109" s="1"/>
  <c r="E188" i="109" a="1"/>
  <c r="E188" i="109" s="1"/>
  <c r="D188" i="109" a="1"/>
  <c r="D188" i="109" s="1"/>
  <c r="F187" i="109" a="1"/>
  <c r="F187" i="109" s="1"/>
  <c r="E187" i="109" a="1"/>
  <c r="E187" i="109" s="1"/>
  <c r="D187" i="109" a="1"/>
  <c r="D187" i="109" s="1"/>
  <c r="F186" i="109" a="1"/>
  <c r="F186" i="109" s="1"/>
  <c r="E186" i="109" a="1"/>
  <c r="E186" i="109" s="1"/>
  <c r="D186" i="109" a="1"/>
  <c r="D186" i="109" s="1"/>
  <c r="F185" i="109" a="1"/>
  <c r="F185" i="109" s="1"/>
  <c r="E185" i="109" a="1"/>
  <c r="E185" i="109" s="1"/>
  <c r="D185" i="109" a="1"/>
  <c r="D185" i="109" s="1"/>
  <c r="F184" i="109" a="1"/>
  <c r="F184" i="109" s="1"/>
  <c r="E184" i="109" a="1"/>
  <c r="E184" i="109" s="1"/>
  <c r="D184" i="109" a="1"/>
  <c r="D184" i="109" s="1"/>
  <c r="F183" i="109" a="1"/>
  <c r="F183" i="109" s="1"/>
  <c r="E183" i="109" a="1"/>
  <c r="E183" i="109" s="1"/>
  <c r="D183" i="109" a="1"/>
  <c r="D183" i="109" s="1"/>
  <c r="F182" i="109" a="1"/>
  <c r="F182" i="109" s="1"/>
  <c r="E182" i="109" a="1"/>
  <c r="E182" i="109" s="1"/>
  <c r="D182" i="109" a="1"/>
  <c r="D182" i="109" s="1"/>
  <c r="F181" i="109" a="1"/>
  <c r="F181" i="109" s="1"/>
  <c r="E181" i="109" a="1"/>
  <c r="E181" i="109" s="1"/>
  <c r="D181" i="109" a="1"/>
  <c r="D181" i="109" s="1"/>
  <c r="F180" i="109" a="1"/>
  <c r="F180" i="109" s="1"/>
  <c r="E180" i="109" a="1"/>
  <c r="E180" i="109" s="1"/>
  <c r="D180" i="109" a="1"/>
  <c r="D180" i="109" s="1"/>
  <c r="F179" i="109" a="1"/>
  <c r="F179" i="109" s="1"/>
  <c r="E179" i="109" a="1"/>
  <c r="E179" i="109" s="1"/>
  <c r="D179" i="109" a="1"/>
  <c r="D179" i="109" s="1"/>
  <c r="F178" i="109" a="1"/>
  <c r="F178" i="109" s="1"/>
  <c r="E178" i="109" a="1"/>
  <c r="E178" i="109" s="1"/>
  <c r="D178" i="109" a="1"/>
  <c r="D178" i="109" s="1"/>
  <c r="F177" i="109" a="1"/>
  <c r="F177" i="109" s="1"/>
  <c r="E177" i="109" a="1"/>
  <c r="E177" i="109" s="1"/>
  <c r="D177" i="109" a="1"/>
  <c r="D177" i="109" s="1"/>
  <c r="F176" i="109" a="1"/>
  <c r="F176" i="109" s="1"/>
  <c r="E176" i="109" a="1"/>
  <c r="E176" i="109" s="1"/>
  <c r="D176" i="109" a="1"/>
  <c r="D176" i="109" s="1"/>
  <c r="F175" i="109" a="1"/>
  <c r="F175" i="109" s="1"/>
  <c r="E175" i="109" a="1"/>
  <c r="E175" i="109" s="1"/>
  <c r="D175" i="109" a="1"/>
  <c r="D175" i="109" s="1"/>
  <c r="F174" i="109" a="1"/>
  <c r="F174" i="109" s="1"/>
  <c r="E174" i="109" a="1"/>
  <c r="E174" i="109" s="1"/>
  <c r="D174" i="109" a="1"/>
  <c r="D174" i="109" s="1"/>
  <c r="F173" i="109" a="1"/>
  <c r="F173" i="109" s="1"/>
  <c r="E173" i="109" a="1"/>
  <c r="E173" i="109" s="1"/>
  <c r="D173" i="109" a="1"/>
  <c r="D173" i="109" s="1"/>
  <c r="F172" i="109" a="1"/>
  <c r="F172" i="109" s="1"/>
  <c r="E172" i="109" a="1"/>
  <c r="E172" i="109" s="1"/>
  <c r="D172" i="109" a="1"/>
  <c r="D172" i="109" s="1"/>
  <c r="F171" i="109" a="1"/>
  <c r="F171" i="109" s="1"/>
  <c r="E171" i="109" a="1"/>
  <c r="E171" i="109" s="1"/>
  <c r="D171" i="109" a="1"/>
  <c r="D171" i="109" s="1"/>
  <c r="F170" i="109" a="1"/>
  <c r="F170" i="109" s="1"/>
  <c r="E170" i="109" a="1"/>
  <c r="E170" i="109" s="1"/>
  <c r="D170" i="109" a="1"/>
  <c r="D170" i="109" s="1"/>
  <c r="F169" i="109" a="1"/>
  <c r="F169" i="109" s="1"/>
  <c r="E169" i="109" a="1"/>
  <c r="E169" i="109" s="1"/>
  <c r="D169" i="109" a="1"/>
  <c r="D169" i="109" s="1"/>
  <c r="F168" i="109" a="1"/>
  <c r="F168" i="109" s="1"/>
  <c r="E168" i="109" a="1"/>
  <c r="E168" i="109" s="1"/>
  <c r="D168" i="109" a="1"/>
  <c r="D168" i="109" s="1"/>
  <c r="F167" i="109" a="1"/>
  <c r="F167" i="109" s="1"/>
  <c r="E167" i="109" a="1"/>
  <c r="E167" i="109" s="1"/>
  <c r="D167" i="109" a="1"/>
  <c r="D167" i="109" s="1"/>
  <c r="F166" i="109" a="1"/>
  <c r="F166" i="109" s="1"/>
  <c r="E166" i="109" a="1"/>
  <c r="E166" i="109" s="1"/>
  <c r="D166" i="109" a="1"/>
  <c r="D166" i="109" s="1"/>
  <c r="F165" i="109" a="1"/>
  <c r="F165" i="109" s="1"/>
  <c r="E165" i="109" a="1"/>
  <c r="E165" i="109" s="1"/>
  <c r="D165" i="109" a="1"/>
  <c r="D165" i="109" s="1"/>
  <c r="F164" i="109" a="1"/>
  <c r="F164" i="109" s="1"/>
  <c r="E164" i="109" a="1"/>
  <c r="E164" i="109" s="1"/>
  <c r="D164" i="109" a="1"/>
  <c r="D164" i="109" s="1"/>
  <c r="F163" i="109" a="1"/>
  <c r="F163" i="109" s="1"/>
  <c r="E163" i="109" a="1"/>
  <c r="E163" i="109" s="1"/>
  <c r="D163" i="109" a="1"/>
  <c r="D163" i="109" s="1"/>
  <c r="F162" i="109" a="1"/>
  <c r="F162" i="109" s="1"/>
  <c r="E162" i="109" a="1"/>
  <c r="E162" i="109" s="1"/>
  <c r="D162" i="109" a="1"/>
  <c r="D162" i="109" s="1"/>
  <c r="F161" i="109" a="1"/>
  <c r="F161" i="109" s="1"/>
  <c r="E161" i="109" a="1"/>
  <c r="E161" i="109" s="1"/>
  <c r="D161" i="109" a="1"/>
  <c r="D161" i="109" s="1"/>
  <c r="F160" i="109" a="1"/>
  <c r="F160" i="109" s="1"/>
  <c r="E160" i="109" a="1"/>
  <c r="E160" i="109" s="1"/>
  <c r="D160" i="109" a="1"/>
  <c r="D160" i="109" s="1"/>
  <c r="F159" i="109" a="1"/>
  <c r="F159" i="109" s="1"/>
  <c r="E159" i="109" a="1"/>
  <c r="E159" i="109" s="1"/>
  <c r="D159" i="109" a="1"/>
  <c r="D159" i="109" s="1"/>
  <c r="F158" i="109" a="1"/>
  <c r="F158" i="109" s="1"/>
  <c r="E158" i="109" a="1"/>
  <c r="E158" i="109" s="1"/>
  <c r="D158" i="109" a="1"/>
  <c r="D158" i="109" s="1"/>
  <c r="F157" i="109" a="1"/>
  <c r="F157" i="109" s="1"/>
  <c r="E157" i="109" a="1"/>
  <c r="E157" i="109" s="1"/>
  <c r="D157" i="109" a="1"/>
  <c r="D157" i="109" s="1"/>
  <c r="F156" i="109" a="1"/>
  <c r="F156" i="109" s="1"/>
  <c r="E156" i="109" a="1"/>
  <c r="E156" i="109" s="1"/>
  <c r="D156" i="109" a="1"/>
  <c r="D156" i="109" s="1"/>
  <c r="F155" i="109" a="1"/>
  <c r="F155" i="109" s="1"/>
  <c r="E155" i="109" a="1"/>
  <c r="E155" i="109" s="1"/>
  <c r="D155" i="109" a="1"/>
  <c r="D155" i="109" s="1"/>
  <c r="F154" i="109" a="1"/>
  <c r="F154" i="109" s="1"/>
  <c r="E154" i="109" a="1"/>
  <c r="E154" i="109" s="1"/>
  <c r="D154" i="109" a="1"/>
  <c r="D154" i="109" s="1"/>
  <c r="F153" i="109" a="1"/>
  <c r="F153" i="109" s="1"/>
  <c r="E153" i="109" a="1"/>
  <c r="E153" i="109" s="1"/>
  <c r="D153" i="109" a="1"/>
  <c r="D153" i="109" s="1"/>
  <c r="F152" i="109" a="1"/>
  <c r="F152" i="109" s="1"/>
  <c r="E152" i="109" a="1"/>
  <c r="E152" i="109" s="1"/>
  <c r="D152" i="109" a="1"/>
  <c r="D152" i="109" s="1"/>
  <c r="F151" i="109" a="1"/>
  <c r="F151" i="109" s="1"/>
  <c r="E151" i="109" a="1"/>
  <c r="E151" i="109" s="1"/>
  <c r="D151" i="109" a="1"/>
  <c r="D151" i="109" s="1"/>
  <c r="F150" i="109" a="1"/>
  <c r="F150" i="109" s="1"/>
  <c r="E150" i="109" a="1"/>
  <c r="E150" i="109" s="1"/>
  <c r="D150" i="109" a="1"/>
  <c r="D150" i="109" s="1"/>
  <c r="F149" i="109" a="1"/>
  <c r="F149" i="109" s="1"/>
  <c r="E149" i="109" a="1"/>
  <c r="E149" i="109" s="1"/>
  <c r="D149" i="109" a="1"/>
  <c r="D149" i="109" s="1"/>
  <c r="F148" i="109" a="1"/>
  <c r="F148" i="109" s="1"/>
  <c r="E148" i="109" a="1"/>
  <c r="E148" i="109" s="1"/>
  <c r="D148" i="109" a="1"/>
  <c r="D148" i="109" s="1"/>
  <c r="F147" i="109" a="1"/>
  <c r="F147" i="109" s="1"/>
  <c r="E147" i="109" a="1"/>
  <c r="E147" i="109" s="1"/>
  <c r="D147" i="109" a="1"/>
  <c r="D147" i="109" s="1"/>
  <c r="F146" i="109" a="1"/>
  <c r="F146" i="109" s="1"/>
  <c r="E146" i="109" a="1"/>
  <c r="E146" i="109" s="1"/>
  <c r="D146" i="109" a="1"/>
  <c r="D146" i="109" s="1"/>
  <c r="F145" i="109" a="1"/>
  <c r="F145" i="109" s="1"/>
  <c r="E145" i="109" a="1"/>
  <c r="E145" i="109" s="1"/>
  <c r="D145" i="109" a="1"/>
  <c r="D145" i="109" s="1"/>
  <c r="F144" i="109" a="1"/>
  <c r="F144" i="109" s="1"/>
  <c r="E144" i="109" a="1"/>
  <c r="E144" i="109" s="1"/>
  <c r="D144" i="109" a="1"/>
  <c r="D144" i="109" s="1"/>
  <c r="F143" i="109" a="1"/>
  <c r="F143" i="109" s="1"/>
  <c r="E143" i="109" a="1"/>
  <c r="E143" i="109" s="1"/>
  <c r="D143" i="109" a="1"/>
  <c r="D143" i="109" s="1"/>
  <c r="F142" i="109" a="1"/>
  <c r="F142" i="109" s="1"/>
  <c r="E142" i="109" a="1"/>
  <c r="E142" i="109" s="1"/>
  <c r="D142" i="109" a="1"/>
  <c r="D142" i="109" s="1"/>
  <c r="F141" i="109" a="1"/>
  <c r="F141" i="109" s="1"/>
  <c r="E141" i="109" a="1"/>
  <c r="E141" i="109" s="1"/>
  <c r="D141" i="109" a="1"/>
  <c r="D141" i="109" s="1"/>
  <c r="F140" i="109" a="1"/>
  <c r="F140" i="109" s="1"/>
  <c r="E140" i="109" a="1"/>
  <c r="E140" i="109" s="1"/>
  <c r="D140" i="109" a="1"/>
  <c r="D140" i="109" s="1"/>
  <c r="F139" i="109" a="1"/>
  <c r="F139" i="109" s="1"/>
  <c r="E139" i="109" a="1"/>
  <c r="E139" i="109" s="1"/>
  <c r="D139" i="109" a="1"/>
  <c r="D139" i="109" s="1"/>
  <c r="F138" i="109" a="1"/>
  <c r="F138" i="109" s="1"/>
  <c r="E138" i="109" a="1"/>
  <c r="E138" i="109" s="1"/>
  <c r="D138" i="109" a="1"/>
  <c r="D138" i="109" s="1"/>
  <c r="F137" i="109" a="1"/>
  <c r="F137" i="109" s="1"/>
  <c r="E137" i="109" a="1"/>
  <c r="E137" i="109" s="1"/>
  <c r="D137" i="109" a="1"/>
  <c r="D137" i="109" s="1"/>
  <c r="F136" i="109" a="1"/>
  <c r="F136" i="109" s="1"/>
  <c r="E136" i="109" a="1"/>
  <c r="E136" i="109" s="1"/>
  <c r="D136" i="109" a="1"/>
  <c r="D136" i="109" s="1"/>
  <c r="F135" i="109" a="1"/>
  <c r="F135" i="109" s="1"/>
  <c r="E135" i="109" a="1"/>
  <c r="E135" i="109" s="1"/>
  <c r="D135" i="109" a="1"/>
  <c r="D135" i="109" s="1"/>
  <c r="F134" i="109" a="1"/>
  <c r="F134" i="109" s="1"/>
  <c r="E134" i="109" a="1"/>
  <c r="E134" i="109" s="1"/>
  <c r="D134" i="109" a="1"/>
  <c r="D134" i="109" s="1"/>
  <c r="F133" i="109" a="1"/>
  <c r="F133" i="109" s="1"/>
  <c r="E133" i="109" a="1"/>
  <c r="E133" i="109" s="1"/>
  <c r="D133" i="109" a="1"/>
  <c r="D133" i="109" s="1"/>
  <c r="F132" i="109" a="1"/>
  <c r="F132" i="109" s="1"/>
  <c r="E132" i="109" a="1"/>
  <c r="E132" i="109" s="1"/>
  <c r="D132" i="109" a="1"/>
  <c r="D132" i="109" s="1"/>
  <c r="F131" i="109" a="1"/>
  <c r="F131" i="109" s="1"/>
  <c r="E131" i="109" a="1"/>
  <c r="E131" i="109" s="1"/>
  <c r="D131" i="109" a="1"/>
  <c r="D131" i="109" s="1"/>
  <c r="F130" i="109" a="1"/>
  <c r="F130" i="109" s="1"/>
  <c r="E130" i="109" a="1"/>
  <c r="E130" i="109" s="1"/>
  <c r="D130" i="109" a="1"/>
  <c r="D130" i="109" s="1"/>
  <c r="F129" i="109" a="1"/>
  <c r="F129" i="109" s="1"/>
  <c r="E129" i="109" a="1"/>
  <c r="E129" i="109" s="1"/>
  <c r="D129" i="109" a="1"/>
  <c r="D129" i="109" s="1"/>
  <c r="F128" i="109" a="1"/>
  <c r="F128" i="109" s="1"/>
  <c r="E128" i="109" a="1"/>
  <c r="E128" i="109" s="1"/>
  <c r="D128" i="109" a="1"/>
  <c r="D128" i="109" s="1"/>
  <c r="F127" i="109" a="1"/>
  <c r="F127" i="109" s="1"/>
  <c r="E127" i="109" a="1"/>
  <c r="E127" i="109" s="1"/>
  <c r="D127" i="109" a="1"/>
  <c r="D127" i="109" s="1"/>
  <c r="F126" i="109" a="1"/>
  <c r="F126" i="109" s="1"/>
  <c r="E126" i="109" a="1"/>
  <c r="E126" i="109" s="1"/>
  <c r="D126" i="109" a="1"/>
  <c r="D126" i="109" s="1"/>
  <c r="F125" i="109" a="1"/>
  <c r="F125" i="109" s="1"/>
  <c r="E125" i="109" a="1"/>
  <c r="E125" i="109" s="1"/>
  <c r="D125" i="109" a="1"/>
  <c r="D125" i="109" s="1"/>
  <c r="F124" i="109" a="1"/>
  <c r="F124" i="109" s="1"/>
  <c r="E124" i="109" a="1"/>
  <c r="E124" i="109" s="1"/>
  <c r="D124" i="109" a="1"/>
  <c r="D124" i="109" s="1"/>
  <c r="F123" i="109" a="1"/>
  <c r="F123" i="109" s="1"/>
  <c r="E123" i="109" a="1"/>
  <c r="E123" i="109" s="1"/>
  <c r="D123" i="109" a="1"/>
  <c r="D123" i="109" s="1"/>
  <c r="F122" i="109" a="1"/>
  <c r="F122" i="109" s="1"/>
  <c r="E122" i="109" a="1"/>
  <c r="E122" i="109" s="1"/>
  <c r="D122" i="109" a="1"/>
  <c r="D122" i="109" s="1"/>
  <c r="F121" i="109" a="1"/>
  <c r="F121" i="109" s="1"/>
  <c r="E121" i="109" a="1"/>
  <c r="E121" i="109" s="1"/>
  <c r="D121" i="109" a="1"/>
  <c r="D121" i="109" s="1"/>
  <c r="F120" i="109" a="1"/>
  <c r="F120" i="109" s="1"/>
  <c r="E120" i="109" a="1"/>
  <c r="E120" i="109" s="1"/>
  <c r="D120" i="109" a="1"/>
  <c r="D120" i="109" s="1"/>
  <c r="F119" i="109" a="1"/>
  <c r="F119" i="109" s="1"/>
  <c r="E119" i="109" a="1"/>
  <c r="E119" i="109" s="1"/>
  <c r="D119" i="109" a="1"/>
  <c r="D119" i="109" s="1"/>
  <c r="F118" i="109" a="1"/>
  <c r="F118" i="109" s="1"/>
  <c r="E118" i="109" a="1"/>
  <c r="E118" i="109" s="1"/>
  <c r="D118" i="109" a="1"/>
  <c r="D118" i="109" s="1"/>
  <c r="F117" i="109" a="1"/>
  <c r="F117" i="109" s="1"/>
  <c r="E117" i="109" a="1"/>
  <c r="E117" i="109" s="1"/>
  <c r="D117" i="109" a="1"/>
  <c r="D117" i="109" s="1"/>
  <c r="F116" i="109" a="1"/>
  <c r="F116" i="109" s="1"/>
  <c r="E116" i="109" a="1"/>
  <c r="E116" i="109" s="1"/>
  <c r="D116" i="109" a="1"/>
  <c r="D116" i="109" s="1"/>
  <c r="F115" i="109" a="1"/>
  <c r="F115" i="109" s="1"/>
  <c r="E115" i="109" a="1"/>
  <c r="E115" i="109" s="1"/>
  <c r="D115" i="109" a="1"/>
  <c r="D115" i="109" s="1"/>
  <c r="F114" i="109" a="1"/>
  <c r="F114" i="109" s="1"/>
  <c r="E114" i="109" a="1"/>
  <c r="E114" i="109" s="1"/>
  <c r="D114" i="109" a="1"/>
  <c r="D114" i="109" s="1"/>
  <c r="F113" i="109" a="1"/>
  <c r="F113" i="109" s="1"/>
  <c r="E113" i="109" a="1"/>
  <c r="E113" i="109" s="1"/>
  <c r="D113" i="109" a="1"/>
  <c r="D113" i="109" s="1"/>
  <c r="F112" i="109" a="1"/>
  <c r="F112" i="109" s="1"/>
  <c r="E112" i="109" a="1"/>
  <c r="E112" i="109" s="1"/>
  <c r="D112" i="109" a="1"/>
  <c r="D112" i="109" s="1"/>
  <c r="F111" i="109" a="1"/>
  <c r="F111" i="109" s="1"/>
  <c r="E111" i="109" a="1"/>
  <c r="E111" i="109" s="1"/>
  <c r="D111" i="109" a="1"/>
  <c r="D111" i="109" s="1"/>
  <c r="F110" i="109" a="1"/>
  <c r="F110" i="109" s="1"/>
  <c r="E110" i="109" a="1"/>
  <c r="E110" i="109" s="1"/>
  <c r="D110" i="109" a="1"/>
  <c r="D110" i="109" s="1"/>
  <c r="F109" i="109" a="1"/>
  <c r="F109" i="109" s="1"/>
  <c r="E109" i="109" a="1"/>
  <c r="E109" i="109" s="1"/>
  <c r="D109" i="109" a="1"/>
  <c r="D109" i="109" s="1"/>
  <c r="F108" i="109" a="1"/>
  <c r="F108" i="109" s="1"/>
  <c r="E108" i="109" a="1"/>
  <c r="E108" i="109" s="1"/>
  <c r="D108" i="109" a="1"/>
  <c r="D108" i="109" s="1"/>
  <c r="F107" i="109" a="1"/>
  <c r="F107" i="109" s="1"/>
  <c r="E107" i="109" a="1"/>
  <c r="E107" i="109" s="1"/>
  <c r="D107" i="109" a="1"/>
  <c r="D107" i="109" s="1"/>
  <c r="F106" i="109" a="1"/>
  <c r="F106" i="109" s="1"/>
  <c r="E106" i="109" a="1"/>
  <c r="E106" i="109" s="1"/>
  <c r="D106" i="109" a="1"/>
  <c r="D106" i="109" s="1"/>
  <c r="F105" i="109" a="1"/>
  <c r="F105" i="109" s="1"/>
  <c r="E105" i="109" a="1"/>
  <c r="E105" i="109" s="1"/>
  <c r="D105" i="109" a="1"/>
  <c r="D105" i="109" s="1"/>
  <c r="F104" i="109" a="1"/>
  <c r="F104" i="109" s="1"/>
  <c r="E104" i="109" a="1"/>
  <c r="E104" i="109" s="1"/>
  <c r="D104" i="109" a="1"/>
  <c r="D104" i="109" s="1"/>
  <c r="F103" i="109" a="1"/>
  <c r="F103" i="109" s="1"/>
  <c r="E103" i="109" a="1"/>
  <c r="E103" i="109" s="1"/>
  <c r="D103" i="109" a="1"/>
  <c r="D103" i="109" s="1"/>
  <c r="F102" i="109" a="1"/>
  <c r="F102" i="109" s="1"/>
  <c r="E102" i="109" a="1"/>
  <c r="E102" i="109" s="1"/>
  <c r="D102" i="109" a="1"/>
  <c r="D102" i="109" s="1"/>
  <c r="F101" i="109" a="1"/>
  <c r="F101" i="109" s="1"/>
  <c r="E101" i="109" a="1"/>
  <c r="E101" i="109" s="1"/>
  <c r="D101" i="109" a="1"/>
  <c r="D101" i="109" s="1"/>
  <c r="F100" i="109" a="1"/>
  <c r="F100" i="109" s="1"/>
  <c r="E100" i="109" a="1"/>
  <c r="E100" i="109" s="1"/>
  <c r="D100" i="109" a="1"/>
  <c r="D100" i="109" s="1"/>
  <c r="F99" i="109" a="1"/>
  <c r="F99" i="109" s="1"/>
  <c r="E99" i="109" a="1"/>
  <c r="E99" i="109" s="1"/>
  <c r="D99" i="109" a="1"/>
  <c r="D99" i="109" s="1"/>
  <c r="F98" i="109" a="1"/>
  <c r="F98" i="109" s="1"/>
  <c r="E98" i="109" a="1"/>
  <c r="E98" i="109" s="1"/>
  <c r="D98" i="109" a="1"/>
  <c r="D98" i="109" s="1"/>
  <c r="F97" i="109" a="1"/>
  <c r="F97" i="109" s="1"/>
  <c r="E97" i="109" a="1"/>
  <c r="E97" i="109" s="1"/>
  <c r="D97" i="109" a="1"/>
  <c r="D97" i="109" s="1"/>
  <c r="F96" i="109" a="1"/>
  <c r="F96" i="109" s="1"/>
  <c r="E96" i="109" a="1"/>
  <c r="E96" i="109" s="1"/>
  <c r="D96" i="109" a="1"/>
  <c r="D96" i="109" s="1"/>
  <c r="F95" i="109" a="1"/>
  <c r="F95" i="109" s="1"/>
  <c r="E95" i="109" a="1"/>
  <c r="E95" i="109" s="1"/>
  <c r="D95" i="109" a="1"/>
  <c r="D95" i="109" s="1"/>
  <c r="F94" i="109" a="1"/>
  <c r="F94" i="109" s="1"/>
  <c r="E94" i="109" a="1"/>
  <c r="E94" i="109" s="1"/>
  <c r="D94" i="109" a="1"/>
  <c r="D94" i="109" s="1"/>
  <c r="F93" i="109" a="1"/>
  <c r="F93" i="109" s="1"/>
  <c r="E93" i="109" a="1"/>
  <c r="E93" i="109" s="1"/>
  <c r="D93" i="109" a="1"/>
  <c r="D93" i="109" s="1"/>
  <c r="D91" i="109" a="1"/>
  <c r="D91" i="109" s="1"/>
  <c r="F89" i="109" a="1"/>
  <c r="F89" i="109" s="1"/>
  <c r="E89" i="109" a="1"/>
  <c r="E89" i="109" s="1"/>
  <c r="D89" i="109" a="1"/>
  <c r="D89" i="109" s="1"/>
  <c r="F88" i="109" a="1"/>
  <c r="F88" i="109" s="1"/>
  <c r="E88" i="109" a="1"/>
  <c r="E88" i="109" s="1"/>
  <c r="D88" i="109" a="1"/>
  <c r="D88" i="109" s="1"/>
  <c r="F87" i="109" a="1"/>
  <c r="F87" i="109" s="1"/>
  <c r="E87" i="109" a="1"/>
  <c r="E87" i="109" s="1"/>
  <c r="D87" i="109" a="1"/>
  <c r="D87" i="109" s="1"/>
  <c r="F86" i="109" a="1"/>
  <c r="F86" i="109" s="1"/>
  <c r="E86" i="109" a="1"/>
  <c r="E86" i="109" s="1"/>
  <c r="D86" i="109" a="1"/>
  <c r="D86" i="109" s="1"/>
  <c r="F85" i="109" a="1"/>
  <c r="F85" i="109" s="1"/>
  <c r="E85" i="109" a="1"/>
  <c r="E85" i="109" s="1"/>
  <c r="D85" i="109" a="1"/>
  <c r="D85" i="109" s="1"/>
  <c r="F84" i="109" a="1"/>
  <c r="F84" i="109" s="1"/>
  <c r="E84" i="109" a="1"/>
  <c r="E84" i="109" s="1"/>
  <c r="D84" i="109" a="1"/>
  <c r="D84" i="109" s="1"/>
  <c r="F83" i="109" a="1"/>
  <c r="F83" i="109" s="1"/>
  <c r="E83" i="109" a="1"/>
  <c r="E83" i="109" s="1"/>
  <c r="D83" i="109" a="1"/>
  <c r="D83" i="109" s="1"/>
  <c r="F82" i="109" a="1"/>
  <c r="F82" i="109" s="1"/>
  <c r="E82" i="109" a="1"/>
  <c r="E82" i="109" s="1"/>
  <c r="D82" i="109" a="1"/>
  <c r="D82" i="109" s="1"/>
  <c r="F81" i="109" a="1"/>
  <c r="F81" i="109" s="1"/>
  <c r="E81" i="109" a="1"/>
  <c r="E81" i="109" s="1"/>
  <c r="D81" i="109" a="1"/>
  <c r="D81" i="109" s="1"/>
  <c r="F80" i="109" a="1"/>
  <c r="F80" i="109" s="1"/>
  <c r="E80" i="109" a="1"/>
  <c r="E80" i="109" s="1"/>
  <c r="D80" i="109" a="1"/>
  <c r="D80" i="109" s="1"/>
  <c r="F79" i="109" a="1"/>
  <c r="F79" i="109" s="1"/>
  <c r="E79" i="109" a="1"/>
  <c r="E79" i="109" s="1"/>
  <c r="D79" i="109" a="1"/>
  <c r="D79" i="109" s="1"/>
  <c r="F78" i="109" a="1"/>
  <c r="F78" i="109" s="1"/>
  <c r="E78" i="109" a="1"/>
  <c r="E78" i="109" s="1"/>
  <c r="D78" i="109" a="1"/>
  <c r="D78" i="109" s="1"/>
  <c r="F77" i="109" a="1"/>
  <c r="F77" i="109" s="1"/>
  <c r="E77" i="109" a="1"/>
  <c r="E77" i="109" s="1"/>
  <c r="D77" i="109" a="1"/>
  <c r="D77" i="109" s="1"/>
  <c r="F76" i="109" a="1"/>
  <c r="F76" i="109" s="1"/>
  <c r="E76" i="109" a="1"/>
  <c r="E76" i="109" s="1"/>
  <c r="D76" i="109" a="1"/>
  <c r="D76" i="109" s="1"/>
  <c r="F75" i="109" a="1"/>
  <c r="F75" i="109" s="1"/>
  <c r="E75" i="109" a="1"/>
  <c r="E75" i="109" s="1"/>
  <c r="D75" i="109" a="1"/>
  <c r="D75" i="109" s="1"/>
  <c r="F74" i="109" a="1"/>
  <c r="F74" i="109" s="1"/>
  <c r="E74" i="109" a="1"/>
  <c r="E74" i="109" s="1"/>
  <c r="D74" i="109" a="1"/>
  <c r="D74" i="109" s="1"/>
  <c r="D71" i="109" a="1"/>
  <c r="D71" i="109" s="1"/>
  <c r="D70" i="109" a="1"/>
  <c r="D70" i="109" s="1"/>
  <c r="F67" i="109" a="1"/>
  <c r="F67" i="109" s="1"/>
  <c r="E67" i="109" a="1"/>
  <c r="E67" i="109" s="1"/>
  <c r="D67" i="109" a="1"/>
  <c r="D67" i="109" s="1"/>
  <c r="F66" i="109" a="1"/>
  <c r="F66" i="109" s="1"/>
  <c r="E66" i="109" a="1"/>
  <c r="E66" i="109" s="1"/>
  <c r="D66" i="109" a="1"/>
  <c r="D66" i="109" s="1"/>
  <c r="F65" i="109" a="1"/>
  <c r="F65" i="109" s="1"/>
  <c r="E65" i="109" a="1"/>
  <c r="E65" i="109" s="1"/>
  <c r="D65" i="109" a="1"/>
  <c r="D65" i="109" s="1"/>
  <c r="F64" i="109" a="1"/>
  <c r="F64" i="109" s="1"/>
  <c r="E64" i="109" a="1"/>
  <c r="E64" i="109" s="1"/>
  <c r="D64" i="109" a="1"/>
  <c r="D64" i="109" s="1"/>
  <c r="F63" i="109" a="1"/>
  <c r="F63" i="109" s="1"/>
  <c r="E63" i="109" a="1"/>
  <c r="E63" i="109" s="1"/>
  <c r="D63" i="109" a="1"/>
  <c r="D63" i="109" s="1"/>
  <c r="D60" i="109" a="1"/>
  <c r="D60" i="109" s="1"/>
  <c r="D59" i="109" a="1"/>
  <c r="D59" i="109" s="1"/>
  <c r="I56" i="109" a="1"/>
  <c r="I56" i="109" s="1"/>
  <c r="H56" i="109" a="1"/>
  <c r="H56" i="109" s="1"/>
  <c r="G56" i="109" a="1"/>
  <c r="G56" i="109" s="1"/>
  <c r="F56" i="109" a="1"/>
  <c r="F56" i="109" s="1"/>
  <c r="E56" i="109" a="1"/>
  <c r="E56" i="109" s="1"/>
  <c r="D56" i="109" a="1"/>
  <c r="D56" i="109" s="1"/>
  <c r="I55" i="109" a="1"/>
  <c r="I55" i="109" s="1"/>
  <c r="H55" i="109" a="1"/>
  <c r="H55" i="109" s="1"/>
  <c r="G55" i="109" a="1"/>
  <c r="G55" i="109" s="1"/>
  <c r="F55" i="109" a="1"/>
  <c r="F55" i="109" s="1"/>
  <c r="E55" i="109" a="1"/>
  <c r="E55" i="109" s="1"/>
  <c r="D55" i="109" a="1"/>
  <c r="D55" i="109" s="1"/>
  <c r="I54" i="109" a="1"/>
  <c r="I54" i="109" s="1"/>
  <c r="H54" i="109" a="1"/>
  <c r="H54" i="109" s="1"/>
  <c r="G54" i="109" a="1"/>
  <c r="G54" i="109" s="1"/>
  <c r="F54" i="109" a="1"/>
  <c r="F54" i="109" s="1"/>
  <c r="E54" i="109" a="1"/>
  <c r="E54" i="109" s="1"/>
  <c r="D54" i="109" a="1"/>
  <c r="D54" i="109" s="1"/>
  <c r="I53" i="109" a="1"/>
  <c r="I53" i="109" s="1"/>
  <c r="H53" i="109" a="1"/>
  <c r="H53" i="109" s="1"/>
  <c r="G53" i="109" a="1"/>
  <c r="G53" i="109" s="1"/>
  <c r="F53" i="109" a="1"/>
  <c r="F53" i="109" s="1"/>
  <c r="E53" i="109" a="1"/>
  <c r="E53" i="109" s="1"/>
  <c r="D53" i="109" a="1"/>
  <c r="D53" i="109" s="1"/>
  <c r="I52" i="109" a="1"/>
  <c r="I52" i="109" s="1"/>
  <c r="H52" i="109" a="1"/>
  <c r="H52" i="109" s="1"/>
  <c r="G52" i="109" a="1"/>
  <c r="G52" i="109" s="1"/>
  <c r="F52" i="109" a="1"/>
  <c r="F52" i="109" s="1"/>
  <c r="E52" i="109" a="1"/>
  <c r="E52" i="109" s="1"/>
  <c r="D52" i="109" a="1"/>
  <c r="D52" i="109" s="1"/>
  <c r="E19" i="106" s="1"/>
  <c r="D49" i="109" a="1"/>
  <c r="D49" i="109" s="1"/>
  <c r="D48" i="109" a="1"/>
  <c r="D48" i="109" s="1"/>
  <c r="E45" i="109" a="1"/>
  <c r="E45" i="109" s="1"/>
  <c r="D45" i="109" a="1"/>
  <c r="D45" i="109" s="1"/>
  <c r="E44" i="109" a="1"/>
  <c r="E44" i="109" s="1"/>
  <c r="D44" i="109" a="1"/>
  <c r="D44" i="109" s="1"/>
  <c r="D41" i="109" a="1"/>
  <c r="D41" i="109" s="1"/>
  <c r="D40" i="109" a="1"/>
  <c r="D40" i="109" s="1"/>
  <c r="L37" i="109" a="1"/>
  <c r="L37" i="109" s="1"/>
  <c r="K37" i="109" a="1"/>
  <c r="K37" i="109" s="1"/>
  <c r="J37" i="109" a="1"/>
  <c r="J37" i="109" s="1"/>
  <c r="I37" i="109" a="1"/>
  <c r="I37" i="109" s="1"/>
  <c r="H37" i="109" a="1"/>
  <c r="H37" i="109" s="1"/>
  <c r="G37" i="109" a="1"/>
  <c r="G37" i="109" s="1"/>
  <c r="F37" i="109" a="1"/>
  <c r="F37" i="109" s="1"/>
  <c r="E37" i="109" a="1"/>
  <c r="E37" i="109" s="1"/>
  <c r="D37" i="109" a="1"/>
  <c r="D37" i="109" s="1"/>
  <c r="L36" i="109" a="1"/>
  <c r="L36" i="109" s="1"/>
  <c r="K36" i="109" a="1"/>
  <c r="K36" i="109" s="1"/>
  <c r="J36" i="109" a="1"/>
  <c r="J36" i="109" s="1"/>
  <c r="I36" i="109" a="1"/>
  <c r="I36" i="109" s="1"/>
  <c r="H36" i="109" a="1"/>
  <c r="H36" i="109" s="1"/>
  <c r="G36" i="109" a="1"/>
  <c r="G36" i="109" s="1"/>
  <c r="F36" i="109" a="1"/>
  <c r="F36" i="109" s="1"/>
  <c r="E36" i="109" a="1"/>
  <c r="E36" i="109" s="1"/>
  <c r="D36" i="109" a="1"/>
  <c r="D36" i="109" s="1"/>
  <c r="L35" i="109" a="1"/>
  <c r="L35" i="109" s="1"/>
  <c r="K35" i="109" a="1"/>
  <c r="K35" i="109" s="1"/>
  <c r="J35" i="109" a="1"/>
  <c r="J35" i="109" s="1"/>
  <c r="I35" i="109" a="1"/>
  <c r="I35" i="109" s="1"/>
  <c r="H35" i="109" a="1"/>
  <c r="H35" i="109" s="1"/>
  <c r="G35" i="109" a="1"/>
  <c r="G35" i="109" s="1"/>
  <c r="F35" i="109" a="1"/>
  <c r="F35" i="109" s="1"/>
  <c r="E35" i="109" a="1"/>
  <c r="E35" i="109" s="1"/>
  <c r="D35" i="109" a="1"/>
  <c r="D35" i="109" s="1"/>
  <c r="L34" i="109" a="1"/>
  <c r="L34" i="109" s="1"/>
  <c r="K34" i="109" a="1"/>
  <c r="K34" i="109" s="1"/>
  <c r="J34" i="109" a="1"/>
  <c r="J34" i="109" s="1"/>
  <c r="I34" i="109" a="1"/>
  <c r="I34" i="109" s="1"/>
  <c r="H34" i="109" a="1"/>
  <c r="H34" i="109" s="1"/>
  <c r="G34" i="109" a="1"/>
  <c r="G34" i="109" s="1"/>
  <c r="F34" i="109" a="1"/>
  <c r="F34" i="109" s="1"/>
  <c r="E34" i="109" a="1"/>
  <c r="E34" i="109" s="1"/>
  <c r="D34" i="109" a="1"/>
  <c r="D34" i="109" s="1"/>
  <c r="L33" i="109" a="1"/>
  <c r="L33" i="109" s="1"/>
  <c r="K33" i="109" a="1"/>
  <c r="K33" i="109" s="1"/>
  <c r="J33" i="109" a="1"/>
  <c r="J33" i="109" s="1"/>
  <c r="I33" i="109" a="1"/>
  <c r="I33" i="109" s="1"/>
  <c r="H33" i="109" a="1"/>
  <c r="H33" i="109" s="1"/>
  <c r="G33" i="109" a="1"/>
  <c r="G33" i="109" s="1"/>
  <c r="F33" i="109" a="1"/>
  <c r="F33" i="109" s="1"/>
  <c r="E33" i="109" a="1"/>
  <c r="E33" i="109" s="1"/>
  <c r="D33" i="109" a="1"/>
  <c r="D33" i="109" s="1"/>
  <c r="L32" i="109" a="1"/>
  <c r="L32" i="109" s="1"/>
  <c r="K32" i="109" a="1"/>
  <c r="K32" i="109" s="1"/>
  <c r="J32" i="109" a="1"/>
  <c r="J32" i="109" s="1"/>
  <c r="I32" i="109" a="1"/>
  <c r="I32" i="109" s="1"/>
  <c r="H32" i="109" a="1"/>
  <c r="H32" i="109" s="1"/>
  <c r="G32" i="109" a="1"/>
  <c r="G32" i="109" s="1"/>
  <c r="F32" i="109" a="1"/>
  <c r="F32" i="109" s="1"/>
  <c r="E32" i="109" a="1"/>
  <c r="E32" i="109" s="1"/>
  <c r="D32" i="109" a="1"/>
  <c r="D32" i="109" s="1"/>
  <c r="L31" i="109" a="1"/>
  <c r="L31" i="109" s="1"/>
  <c r="K31" i="109" a="1"/>
  <c r="K31" i="109" s="1"/>
  <c r="J31" i="109" a="1"/>
  <c r="J31" i="109" s="1"/>
  <c r="I31" i="109" a="1"/>
  <c r="I31" i="109" s="1"/>
  <c r="H31" i="109" a="1"/>
  <c r="H31" i="109" s="1"/>
  <c r="G31" i="109" a="1"/>
  <c r="G31" i="109" s="1"/>
  <c r="F31" i="109" a="1"/>
  <c r="F31" i="109" s="1"/>
  <c r="E31" i="109" a="1"/>
  <c r="E31" i="109" s="1"/>
  <c r="D31" i="109" a="1"/>
  <c r="D31" i="109" s="1"/>
  <c r="L30" i="109" a="1"/>
  <c r="L30" i="109" s="1"/>
  <c r="K30" i="109" a="1"/>
  <c r="K30" i="109" s="1"/>
  <c r="J30" i="109" a="1"/>
  <c r="J30" i="109" s="1"/>
  <c r="I30" i="109" a="1"/>
  <c r="I30" i="109" s="1"/>
  <c r="H30" i="109" a="1"/>
  <c r="H30" i="109" s="1"/>
  <c r="G30" i="109" a="1"/>
  <c r="G30" i="109" s="1"/>
  <c r="F30" i="109" a="1"/>
  <c r="F30" i="109" s="1"/>
  <c r="E30" i="109" a="1"/>
  <c r="E30" i="109" s="1"/>
  <c r="D30" i="109" a="1"/>
  <c r="D30" i="109" s="1"/>
  <c r="L29" i="109" a="1"/>
  <c r="L29" i="109" s="1"/>
  <c r="K29" i="109" a="1"/>
  <c r="K29" i="109" s="1"/>
  <c r="J29" i="109" a="1"/>
  <c r="J29" i="109" s="1"/>
  <c r="I29" i="109" a="1"/>
  <c r="I29" i="109" s="1"/>
  <c r="H29" i="109" a="1"/>
  <c r="H29" i="109" s="1"/>
  <c r="G29" i="109" a="1"/>
  <c r="G29" i="109" s="1"/>
  <c r="F29" i="109" a="1"/>
  <c r="F29" i="109" s="1"/>
  <c r="E29" i="109" a="1"/>
  <c r="E29" i="109" s="1"/>
  <c r="D29" i="109" a="1"/>
  <c r="D29" i="109" s="1"/>
  <c r="L28" i="109" a="1"/>
  <c r="L28" i="109" s="1"/>
  <c r="K28" i="109" a="1"/>
  <c r="K28" i="109" s="1"/>
  <c r="J28" i="109" a="1"/>
  <c r="J28" i="109" s="1"/>
  <c r="I28" i="109" a="1"/>
  <c r="I28" i="109" s="1"/>
  <c r="H28" i="109" a="1"/>
  <c r="H28" i="109" s="1"/>
  <c r="G28" i="109" a="1"/>
  <c r="G28" i="109" s="1"/>
  <c r="F28" i="109" a="1"/>
  <c r="F28" i="109" s="1"/>
  <c r="E28" i="109" a="1"/>
  <c r="E28" i="109" s="1"/>
  <c r="D28" i="109" a="1"/>
  <c r="D28" i="109" s="1"/>
  <c r="L27" i="109" a="1"/>
  <c r="L27" i="109" s="1"/>
  <c r="K27" i="109" a="1"/>
  <c r="K27" i="109" s="1"/>
  <c r="J27" i="109" a="1"/>
  <c r="J27" i="109" s="1"/>
  <c r="I27" i="109" a="1"/>
  <c r="I27" i="109" s="1"/>
  <c r="H27" i="109" a="1"/>
  <c r="H27" i="109" s="1"/>
  <c r="G27" i="109" a="1"/>
  <c r="G27" i="109" s="1"/>
  <c r="F27" i="109" a="1"/>
  <c r="F27" i="109" s="1"/>
  <c r="E27" i="109" a="1"/>
  <c r="E27" i="109" s="1"/>
  <c r="D27" i="109" a="1"/>
  <c r="D27" i="109" s="1"/>
  <c r="L26" i="109" a="1"/>
  <c r="L26" i="109" s="1"/>
  <c r="K26" i="109" a="1"/>
  <c r="K26" i="109" s="1"/>
  <c r="J26" i="109" a="1"/>
  <c r="J26" i="109" s="1"/>
  <c r="I26" i="109" a="1"/>
  <c r="I26" i="109" s="1"/>
  <c r="H26" i="109" a="1"/>
  <c r="H26" i="109" s="1"/>
  <c r="G26" i="109" a="1"/>
  <c r="G26" i="109" s="1"/>
  <c r="F26" i="109" a="1"/>
  <c r="F26" i="109" s="1"/>
  <c r="E26" i="109" a="1"/>
  <c r="E26" i="109" s="1"/>
  <c r="D26" i="109" a="1"/>
  <c r="D26" i="109" s="1"/>
  <c r="L25" i="109" a="1"/>
  <c r="L25" i="109" s="1"/>
  <c r="K25" i="109" a="1"/>
  <c r="K25" i="109" s="1"/>
  <c r="J25" i="109" a="1"/>
  <c r="J25" i="109" s="1"/>
  <c r="I25" i="109" a="1"/>
  <c r="I25" i="109" s="1"/>
  <c r="H25" i="109" a="1"/>
  <c r="H25" i="109" s="1"/>
  <c r="G25" i="109" a="1"/>
  <c r="G25" i="109" s="1"/>
  <c r="F25" i="109" a="1"/>
  <c r="F25" i="109" s="1"/>
  <c r="E25" i="109" a="1"/>
  <c r="E25" i="109" s="1"/>
  <c r="D25" i="109" a="1"/>
  <c r="D25" i="109" s="1"/>
  <c r="L24" i="109" a="1"/>
  <c r="L24" i="109" s="1"/>
  <c r="K24" i="109" a="1"/>
  <c r="K24" i="109" s="1"/>
  <c r="J24" i="109" a="1"/>
  <c r="J24" i="109" s="1"/>
  <c r="I24" i="109" a="1"/>
  <c r="I24" i="109" s="1"/>
  <c r="H24" i="109" a="1"/>
  <c r="H24" i="109" s="1"/>
  <c r="G24" i="109" a="1"/>
  <c r="G24" i="109" s="1"/>
  <c r="F24" i="109" a="1"/>
  <c r="F24" i="109" s="1"/>
  <c r="E24" i="109" a="1"/>
  <c r="E24" i="109" s="1"/>
  <c r="D24" i="109" a="1"/>
  <c r="D24" i="109" s="1"/>
  <c r="L23" i="109" a="1"/>
  <c r="L23" i="109" s="1"/>
  <c r="K23" i="109" a="1"/>
  <c r="K23" i="109" s="1"/>
  <c r="J23" i="109" a="1"/>
  <c r="J23" i="109" s="1"/>
  <c r="I23" i="109" a="1"/>
  <c r="I23" i="109" s="1"/>
  <c r="H23" i="109" a="1"/>
  <c r="H23" i="109" s="1"/>
  <c r="G23" i="109" a="1"/>
  <c r="G23" i="109" s="1"/>
  <c r="F23" i="109" a="1"/>
  <c r="F23" i="109" s="1"/>
  <c r="E23" i="109" a="1"/>
  <c r="E23" i="109" s="1"/>
  <c r="D23" i="109" a="1"/>
  <c r="D23" i="109" s="1"/>
  <c r="L22" i="109" a="1"/>
  <c r="L22" i="109" s="1"/>
  <c r="K22" i="109" a="1"/>
  <c r="K22" i="109" s="1"/>
  <c r="J22" i="109" a="1"/>
  <c r="J22" i="109" s="1"/>
  <c r="I22" i="109" a="1"/>
  <c r="I22" i="109" s="1"/>
  <c r="H22" i="109" a="1"/>
  <c r="H22" i="109" s="1"/>
  <c r="G22" i="109" a="1"/>
  <c r="G22" i="109" s="1"/>
  <c r="F22" i="109" a="1"/>
  <c r="F22" i="109" s="1"/>
  <c r="E22" i="109" a="1"/>
  <c r="E22" i="109" s="1"/>
  <c r="D22" i="109" a="1"/>
  <c r="D22" i="109" s="1"/>
  <c r="L21" i="109" a="1"/>
  <c r="L21" i="109" s="1"/>
  <c r="K21" i="109" a="1"/>
  <c r="K21" i="109" s="1"/>
  <c r="J21" i="109" a="1"/>
  <c r="J21" i="109" s="1"/>
  <c r="I21" i="109" a="1"/>
  <c r="I21" i="109" s="1"/>
  <c r="H21" i="109" a="1"/>
  <c r="H21" i="109" s="1"/>
  <c r="G21" i="109" a="1"/>
  <c r="G21" i="109" s="1"/>
  <c r="F21" i="109" a="1"/>
  <c r="F21" i="109" s="1"/>
  <c r="E21" i="109" a="1"/>
  <c r="E21" i="109" s="1"/>
  <c r="D21" i="109" a="1"/>
  <c r="D21" i="109" s="1"/>
  <c r="L20" i="109" a="1"/>
  <c r="L20" i="109" s="1"/>
  <c r="K20" i="109" a="1"/>
  <c r="K20" i="109" s="1"/>
  <c r="J20" i="109" a="1"/>
  <c r="J20" i="109" s="1"/>
  <c r="I20" i="109" a="1"/>
  <c r="I20" i="109" s="1"/>
  <c r="H20" i="109" a="1"/>
  <c r="H20" i="109" s="1"/>
  <c r="G20" i="109" a="1"/>
  <c r="G20" i="109" s="1"/>
  <c r="F20" i="109" a="1"/>
  <c r="F20" i="109" s="1"/>
  <c r="E20" i="109" a="1"/>
  <c r="E20" i="109" s="1"/>
  <c r="D20" i="109" a="1"/>
  <c r="D20" i="109" s="1"/>
  <c r="D17" i="109" a="1"/>
  <c r="D17" i="109" s="1"/>
  <c r="D16" i="109" a="1"/>
  <c r="D16" i="109" s="1"/>
  <c r="D15" i="109" a="1"/>
  <c r="D15" i="109" s="1"/>
  <c r="K10" i="109" a="1"/>
  <c r="K10" i="109" s="1"/>
  <c r="J10" i="109" a="1"/>
  <c r="J10" i="109" s="1"/>
  <c r="I10" i="109" a="1"/>
  <c r="I10" i="109" s="1"/>
  <c r="H10" i="109" a="1"/>
  <c r="H10" i="109" s="1"/>
  <c r="G10" i="109" a="1"/>
  <c r="G10" i="109" s="1"/>
  <c r="F10" i="109" a="1"/>
  <c r="F10" i="109" s="1"/>
  <c r="E10" i="109" a="1"/>
  <c r="E10" i="109" s="1"/>
  <c r="D10" i="109" a="1"/>
  <c r="D10" i="109" s="1"/>
  <c r="K9" i="109" a="1"/>
  <c r="K9" i="109" s="1"/>
  <c r="J9" i="109" a="1"/>
  <c r="J9" i="109" s="1"/>
  <c r="I9" i="109" a="1"/>
  <c r="I9" i="109" s="1"/>
  <c r="H9" i="109" a="1"/>
  <c r="H9" i="109" s="1"/>
  <c r="G9" i="109" a="1"/>
  <c r="G9" i="109" s="1"/>
  <c r="F9" i="109" a="1"/>
  <c r="F9" i="109" s="1"/>
  <c r="E9" i="109" a="1"/>
  <c r="E9" i="109" s="1"/>
  <c r="D9" i="109" a="1"/>
  <c r="D9" i="109" s="1"/>
  <c r="K8" i="109" a="1"/>
  <c r="K8" i="109" s="1"/>
  <c r="J8" i="109" a="1"/>
  <c r="J8" i="109" s="1"/>
  <c r="I8" i="109" a="1"/>
  <c r="I8" i="109" s="1"/>
  <c r="H8" i="109" a="1"/>
  <c r="H8" i="109" s="1"/>
  <c r="G8" i="109" a="1"/>
  <c r="G8" i="109" s="1"/>
  <c r="F8" i="109" a="1"/>
  <c r="F8" i="109" s="1"/>
  <c r="E8" i="109" a="1"/>
  <c r="E8" i="109" s="1"/>
  <c r="D8" i="109" a="1"/>
  <c r="D8" i="109" s="1"/>
  <c r="D5" i="109" a="1"/>
  <c r="D5" i="109" s="1"/>
  <c r="P53" i="108" a="1"/>
  <c r="P53" i="108" s="1"/>
  <c r="F53" i="108" a="1"/>
  <c r="F53" i="108" s="1"/>
  <c r="N50" i="108" a="1"/>
  <c r="N50" i="108" s="1"/>
  <c r="D50" i="108" a="1"/>
  <c r="D50" i="108" s="1"/>
  <c r="N45" i="108"/>
  <c r="D45" i="108"/>
  <c r="J40" i="108"/>
  <c r="J36" i="108" a="1"/>
  <c r="J36" i="108" s="1"/>
  <c r="H36" i="108" a="1"/>
  <c r="H36" i="108" s="1"/>
  <c r="D36" i="108" a="1"/>
  <c r="D36" i="108" s="1"/>
  <c r="E34" i="108" a="1"/>
  <c r="E34" i="108" s="1"/>
  <c r="E33" i="108" a="1"/>
  <c r="E33" i="108" s="1"/>
  <c r="D29" i="108" a="1"/>
  <c r="D29" i="108" s="1"/>
  <c r="D28" i="108" a="1"/>
  <c r="D28" i="108" s="1"/>
  <c r="G25" i="108"/>
  <c r="F25" i="108"/>
  <c r="J19" i="108" a="1"/>
  <c r="J19" i="108" s="1"/>
  <c r="J18" i="108"/>
  <c r="J16" i="108" a="1"/>
  <c r="J16" i="108" s="1"/>
  <c r="J14" i="108" a="1"/>
  <c r="J14" i="108" s="1"/>
  <c r="J13" i="108" a="1"/>
  <c r="J13" i="108" s="1"/>
  <c r="H13" i="108" a="1"/>
  <c r="H13" i="108" s="1"/>
  <c r="D13" i="108" a="1"/>
  <c r="D13" i="108" s="1"/>
  <c r="E11" i="108" a="1"/>
  <c r="E11" i="108" s="1"/>
  <c r="E10" i="108" a="1"/>
  <c r="E10" i="108" s="1"/>
  <c r="D6" i="108" a="1"/>
  <c r="D6" i="108" s="1"/>
  <c r="D5" i="108" a="1"/>
  <c r="D5" i="108" s="1"/>
  <c r="P45" i="107" a="1"/>
  <c r="P45" i="107" s="1"/>
  <c r="F45" i="107" a="1"/>
  <c r="F45" i="107" s="1"/>
  <c r="N42" i="107" a="1"/>
  <c r="N42" i="107" s="1"/>
  <c r="D42" i="107" a="1"/>
  <c r="D42" i="107" s="1"/>
  <c r="P40" i="107" a="1"/>
  <c r="P40" i="107" s="1"/>
  <c r="F40" i="107" a="1"/>
  <c r="F40" i="107" s="1"/>
  <c r="J36" i="107"/>
  <c r="R33" i="107" a="1"/>
  <c r="R33" i="107" s="1"/>
  <c r="N33" i="107" a="1"/>
  <c r="N33" i="107" s="1"/>
  <c r="H33" i="107" a="1"/>
  <c r="H33" i="107" s="1"/>
  <c r="D33" i="107" a="1"/>
  <c r="D33" i="107" s="1"/>
  <c r="O31" i="107" a="1"/>
  <c r="O31" i="107" s="1"/>
  <c r="E31" i="107" a="1"/>
  <c r="E31" i="107" s="1"/>
  <c r="O30" i="107" a="1"/>
  <c r="O30" i="107" s="1"/>
  <c r="E30" i="107" a="1"/>
  <c r="E30" i="107" s="1"/>
  <c r="N26" i="107" a="1"/>
  <c r="N26" i="107" s="1"/>
  <c r="D26" i="107" a="1"/>
  <c r="D26" i="107" s="1"/>
  <c r="N25" i="107" a="1"/>
  <c r="N25" i="107" s="1"/>
  <c r="D25" i="107" a="1"/>
  <c r="D25" i="107" s="1"/>
  <c r="P21" i="107" a="1"/>
  <c r="P21" i="107" s="1"/>
  <c r="F21" i="107" a="1"/>
  <c r="F21" i="107" s="1"/>
  <c r="J19" i="107"/>
  <c r="J16" i="107" s="1" a="1"/>
  <c r="J16" i="107" s="1"/>
  <c r="R13" i="107" a="1"/>
  <c r="R13" i="107" s="1"/>
  <c r="N13" i="107" a="1"/>
  <c r="N13" i="107" s="1"/>
  <c r="J13" i="107"/>
  <c r="H13" i="107" a="1"/>
  <c r="H13" i="107" s="1"/>
  <c r="D13" i="107" a="1"/>
  <c r="D13" i="107" s="1"/>
  <c r="E11" i="107" a="1"/>
  <c r="E11" i="107" s="1"/>
  <c r="E10" i="107" a="1"/>
  <c r="E10" i="107" s="1"/>
  <c r="D6" i="107" a="1"/>
  <c r="D6" i="107" s="1"/>
  <c r="D5" i="107" a="1"/>
  <c r="D5" i="107"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E63" i="105" a="1"/>
  <c r="E63" i="105" s="1"/>
  <c r="D63" i="105" a="1"/>
  <c r="D63" i="105" s="1"/>
  <c r="E62" i="105" a="1"/>
  <c r="E62" i="105" s="1"/>
  <c r="D62" i="105" a="1"/>
  <c r="D62" i="105" s="1"/>
  <c r="E61" i="105" a="1"/>
  <c r="E61" i="105" s="1"/>
  <c r="D61" i="105" a="1"/>
  <c r="D61" i="105" s="1"/>
  <c r="E60" i="105" a="1"/>
  <c r="E60" i="105" s="1"/>
  <c r="D60" i="105" a="1"/>
  <c r="D60" i="105" s="1"/>
  <c r="E59" i="105" a="1"/>
  <c r="E59" i="105" s="1"/>
  <c r="D59" i="105" a="1"/>
  <c r="D59" i="105" s="1"/>
  <c r="E58" i="105" a="1"/>
  <c r="E58" i="105" s="1"/>
  <c r="D58" i="105" a="1"/>
  <c r="D58" i="105" s="1"/>
  <c r="D56" i="105" a="1"/>
  <c r="D56" i="105" s="1"/>
  <c r="D55" i="105" a="1"/>
  <c r="D55" i="105" s="1"/>
  <c r="D54" i="105" a="1"/>
  <c r="D54" i="105" s="1"/>
  <c r="D53" i="105" a="1"/>
  <c r="D53" i="105" s="1"/>
  <c r="D52" i="105" a="1"/>
  <c r="D52" i="105" s="1"/>
  <c r="G50" i="105" a="1"/>
  <c r="G50" i="105" s="1"/>
  <c r="F50" i="105" a="1"/>
  <c r="F50" i="105" s="1"/>
  <c r="E50" i="105" a="1"/>
  <c r="E50" i="105" s="1"/>
  <c r="O21" i="105" s="1"/>
  <c r="D50" i="105" a="1"/>
  <c r="D50" i="105" s="1"/>
  <c r="G49" i="105" a="1"/>
  <c r="G49" i="105" s="1"/>
  <c r="F49" i="105" a="1"/>
  <c r="F49" i="105" s="1"/>
  <c r="E49" i="105" a="1"/>
  <c r="E49" i="105" s="1"/>
  <c r="O20" i="105" s="1"/>
  <c r="D49" i="105" a="1"/>
  <c r="D49" i="105" s="1"/>
  <c r="G48" i="105" a="1"/>
  <c r="G48" i="105" s="1"/>
  <c r="F48" i="105" a="1"/>
  <c r="F48" i="105" s="1"/>
  <c r="E48" i="105" a="1"/>
  <c r="E48" i="105" s="1"/>
  <c r="O19" i="105" s="1"/>
  <c r="D48" i="105" a="1"/>
  <c r="D48" i="105" s="1"/>
  <c r="G47" i="105" a="1"/>
  <c r="G47" i="105" s="1"/>
  <c r="F47" i="105" a="1"/>
  <c r="F47" i="105" s="1"/>
  <c r="E47" i="105" a="1"/>
  <c r="E47" i="105" s="1"/>
  <c r="O18" i="105" s="1"/>
  <c r="D47" i="105" a="1"/>
  <c r="D47" i="105" s="1"/>
  <c r="G46" i="105" a="1"/>
  <c r="G46" i="105" s="1"/>
  <c r="F46" i="105" a="1"/>
  <c r="F46" i="105" s="1"/>
  <c r="E46" i="105" a="1"/>
  <c r="E46" i="105" s="1"/>
  <c r="O17" i="105" s="1"/>
  <c r="D46" i="105" a="1"/>
  <c r="D46" i="105" s="1"/>
  <c r="G45" i="105" a="1"/>
  <c r="G45" i="105" s="1"/>
  <c r="F45" i="105" a="1"/>
  <c r="F45" i="105" s="1"/>
  <c r="E45" i="105" a="1"/>
  <c r="E45" i="105" s="1"/>
  <c r="D45" i="105" a="1"/>
  <c r="D45" i="105" s="1"/>
  <c r="G44" i="105" a="1"/>
  <c r="G44" i="105" s="1"/>
  <c r="F44" i="105" a="1"/>
  <c r="F44" i="105" s="1"/>
  <c r="E44" i="105" a="1"/>
  <c r="E44" i="105" s="1"/>
  <c r="M21" i="105" s="1"/>
  <c r="D44" i="105" a="1"/>
  <c r="D44" i="105" s="1"/>
  <c r="G43" i="105" a="1"/>
  <c r="G43" i="105" s="1"/>
  <c r="F43" i="105" a="1"/>
  <c r="F43" i="105" s="1"/>
  <c r="E43" i="105" a="1"/>
  <c r="E43" i="105" s="1"/>
  <c r="M20" i="105" s="1"/>
  <c r="D43" i="105" a="1"/>
  <c r="D43" i="105" s="1"/>
  <c r="G42" i="105" a="1"/>
  <c r="G42" i="105" s="1"/>
  <c r="F42" i="105" a="1"/>
  <c r="F42" i="105" s="1"/>
  <c r="E42" i="105" a="1"/>
  <c r="E42" i="105" s="1"/>
  <c r="M19" i="105" s="1"/>
  <c r="D42" i="105" a="1"/>
  <c r="D42" i="105" s="1"/>
  <c r="G41" i="105" a="1"/>
  <c r="G41" i="105" s="1"/>
  <c r="F41" i="105" a="1"/>
  <c r="F41" i="105" s="1"/>
  <c r="E41" i="105" a="1"/>
  <c r="E41" i="105" s="1"/>
  <c r="M18" i="105" s="1"/>
  <c r="D41" i="105" a="1"/>
  <c r="D41" i="105" s="1"/>
  <c r="G40" i="105" a="1"/>
  <c r="G40" i="105" s="1"/>
  <c r="F40" i="105" a="1"/>
  <c r="F40" i="105" s="1"/>
  <c r="E40" i="105" a="1"/>
  <c r="E40" i="105" s="1"/>
  <c r="M17" i="105" s="1"/>
  <c r="D40" i="105" a="1"/>
  <c r="D40" i="105" s="1"/>
  <c r="G39" i="105" a="1"/>
  <c r="G39" i="105" s="1"/>
  <c r="F39" i="105" a="1"/>
  <c r="F39" i="105" s="1"/>
  <c r="E39" i="105" a="1"/>
  <c r="E39" i="105" s="1"/>
  <c r="D39" i="105" a="1"/>
  <c r="D39" i="105" s="1"/>
  <c r="G38" i="105" a="1"/>
  <c r="G38" i="105" s="1"/>
  <c r="F38" i="105" a="1"/>
  <c r="F38" i="105" s="1"/>
  <c r="E38" i="105" a="1"/>
  <c r="E38" i="105" s="1"/>
  <c r="K26" i="105" s="1"/>
  <c r="D38" i="105" a="1"/>
  <c r="D38" i="105" s="1"/>
  <c r="G37" i="105" a="1"/>
  <c r="G37" i="105" s="1"/>
  <c r="F37" i="105" a="1"/>
  <c r="F37" i="105" s="1"/>
  <c r="E37" i="105" a="1"/>
  <c r="E37" i="105" s="1"/>
  <c r="K25" i="105" s="1"/>
  <c r="D37" i="105" a="1"/>
  <c r="D37" i="105" s="1"/>
  <c r="G36" i="105" a="1"/>
  <c r="G36" i="105" s="1"/>
  <c r="F36" i="105" a="1"/>
  <c r="F36" i="105" s="1"/>
  <c r="E36" i="105" a="1"/>
  <c r="E36" i="105" s="1"/>
  <c r="K24" i="105" s="1"/>
  <c r="D36" i="105" a="1"/>
  <c r="D36" i="105" s="1"/>
  <c r="G35" i="105" a="1"/>
  <c r="G35" i="105" s="1"/>
  <c r="F35" i="105" a="1"/>
  <c r="F35" i="105" s="1"/>
  <c r="E35" i="105" a="1"/>
  <c r="E35" i="105" s="1"/>
  <c r="K23" i="105" s="1"/>
  <c r="D35" i="105" a="1"/>
  <c r="D35" i="105" s="1"/>
  <c r="G34" i="105" a="1"/>
  <c r="G34" i="105" s="1"/>
  <c r="F34" i="105" a="1"/>
  <c r="F34" i="105" s="1"/>
  <c r="E34" i="105" a="1"/>
  <c r="E34" i="105" s="1"/>
  <c r="K22" i="105" s="1"/>
  <c r="D34" i="105" a="1"/>
  <c r="D34" i="105" s="1"/>
  <c r="G33" i="105" a="1"/>
  <c r="G33" i="105" s="1"/>
  <c r="F33" i="105" a="1"/>
  <c r="F33" i="105" s="1"/>
  <c r="E33" i="105" a="1"/>
  <c r="E33" i="105" s="1"/>
  <c r="K21" i="105" s="1"/>
  <c r="D33" i="105" a="1"/>
  <c r="D33" i="105" s="1"/>
  <c r="G32" i="105" a="1"/>
  <c r="G32" i="105" s="1"/>
  <c r="F32" i="105" a="1"/>
  <c r="F32" i="105" s="1"/>
  <c r="E32" i="105" a="1"/>
  <c r="E32" i="105" s="1"/>
  <c r="K20" i="105" s="1"/>
  <c r="D32" i="105" a="1"/>
  <c r="D32" i="105" s="1"/>
  <c r="G31" i="105" a="1"/>
  <c r="G31" i="105" s="1"/>
  <c r="F31" i="105" a="1"/>
  <c r="F31" i="105" s="1"/>
  <c r="E31" i="105" a="1"/>
  <c r="E31" i="105" s="1"/>
  <c r="K19" i="105" s="1"/>
  <c r="D31" i="105" a="1"/>
  <c r="D31" i="105" s="1"/>
  <c r="G30" i="105" a="1"/>
  <c r="G30" i="105" s="1"/>
  <c r="F30" i="105" a="1"/>
  <c r="F30" i="105" s="1"/>
  <c r="E30" i="105" a="1"/>
  <c r="E30" i="105" s="1"/>
  <c r="K18" i="105" s="1"/>
  <c r="D30" i="105" a="1"/>
  <c r="D30" i="105" s="1"/>
  <c r="G29" i="105" a="1"/>
  <c r="G29" i="105" s="1"/>
  <c r="F29" i="105" a="1"/>
  <c r="F29" i="105" s="1"/>
  <c r="E29" i="105" a="1"/>
  <c r="E29" i="105" s="1"/>
  <c r="K17" i="105" s="1"/>
  <c r="D29" i="105" a="1"/>
  <c r="D29" i="105" s="1"/>
  <c r="G28" i="105" a="1"/>
  <c r="G28" i="105" s="1"/>
  <c r="F28" i="105" a="1"/>
  <c r="F28" i="105" s="1"/>
  <c r="E28" i="105" a="1"/>
  <c r="E28" i="105" s="1"/>
  <c r="D28" i="105" a="1"/>
  <c r="D28" i="105" s="1"/>
  <c r="G27" i="105" a="1"/>
  <c r="G27" i="105" s="1"/>
  <c r="F27" i="105" a="1"/>
  <c r="F27" i="105" s="1"/>
  <c r="E27" i="105" a="1"/>
  <c r="E27" i="105" s="1"/>
  <c r="I27" i="105" s="1"/>
  <c r="D27" i="105" a="1"/>
  <c r="D27" i="105" s="1"/>
  <c r="G26" i="105" a="1"/>
  <c r="G26" i="105" s="1"/>
  <c r="F26" i="105" a="1"/>
  <c r="F26" i="105" s="1"/>
  <c r="E26" i="105" a="1"/>
  <c r="E26" i="105" s="1"/>
  <c r="I26" i="105" s="1"/>
  <c r="D26" i="105" a="1"/>
  <c r="D26" i="105" s="1"/>
  <c r="G25" i="105" a="1"/>
  <c r="G25" i="105" s="1"/>
  <c r="F25" i="105" a="1"/>
  <c r="F25" i="105" s="1"/>
  <c r="E25" i="105" a="1"/>
  <c r="E25" i="105" s="1"/>
  <c r="I25" i="105" s="1"/>
  <c r="D25" i="105" a="1"/>
  <c r="D25" i="105" s="1"/>
  <c r="G24" i="105" a="1"/>
  <c r="G24" i="105" s="1"/>
  <c r="F24" i="105" a="1"/>
  <c r="F24" i="105" s="1"/>
  <c r="E24" i="105" a="1"/>
  <c r="E24" i="105" s="1"/>
  <c r="I24" i="105" s="1"/>
  <c r="D24" i="105" a="1"/>
  <c r="D24" i="105" s="1"/>
  <c r="G23" i="105" a="1"/>
  <c r="G23" i="105" s="1"/>
  <c r="F23" i="105" a="1"/>
  <c r="F23" i="105" s="1"/>
  <c r="E23" i="105" a="1"/>
  <c r="E23" i="105" s="1"/>
  <c r="I23" i="105" s="1"/>
  <c r="D23" i="105" a="1"/>
  <c r="D23" i="105" s="1"/>
  <c r="G22" i="105" a="1"/>
  <c r="G22" i="105" s="1"/>
  <c r="F22" i="105" a="1"/>
  <c r="F22" i="105" s="1"/>
  <c r="E22" i="105" a="1"/>
  <c r="E22" i="105" s="1"/>
  <c r="I22" i="105" s="1"/>
  <c r="D22" i="105" a="1"/>
  <c r="D22" i="105" s="1"/>
  <c r="G21" i="105" a="1"/>
  <c r="G21" i="105" s="1"/>
  <c r="F21" i="105" a="1"/>
  <c r="F21" i="105" s="1"/>
  <c r="E21" i="105" a="1"/>
  <c r="E21" i="105" s="1"/>
  <c r="I21" i="105" s="1"/>
  <c r="D21" i="105" a="1"/>
  <c r="D21" i="105" s="1"/>
  <c r="G20" i="105" a="1"/>
  <c r="G20" i="105" s="1"/>
  <c r="F20" i="105" a="1"/>
  <c r="F20" i="105" s="1"/>
  <c r="E20" i="105" a="1"/>
  <c r="E20" i="105" s="1"/>
  <c r="I20" i="105" s="1"/>
  <c r="D20" i="105" a="1"/>
  <c r="D20" i="105" s="1"/>
  <c r="G19" i="105" a="1"/>
  <c r="G19" i="105" s="1"/>
  <c r="F19" i="105" a="1"/>
  <c r="F19" i="105" s="1"/>
  <c r="E19" i="105" a="1"/>
  <c r="E19" i="105" s="1"/>
  <c r="I19" i="105" s="1"/>
  <c r="D19" i="105" a="1"/>
  <c r="D19" i="105" s="1"/>
  <c r="G18" i="105" a="1"/>
  <c r="G18" i="105" s="1"/>
  <c r="F18" i="105" a="1"/>
  <c r="F18" i="105" s="1"/>
  <c r="E18" i="105" a="1"/>
  <c r="E18" i="105" s="1"/>
  <c r="I18" i="105" s="1"/>
  <c r="D18" i="105" a="1"/>
  <c r="D18" i="105" s="1"/>
  <c r="G17" i="105" a="1"/>
  <c r="G17" i="105" s="1"/>
  <c r="F17" i="105" a="1"/>
  <c r="F17" i="105" s="1"/>
  <c r="E17" i="105" a="1"/>
  <c r="E17" i="105" s="1"/>
  <c r="D17" i="105" a="1"/>
  <c r="D17" i="105" s="1"/>
  <c r="D15" i="105" a="1"/>
  <c r="D15" i="105" s="1"/>
  <c r="D14" i="105" a="1"/>
  <c r="D14" i="105" s="1"/>
  <c r="D7" i="105" a="1"/>
  <c r="D7" i="105" s="1"/>
  <c r="D6" i="105" a="1"/>
  <c r="D6" i="105" s="1"/>
  <c r="D5" i="105" a="1"/>
  <c r="D5" i="105" s="1"/>
  <c r="H185" i="104"/>
  <c r="H179" i="104"/>
  <c r="H168" i="104"/>
  <c r="H144" i="104"/>
  <c r="H138" i="104"/>
  <c r="H127" i="104"/>
  <c r="H105" i="104" a="1"/>
  <c r="H105" i="104" s="1"/>
  <c r="D105" i="104" a="1"/>
  <c r="D105" i="104" s="1"/>
  <c r="E103" i="104" a="1"/>
  <c r="E103" i="104" s="1"/>
  <c r="E102" i="104" a="1"/>
  <c r="E102" i="104" s="1"/>
  <c r="D98" i="104" a="1"/>
  <c r="D98" i="104" s="1"/>
  <c r="D97" i="104" a="1"/>
  <c r="D97" i="104" s="1"/>
  <c r="D96" i="104" a="1"/>
  <c r="D96" i="104" s="1"/>
  <c r="J16" i="104" a="1"/>
  <c r="J16" i="104" s="1"/>
  <c r="I16" i="104" a="1"/>
  <c r="I16" i="104" s="1"/>
  <c r="J15" i="104" a="1"/>
  <c r="J15" i="104" s="1"/>
  <c r="I15" i="104" a="1"/>
  <c r="I15" i="104" s="1"/>
  <c r="J14" i="104" a="1"/>
  <c r="J14" i="104" s="1"/>
  <c r="I14" i="104" a="1"/>
  <c r="I14" i="104" s="1"/>
  <c r="J13" i="104" a="1"/>
  <c r="J13" i="104" s="1"/>
  <c r="I13" i="104" a="1"/>
  <c r="I13" i="104" s="1"/>
  <c r="G13" i="104" a="1"/>
  <c r="G13" i="104" s="1"/>
  <c r="D13" i="104" a="1"/>
  <c r="D13" i="104" s="1"/>
  <c r="E11" i="104" a="1"/>
  <c r="E11" i="104" s="1"/>
  <c r="E10" i="104" a="1"/>
  <c r="E10" i="104" s="1"/>
  <c r="D6" i="104" a="1"/>
  <c r="D6" i="104" s="1"/>
  <c r="D5" i="104" a="1"/>
  <c r="D5" i="104" s="1"/>
  <c r="E139" i="102"/>
  <c r="F40" i="101" s="1"/>
  <c r="G138" i="102"/>
  <c r="F32" i="100" s="1"/>
  <c r="M32" i="100" s="1" a="1"/>
  <c r="M32" i="100" s="1"/>
  <c r="E138" i="102"/>
  <c r="F39" i="101" s="1"/>
  <c r="G137" i="102"/>
  <c r="F31" i="100" s="1"/>
  <c r="E137" i="102"/>
  <c r="F38" i="101" s="1"/>
  <c r="M38" i="101" s="1" a="1"/>
  <c r="M38" i="101" s="1"/>
  <c r="D137" i="102"/>
  <c r="F31" i="101" s="1"/>
  <c r="G136" i="102"/>
  <c r="F30" i="100" s="1"/>
  <c r="E136" i="102"/>
  <c r="F37" i="101" s="1"/>
  <c r="M37" i="101" s="1" a="1"/>
  <c r="M37" i="101" s="1"/>
  <c r="D136" i="102"/>
  <c r="F30" i="101" s="1"/>
  <c r="G135" i="102"/>
  <c r="F29" i="100" s="1"/>
  <c r="E135" i="102"/>
  <c r="F36" i="101" s="1"/>
  <c r="D135" i="102"/>
  <c r="F29" i="101" s="1"/>
  <c r="M29" i="101" s="1" a="1"/>
  <c r="M29" i="101" s="1"/>
  <c r="G134" i="102"/>
  <c r="F28" i="100" s="1"/>
  <c r="E134" i="102"/>
  <c r="F35" i="101" s="1"/>
  <c r="D134" i="102"/>
  <c r="F28" i="101" s="1"/>
  <c r="G133" i="102"/>
  <c r="F27" i="100" s="1"/>
  <c r="F133" i="102"/>
  <c r="F36" i="100" s="1"/>
  <c r="E133" i="102"/>
  <c r="F34" i="101" s="1"/>
  <c r="D133" i="102"/>
  <c r="F27" i="101" s="1"/>
  <c r="I132" i="102"/>
  <c r="F38" i="100" s="1"/>
  <c r="G132" i="102"/>
  <c r="F26" i="100" s="1"/>
  <c r="F132" i="102"/>
  <c r="F35" i="100" s="1"/>
  <c r="E132" i="102"/>
  <c r="F33" i="101" s="1"/>
  <c r="D132" i="102"/>
  <c r="F26" i="101" s="1"/>
  <c r="I131" i="102"/>
  <c r="F37" i="100" s="1"/>
  <c r="H131" i="102"/>
  <c r="F33" i="100" s="1"/>
  <c r="G131" i="102"/>
  <c r="F25" i="100" s="1"/>
  <c r="F131" i="102"/>
  <c r="F34" i="100" s="1"/>
  <c r="E131" i="102"/>
  <c r="F32" i="101" s="1"/>
  <c r="M32" i="101" s="1" a="1"/>
  <c r="M32" i="101" s="1"/>
  <c r="D131" i="102"/>
  <c r="F25" i="101"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G113" i="102" a="1"/>
  <c r="G113" i="102" s="1"/>
  <c r="F113" i="102" a="1"/>
  <c r="F113" i="102" s="1"/>
  <c r="E113" i="102" a="1"/>
  <c r="E113" i="102" s="1"/>
  <c r="D113" i="102" a="1"/>
  <c r="D113" i="102" s="1"/>
  <c r="D110" i="102" a="1"/>
  <c r="D110" i="102" s="1"/>
  <c r="D109" i="102" a="1"/>
  <c r="D109" i="102" s="1"/>
  <c r="D108" i="102" a="1"/>
  <c r="D108" i="102" s="1"/>
  <c r="D107" i="102" a="1"/>
  <c r="D107" i="102" s="1"/>
  <c r="J104" i="102" a="1"/>
  <c r="J104" i="102" s="1"/>
  <c r="I104" i="102" a="1"/>
  <c r="I104" i="102" s="1"/>
  <c r="H104" i="102" a="1"/>
  <c r="H104" i="102" s="1"/>
  <c r="G104" i="102" a="1"/>
  <c r="G104" i="102" s="1"/>
  <c r="F104" i="102" a="1"/>
  <c r="F104" i="102" s="1"/>
  <c r="E104" i="102" a="1"/>
  <c r="E104" i="102" s="1"/>
  <c r="D104" i="102" a="1"/>
  <c r="D104" i="102" s="1"/>
  <c r="E40" i="101" s="1"/>
  <c r="J103" i="102" a="1"/>
  <c r="J103" i="102" s="1"/>
  <c r="I103" i="102" a="1"/>
  <c r="I103" i="102" s="1"/>
  <c r="H103" i="102" a="1"/>
  <c r="H103" i="102" s="1"/>
  <c r="G103" i="102" a="1"/>
  <c r="G103" i="102" s="1"/>
  <c r="F103" i="102" a="1"/>
  <c r="F103" i="102" s="1"/>
  <c r="E103" i="102" a="1"/>
  <c r="E103" i="102" s="1"/>
  <c r="D103" i="102" a="1"/>
  <c r="D103" i="102" s="1"/>
  <c r="E39" i="101" s="1"/>
  <c r="J102" i="102" a="1"/>
  <c r="J102" i="102" s="1"/>
  <c r="I102" i="102" a="1"/>
  <c r="I102" i="102" s="1"/>
  <c r="H102" i="102" a="1"/>
  <c r="H102" i="102" s="1"/>
  <c r="G102" i="102" a="1"/>
  <c r="G102" i="102" s="1"/>
  <c r="F102" i="102" a="1"/>
  <c r="F102" i="102" s="1"/>
  <c r="E102" i="102" a="1"/>
  <c r="E102" i="102" s="1"/>
  <c r="D102" i="102" a="1"/>
  <c r="D102" i="102" s="1"/>
  <c r="J101" i="102" a="1"/>
  <c r="J101" i="102" s="1"/>
  <c r="I101" i="102" a="1"/>
  <c r="I101" i="102" s="1"/>
  <c r="H101" i="102" a="1"/>
  <c r="H101" i="102" s="1"/>
  <c r="G101" i="102" a="1"/>
  <c r="G101" i="102" s="1"/>
  <c r="F101" i="102" a="1"/>
  <c r="F101" i="102" s="1"/>
  <c r="E101" i="102" a="1"/>
  <c r="E101" i="102" s="1"/>
  <c r="D101" i="102" a="1"/>
  <c r="D101" i="102" s="1"/>
  <c r="J100" i="102" a="1"/>
  <c r="J100" i="102" s="1"/>
  <c r="I100" i="102" a="1"/>
  <c r="I100" i="102" s="1"/>
  <c r="H100" i="102" a="1"/>
  <c r="H100" i="102" s="1"/>
  <c r="G100" i="102" a="1"/>
  <c r="G100" i="102" s="1"/>
  <c r="F100" i="102" a="1"/>
  <c r="F100" i="102" s="1"/>
  <c r="E100" i="102" a="1"/>
  <c r="E100" i="102" s="1"/>
  <c r="D100" i="102" a="1"/>
  <c r="D100" i="102" s="1"/>
  <c r="J99" i="102" a="1"/>
  <c r="J99" i="102" s="1"/>
  <c r="I99" i="102" a="1"/>
  <c r="I99" i="102" s="1"/>
  <c r="H99" i="102" a="1"/>
  <c r="H99" i="102" s="1"/>
  <c r="G99" i="102" a="1"/>
  <c r="G99" i="102" s="1"/>
  <c r="F99" i="102" a="1"/>
  <c r="F99" i="102" s="1"/>
  <c r="E99" i="102" a="1"/>
  <c r="E99" i="102" s="1"/>
  <c r="D99" i="102" a="1"/>
  <c r="D99" i="102" s="1"/>
  <c r="J98" i="102" a="1"/>
  <c r="J98" i="102" s="1"/>
  <c r="I98" i="102" a="1"/>
  <c r="I98" i="102" s="1"/>
  <c r="H98" i="102" a="1"/>
  <c r="H98" i="102" s="1"/>
  <c r="G98" i="102" a="1"/>
  <c r="G98" i="102" s="1"/>
  <c r="F98" i="102" a="1"/>
  <c r="F98" i="102" s="1"/>
  <c r="E98" i="102" a="1"/>
  <c r="E98" i="102" s="1"/>
  <c r="D98" i="102" a="1"/>
  <c r="D98" i="102" s="1"/>
  <c r="J97" i="102" a="1"/>
  <c r="J97" i="102" s="1"/>
  <c r="I97" i="102" a="1"/>
  <c r="I97" i="102" s="1"/>
  <c r="H97" i="102" a="1"/>
  <c r="H97" i="102" s="1"/>
  <c r="G97" i="102" a="1"/>
  <c r="G97" i="102" s="1"/>
  <c r="F97" i="102" a="1"/>
  <c r="F97" i="102" s="1"/>
  <c r="E97" i="102" a="1"/>
  <c r="E97" i="102" s="1"/>
  <c r="D97" i="102" a="1"/>
  <c r="D97" i="102" s="1"/>
  <c r="J96" i="102" a="1"/>
  <c r="J96" i="102" s="1"/>
  <c r="I96" i="102" a="1"/>
  <c r="I96" i="102" s="1"/>
  <c r="H96" i="102" a="1"/>
  <c r="H96" i="102" s="1"/>
  <c r="G96" i="102" a="1"/>
  <c r="G96" i="102" s="1"/>
  <c r="F96" i="102" a="1"/>
  <c r="F96" i="102" s="1"/>
  <c r="E96" i="102" a="1"/>
  <c r="E96" i="102" s="1"/>
  <c r="D96" i="102" a="1"/>
  <c r="D96" i="102" s="1"/>
  <c r="J95" i="102" a="1"/>
  <c r="J95" i="102" s="1"/>
  <c r="I95" i="102" a="1"/>
  <c r="I95" i="102" s="1"/>
  <c r="H95" i="102" a="1"/>
  <c r="H95" i="102" s="1"/>
  <c r="G95" i="102" a="1"/>
  <c r="G95" i="102" s="1"/>
  <c r="F95" i="102" a="1"/>
  <c r="F95" i="102" s="1"/>
  <c r="E95" i="102" a="1"/>
  <c r="E95" i="102" s="1"/>
  <c r="D95" i="102" a="1"/>
  <c r="D95" i="102" s="1"/>
  <c r="J94" i="102" a="1"/>
  <c r="J94" i="102" s="1"/>
  <c r="I94" i="102" a="1"/>
  <c r="I94" i="102" s="1"/>
  <c r="H94" i="102" a="1"/>
  <c r="H94" i="102" s="1"/>
  <c r="G94" i="102" a="1"/>
  <c r="G94" i="102" s="1"/>
  <c r="F94" i="102" a="1"/>
  <c r="F94" i="102" s="1"/>
  <c r="E94" i="102" a="1"/>
  <c r="E94" i="102" s="1"/>
  <c r="D94" i="102" a="1"/>
  <c r="D94" i="102" s="1"/>
  <c r="J93" i="102" a="1"/>
  <c r="J93" i="102" s="1"/>
  <c r="I93" i="102" a="1"/>
  <c r="I93" i="102" s="1"/>
  <c r="H93" i="102" a="1"/>
  <c r="H93" i="102" s="1"/>
  <c r="G93" i="102" a="1"/>
  <c r="G93" i="102" s="1"/>
  <c r="F93" i="102" a="1"/>
  <c r="F93" i="102" s="1"/>
  <c r="E93" i="102" a="1"/>
  <c r="E93" i="102" s="1"/>
  <c r="D93" i="102" a="1"/>
  <c r="D93" i="102" s="1"/>
  <c r="J92" i="102" a="1"/>
  <c r="J92" i="102" s="1"/>
  <c r="I92" i="102" a="1"/>
  <c r="I92" i="102" s="1"/>
  <c r="H92" i="102" a="1"/>
  <c r="H92" i="102" s="1"/>
  <c r="G92" i="102" a="1"/>
  <c r="G92" i="102" s="1"/>
  <c r="F92" i="102" a="1"/>
  <c r="F92" i="102" s="1"/>
  <c r="E92" i="102" a="1"/>
  <c r="E92" i="102" s="1"/>
  <c r="D92" i="102" a="1"/>
  <c r="D92" i="102" s="1"/>
  <c r="J91" i="102" a="1"/>
  <c r="J91" i="102" s="1"/>
  <c r="I91" i="102" a="1"/>
  <c r="I91" i="102" s="1"/>
  <c r="H91" i="102" a="1"/>
  <c r="H91" i="102" s="1"/>
  <c r="G91" i="102" a="1"/>
  <c r="G91" i="102" s="1"/>
  <c r="F91" i="102" a="1"/>
  <c r="F91" i="102" s="1"/>
  <c r="E91" i="102" a="1"/>
  <c r="E91" i="102" s="1"/>
  <c r="D91" i="102" a="1"/>
  <c r="D91" i="102" s="1"/>
  <c r="J90" i="102" a="1"/>
  <c r="J90" i="102" s="1"/>
  <c r="I90" i="102" a="1"/>
  <c r="I90" i="102" s="1"/>
  <c r="H90" i="102" a="1"/>
  <c r="H90" i="102" s="1"/>
  <c r="G90" i="102" a="1"/>
  <c r="G90" i="102" s="1"/>
  <c r="F90" i="102" a="1"/>
  <c r="F90" i="102" s="1"/>
  <c r="E90" i="102" a="1"/>
  <c r="E90" i="102" s="1"/>
  <c r="D90" i="102" a="1"/>
  <c r="D90" i="102" s="1"/>
  <c r="J89" i="102" a="1"/>
  <c r="J89" i="102" s="1"/>
  <c r="I89" i="102" a="1"/>
  <c r="I89" i="102" s="1"/>
  <c r="H89" i="102" a="1"/>
  <c r="H89" i="102" s="1"/>
  <c r="G89" i="102" a="1"/>
  <c r="G89" i="102" s="1"/>
  <c r="F89" i="102" a="1"/>
  <c r="F89" i="102" s="1"/>
  <c r="E89" i="102" a="1"/>
  <c r="E89" i="102" s="1"/>
  <c r="D89" i="102" a="1"/>
  <c r="D89" i="102" s="1"/>
  <c r="J88" i="102" a="1"/>
  <c r="J88" i="102" s="1"/>
  <c r="I88" i="102" a="1"/>
  <c r="I88" i="102" s="1"/>
  <c r="H88" i="102" a="1"/>
  <c r="H88" i="102" s="1"/>
  <c r="G88" i="102" a="1"/>
  <c r="G88" i="102" s="1"/>
  <c r="F88" i="102" a="1"/>
  <c r="F88" i="102" s="1"/>
  <c r="E88" i="102" a="1"/>
  <c r="E88" i="102" s="1"/>
  <c r="D88" i="102" a="1"/>
  <c r="D88" i="102" s="1"/>
  <c r="J87" i="102" a="1"/>
  <c r="J87" i="102" s="1"/>
  <c r="I87" i="102" a="1"/>
  <c r="I87" i="102" s="1"/>
  <c r="H87" i="102" a="1"/>
  <c r="H87" i="102" s="1"/>
  <c r="G87" i="102" a="1"/>
  <c r="G87" i="102" s="1"/>
  <c r="F87" i="102" a="1"/>
  <c r="F87" i="102" s="1"/>
  <c r="E87" i="102" a="1"/>
  <c r="E87" i="102" s="1"/>
  <c r="D87" i="102" a="1"/>
  <c r="D87" i="102" s="1"/>
  <c r="D84" i="102" a="1"/>
  <c r="D84" i="102" s="1"/>
  <c r="D83" i="102" a="1"/>
  <c r="D83" i="102" s="1"/>
  <c r="D82" i="102" a="1"/>
  <c r="D82" i="102" s="1"/>
  <c r="D81" i="102" a="1"/>
  <c r="D81" i="102" s="1"/>
  <c r="K77" i="102" a="1"/>
  <c r="K77" i="102" s="1"/>
  <c r="J77" i="102" a="1"/>
  <c r="J77" i="102" s="1"/>
  <c r="I77" i="102" a="1"/>
  <c r="I77" i="102" s="1"/>
  <c r="H77" i="102" a="1"/>
  <c r="H77" i="102" s="1"/>
  <c r="G77" i="102" a="1"/>
  <c r="G77" i="102" s="1"/>
  <c r="F77" i="102" a="1"/>
  <c r="F77" i="102" s="1"/>
  <c r="E77" i="102" a="1"/>
  <c r="E77" i="102" s="1"/>
  <c r="D77" i="102" a="1"/>
  <c r="D77" i="102" s="1"/>
  <c r="K76" i="102" a="1"/>
  <c r="K76" i="102" s="1"/>
  <c r="J76" i="102" a="1"/>
  <c r="J76" i="102" s="1"/>
  <c r="I76" i="102" a="1"/>
  <c r="I76" i="102" s="1"/>
  <c r="H76" i="102" a="1"/>
  <c r="H76" i="102" s="1"/>
  <c r="G76" i="102" a="1"/>
  <c r="G76" i="102" s="1"/>
  <c r="F76" i="102" a="1"/>
  <c r="F76" i="102" s="1"/>
  <c r="E76" i="102" a="1"/>
  <c r="E76" i="102" s="1"/>
  <c r="D76" i="102" a="1"/>
  <c r="D76" i="102" s="1"/>
  <c r="K75" i="102" a="1"/>
  <c r="K75" i="102" s="1"/>
  <c r="J75" i="102" a="1"/>
  <c r="J75" i="102" s="1"/>
  <c r="I75" i="102" a="1"/>
  <c r="I75" i="102" s="1"/>
  <c r="H75" i="102" a="1"/>
  <c r="H75" i="102" s="1"/>
  <c r="G75" i="102" a="1"/>
  <c r="G75" i="102" s="1"/>
  <c r="F75" i="102" a="1"/>
  <c r="F75" i="102" s="1"/>
  <c r="E75" i="102" a="1"/>
  <c r="E75" i="102" s="1"/>
  <c r="D75" i="102" a="1"/>
  <c r="D75" i="102" s="1"/>
  <c r="E37" i="101" s="1"/>
  <c r="K74" i="102" a="1"/>
  <c r="K74" i="102" s="1"/>
  <c r="J74" i="102" a="1"/>
  <c r="J74" i="102" s="1"/>
  <c r="I74" i="102" a="1"/>
  <c r="I74" i="102" s="1"/>
  <c r="H74" i="102" a="1"/>
  <c r="H74" i="102" s="1"/>
  <c r="G74" i="102" a="1"/>
  <c r="G74" i="102" s="1"/>
  <c r="F74" i="102" a="1"/>
  <c r="F74" i="102" s="1"/>
  <c r="E74" i="102" a="1"/>
  <c r="E74" i="102" s="1"/>
  <c r="D74" i="102" a="1"/>
  <c r="D74" i="102" s="1"/>
  <c r="K73" i="102" a="1"/>
  <c r="K73" i="102" s="1"/>
  <c r="J73" i="102" a="1"/>
  <c r="J73" i="102" s="1"/>
  <c r="I73" i="102" a="1"/>
  <c r="I73" i="102" s="1"/>
  <c r="H73" i="102" a="1"/>
  <c r="H73" i="102" s="1"/>
  <c r="G73" i="102" a="1"/>
  <c r="G73" i="102" s="1"/>
  <c r="F73" i="102" a="1"/>
  <c r="F73" i="102" s="1"/>
  <c r="E73" i="102" a="1"/>
  <c r="E73" i="102" s="1"/>
  <c r="D73" i="102" a="1"/>
  <c r="D73" i="102" s="1"/>
  <c r="E35" i="101" s="1"/>
  <c r="K35" i="101" s="1"/>
  <c r="K72" i="102" a="1"/>
  <c r="K72" i="102" s="1"/>
  <c r="J72" i="102" a="1"/>
  <c r="J72" i="102" s="1"/>
  <c r="I72" i="102" a="1"/>
  <c r="I72" i="102" s="1"/>
  <c r="H72" i="102" a="1"/>
  <c r="H72" i="102" s="1"/>
  <c r="G72" i="102" a="1"/>
  <c r="G72" i="102" s="1"/>
  <c r="F72" i="102" a="1"/>
  <c r="F72" i="102" s="1"/>
  <c r="E72" i="102" a="1"/>
  <c r="E72" i="102" s="1"/>
  <c r="D72" i="102" a="1"/>
  <c r="D72" i="102" s="1"/>
  <c r="K71" i="102" a="1"/>
  <c r="K71" i="102" s="1"/>
  <c r="J71" i="102" a="1"/>
  <c r="J71" i="102" s="1"/>
  <c r="I71" i="102" a="1"/>
  <c r="I71" i="102" s="1"/>
  <c r="H71" i="102" a="1"/>
  <c r="H71" i="102" s="1"/>
  <c r="G71" i="102" a="1"/>
  <c r="G71" i="102" s="1"/>
  <c r="F71" i="102" a="1"/>
  <c r="F71" i="102" s="1"/>
  <c r="E71" i="102" a="1"/>
  <c r="E71" i="102" s="1"/>
  <c r="D71" i="102" a="1"/>
  <c r="D71" i="102" s="1"/>
  <c r="K70" i="102" a="1"/>
  <c r="K70" i="102" s="1"/>
  <c r="J70" i="102" a="1"/>
  <c r="J70" i="102" s="1"/>
  <c r="I70" i="102" a="1"/>
  <c r="I70" i="102" s="1"/>
  <c r="H70" i="102" a="1"/>
  <c r="H70" i="102" s="1"/>
  <c r="G70" i="102" a="1"/>
  <c r="G70" i="102" s="1"/>
  <c r="F70" i="102" a="1"/>
  <c r="F70" i="102" s="1"/>
  <c r="E70" i="102" a="1"/>
  <c r="E70" i="102" s="1"/>
  <c r="D70" i="102" a="1"/>
  <c r="D70" i="102" s="1"/>
  <c r="K69" i="102" a="1"/>
  <c r="K69" i="102" s="1"/>
  <c r="J69" i="102" a="1"/>
  <c r="J69" i="102" s="1"/>
  <c r="I69" i="102" a="1"/>
  <c r="I69" i="102" s="1"/>
  <c r="H69" i="102" a="1"/>
  <c r="H69" i="102" s="1"/>
  <c r="G69" i="102" a="1"/>
  <c r="G69" i="102" s="1"/>
  <c r="F69" i="102" a="1"/>
  <c r="F69" i="102" s="1"/>
  <c r="E69" i="102" a="1"/>
  <c r="E69" i="102" s="1"/>
  <c r="D69" i="102" a="1"/>
  <c r="D69" i="102" s="1"/>
  <c r="K68" i="102" a="1"/>
  <c r="K68" i="102" s="1"/>
  <c r="J68" i="102" a="1"/>
  <c r="J68" i="102" s="1"/>
  <c r="I68" i="102" a="1"/>
  <c r="I68" i="102" s="1"/>
  <c r="H68" i="102" a="1"/>
  <c r="H68" i="102" s="1"/>
  <c r="G68" i="102" a="1"/>
  <c r="G68" i="102" s="1"/>
  <c r="F68" i="102" a="1"/>
  <c r="F68" i="102" s="1"/>
  <c r="E68" i="102" a="1"/>
  <c r="E68" i="102" s="1"/>
  <c r="D68" i="102" a="1"/>
  <c r="D68" i="102" s="1"/>
  <c r="K67" i="102" a="1"/>
  <c r="K67" i="102" s="1"/>
  <c r="J67" i="102" a="1"/>
  <c r="J67" i="102" s="1"/>
  <c r="I67" i="102" a="1"/>
  <c r="I67" i="102" s="1"/>
  <c r="H67" i="102" a="1"/>
  <c r="H67" i="102" s="1"/>
  <c r="G67" i="102" a="1"/>
  <c r="G67" i="102" s="1"/>
  <c r="F67" i="102" a="1"/>
  <c r="F67" i="102" s="1"/>
  <c r="E67" i="102" a="1"/>
  <c r="E67" i="102" s="1"/>
  <c r="D67" i="102" a="1"/>
  <c r="D67" i="102" s="1"/>
  <c r="E34" i="101" s="1"/>
  <c r="K34" i="101" s="1"/>
  <c r="K66" i="102" a="1"/>
  <c r="K66" i="102" s="1"/>
  <c r="J66" i="102" a="1"/>
  <c r="J66" i="102" s="1"/>
  <c r="I66" i="102" a="1"/>
  <c r="I66" i="102" s="1"/>
  <c r="H66" i="102" a="1"/>
  <c r="H66" i="102" s="1"/>
  <c r="G66" i="102" a="1"/>
  <c r="G66" i="102" s="1"/>
  <c r="F66" i="102" a="1"/>
  <c r="F66" i="102" s="1"/>
  <c r="E66" i="102" a="1"/>
  <c r="E66" i="102" s="1"/>
  <c r="D66" i="102" a="1"/>
  <c r="D66" i="102" s="1"/>
  <c r="K65" i="102" a="1"/>
  <c r="K65" i="102" s="1"/>
  <c r="J65" i="102" a="1"/>
  <c r="J65" i="102" s="1"/>
  <c r="I65" i="102" a="1"/>
  <c r="I65" i="102" s="1"/>
  <c r="H65" i="102" a="1"/>
  <c r="H65" i="102" s="1"/>
  <c r="G65" i="102" a="1"/>
  <c r="G65" i="102" s="1"/>
  <c r="F65" i="102" a="1"/>
  <c r="F65" i="102" s="1"/>
  <c r="E65" i="102" a="1"/>
  <c r="E65" i="102" s="1"/>
  <c r="D65" i="102" a="1"/>
  <c r="D65" i="102" s="1"/>
  <c r="K64" i="102" a="1"/>
  <c r="K64" i="102" s="1"/>
  <c r="J64" i="102" a="1"/>
  <c r="J64" i="102" s="1"/>
  <c r="I64" i="102" a="1"/>
  <c r="I64" i="102" s="1"/>
  <c r="H64" i="102" a="1"/>
  <c r="H64" i="102" s="1"/>
  <c r="G64" i="102" a="1"/>
  <c r="G64" i="102" s="1"/>
  <c r="F64" i="102" a="1"/>
  <c r="F64" i="102" s="1"/>
  <c r="E64" i="102" a="1"/>
  <c r="E64" i="102" s="1"/>
  <c r="D64" i="102" a="1"/>
  <c r="D64" i="102" s="1"/>
  <c r="K63" i="102" a="1"/>
  <c r="K63" i="102" s="1"/>
  <c r="J63" i="102" a="1"/>
  <c r="J63" i="102" s="1"/>
  <c r="I63" i="102" a="1"/>
  <c r="I63" i="102" s="1"/>
  <c r="H63" i="102" a="1"/>
  <c r="H63" i="102" s="1"/>
  <c r="G63" i="102" a="1"/>
  <c r="G63" i="102" s="1"/>
  <c r="F63" i="102" a="1"/>
  <c r="F63" i="102" s="1"/>
  <c r="E63" i="102" a="1"/>
  <c r="E63" i="102" s="1"/>
  <c r="D63" i="102" a="1"/>
  <c r="D63" i="102" s="1"/>
  <c r="E26" i="101" s="1"/>
  <c r="K62" i="102" a="1"/>
  <c r="K62" i="102" s="1"/>
  <c r="J62" i="102" a="1"/>
  <c r="J62" i="102" s="1"/>
  <c r="I62" i="102" a="1"/>
  <c r="I62" i="102" s="1"/>
  <c r="H62" i="102" a="1"/>
  <c r="H62" i="102" s="1"/>
  <c r="G62" i="102" a="1"/>
  <c r="G62" i="102" s="1"/>
  <c r="F62" i="102" a="1"/>
  <c r="F62" i="102" s="1"/>
  <c r="E62" i="102" a="1"/>
  <c r="E62" i="102" s="1"/>
  <c r="D62" i="102" a="1"/>
  <c r="D62" i="102" s="1"/>
  <c r="K61" i="102" a="1"/>
  <c r="K61" i="102" s="1"/>
  <c r="J61" i="102" a="1"/>
  <c r="J61" i="102" s="1"/>
  <c r="I61" i="102" a="1"/>
  <c r="I61" i="102" s="1"/>
  <c r="H61" i="102" a="1"/>
  <c r="H61" i="102" s="1"/>
  <c r="G61" i="102" a="1"/>
  <c r="G61" i="102" s="1"/>
  <c r="F61" i="102" a="1"/>
  <c r="F61" i="102" s="1"/>
  <c r="E61" i="102" a="1"/>
  <c r="E61" i="102" s="1"/>
  <c r="D61" i="102" a="1"/>
  <c r="D61" i="102" s="1"/>
  <c r="K60" i="102" a="1"/>
  <c r="K60" i="102" s="1"/>
  <c r="J60" i="102" a="1"/>
  <c r="J60" i="102" s="1"/>
  <c r="I60" i="102" a="1"/>
  <c r="I60" i="102" s="1"/>
  <c r="H60" i="102" a="1"/>
  <c r="H60" i="102" s="1"/>
  <c r="G60" i="102" a="1"/>
  <c r="G60" i="102" s="1"/>
  <c r="F60" i="102" a="1"/>
  <c r="F60" i="102" s="1"/>
  <c r="E60" i="102" a="1"/>
  <c r="E60" i="102" s="1"/>
  <c r="D60" i="102" a="1"/>
  <c r="D60" i="102" s="1"/>
  <c r="K59" i="102" a="1"/>
  <c r="K59" i="102" s="1"/>
  <c r="J59" i="102" a="1"/>
  <c r="J59" i="102" s="1"/>
  <c r="I59" i="102" a="1"/>
  <c r="I59" i="102" s="1"/>
  <c r="H59" i="102" a="1"/>
  <c r="H59" i="102" s="1"/>
  <c r="G59" i="102" a="1"/>
  <c r="G59" i="102" s="1"/>
  <c r="F59" i="102" a="1"/>
  <c r="F59" i="102" s="1"/>
  <c r="E59" i="102" a="1"/>
  <c r="E59" i="102" s="1"/>
  <c r="D59" i="102" a="1"/>
  <c r="D59" i="102" s="1"/>
  <c r="K58" i="102" a="1"/>
  <c r="K58" i="102" s="1"/>
  <c r="J58" i="102" a="1"/>
  <c r="J58" i="102" s="1"/>
  <c r="I58" i="102" a="1"/>
  <c r="I58" i="102" s="1"/>
  <c r="H58" i="102" a="1"/>
  <c r="H58" i="102" s="1"/>
  <c r="G58" i="102" a="1"/>
  <c r="G58" i="102" s="1"/>
  <c r="F58" i="102" a="1"/>
  <c r="F58" i="102" s="1"/>
  <c r="E58" i="102" a="1"/>
  <c r="E58" i="102" s="1"/>
  <c r="D58" i="102" a="1"/>
  <c r="D58" i="102" s="1"/>
  <c r="K57" i="102" a="1"/>
  <c r="K57" i="102" s="1"/>
  <c r="J57" i="102" a="1"/>
  <c r="J57" i="102" s="1"/>
  <c r="I57" i="102" a="1"/>
  <c r="I57" i="102" s="1"/>
  <c r="H57" i="102" a="1"/>
  <c r="H57" i="102" s="1"/>
  <c r="G57" i="102" a="1"/>
  <c r="G57" i="102" s="1"/>
  <c r="F57" i="102" a="1"/>
  <c r="F57" i="102" s="1"/>
  <c r="E57" i="102" a="1"/>
  <c r="E57" i="102" s="1"/>
  <c r="D57" i="102" a="1"/>
  <c r="D57" i="102" s="1"/>
  <c r="K56" i="102" a="1"/>
  <c r="K56" i="102" s="1"/>
  <c r="J56" i="102" a="1"/>
  <c r="J56" i="102" s="1"/>
  <c r="I56" i="102" a="1"/>
  <c r="I56" i="102" s="1"/>
  <c r="H56" i="102" a="1"/>
  <c r="H56" i="102" s="1"/>
  <c r="G56" i="102" a="1"/>
  <c r="G56" i="102" s="1"/>
  <c r="F56" i="102" a="1"/>
  <c r="F56" i="102" s="1"/>
  <c r="E56" i="102" a="1"/>
  <c r="E56" i="102" s="1"/>
  <c r="D56" i="102" a="1"/>
  <c r="D56" i="102" s="1"/>
  <c r="K55" i="102" a="1"/>
  <c r="K55" i="102" s="1"/>
  <c r="J55" i="102" a="1"/>
  <c r="J55" i="102" s="1"/>
  <c r="I55" i="102" a="1"/>
  <c r="I55" i="102" s="1"/>
  <c r="H55" i="102" a="1"/>
  <c r="H55" i="102" s="1"/>
  <c r="G55" i="102" a="1"/>
  <c r="G55" i="102" s="1"/>
  <c r="F55" i="102" a="1"/>
  <c r="F55" i="102" s="1"/>
  <c r="E55" i="102" a="1"/>
  <c r="E55" i="102" s="1"/>
  <c r="D55" i="102" a="1"/>
  <c r="D55" i="102" s="1"/>
  <c r="K54" i="102" a="1"/>
  <c r="K54" i="102" s="1"/>
  <c r="J54" i="102" a="1"/>
  <c r="J54" i="102" s="1"/>
  <c r="I54" i="102" a="1"/>
  <c r="I54" i="102" s="1"/>
  <c r="H54" i="102" a="1"/>
  <c r="H54" i="102" s="1"/>
  <c r="G54" i="102" a="1"/>
  <c r="G54" i="102" s="1"/>
  <c r="F54" i="102" a="1"/>
  <c r="F54" i="102" s="1"/>
  <c r="E54" i="102" a="1"/>
  <c r="E54" i="102" s="1"/>
  <c r="D54" i="102" a="1"/>
  <c r="D54" i="102" s="1"/>
  <c r="D52" i="102" a="1"/>
  <c r="D52" i="102" s="1"/>
  <c r="D51" i="102" a="1"/>
  <c r="D51" i="102" s="1"/>
  <c r="D50" i="102" a="1"/>
  <c r="D50" i="102" s="1"/>
  <c r="D49" i="102" a="1"/>
  <c r="D49" i="102" s="1"/>
  <c r="J43" i="102" a="1"/>
  <c r="J43" i="102" s="1"/>
  <c r="I43" i="102" a="1"/>
  <c r="I43" i="102" s="1"/>
  <c r="H43" i="102" a="1"/>
  <c r="H43" i="102" s="1"/>
  <c r="G43" i="102" a="1"/>
  <c r="G43" i="102" s="1"/>
  <c r="F43" i="102" a="1"/>
  <c r="F43" i="102" s="1"/>
  <c r="E43" i="102" a="1"/>
  <c r="E43" i="102" s="1"/>
  <c r="D43" i="102" a="1"/>
  <c r="D43" i="102" s="1"/>
  <c r="J42" i="102" a="1"/>
  <c r="J42" i="102" s="1"/>
  <c r="I42" i="102" a="1"/>
  <c r="I42" i="102" s="1"/>
  <c r="H42" i="102" a="1"/>
  <c r="H42" i="102" s="1"/>
  <c r="G42" i="102" a="1"/>
  <c r="G42" i="102" s="1"/>
  <c r="F42" i="102" a="1"/>
  <c r="F42" i="102" s="1"/>
  <c r="E42" i="102" a="1"/>
  <c r="E42" i="102" s="1"/>
  <c r="D42" i="102" a="1"/>
  <c r="D42" i="102" s="1"/>
  <c r="J41" i="102" a="1"/>
  <c r="J41" i="102" s="1"/>
  <c r="I41" i="102" a="1"/>
  <c r="I41" i="102" s="1"/>
  <c r="H41" i="102" a="1"/>
  <c r="H41" i="102" s="1"/>
  <c r="G41" i="102" a="1"/>
  <c r="G41" i="102" s="1"/>
  <c r="F41" i="102" a="1"/>
  <c r="F41" i="102" s="1"/>
  <c r="E41" i="102" a="1"/>
  <c r="E41" i="102" s="1"/>
  <c r="D41" i="102" a="1"/>
  <c r="D41" i="102" s="1"/>
  <c r="J40" i="102" a="1"/>
  <c r="J40" i="102" s="1"/>
  <c r="I40" i="102" a="1"/>
  <c r="I40" i="102" s="1"/>
  <c r="H40" i="102" a="1"/>
  <c r="H40" i="102" s="1"/>
  <c r="G40" i="102" a="1"/>
  <c r="G40" i="102" s="1"/>
  <c r="F40" i="102" a="1"/>
  <c r="F40" i="102" s="1"/>
  <c r="E40" i="102" a="1"/>
  <c r="E40" i="102" s="1"/>
  <c r="D40" i="102" a="1"/>
  <c r="D40" i="102" s="1"/>
  <c r="D38" i="102" a="1"/>
  <c r="D38" i="102" s="1"/>
  <c r="D37" i="102" a="1"/>
  <c r="D37"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E39" i="100"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E36" i="100" s="1"/>
  <c r="D30" i="102" a="1"/>
  <c r="D30" i="102" s="1"/>
  <c r="L29" i="102" a="1"/>
  <c r="L29" i="102" s="1"/>
  <c r="K29" i="102" a="1"/>
  <c r="K29" i="102" s="1"/>
  <c r="J29" i="102" a="1"/>
  <c r="J29" i="102" s="1"/>
  <c r="I29" i="102" a="1"/>
  <c r="I29" i="102" s="1"/>
  <c r="H29" i="102" a="1"/>
  <c r="H29" i="102" s="1"/>
  <c r="G29" i="102" a="1"/>
  <c r="G29" i="102" s="1"/>
  <c r="F29" i="102" a="1"/>
  <c r="F29" i="102" s="1"/>
  <c r="E29" i="102" a="1"/>
  <c r="E29" i="102" s="1"/>
  <c r="E35" i="100" s="1"/>
  <c r="D29" i="102" a="1"/>
  <c r="D29" i="102" s="1"/>
  <c r="L28" i="102" a="1"/>
  <c r="L28" i="102" s="1"/>
  <c r="K28" i="102" a="1"/>
  <c r="K28" i="102" s="1"/>
  <c r="J28" i="102" a="1"/>
  <c r="J28" i="102" s="1"/>
  <c r="I28" i="102" a="1"/>
  <c r="I28" i="102" s="1"/>
  <c r="H28" i="102" a="1"/>
  <c r="H28" i="102" s="1"/>
  <c r="G28" i="102" a="1"/>
  <c r="G28" i="102" s="1"/>
  <c r="F28" i="102" a="1"/>
  <c r="F28" i="102" s="1"/>
  <c r="E28" i="102" a="1"/>
  <c r="E28" i="102" s="1"/>
  <c r="E34" i="100"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L19" i="102" a="1"/>
  <c r="L19" i="102" s="1"/>
  <c r="K19" i="102" a="1"/>
  <c r="K19" i="102" s="1"/>
  <c r="J19" i="102" a="1"/>
  <c r="J19" i="102" s="1"/>
  <c r="I19" i="102" a="1"/>
  <c r="I19" i="102" s="1"/>
  <c r="H19" i="102" a="1"/>
  <c r="H19" i="102" s="1"/>
  <c r="G19" i="102" a="1"/>
  <c r="G19" i="102" s="1"/>
  <c r="F19" i="102" a="1"/>
  <c r="F19" i="102" s="1"/>
  <c r="E19" i="102" a="1"/>
  <c r="E19" i="102" s="1"/>
  <c r="D19" i="102" a="1"/>
  <c r="D19" i="102" s="1"/>
  <c r="L18" i="102" a="1"/>
  <c r="L18" i="102" s="1"/>
  <c r="K18" i="102" a="1"/>
  <c r="K18" i="102" s="1"/>
  <c r="J18" i="102" a="1"/>
  <c r="J18" i="102" s="1"/>
  <c r="I18" i="102" a="1"/>
  <c r="I18" i="102" s="1"/>
  <c r="H18" i="102" a="1"/>
  <c r="H18" i="102" s="1"/>
  <c r="G18" i="102" a="1"/>
  <c r="G18" i="102" s="1"/>
  <c r="F18" i="102" a="1"/>
  <c r="F18" i="102" s="1"/>
  <c r="E18" i="102" a="1"/>
  <c r="E18" i="102" s="1"/>
  <c r="D18" i="102" a="1"/>
  <c r="D18" i="102" s="1"/>
  <c r="L17" i="102" a="1"/>
  <c r="L17" i="102" s="1"/>
  <c r="K17" i="102" a="1"/>
  <c r="K17" i="102" s="1"/>
  <c r="J17" i="102" a="1"/>
  <c r="J17" i="102" s="1"/>
  <c r="I17" i="102" a="1"/>
  <c r="I17" i="102" s="1"/>
  <c r="H17" i="102" a="1"/>
  <c r="H17" i="102" s="1"/>
  <c r="G17" i="102" a="1"/>
  <c r="G17" i="102" s="1"/>
  <c r="F17" i="102" a="1"/>
  <c r="F17" i="102" s="1"/>
  <c r="E17" i="102" a="1"/>
  <c r="E17" i="102" s="1"/>
  <c r="E32" i="100" s="1"/>
  <c r="D17" i="102" a="1"/>
  <c r="D17" i="102" s="1"/>
  <c r="L16" i="102" a="1"/>
  <c r="L16" i="102" s="1"/>
  <c r="K16" i="102" a="1"/>
  <c r="K16" i="102" s="1"/>
  <c r="J16" i="102" a="1"/>
  <c r="J16" i="102" s="1"/>
  <c r="I16" i="102" a="1"/>
  <c r="I16" i="102" s="1"/>
  <c r="H16" i="102" a="1"/>
  <c r="H16" i="102" s="1"/>
  <c r="G16" i="102" a="1"/>
  <c r="G16" i="102" s="1"/>
  <c r="F16" i="102" a="1"/>
  <c r="F16" i="102" s="1"/>
  <c r="E16" i="102" a="1"/>
  <c r="E16" i="102" s="1"/>
  <c r="E31" i="100" s="1"/>
  <c r="D16" i="102" a="1"/>
  <c r="D16" i="102" s="1"/>
  <c r="L15" i="102" a="1"/>
  <c r="L15" i="102" s="1"/>
  <c r="K15" i="102" a="1"/>
  <c r="K15" i="102" s="1"/>
  <c r="J15" i="102" a="1"/>
  <c r="J15" i="102" s="1"/>
  <c r="I15" i="102" a="1"/>
  <c r="I15" i="102" s="1"/>
  <c r="H15" i="102" a="1"/>
  <c r="H15" i="102" s="1"/>
  <c r="G15" i="102" a="1"/>
  <c r="G15" i="102" s="1"/>
  <c r="F15" i="102" a="1"/>
  <c r="F15" i="102" s="1"/>
  <c r="E15" i="102" a="1"/>
  <c r="E15" i="102" s="1"/>
  <c r="E30" i="100" s="1"/>
  <c r="D15" i="102" a="1"/>
  <c r="D15" i="102" s="1"/>
  <c r="L14" i="102" a="1"/>
  <c r="L14" i="102" s="1"/>
  <c r="K14" i="102" a="1"/>
  <c r="K14" i="102" s="1"/>
  <c r="J14" i="102" a="1"/>
  <c r="J14" i="102" s="1"/>
  <c r="I14" i="102" a="1"/>
  <c r="I14" i="102" s="1"/>
  <c r="H14" i="102" a="1"/>
  <c r="H14" i="102" s="1"/>
  <c r="G14" i="102" a="1"/>
  <c r="G14" i="102" s="1"/>
  <c r="F14" i="102" a="1"/>
  <c r="F14" i="102" s="1"/>
  <c r="E14" i="102" a="1"/>
  <c r="E14" i="102" s="1"/>
  <c r="E29" i="100" s="1"/>
  <c r="D14" i="102" a="1"/>
  <c r="D14" i="102" s="1"/>
  <c r="L13" i="102" a="1"/>
  <c r="L13" i="102" s="1"/>
  <c r="K13" i="102" a="1"/>
  <c r="K13" i="102" s="1"/>
  <c r="J13" i="102" a="1"/>
  <c r="J13" i="102" s="1"/>
  <c r="I13" i="102" a="1"/>
  <c r="I13" i="102" s="1"/>
  <c r="H13" i="102" a="1"/>
  <c r="H13" i="102" s="1"/>
  <c r="G13" i="102" a="1"/>
  <c r="G13" i="102" s="1"/>
  <c r="F13" i="102" a="1"/>
  <c r="F13" i="102" s="1"/>
  <c r="E13" i="102" a="1"/>
  <c r="E13" i="102" s="1"/>
  <c r="E28" i="100" s="1"/>
  <c r="D13" i="102" a="1"/>
  <c r="D13" i="102" s="1"/>
  <c r="L12" i="102" a="1"/>
  <c r="L12" i="102" s="1"/>
  <c r="K12" i="102" a="1"/>
  <c r="K12" i="102" s="1"/>
  <c r="J12" i="102" a="1"/>
  <c r="J12" i="102" s="1"/>
  <c r="I12" i="102" a="1"/>
  <c r="I12" i="102" s="1"/>
  <c r="H12" i="102" a="1"/>
  <c r="H12" i="102" s="1"/>
  <c r="G12" i="102" a="1"/>
  <c r="G12" i="102" s="1"/>
  <c r="F12" i="102" a="1"/>
  <c r="F12" i="102" s="1"/>
  <c r="E12" i="102" a="1"/>
  <c r="E12" i="102" s="1"/>
  <c r="E27" i="100" s="1"/>
  <c r="D12" i="102" a="1"/>
  <c r="D12" i="102" s="1"/>
  <c r="L11" i="102" a="1"/>
  <c r="L11" i="102" s="1"/>
  <c r="K11" i="102" a="1"/>
  <c r="K11" i="102" s="1"/>
  <c r="J11" i="102" a="1"/>
  <c r="J11" i="102" s="1"/>
  <c r="I11" i="102" a="1"/>
  <c r="I11" i="102" s="1"/>
  <c r="H11" i="102" a="1"/>
  <c r="H11" i="102" s="1"/>
  <c r="G11" i="102" a="1"/>
  <c r="G11" i="102" s="1"/>
  <c r="F11" i="102" a="1"/>
  <c r="F11" i="102" s="1"/>
  <c r="E11" i="102" a="1"/>
  <c r="E11" i="102" s="1"/>
  <c r="E38" i="100" s="1"/>
  <c r="D11" i="102" a="1"/>
  <c r="D11" i="102" s="1"/>
  <c r="L10" i="102" a="1"/>
  <c r="L10" i="102" s="1"/>
  <c r="K10" i="102" a="1"/>
  <c r="K10" i="102" s="1"/>
  <c r="J10" i="102" a="1"/>
  <c r="J10" i="102" s="1"/>
  <c r="I10" i="102" a="1"/>
  <c r="I10" i="102" s="1"/>
  <c r="H10" i="102" a="1"/>
  <c r="H10" i="102" s="1"/>
  <c r="G10" i="102" a="1"/>
  <c r="G10" i="102" s="1"/>
  <c r="F10" i="102" a="1"/>
  <c r="F10" i="102" s="1"/>
  <c r="E10" i="102" a="1"/>
  <c r="E10" i="102" s="1"/>
  <c r="K38" i="100" s="1" a="1"/>
  <c r="K38" i="100" s="1"/>
  <c r="D10" i="102" a="1"/>
  <c r="D10" i="102" s="1"/>
  <c r="D8" i="102" a="1"/>
  <c r="D8" i="102" s="1"/>
  <c r="D7" i="102" a="1"/>
  <c r="D7" i="102" s="1"/>
  <c r="D6" i="102" a="1"/>
  <c r="D6" i="102" s="1"/>
  <c r="D5" i="102" a="1"/>
  <c r="D5" i="102" s="1"/>
  <c r="D37" i="101"/>
  <c r="D35" i="101"/>
  <c r="D34" i="101"/>
  <c r="D33" i="101"/>
  <c r="D36" i="101"/>
  <c r="D30" i="101"/>
  <c r="D28" i="101"/>
  <c r="D27" i="101"/>
  <c r="D26" i="101"/>
  <c r="D29" i="101"/>
  <c r="P18" i="101"/>
  <c r="P17"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7" i="101" a="1"/>
  <c r="K7" i="101" s="1"/>
  <c r="K6" i="101" a="1"/>
  <c r="K6" i="101" s="1"/>
  <c r="D6" i="101" a="1"/>
  <c r="D6" i="101" s="1"/>
  <c r="K5" i="101" a="1"/>
  <c r="K5" i="101" s="1"/>
  <c r="D5" i="101" a="1"/>
  <c r="D5" i="101" s="1"/>
  <c r="D38" i="100"/>
  <c r="D36" i="100"/>
  <c r="D35" i="100"/>
  <c r="D54" i="100"/>
  <c r="D48" i="100"/>
  <c r="D27" i="100"/>
  <c r="P16" i="100" a="1"/>
  <c r="P16" i="100" s="1"/>
  <c r="I16" i="100" a="1"/>
  <c r="I16" i="100" s="1"/>
  <c r="P15" i="100" a="1"/>
  <c r="P15" i="100" s="1"/>
  <c r="I15" i="100" a="1"/>
  <c r="I15" i="100" s="1"/>
  <c r="P14" i="100" a="1"/>
  <c r="P14" i="100" s="1"/>
  <c r="N14" i="100" a="1"/>
  <c r="N14" i="100" s="1"/>
  <c r="K14" i="100" a="1"/>
  <c r="K14" i="100" s="1"/>
  <c r="I14" i="100" a="1"/>
  <c r="I14" i="100" s="1"/>
  <c r="G14" i="100" a="1"/>
  <c r="G14" i="100" s="1"/>
  <c r="D14" i="100" a="1"/>
  <c r="D14" i="100" s="1"/>
  <c r="L12" i="100" a="1"/>
  <c r="L12" i="100" s="1"/>
  <c r="E12" i="100" a="1"/>
  <c r="E12" i="100" s="1"/>
  <c r="L11" i="100" a="1"/>
  <c r="L11" i="100" s="1"/>
  <c r="E11" i="100" a="1"/>
  <c r="E11" i="100" s="1"/>
  <c r="K6" i="100" a="1"/>
  <c r="K6" i="100" s="1"/>
  <c r="D6" i="100" a="1"/>
  <c r="D6" i="100" s="1"/>
  <c r="K5" i="100" a="1"/>
  <c r="K5" i="100" s="1"/>
  <c r="D5" i="100" a="1"/>
  <c r="D5" i="100" s="1"/>
  <c r="H21" i="99"/>
  <c r="H20" i="99"/>
  <c r="H19" i="99"/>
  <c r="H18" i="99"/>
  <c r="H17" i="99"/>
  <c r="H25" i="98" a="1"/>
  <c r="H25" i="98" s="1"/>
  <c r="G25" i="98" a="1"/>
  <c r="G25" i="98" s="1"/>
  <c r="I552" i="116" s="1" a="1"/>
  <c r="I552" i="116" s="1"/>
  <c r="F25" i="98" a="1"/>
  <c r="F25" i="98" s="1"/>
  <c r="E25" i="98" a="1"/>
  <c r="E25" i="98" s="1"/>
  <c r="J36" i="97" s="1" a="1"/>
  <c r="J36" i="97" s="1"/>
  <c r="D25" i="98" a="1"/>
  <c r="D25" i="98" s="1"/>
  <c r="D22" i="98" a="1"/>
  <c r="D22" i="98" s="1"/>
  <c r="D21" i="98" a="1"/>
  <c r="D21" i="98" s="1"/>
  <c r="F19" i="98" a="1"/>
  <c r="F19" i="98" s="1"/>
  <c r="E19" i="98" a="1"/>
  <c r="E19" i="98" s="1"/>
  <c r="D19" i="98" a="1"/>
  <c r="D19" i="98" s="1"/>
  <c r="F18" i="98" a="1"/>
  <c r="F18" i="98" s="1"/>
  <c r="E18" i="98" a="1"/>
  <c r="E18" i="98" s="1"/>
  <c r="D18" i="98" a="1"/>
  <c r="D18" i="98" s="1"/>
  <c r="F17" i="98" a="1"/>
  <c r="F17" i="98" s="1"/>
  <c r="E17" i="98" a="1"/>
  <c r="E17" i="98" s="1"/>
  <c r="D17" i="98" a="1"/>
  <c r="D17" i="98" s="1"/>
  <c r="F16" i="98" a="1"/>
  <c r="F16" i="98" s="1"/>
  <c r="E16" i="98" a="1"/>
  <c r="E16" i="98" s="1"/>
  <c r="D16" i="98" a="1"/>
  <c r="D16" i="98" s="1"/>
  <c r="F15" i="98" a="1"/>
  <c r="F15" i="98" s="1"/>
  <c r="E15" i="98" a="1"/>
  <c r="E15" i="98" s="1"/>
  <c r="D15" i="98" a="1"/>
  <c r="D15"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D7" i="98" a="1"/>
  <c r="D7" i="98" s="1"/>
  <c r="D6" i="98" a="1"/>
  <c r="D6" i="98" s="1"/>
  <c r="D5" i="98" a="1"/>
  <c r="D5" i="98" s="1"/>
  <c r="J37" i="97"/>
  <c r="J33" i="97" s="1"/>
  <c r="J32" i="97"/>
  <c r="J31" i="97"/>
  <c r="H31" i="97" a="1"/>
  <c r="H31" i="97" s="1"/>
  <c r="D31" i="97" a="1"/>
  <c r="D31" i="97" s="1"/>
  <c r="E29" i="97" a="1"/>
  <c r="E29" i="97" s="1"/>
  <c r="F39" i="97" s="1"/>
  <c r="E28" i="97" a="1"/>
  <c r="E28" i="97" s="1"/>
  <c r="D24" i="97" a="1"/>
  <c r="D24" i="97" s="1"/>
  <c r="D23" i="97" a="1"/>
  <c r="D23" i="97" s="1"/>
  <c r="D22" i="97" a="1"/>
  <c r="D22" i="97" s="1"/>
  <c r="I16" i="97"/>
  <c r="I14" i="97"/>
  <c r="G14" i="97" a="1"/>
  <c r="G14" i="97" s="1"/>
  <c r="D14" i="97" a="1"/>
  <c r="D14" i="97" s="1"/>
  <c r="E12" i="97" a="1"/>
  <c r="E12" i="97" s="1"/>
  <c r="F18" i="97" s="1"/>
  <c r="E11" i="97" a="1"/>
  <c r="E11" i="97" s="1"/>
  <c r="D7" i="97" a="1"/>
  <c r="D7" i="97" s="1"/>
  <c r="D6" i="97" a="1"/>
  <c r="D6" i="97" s="1"/>
  <c r="D5" i="97" a="1"/>
  <c r="D5" i="97" s="1"/>
  <c r="H48" i="96"/>
  <c r="E48" i="96"/>
  <c r="H47" i="96"/>
  <c r="E47" i="96"/>
  <c r="H46" i="96"/>
  <c r="E46" i="96"/>
  <c r="H39" i="96"/>
  <c r="H38" i="96"/>
  <c r="H37" i="96"/>
  <c r="E29" i="96"/>
  <c r="E16" i="96"/>
  <c r="E22" i="96" s="1"/>
  <c r="E6" i="96"/>
  <c r="AH223" i="95" a="1"/>
  <c r="AH223" i="95" s="1"/>
  <c r="AG223" i="95" a="1"/>
  <c r="AG223" i="95" s="1"/>
  <c r="AF223" i="95" a="1"/>
  <c r="AF223" i="95" s="1"/>
  <c r="AE223" i="95" a="1"/>
  <c r="AE223" i="95" s="1"/>
  <c r="AD223" i="95" a="1"/>
  <c r="AD223" i="95" s="1"/>
  <c r="AC223" i="95" a="1"/>
  <c r="AC223" i="95" s="1"/>
  <c r="AB223" i="95" a="1"/>
  <c r="AB223" i="95" s="1"/>
  <c r="AA223" i="95" a="1"/>
  <c r="AA223" i="95" s="1"/>
  <c r="Z223" i="95" a="1"/>
  <c r="Z223" i="95" s="1"/>
  <c r="Y223" i="95" a="1"/>
  <c r="Y223" i="95" s="1"/>
  <c r="X223" i="95" a="1"/>
  <c r="X223" i="95" s="1"/>
  <c r="W223" i="95" a="1"/>
  <c r="W223" i="95" s="1"/>
  <c r="V223" i="95" a="1"/>
  <c r="V223" i="95" s="1"/>
  <c r="U223" i="95" a="1"/>
  <c r="U223" i="95" s="1"/>
  <c r="T223" i="95" a="1"/>
  <c r="T223" i="95" s="1"/>
  <c r="S223" i="95" a="1"/>
  <c r="S223" i="95" s="1"/>
  <c r="R223" i="95" a="1"/>
  <c r="R223" i="95" s="1"/>
  <c r="Q223" i="95" a="1"/>
  <c r="Q223" i="95" s="1"/>
  <c r="P223" i="95" a="1"/>
  <c r="P223" i="95" s="1"/>
  <c r="O223" i="95" a="1"/>
  <c r="O223" i="95" s="1"/>
  <c r="N223" i="95" a="1"/>
  <c r="N223" i="95" s="1"/>
  <c r="M223" i="95" a="1"/>
  <c r="M223" i="95" s="1"/>
  <c r="L223" i="95" a="1"/>
  <c r="L223" i="95" s="1"/>
  <c r="K223" i="95" a="1"/>
  <c r="K223" i="95" s="1"/>
  <c r="J223" i="95" a="1"/>
  <c r="J223" i="95" s="1"/>
  <c r="I223" i="95" a="1"/>
  <c r="I223" i="95" s="1"/>
  <c r="H223" i="95" a="1"/>
  <c r="H223" i="95" s="1"/>
  <c r="G223" i="95" a="1"/>
  <c r="G223" i="95" s="1"/>
  <c r="F223" i="95" a="1"/>
  <c r="F223" i="95" s="1"/>
  <c r="E223" i="95" a="1"/>
  <c r="E223" i="95" s="1"/>
  <c r="D223" i="95" a="1"/>
  <c r="D223" i="95" s="1"/>
  <c r="AH222" i="95" a="1"/>
  <c r="AH222" i="95" s="1"/>
  <c r="AG222" i="95" a="1"/>
  <c r="AG222" i="95" s="1"/>
  <c r="AF222" i="95" a="1"/>
  <c r="AF222" i="95" s="1"/>
  <c r="AE222" i="95" a="1"/>
  <c r="AE222" i="95" s="1"/>
  <c r="AD222" i="95" a="1"/>
  <c r="AD222" i="95" s="1"/>
  <c r="AC222" i="95" a="1"/>
  <c r="AC222" i="95" s="1"/>
  <c r="AB222" i="95" a="1"/>
  <c r="AB222" i="95" s="1"/>
  <c r="AA222" i="95" a="1"/>
  <c r="AA222" i="95" s="1"/>
  <c r="Z222" i="95" a="1"/>
  <c r="Z222" i="95" s="1"/>
  <c r="Y222" i="95" a="1"/>
  <c r="Y222" i="95" s="1"/>
  <c r="X222" i="95" a="1"/>
  <c r="X222" i="95" s="1"/>
  <c r="W222" i="95" a="1"/>
  <c r="W222" i="95" s="1"/>
  <c r="V222" i="95" a="1"/>
  <c r="V222" i="95" s="1"/>
  <c r="U222" i="95" a="1"/>
  <c r="U222" i="95" s="1"/>
  <c r="T222" i="95" a="1"/>
  <c r="T222" i="95" s="1"/>
  <c r="S222" i="95" a="1"/>
  <c r="S222" i="95" s="1"/>
  <c r="R222" i="95" a="1"/>
  <c r="R222" i="95" s="1"/>
  <c r="Q222" i="95" a="1"/>
  <c r="Q222" i="95" s="1"/>
  <c r="P222" i="95" a="1"/>
  <c r="P222" i="95" s="1"/>
  <c r="O222" i="95" a="1"/>
  <c r="O222" i="95" s="1"/>
  <c r="N222" i="95" a="1"/>
  <c r="N222" i="95" s="1"/>
  <c r="M222" i="95" a="1"/>
  <c r="M222" i="95" s="1"/>
  <c r="L222" i="95" a="1"/>
  <c r="L222" i="95" s="1"/>
  <c r="K222" i="95" a="1"/>
  <c r="K222" i="95" s="1"/>
  <c r="J222" i="95" a="1"/>
  <c r="J222" i="95" s="1"/>
  <c r="I222" i="95" a="1"/>
  <c r="I222" i="95" s="1"/>
  <c r="H222" i="95" a="1"/>
  <c r="H222" i="95" s="1"/>
  <c r="G222" i="95" a="1"/>
  <c r="G222" i="95" s="1"/>
  <c r="F222" i="95" a="1"/>
  <c r="F222" i="95" s="1"/>
  <c r="E222" i="95" a="1"/>
  <c r="E222" i="95" s="1"/>
  <c r="D222" i="95" a="1"/>
  <c r="D222" i="95" s="1"/>
  <c r="AH221" i="95" a="1"/>
  <c r="AH221" i="95" s="1"/>
  <c r="AG221" i="95" a="1"/>
  <c r="AG221" i="95" s="1"/>
  <c r="AF221" i="95" a="1"/>
  <c r="AF221" i="95" s="1"/>
  <c r="AE221" i="95" a="1"/>
  <c r="AE221" i="95" s="1"/>
  <c r="AD221" i="95" a="1"/>
  <c r="AD221" i="95" s="1"/>
  <c r="AC221" i="95" a="1"/>
  <c r="AC221" i="95" s="1"/>
  <c r="AB221" i="95" a="1"/>
  <c r="AB221" i="95" s="1"/>
  <c r="AA221" i="95" a="1"/>
  <c r="AA221" i="95" s="1"/>
  <c r="Z221" i="95" a="1"/>
  <c r="Z221" i="95" s="1"/>
  <c r="Y221" i="95" a="1"/>
  <c r="Y221" i="95" s="1"/>
  <c r="X221" i="95" a="1"/>
  <c r="X221" i="95" s="1"/>
  <c r="W221" i="95" a="1"/>
  <c r="W221" i="95" s="1"/>
  <c r="V221" i="95" a="1"/>
  <c r="V221" i="95" s="1"/>
  <c r="U221" i="95" a="1"/>
  <c r="U221" i="95" s="1"/>
  <c r="T221" i="95" a="1"/>
  <c r="T221" i="95" s="1"/>
  <c r="S221" i="95" a="1"/>
  <c r="S221" i="95" s="1"/>
  <c r="R221" i="95" a="1"/>
  <c r="R221" i="95" s="1"/>
  <c r="Q221" i="95" a="1"/>
  <c r="Q221" i="95" s="1"/>
  <c r="P221" i="95" a="1"/>
  <c r="P221" i="95" s="1"/>
  <c r="O221" i="95" a="1"/>
  <c r="O221" i="95" s="1"/>
  <c r="N221" i="95" a="1"/>
  <c r="N221" i="95" s="1"/>
  <c r="M221" i="95" a="1"/>
  <c r="M221" i="95" s="1"/>
  <c r="L221" i="95" a="1"/>
  <c r="L221" i="95" s="1"/>
  <c r="K221" i="95" a="1"/>
  <c r="K221" i="95" s="1"/>
  <c r="J221" i="95" a="1"/>
  <c r="J221" i="95" s="1"/>
  <c r="I221" i="95" a="1"/>
  <c r="I221" i="95" s="1"/>
  <c r="H221" i="95" a="1"/>
  <c r="H221" i="95" s="1"/>
  <c r="G221" i="95" a="1"/>
  <c r="G221" i="95" s="1"/>
  <c r="F221" i="95" a="1"/>
  <c r="F221" i="95" s="1"/>
  <c r="E221" i="95" a="1"/>
  <c r="E221" i="95" s="1"/>
  <c r="D221" i="95" a="1"/>
  <c r="D221" i="95" s="1"/>
  <c r="AH220" i="95" a="1"/>
  <c r="AH220" i="95" s="1"/>
  <c r="AG220" i="95" a="1"/>
  <c r="AG220" i="95" s="1"/>
  <c r="AF220" i="95" a="1"/>
  <c r="AF220" i="95" s="1"/>
  <c r="AE220" i="95" a="1"/>
  <c r="AE220" i="95" s="1"/>
  <c r="AD220" i="95" a="1"/>
  <c r="AD220" i="95" s="1"/>
  <c r="AC220" i="95" a="1"/>
  <c r="AC220" i="95" s="1"/>
  <c r="AB220" i="95" a="1"/>
  <c r="AB220" i="95" s="1"/>
  <c r="AA220" i="95" a="1"/>
  <c r="AA220" i="95" s="1"/>
  <c r="Z220" i="95" a="1"/>
  <c r="Z220" i="95" s="1"/>
  <c r="Y220" i="95" a="1"/>
  <c r="Y220" i="95" s="1"/>
  <c r="X220" i="95" a="1"/>
  <c r="X220" i="95" s="1"/>
  <c r="W220" i="95" a="1"/>
  <c r="W220" i="95" s="1"/>
  <c r="V220" i="95" a="1"/>
  <c r="V220" i="95" s="1"/>
  <c r="U220" i="95" a="1"/>
  <c r="U220" i="95" s="1"/>
  <c r="T220" i="95" a="1"/>
  <c r="T220" i="95" s="1"/>
  <c r="S220" i="95" a="1"/>
  <c r="S220" i="95" s="1"/>
  <c r="R220" i="95" a="1"/>
  <c r="R220" i="95" s="1"/>
  <c r="Q220" i="95" a="1"/>
  <c r="Q220" i="95" s="1"/>
  <c r="P220" i="95" a="1"/>
  <c r="P220" i="95" s="1"/>
  <c r="O220" i="95" a="1"/>
  <c r="O220" i="95" s="1"/>
  <c r="N220" i="95" a="1"/>
  <c r="N220" i="95" s="1"/>
  <c r="M220" i="95" a="1"/>
  <c r="M220" i="95" s="1"/>
  <c r="L220" i="95" a="1"/>
  <c r="L220" i="95" s="1"/>
  <c r="K220" i="95" a="1"/>
  <c r="K220" i="95" s="1"/>
  <c r="J220" i="95" a="1"/>
  <c r="J220" i="95" s="1"/>
  <c r="I220" i="95" a="1"/>
  <c r="I220" i="95" s="1"/>
  <c r="H220" i="95" a="1"/>
  <c r="H220" i="95" s="1"/>
  <c r="G220" i="95" a="1"/>
  <c r="G220" i="95" s="1"/>
  <c r="F220" i="95" a="1"/>
  <c r="F220" i="95" s="1"/>
  <c r="E220" i="95" a="1"/>
  <c r="E220" i="95" s="1"/>
  <c r="D220" i="95" a="1"/>
  <c r="D220" i="95" s="1"/>
  <c r="AH219" i="95" a="1"/>
  <c r="AH219" i="95" s="1"/>
  <c r="AG219" i="95" a="1"/>
  <c r="AG219" i="95" s="1"/>
  <c r="AF219" i="95" a="1"/>
  <c r="AF219" i="95" s="1"/>
  <c r="AE219" i="95" a="1"/>
  <c r="AE219" i="95" s="1"/>
  <c r="AD219" i="95" a="1"/>
  <c r="AD219" i="95" s="1"/>
  <c r="AC219" i="95" a="1"/>
  <c r="AC219" i="95" s="1"/>
  <c r="AB219" i="95" a="1"/>
  <c r="AB219" i="95" s="1"/>
  <c r="AA219" i="95" a="1"/>
  <c r="AA219" i="95" s="1"/>
  <c r="Z219" i="95" a="1"/>
  <c r="Z219" i="95" s="1"/>
  <c r="Y219" i="95" a="1"/>
  <c r="Y219" i="95" s="1"/>
  <c r="X219" i="95" a="1"/>
  <c r="X219" i="95" s="1"/>
  <c r="W219" i="95" a="1"/>
  <c r="W219" i="95" s="1"/>
  <c r="V219" i="95" a="1"/>
  <c r="V219" i="95" s="1"/>
  <c r="U219" i="95" a="1"/>
  <c r="U219" i="95" s="1"/>
  <c r="T219" i="95" a="1"/>
  <c r="T219" i="95" s="1"/>
  <c r="S219" i="95" a="1"/>
  <c r="S219" i="95" s="1"/>
  <c r="R219" i="95" a="1"/>
  <c r="R219" i="95" s="1"/>
  <c r="Q219" i="95" a="1"/>
  <c r="Q219" i="95" s="1"/>
  <c r="P219" i="95" a="1"/>
  <c r="P219" i="95" s="1"/>
  <c r="O219" i="95" a="1"/>
  <c r="O219" i="95" s="1"/>
  <c r="N219" i="95" a="1"/>
  <c r="N219" i="95" s="1"/>
  <c r="M219" i="95" a="1"/>
  <c r="M219" i="95" s="1"/>
  <c r="L219" i="95" a="1"/>
  <c r="L219" i="95" s="1"/>
  <c r="K219" i="95" a="1"/>
  <c r="K219" i="95" s="1"/>
  <c r="J219" i="95" a="1"/>
  <c r="J219" i="95" s="1"/>
  <c r="I219" i="95" a="1"/>
  <c r="I219" i="95" s="1"/>
  <c r="H219" i="95" a="1"/>
  <c r="H219" i="95" s="1"/>
  <c r="G219" i="95" a="1"/>
  <c r="G219" i="95" s="1"/>
  <c r="F219" i="95" a="1"/>
  <c r="F219" i="95" s="1"/>
  <c r="E219" i="95" a="1"/>
  <c r="E219" i="95" s="1"/>
  <c r="D219" i="95" a="1"/>
  <c r="D219" i="95" s="1"/>
  <c r="AH218" i="95" a="1"/>
  <c r="AH218" i="95" s="1"/>
  <c r="AG218" i="95" a="1"/>
  <c r="AG218" i="95" s="1"/>
  <c r="AF218" i="95" a="1"/>
  <c r="AF218" i="95" s="1"/>
  <c r="AE218" i="95" a="1"/>
  <c r="AE218" i="95" s="1"/>
  <c r="AD218" i="95" a="1"/>
  <c r="AD218" i="95" s="1"/>
  <c r="AC218" i="95" a="1"/>
  <c r="AC218" i="95" s="1"/>
  <c r="AB218" i="95" a="1"/>
  <c r="AB218" i="95" s="1"/>
  <c r="AA218" i="95" a="1"/>
  <c r="AA218" i="95" s="1"/>
  <c r="Z218" i="95" a="1"/>
  <c r="Z218" i="95" s="1"/>
  <c r="Y218" i="95" a="1"/>
  <c r="Y218" i="95" s="1"/>
  <c r="X218" i="95" a="1"/>
  <c r="X218" i="95" s="1"/>
  <c r="W218" i="95" a="1"/>
  <c r="W218" i="95" s="1"/>
  <c r="V218" i="95" a="1"/>
  <c r="V218" i="95" s="1"/>
  <c r="U218" i="95" a="1"/>
  <c r="U218" i="95" s="1"/>
  <c r="T218" i="95" a="1"/>
  <c r="T218" i="95" s="1"/>
  <c r="S218" i="95" a="1"/>
  <c r="S218" i="95" s="1"/>
  <c r="R218" i="95" a="1"/>
  <c r="R218" i="95" s="1"/>
  <c r="Q218" i="95" a="1"/>
  <c r="Q218" i="95" s="1"/>
  <c r="P218" i="95" a="1"/>
  <c r="P218" i="95" s="1"/>
  <c r="O218" i="95" a="1"/>
  <c r="O218" i="95" s="1"/>
  <c r="N218" i="95" a="1"/>
  <c r="N218" i="95" s="1"/>
  <c r="M218" i="95" a="1"/>
  <c r="M218" i="95" s="1"/>
  <c r="L218" i="95" a="1"/>
  <c r="L218" i="95" s="1"/>
  <c r="K218" i="95" a="1"/>
  <c r="K218" i="95" s="1"/>
  <c r="J218" i="95" a="1"/>
  <c r="J218" i="95" s="1"/>
  <c r="I218" i="95" a="1"/>
  <c r="I218" i="95" s="1"/>
  <c r="H218" i="95" a="1"/>
  <c r="H218" i="95" s="1"/>
  <c r="G218" i="95" a="1"/>
  <c r="G218" i="95" s="1"/>
  <c r="F218" i="95" a="1"/>
  <c r="F218" i="95" s="1"/>
  <c r="E218" i="95" a="1"/>
  <c r="E218" i="95" s="1"/>
  <c r="D218" i="95" a="1"/>
  <c r="D218" i="95" s="1"/>
  <c r="AH217" i="95" a="1"/>
  <c r="AH217" i="95" s="1"/>
  <c r="AG217" i="95" a="1"/>
  <c r="AG217" i="95" s="1"/>
  <c r="AF217" i="95" a="1"/>
  <c r="AF217" i="95" s="1"/>
  <c r="AE217" i="95" a="1"/>
  <c r="AE217" i="95" s="1"/>
  <c r="AD217" i="95" a="1"/>
  <c r="AD217" i="95" s="1"/>
  <c r="AC217" i="95" a="1"/>
  <c r="AC217" i="95" s="1"/>
  <c r="AB217" i="95" a="1"/>
  <c r="AB217" i="95" s="1"/>
  <c r="AA217" i="95" a="1"/>
  <c r="AA217" i="95" s="1"/>
  <c r="Z217" i="95" a="1"/>
  <c r="Z217" i="95" s="1"/>
  <c r="Y217" i="95" a="1"/>
  <c r="Y217" i="95" s="1"/>
  <c r="X217" i="95" a="1"/>
  <c r="X217" i="95" s="1"/>
  <c r="W217" i="95" a="1"/>
  <c r="W217" i="95" s="1"/>
  <c r="V217" i="95" a="1"/>
  <c r="V217" i="95" s="1"/>
  <c r="U217" i="95" a="1"/>
  <c r="U217" i="95" s="1"/>
  <c r="T217" i="95" a="1"/>
  <c r="T217" i="95" s="1"/>
  <c r="S217" i="95" a="1"/>
  <c r="S217" i="95" s="1"/>
  <c r="R217" i="95" a="1"/>
  <c r="R217" i="95" s="1"/>
  <c r="Q217" i="95" a="1"/>
  <c r="Q217" i="95" s="1"/>
  <c r="P217" i="95" a="1"/>
  <c r="P217" i="95" s="1"/>
  <c r="O217" i="95" a="1"/>
  <c r="O217" i="95" s="1"/>
  <c r="N217" i="95" a="1"/>
  <c r="N217" i="95" s="1"/>
  <c r="M217" i="95" a="1"/>
  <c r="M217" i="95" s="1"/>
  <c r="L217" i="95" a="1"/>
  <c r="L217" i="95" s="1"/>
  <c r="K217" i="95" a="1"/>
  <c r="K217" i="95" s="1"/>
  <c r="J217" i="95" a="1"/>
  <c r="J217" i="95" s="1"/>
  <c r="I217" i="95" a="1"/>
  <c r="I217" i="95" s="1"/>
  <c r="H217" i="95" a="1"/>
  <c r="H217" i="95" s="1"/>
  <c r="G217" i="95" a="1"/>
  <c r="G217" i="95" s="1"/>
  <c r="F217" i="95" a="1"/>
  <c r="F217" i="95" s="1"/>
  <c r="E217" i="95" a="1"/>
  <c r="E217" i="95" s="1"/>
  <c r="D217" i="95" a="1"/>
  <c r="D217" i="95" s="1"/>
  <c r="AH216" i="95" a="1"/>
  <c r="AH216" i="95" s="1"/>
  <c r="AG216" i="95" a="1"/>
  <c r="AG216" i="95" s="1"/>
  <c r="AF216" i="95" a="1"/>
  <c r="AF216" i="95" s="1"/>
  <c r="AE216" i="95" a="1"/>
  <c r="AE216" i="95" s="1"/>
  <c r="AD216" i="95" a="1"/>
  <c r="AD216" i="95" s="1"/>
  <c r="AC216" i="95" a="1"/>
  <c r="AC216" i="95" s="1"/>
  <c r="AB216" i="95" a="1"/>
  <c r="AB216" i="95" s="1"/>
  <c r="AA216" i="95" a="1"/>
  <c r="AA216" i="95" s="1"/>
  <c r="Z216" i="95" a="1"/>
  <c r="Z216" i="95" s="1"/>
  <c r="Y216" i="95" a="1"/>
  <c r="Y216" i="95" s="1"/>
  <c r="X216" i="95" a="1"/>
  <c r="X216" i="95" s="1"/>
  <c r="W216" i="95" a="1"/>
  <c r="W216" i="95" s="1"/>
  <c r="V216" i="95" a="1"/>
  <c r="V216" i="95" s="1"/>
  <c r="U216" i="95" a="1"/>
  <c r="U216" i="95" s="1"/>
  <c r="T216" i="95" a="1"/>
  <c r="T216" i="95" s="1"/>
  <c r="S216" i="95" a="1"/>
  <c r="S216" i="95" s="1"/>
  <c r="R216" i="95" a="1"/>
  <c r="R216" i="95" s="1"/>
  <c r="Q216" i="95" a="1"/>
  <c r="Q216" i="95" s="1"/>
  <c r="P216" i="95" a="1"/>
  <c r="P216" i="95" s="1"/>
  <c r="O216" i="95" a="1"/>
  <c r="O216" i="95" s="1"/>
  <c r="N216" i="95" a="1"/>
  <c r="N216" i="95" s="1"/>
  <c r="M216" i="95" a="1"/>
  <c r="M216" i="95" s="1"/>
  <c r="L216" i="95" a="1"/>
  <c r="L216" i="95" s="1"/>
  <c r="K216" i="95" a="1"/>
  <c r="K216" i="95" s="1"/>
  <c r="J216" i="95" a="1"/>
  <c r="J216" i="95" s="1"/>
  <c r="I216" i="95" a="1"/>
  <c r="I216" i="95" s="1"/>
  <c r="H216" i="95" a="1"/>
  <c r="H216" i="95" s="1"/>
  <c r="G216" i="95" a="1"/>
  <c r="G216" i="95" s="1"/>
  <c r="F216" i="95" a="1"/>
  <c r="F216" i="95" s="1"/>
  <c r="E216" i="95" a="1"/>
  <c r="E216" i="95" s="1"/>
  <c r="D216" i="95" a="1"/>
  <c r="D216" i="95" s="1"/>
  <c r="AH215" i="95" a="1"/>
  <c r="AH215" i="95" s="1"/>
  <c r="AG215" i="95" a="1"/>
  <c r="AG215" i="95" s="1"/>
  <c r="AF215" i="95" a="1"/>
  <c r="AF215" i="95" s="1"/>
  <c r="AE215" i="95" a="1"/>
  <c r="AE215" i="95" s="1"/>
  <c r="AD215" i="95" a="1"/>
  <c r="AD215" i="95" s="1"/>
  <c r="AC215" i="95" a="1"/>
  <c r="AC215" i="95" s="1"/>
  <c r="AB215" i="95" a="1"/>
  <c r="AB215" i="95" s="1"/>
  <c r="AA215" i="95" a="1"/>
  <c r="AA215" i="95" s="1"/>
  <c r="Z215" i="95" a="1"/>
  <c r="Z215" i="95" s="1"/>
  <c r="Y215" i="95" a="1"/>
  <c r="Y215" i="95" s="1"/>
  <c r="X215" i="95" a="1"/>
  <c r="X215" i="95" s="1"/>
  <c r="W215" i="95" a="1"/>
  <c r="W215" i="95" s="1"/>
  <c r="V215" i="95" a="1"/>
  <c r="V215" i="95" s="1"/>
  <c r="U215" i="95" a="1"/>
  <c r="U215" i="95" s="1"/>
  <c r="T215" i="95" a="1"/>
  <c r="T215" i="95" s="1"/>
  <c r="S215" i="95" a="1"/>
  <c r="S215" i="95" s="1"/>
  <c r="R215" i="95" a="1"/>
  <c r="R215" i="95" s="1"/>
  <c r="Q215" i="95" a="1"/>
  <c r="Q215" i="95" s="1"/>
  <c r="P215" i="95" a="1"/>
  <c r="P215" i="95" s="1"/>
  <c r="O215" i="95" a="1"/>
  <c r="O215" i="95" s="1"/>
  <c r="N215" i="95" a="1"/>
  <c r="N215" i="95" s="1"/>
  <c r="M215" i="95" a="1"/>
  <c r="M215" i="95" s="1"/>
  <c r="L215" i="95" a="1"/>
  <c r="L215" i="95" s="1"/>
  <c r="K215" i="95" a="1"/>
  <c r="K215" i="95" s="1"/>
  <c r="J215" i="95" a="1"/>
  <c r="J215" i="95" s="1"/>
  <c r="I215" i="95" a="1"/>
  <c r="I215" i="95" s="1"/>
  <c r="H215" i="95" a="1"/>
  <c r="H215" i="95" s="1"/>
  <c r="G215" i="95" a="1"/>
  <c r="G215" i="95" s="1"/>
  <c r="F215" i="95" a="1"/>
  <c r="F215" i="95" s="1"/>
  <c r="E215" i="95" a="1"/>
  <c r="E215" i="95" s="1"/>
  <c r="D215" i="95" a="1"/>
  <c r="D215" i="95" s="1"/>
  <c r="AH214" i="95" a="1"/>
  <c r="AH214" i="95" s="1"/>
  <c r="AG214" i="95" a="1"/>
  <c r="AG214" i="95" s="1"/>
  <c r="AF214" i="95" a="1"/>
  <c r="AF214" i="95" s="1"/>
  <c r="AE214" i="95" a="1"/>
  <c r="AE214" i="95" s="1"/>
  <c r="AD214" i="95" a="1"/>
  <c r="AD214" i="95" s="1"/>
  <c r="AC214" i="95" a="1"/>
  <c r="AC214" i="95" s="1"/>
  <c r="AB214" i="95" a="1"/>
  <c r="AB214" i="95" s="1"/>
  <c r="AA214" i="95" a="1"/>
  <c r="AA214" i="95" s="1"/>
  <c r="Z214" i="95" a="1"/>
  <c r="Z214" i="95" s="1"/>
  <c r="Y214" i="95" a="1"/>
  <c r="Y214" i="95" s="1"/>
  <c r="X214" i="95" a="1"/>
  <c r="X214" i="95" s="1"/>
  <c r="W214" i="95" a="1"/>
  <c r="W214" i="95" s="1"/>
  <c r="V214" i="95" a="1"/>
  <c r="V214" i="95" s="1"/>
  <c r="U214" i="95" a="1"/>
  <c r="U214" i="95" s="1"/>
  <c r="T214" i="95" a="1"/>
  <c r="T214" i="95" s="1"/>
  <c r="S214" i="95" a="1"/>
  <c r="S214" i="95" s="1"/>
  <c r="R214" i="95" a="1"/>
  <c r="R214" i="95" s="1"/>
  <c r="Q214" i="95" a="1"/>
  <c r="Q214" i="95" s="1"/>
  <c r="P214" i="95" a="1"/>
  <c r="P214" i="95" s="1"/>
  <c r="O214" i="95" a="1"/>
  <c r="O214" i="95" s="1"/>
  <c r="N214" i="95" a="1"/>
  <c r="N214" i="95" s="1"/>
  <c r="M214" i="95" a="1"/>
  <c r="M214" i="95" s="1"/>
  <c r="L214" i="95" a="1"/>
  <c r="L214" i="95" s="1"/>
  <c r="K214" i="95" a="1"/>
  <c r="K214" i="95" s="1"/>
  <c r="J214" i="95" a="1"/>
  <c r="J214" i="95" s="1"/>
  <c r="I214" i="95" a="1"/>
  <c r="I214" i="95" s="1"/>
  <c r="H214" i="95" a="1"/>
  <c r="H214" i="95" s="1"/>
  <c r="G214" i="95" a="1"/>
  <c r="G214" i="95" s="1"/>
  <c r="F214" i="95" a="1"/>
  <c r="F214" i="95" s="1"/>
  <c r="E214" i="95" a="1"/>
  <c r="E214" i="95" s="1"/>
  <c r="D214" i="95" a="1"/>
  <c r="D214" i="95" s="1"/>
  <c r="AH213" i="95" a="1"/>
  <c r="AH213" i="95" s="1"/>
  <c r="AG213" i="95" a="1"/>
  <c r="AG213" i="95" s="1"/>
  <c r="AF213" i="95" a="1"/>
  <c r="AF213" i="95" s="1"/>
  <c r="AE213" i="95" a="1"/>
  <c r="AE213" i="95" s="1"/>
  <c r="AD213" i="95" a="1"/>
  <c r="AD213" i="95" s="1"/>
  <c r="AC213" i="95" a="1"/>
  <c r="AC213" i="95" s="1"/>
  <c r="AB213" i="95" a="1"/>
  <c r="AB213" i="95" s="1"/>
  <c r="AA213" i="95" a="1"/>
  <c r="AA213" i="95" s="1"/>
  <c r="Z213" i="95" a="1"/>
  <c r="Z213" i="95" s="1"/>
  <c r="Y213" i="95" a="1"/>
  <c r="Y213" i="95" s="1"/>
  <c r="X213" i="95" a="1"/>
  <c r="X213" i="95" s="1"/>
  <c r="W213" i="95" a="1"/>
  <c r="W213" i="95" s="1"/>
  <c r="V213" i="95" a="1"/>
  <c r="V213" i="95" s="1"/>
  <c r="U213" i="95" a="1"/>
  <c r="U213" i="95" s="1"/>
  <c r="T213" i="95" a="1"/>
  <c r="T213" i="95" s="1"/>
  <c r="S213" i="95" a="1"/>
  <c r="S213" i="95" s="1"/>
  <c r="R213" i="95" a="1"/>
  <c r="R213" i="95" s="1"/>
  <c r="Q213" i="95" a="1"/>
  <c r="Q213" i="95" s="1"/>
  <c r="P213" i="95" a="1"/>
  <c r="P213" i="95" s="1"/>
  <c r="O213" i="95" a="1"/>
  <c r="O213" i="95" s="1"/>
  <c r="N213" i="95" a="1"/>
  <c r="N213" i="95" s="1"/>
  <c r="M213" i="95" a="1"/>
  <c r="M213" i="95" s="1"/>
  <c r="L213" i="95" a="1"/>
  <c r="L213" i="95" s="1"/>
  <c r="K213" i="95" a="1"/>
  <c r="K213" i="95" s="1"/>
  <c r="J213" i="95" a="1"/>
  <c r="J213" i="95" s="1"/>
  <c r="I213" i="95" a="1"/>
  <c r="I213" i="95" s="1"/>
  <c r="H213" i="95" a="1"/>
  <c r="H213" i="95" s="1"/>
  <c r="G213" i="95" a="1"/>
  <c r="G213" i="95" s="1"/>
  <c r="F213" i="95" a="1"/>
  <c r="F213" i="95" s="1"/>
  <c r="E213" i="95" a="1"/>
  <c r="E213" i="95" s="1"/>
  <c r="D213" i="95" a="1"/>
  <c r="D213" i="95" s="1"/>
  <c r="AH212" i="95" a="1"/>
  <c r="AH212" i="95" s="1"/>
  <c r="AG212" i="95" a="1"/>
  <c r="AG212" i="95" s="1"/>
  <c r="AF212" i="95" a="1"/>
  <c r="AF212" i="95" s="1"/>
  <c r="AE212" i="95" a="1"/>
  <c r="AE212" i="95" s="1"/>
  <c r="AD212" i="95" a="1"/>
  <c r="AD212" i="95" s="1"/>
  <c r="AC212" i="95" a="1"/>
  <c r="AC212" i="95" s="1"/>
  <c r="AB212" i="95" a="1"/>
  <c r="AB212" i="95" s="1"/>
  <c r="AA212" i="95" a="1"/>
  <c r="AA212" i="95" s="1"/>
  <c r="Z212" i="95" a="1"/>
  <c r="Z212" i="95" s="1"/>
  <c r="Y212" i="95" a="1"/>
  <c r="Y212" i="95" s="1"/>
  <c r="X212" i="95" a="1"/>
  <c r="X212" i="95" s="1"/>
  <c r="W212" i="95" a="1"/>
  <c r="W212" i="95" s="1"/>
  <c r="V212" i="95" a="1"/>
  <c r="V212" i="95" s="1"/>
  <c r="U212" i="95" a="1"/>
  <c r="U212" i="95" s="1"/>
  <c r="T212" i="95" a="1"/>
  <c r="T212" i="95" s="1"/>
  <c r="S212" i="95" a="1"/>
  <c r="S212" i="95" s="1"/>
  <c r="R212" i="95" a="1"/>
  <c r="R212" i="95" s="1"/>
  <c r="Q212" i="95" a="1"/>
  <c r="Q212" i="95" s="1"/>
  <c r="P212" i="95" a="1"/>
  <c r="P212" i="95" s="1"/>
  <c r="O212" i="95" a="1"/>
  <c r="O212" i="95" s="1"/>
  <c r="N212" i="95" a="1"/>
  <c r="N212" i="95" s="1"/>
  <c r="M212" i="95" a="1"/>
  <c r="M212" i="95" s="1"/>
  <c r="L212" i="95" a="1"/>
  <c r="L212" i="95" s="1"/>
  <c r="K212" i="95" a="1"/>
  <c r="K212" i="95" s="1"/>
  <c r="J212" i="95" a="1"/>
  <c r="J212" i="95" s="1"/>
  <c r="I212" i="95" a="1"/>
  <c r="I212" i="95" s="1"/>
  <c r="H212" i="95" a="1"/>
  <c r="H212" i="95" s="1"/>
  <c r="G212" i="95" a="1"/>
  <c r="G212" i="95" s="1"/>
  <c r="F212" i="95" a="1"/>
  <c r="F212" i="95" s="1"/>
  <c r="E212" i="95" a="1"/>
  <c r="E212" i="95" s="1"/>
  <c r="D212" i="95" a="1"/>
  <c r="D212" i="95" s="1"/>
  <c r="AH211" i="95" a="1"/>
  <c r="AH211" i="95" s="1"/>
  <c r="AG211" i="95" a="1"/>
  <c r="AG211" i="95" s="1"/>
  <c r="AF211" i="95" a="1"/>
  <c r="AF211" i="95" s="1"/>
  <c r="AE211" i="95" a="1"/>
  <c r="AE211" i="95" s="1"/>
  <c r="AD211" i="95" a="1"/>
  <c r="AD211" i="95" s="1"/>
  <c r="AC211" i="95" a="1"/>
  <c r="AC211" i="95" s="1"/>
  <c r="AB211" i="95" a="1"/>
  <c r="AB211" i="95" s="1"/>
  <c r="AA211" i="95" a="1"/>
  <c r="AA211" i="95" s="1"/>
  <c r="Z211" i="95" a="1"/>
  <c r="Z211" i="95" s="1"/>
  <c r="Y211" i="95" a="1"/>
  <c r="Y211" i="95" s="1"/>
  <c r="X211" i="95" a="1"/>
  <c r="X211" i="95" s="1"/>
  <c r="W211" i="95" a="1"/>
  <c r="W211" i="95" s="1"/>
  <c r="V211" i="95" a="1"/>
  <c r="V211" i="95" s="1"/>
  <c r="U211" i="95" a="1"/>
  <c r="U211" i="95" s="1"/>
  <c r="T211" i="95" a="1"/>
  <c r="T211" i="95" s="1"/>
  <c r="S211" i="95" a="1"/>
  <c r="S211" i="95" s="1"/>
  <c r="R211" i="95" a="1"/>
  <c r="R211" i="95" s="1"/>
  <c r="Q211" i="95" a="1"/>
  <c r="Q211" i="95" s="1"/>
  <c r="P211" i="95" a="1"/>
  <c r="P211" i="95" s="1"/>
  <c r="O211" i="95" a="1"/>
  <c r="O211" i="95" s="1"/>
  <c r="N211" i="95" a="1"/>
  <c r="N211" i="95" s="1"/>
  <c r="M211" i="95" a="1"/>
  <c r="M211" i="95" s="1"/>
  <c r="L211" i="95" a="1"/>
  <c r="L211" i="95" s="1"/>
  <c r="K211" i="95" a="1"/>
  <c r="K211" i="95" s="1"/>
  <c r="J211" i="95" a="1"/>
  <c r="J211" i="95" s="1"/>
  <c r="I211" i="95" a="1"/>
  <c r="I211" i="95" s="1"/>
  <c r="H211" i="95" a="1"/>
  <c r="H211" i="95" s="1"/>
  <c r="G211" i="95" a="1"/>
  <c r="G211" i="95" s="1"/>
  <c r="F211" i="95" a="1"/>
  <c r="F211" i="95" s="1"/>
  <c r="E211" i="95" a="1"/>
  <c r="E211" i="95" s="1"/>
  <c r="D211" i="95" a="1"/>
  <c r="D211" i="95" s="1"/>
  <c r="AH210" i="95" a="1"/>
  <c r="AH210" i="95" s="1"/>
  <c r="AG210" i="95" a="1"/>
  <c r="AG210" i="95" s="1"/>
  <c r="AF210" i="95" a="1"/>
  <c r="AF210" i="95" s="1"/>
  <c r="AE210" i="95" a="1"/>
  <c r="AE210" i="95" s="1"/>
  <c r="AD210" i="95" a="1"/>
  <c r="AD210" i="95" s="1"/>
  <c r="AC210" i="95" a="1"/>
  <c r="AC210" i="95" s="1"/>
  <c r="AB210" i="95" a="1"/>
  <c r="AB210" i="95" s="1"/>
  <c r="AA210" i="95" a="1"/>
  <c r="AA210" i="95" s="1"/>
  <c r="Z210" i="95" a="1"/>
  <c r="Z210" i="95" s="1"/>
  <c r="Y210" i="95" a="1"/>
  <c r="Y210" i="95" s="1"/>
  <c r="X210" i="95" a="1"/>
  <c r="X210" i="95" s="1"/>
  <c r="W210" i="95" a="1"/>
  <c r="W210" i="95" s="1"/>
  <c r="V210" i="95" a="1"/>
  <c r="V210" i="95" s="1"/>
  <c r="U210" i="95" a="1"/>
  <c r="U210" i="95" s="1"/>
  <c r="T210" i="95" a="1"/>
  <c r="T210" i="95" s="1"/>
  <c r="S210" i="95" a="1"/>
  <c r="S210" i="95" s="1"/>
  <c r="R210" i="95" a="1"/>
  <c r="R210" i="95" s="1"/>
  <c r="Q210" i="95" a="1"/>
  <c r="Q210" i="95" s="1"/>
  <c r="P210" i="95" a="1"/>
  <c r="P210" i="95" s="1"/>
  <c r="O210" i="95" a="1"/>
  <c r="O210" i="95" s="1"/>
  <c r="N210" i="95" a="1"/>
  <c r="N210" i="95" s="1"/>
  <c r="M210" i="95" a="1"/>
  <c r="M210" i="95" s="1"/>
  <c r="L210" i="95" a="1"/>
  <c r="L210" i="95" s="1"/>
  <c r="K210" i="95" a="1"/>
  <c r="K210" i="95" s="1"/>
  <c r="J210" i="95" a="1"/>
  <c r="J210" i="95" s="1"/>
  <c r="I210" i="95" a="1"/>
  <c r="I210" i="95" s="1"/>
  <c r="H210" i="95" a="1"/>
  <c r="H210" i="95" s="1"/>
  <c r="G210" i="95" a="1"/>
  <c r="G210" i="95" s="1"/>
  <c r="F210" i="95" a="1"/>
  <c r="F210" i="95" s="1"/>
  <c r="E210" i="95" a="1"/>
  <c r="E210" i="95" s="1"/>
  <c r="D210" i="95" a="1"/>
  <c r="D210" i="95" s="1"/>
  <c r="AH209" i="95" a="1"/>
  <c r="AH209" i="95" s="1"/>
  <c r="AG209" i="95" a="1"/>
  <c r="AG209" i="95" s="1"/>
  <c r="AF209" i="95" a="1"/>
  <c r="AF209" i="95" s="1"/>
  <c r="AE209" i="95" a="1"/>
  <c r="AE209" i="95" s="1"/>
  <c r="AD209" i="95" a="1"/>
  <c r="AD209" i="95" s="1"/>
  <c r="AC209" i="95" a="1"/>
  <c r="AC209" i="95" s="1"/>
  <c r="AB209" i="95" a="1"/>
  <c r="AB209" i="95" s="1"/>
  <c r="AA209" i="95" a="1"/>
  <c r="AA209" i="95" s="1"/>
  <c r="Z209" i="95" a="1"/>
  <c r="Z209" i="95" s="1"/>
  <c r="Y209" i="95" a="1"/>
  <c r="Y209" i="95" s="1"/>
  <c r="X209" i="95" a="1"/>
  <c r="X209" i="95" s="1"/>
  <c r="W209" i="95" a="1"/>
  <c r="W209" i="95" s="1"/>
  <c r="V209" i="95" a="1"/>
  <c r="V209" i="95" s="1"/>
  <c r="U209" i="95" a="1"/>
  <c r="U209" i="95" s="1"/>
  <c r="T209" i="95" a="1"/>
  <c r="T209" i="95" s="1"/>
  <c r="S209" i="95" a="1"/>
  <c r="S209" i="95" s="1"/>
  <c r="R209" i="95" a="1"/>
  <c r="R209" i="95" s="1"/>
  <c r="Q209" i="95" a="1"/>
  <c r="Q209" i="95" s="1"/>
  <c r="P209" i="95" a="1"/>
  <c r="P209" i="95" s="1"/>
  <c r="O209" i="95" a="1"/>
  <c r="O209" i="95" s="1"/>
  <c r="N209" i="95" a="1"/>
  <c r="N209" i="95" s="1"/>
  <c r="M209" i="95" a="1"/>
  <c r="M209" i="95" s="1"/>
  <c r="L209" i="95" a="1"/>
  <c r="L209" i="95" s="1"/>
  <c r="K209" i="95" a="1"/>
  <c r="K209" i="95" s="1"/>
  <c r="J209" i="95" a="1"/>
  <c r="J209" i="95" s="1"/>
  <c r="I209" i="95" a="1"/>
  <c r="I209" i="95" s="1"/>
  <c r="H209" i="95" a="1"/>
  <c r="H209" i="95" s="1"/>
  <c r="G209" i="95" a="1"/>
  <c r="G209" i="95" s="1"/>
  <c r="F209" i="95" a="1"/>
  <c r="F209" i="95" s="1"/>
  <c r="E209" i="95" a="1"/>
  <c r="E209" i="95" s="1"/>
  <c r="D209" i="95" a="1"/>
  <c r="D209" i="95" s="1"/>
  <c r="AH208" i="95" a="1"/>
  <c r="AH208" i="95" s="1"/>
  <c r="AG208" i="95" a="1"/>
  <c r="AG208" i="95" s="1"/>
  <c r="AF208" i="95" a="1"/>
  <c r="AF208" i="95" s="1"/>
  <c r="AE208" i="95" a="1"/>
  <c r="AE208" i="95" s="1"/>
  <c r="AD208" i="95" a="1"/>
  <c r="AD208" i="95" s="1"/>
  <c r="AC208" i="95" a="1"/>
  <c r="AC208" i="95" s="1"/>
  <c r="AB208" i="95" a="1"/>
  <c r="AB208" i="95" s="1"/>
  <c r="AA208" i="95" a="1"/>
  <c r="AA208" i="95" s="1"/>
  <c r="Z208" i="95" a="1"/>
  <c r="Z208" i="95" s="1"/>
  <c r="Y208" i="95" a="1"/>
  <c r="Y208" i="95" s="1"/>
  <c r="X208" i="95" a="1"/>
  <c r="X208" i="95" s="1"/>
  <c r="W208" i="95" a="1"/>
  <c r="W208" i="95" s="1"/>
  <c r="V208" i="95" a="1"/>
  <c r="V208" i="95" s="1"/>
  <c r="U208" i="95" a="1"/>
  <c r="U208" i="95" s="1"/>
  <c r="T208" i="95" a="1"/>
  <c r="T208" i="95" s="1"/>
  <c r="S208" i="95" a="1"/>
  <c r="S208" i="95" s="1"/>
  <c r="R208" i="95" a="1"/>
  <c r="R208" i="95" s="1"/>
  <c r="Q208" i="95" a="1"/>
  <c r="Q208" i="95" s="1"/>
  <c r="P208" i="95" a="1"/>
  <c r="P208" i="95" s="1"/>
  <c r="O208" i="95" a="1"/>
  <c r="O208" i="95" s="1"/>
  <c r="N208" i="95" a="1"/>
  <c r="N208" i="95" s="1"/>
  <c r="M208" i="95" a="1"/>
  <c r="M208" i="95" s="1"/>
  <c r="L208" i="95" a="1"/>
  <c r="L208" i="95" s="1"/>
  <c r="K208" i="95" a="1"/>
  <c r="K208" i="95" s="1"/>
  <c r="J208" i="95" a="1"/>
  <c r="J208" i="95" s="1"/>
  <c r="I208" i="95" a="1"/>
  <c r="I208" i="95" s="1"/>
  <c r="H208" i="95" a="1"/>
  <c r="H208" i="95" s="1"/>
  <c r="G208" i="95" a="1"/>
  <c r="G208" i="95" s="1"/>
  <c r="F208" i="95" a="1"/>
  <c r="F208" i="95" s="1"/>
  <c r="E208" i="95" a="1"/>
  <c r="E208" i="95" s="1"/>
  <c r="D208" i="95" a="1"/>
  <c r="D208" i="95" s="1"/>
  <c r="AH207" i="95" a="1"/>
  <c r="AH207" i="95" s="1"/>
  <c r="AG207" i="95" a="1"/>
  <c r="AG207" i="95" s="1"/>
  <c r="AF207" i="95" a="1"/>
  <c r="AF207" i="95" s="1"/>
  <c r="AE207" i="95" a="1"/>
  <c r="AE207" i="95" s="1"/>
  <c r="AD207" i="95" a="1"/>
  <c r="AD207" i="95" s="1"/>
  <c r="AC207" i="95" a="1"/>
  <c r="AC207" i="95" s="1"/>
  <c r="AB207" i="95" a="1"/>
  <c r="AB207" i="95" s="1"/>
  <c r="AA207" i="95" a="1"/>
  <c r="AA207" i="95" s="1"/>
  <c r="Z207" i="95" a="1"/>
  <c r="Z207" i="95" s="1"/>
  <c r="Y207" i="95" a="1"/>
  <c r="Y207" i="95" s="1"/>
  <c r="X207" i="95" a="1"/>
  <c r="X207" i="95" s="1"/>
  <c r="W207" i="95" a="1"/>
  <c r="W207" i="95" s="1"/>
  <c r="V207" i="95" a="1"/>
  <c r="V207" i="95" s="1"/>
  <c r="U207" i="95" a="1"/>
  <c r="U207" i="95" s="1"/>
  <c r="T207" i="95" a="1"/>
  <c r="T207" i="95" s="1"/>
  <c r="S207" i="95" a="1"/>
  <c r="S207" i="95" s="1"/>
  <c r="R207" i="95" a="1"/>
  <c r="R207" i="95" s="1"/>
  <c r="Q207" i="95" a="1"/>
  <c r="Q207" i="95" s="1"/>
  <c r="P207" i="95" a="1"/>
  <c r="P207" i="95" s="1"/>
  <c r="O207" i="95" a="1"/>
  <c r="O207" i="95" s="1"/>
  <c r="N207" i="95" a="1"/>
  <c r="N207" i="95" s="1"/>
  <c r="M207" i="95" a="1"/>
  <c r="M207" i="95" s="1"/>
  <c r="L207" i="95" a="1"/>
  <c r="L207" i="95" s="1"/>
  <c r="K207" i="95" a="1"/>
  <c r="K207" i="95" s="1"/>
  <c r="J207" i="95" a="1"/>
  <c r="J207" i="95" s="1"/>
  <c r="I207" i="95" a="1"/>
  <c r="I207" i="95" s="1"/>
  <c r="H207" i="95" a="1"/>
  <c r="H207" i="95" s="1"/>
  <c r="G207" i="95" a="1"/>
  <c r="G207" i="95" s="1"/>
  <c r="F207" i="95" a="1"/>
  <c r="F207" i="95" s="1"/>
  <c r="E207" i="95" a="1"/>
  <c r="E207" i="95" s="1"/>
  <c r="D207" i="95" a="1"/>
  <c r="D207" i="95" s="1"/>
  <c r="AH206" i="95" a="1"/>
  <c r="AH206" i="95" s="1"/>
  <c r="AG206" i="95" a="1"/>
  <c r="AG206" i="95" s="1"/>
  <c r="AF206" i="95" a="1"/>
  <c r="AF206" i="95" s="1"/>
  <c r="AE206" i="95" a="1"/>
  <c r="AE206" i="95" s="1"/>
  <c r="AD206" i="95" a="1"/>
  <c r="AD206" i="95" s="1"/>
  <c r="AC206" i="95" a="1"/>
  <c r="AC206" i="95" s="1"/>
  <c r="AB206" i="95" a="1"/>
  <c r="AB206" i="95" s="1"/>
  <c r="AA206" i="95" a="1"/>
  <c r="AA206" i="95" s="1"/>
  <c r="Z206" i="95" a="1"/>
  <c r="Z206" i="95" s="1"/>
  <c r="Y206" i="95" a="1"/>
  <c r="Y206" i="95" s="1"/>
  <c r="X206" i="95" a="1"/>
  <c r="X206" i="95" s="1"/>
  <c r="W206" i="95" a="1"/>
  <c r="W206" i="95" s="1"/>
  <c r="V206" i="95" a="1"/>
  <c r="V206" i="95" s="1"/>
  <c r="U206" i="95" a="1"/>
  <c r="U206" i="95" s="1"/>
  <c r="T206" i="95" a="1"/>
  <c r="T206" i="95" s="1"/>
  <c r="S206" i="95" a="1"/>
  <c r="S206" i="95" s="1"/>
  <c r="R206" i="95" a="1"/>
  <c r="R206" i="95" s="1"/>
  <c r="Q206" i="95" a="1"/>
  <c r="Q206" i="95" s="1"/>
  <c r="P206" i="95" a="1"/>
  <c r="P206" i="95" s="1"/>
  <c r="O206" i="95" a="1"/>
  <c r="O206" i="95" s="1"/>
  <c r="N206" i="95" a="1"/>
  <c r="N206" i="95" s="1"/>
  <c r="M206" i="95" a="1"/>
  <c r="M206" i="95" s="1"/>
  <c r="L206" i="95" a="1"/>
  <c r="L206" i="95" s="1"/>
  <c r="K206" i="95" a="1"/>
  <c r="K206" i="95" s="1"/>
  <c r="J206" i="95" a="1"/>
  <c r="J206" i="95" s="1"/>
  <c r="I206" i="95" a="1"/>
  <c r="I206" i="95" s="1"/>
  <c r="H206" i="95" a="1"/>
  <c r="H206" i="95" s="1"/>
  <c r="G206" i="95" a="1"/>
  <c r="G206" i="95" s="1"/>
  <c r="F206" i="95" a="1"/>
  <c r="F206" i="95" s="1"/>
  <c r="E206" i="95" a="1"/>
  <c r="E206" i="95" s="1"/>
  <c r="D206" i="95" a="1"/>
  <c r="D206" i="95" s="1"/>
  <c r="AH205" i="95" a="1"/>
  <c r="AH205" i="95" s="1"/>
  <c r="AG205" i="95" a="1"/>
  <c r="AG205" i="95" s="1"/>
  <c r="AF205" i="95" a="1"/>
  <c r="AF205" i="95" s="1"/>
  <c r="AE205" i="95" a="1"/>
  <c r="AE205" i="95" s="1"/>
  <c r="AD205" i="95" a="1"/>
  <c r="AD205" i="95" s="1"/>
  <c r="AC205" i="95" a="1"/>
  <c r="AC205" i="95" s="1"/>
  <c r="AB205" i="95" a="1"/>
  <c r="AB205" i="95" s="1"/>
  <c r="AA205" i="95" a="1"/>
  <c r="AA205" i="95" s="1"/>
  <c r="Z205" i="95" a="1"/>
  <c r="Z205" i="95" s="1"/>
  <c r="Y205" i="95" a="1"/>
  <c r="Y205" i="95" s="1"/>
  <c r="X205" i="95" a="1"/>
  <c r="X205" i="95" s="1"/>
  <c r="W205" i="95" a="1"/>
  <c r="W205" i="95" s="1"/>
  <c r="V205" i="95" a="1"/>
  <c r="V205" i="95" s="1"/>
  <c r="U205" i="95" a="1"/>
  <c r="U205" i="95" s="1"/>
  <c r="T205" i="95" a="1"/>
  <c r="T205" i="95" s="1"/>
  <c r="S205" i="95" a="1"/>
  <c r="S205" i="95" s="1"/>
  <c r="R205" i="95" a="1"/>
  <c r="R205" i="95" s="1"/>
  <c r="Q205" i="95" a="1"/>
  <c r="Q205" i="95" s="1"/>
  <c r="P205" i="95" a="1"/>
  <c r="P205" i="95" s="1"/>
  <c r="O205" i="95" a="1"/>
  <c r="O205" i="95" s="1"/>
  <c r="N205" i="95" a="1"/>
  <c r="N205" i="95" s="1"/>
  <c r="M205" i="95" a="1"/>
  <c r="M205" i="95" s="1"/>
  <c r="L205" i="95" a="1"/>
  <c r="L205" i="95" s="1"/>
  <c r="K205" i="95" a="1"/>
  <c r="K205" i="95" s="1"/>
  <c r="J205" i="95" a="1"/>
  <c r="J205" i="95" s="1"/>
  <c r="I205" i="95" a="1"/>
  <c r="I205" i="95" s="1"/>
  <c r="H205" i="95" a="1"/>
  <c r="H205" i="95" s="1"/>
  <c r="G205" i="95" a="1"/>
  <c r="G205" i="95" s="1"/>
  <c r="F205" i="95" a="1"/>
  <c r="F205" i="95" s="1"/>
  <c r="E205" i="95" a="1"/>
  <c r="E205" i="95" s="1"/>
  <c r="D205" i="95" a="1"/>
  <c r="D205" i="95" s="1"/>
  <c r="AH204" i="95" a="1"/>
  <c r="AH204" i="95" s="1"/>
  <c r="AG204" i="95" a="1"/>
  <c r="AG204" i="95" s="1"/>
  <c r="AF204" i="95" a="1"/>
  <c r="AF204" i="95" s="1"/>
  <c r="AE204" i="95" a="1"/>
  <c r="AE204" i="95" s="1"/>
  <c r="AD204" i="95" a="1"/>
  <c r="AD204" i="95" s="1"/>
  <c r="AC204" i="95" a="1"/>
  <c r="AC204" i="95" s="1"/>
  <c r="AB204" i="95" a="1"/>
  <c r="AB204" i="95" s="1"/>
  <c r="AA204" i="95" a="1"/>
  <c r="AA204" i="95" s="1"/>
  <c r="Z204" i="95" a="1"/>
  <c r="Z204" i="95" s="1"/>
  <c r="Y204" i="95" a="1"/>
  <c r="Y204" i="95" s="1"/>
  <c r="X204" i="95" a="1"/>
  <c r="X204" i="95" s="1"/>
  <c r="W204" i="95" a="1"/>
  <c r="W204" i="95" s="1"/>
  <c r="V204" i="95" a="1"/>
  <c r="V204" i="95" s="1"/>
  <c r="U204" i="95" a="1"/>
  <c r="U204" i="95" s="1"/>
  <c r="T204" i="95" a="1"/>
  <c r="T204" i="95" s="1"/>
  <c r="S204" i="95" a="1"/>
  <c r="S204" i="95" s="1"/>
  <c r="R204" i="95" a="1"/>
  <c r="R204" i="95" s="1"/>
  <c r="Q204" i="95" a="1"/>
  <c r="Q204" i="95" s="1"/>
  <c r="P204" i="95" a="1"/>
  <c r="P204" i="95" s="1"/>
  <c r="O204" i="95" a="1"/>
  <c r="O204" i="95" s="1"/>
  <c r="N204" i="95" a="1"/>
  <c r="N204" i="95" s="1"/>
  <c r="M204" i="95" a="1"/>
  <c r="M204" i="95" s="1"/>
  <c r="L204" i="95" a="1"/>
  <c r="L204" i="95" s="1"/>
  <c r="K204" i="95" a="1"/>
  <c r="K204" i="95" s="1"/>
  <c r="J204" i="95" a="1"/>
  <c r="J204" i="95" s="1"/>
  <c r="I204" i="95" a="1"/>
  <c r="I204" i="95" s="1"/>
  <c r="H204" i="95" a="1"/>
  <c r="H204" i="95" s="1"/>
  <c r="G204" i="95" a="1"/>
  <c r="G204" i="95" s="1"/>
  <c r="F204" i="95" a="1"/>
  <c r="F204" i="95" s="1"/>
  <c r="E204" i="95" a="1"/>
  <c r="E204" i="95" s="1"/>
  <c r="D204" i="95" a="1"/>
  <c r="D204" i="95" s="1"/>
  <c r="AH203" i="95" a="1"/>
  <c r="AH203" i="95" s="1"/>
  <c r="AG203" i="95" a="1"/>
  <c r="AG203" i="95" s="1"/>
  <c r="AF203" i="95" a="1"/>
  <c r="AF203" i="95" s="1"/>
  <c r="AE203" i="95" a="1"/>
  <c r="AE203" i="95" s="1"/>
  <c r="AD203" i="95" a="1"/>
  <c r="AD203" i="95" s="1"/>
  <c r="AC203" i="95" a="1"/>
  <c r="AC203" i="95" s="1"/>
  <c r="AB203" i="95" a="1"/>
  <c r="AB203" i="95" s="1"/>
  <c r="AA203" i="95" a="1"/>
  <c r="AA203" i="95" s="1"/>
  <c r="Z203" i="95" a="1"/>
  <c r="Z203" i="95" s="1"/>
  <c r="Y203" i="95" a="1"/>
  <c r="Y203" i="95" s="1"/>
  <c r="X203" i="95" a="1"/>
  <c r="X203" i="95" s="1"/>
  <c r="W203" i="95" a="1"/>
  <c r="W203" i="95" s="1"/>
  <c r="V203" i="95" a="1"/>
  <c r="V203" i="95" s="1"/>
  <c r="U203" i="95" a="1"/>
  <c r="U203" i="95" s="1"/>
  <c r="T203" i="95" a="1"/>
  <c r="T203" i="95" s="1"/>
  <c r="S203" i="95" a="1"/>
  <c r="S203" i="95" s="1"/>
  <c r="R203" i="95" a="1"/>
  <c r="R203" i="95" s="1"/>
  <c r="Q203" i="95" a="1"/>
  <c r="Q203" i="95" s="1"/>
  <c r="P203" i="95" a="1"/>
  <c r="P203" i="95" s="1"/>
  <c r="O203" i="95" a="1"/>
  <c r="O203" i="95" s="1"/>
  <c r="N203" i="95" a="1"/>
  <c r="N203" i="95" s="1"/>
  <c r="M203" i="95" a="1"/>
  <c r="M203" i="95" s="1"/>
  <c r="L203" i="95" a="1"/>
  <c r="L203" i="95" s="1"/>
  <c r="K203" i="95" a="1"/>
  <c r="K203" i="95" s="1"/>
  <c r="J203" i="95" a="1"/>
  <c r="J203" i="95" s="1"/>
  <c r="I203" i="95" a="1"/>
  <c r="I203" i="95" s="1"/>
  <c r="H203" i="95" a="1"/>
  <c r="H203" i="95" s="1"/>
  <c r="G203" i="95" a="1"/>
  <c r="G203" i="95" s="1"/>
  <c r="F203" i="95" a="1"/>
  <c r="F203" i="95" s="1"/>
  <c r="E203" i="95" a="1"/>
  <c r="E203" i="95" s="1"/>
  <c r="D203" i="95" a="1"/>
  <c r="D203" i="95" s="1"/>
  <c r="AH202" i="95" a="1"/>
  <c r="AH202" i="95" s="1"/>
  <c r="AG202" i="95" a="1"/>
  <c r="AG202" i="95" s="1"/>
  <c r="AF202" i="95" a="1"/>
  <c r="AF202" i="95" s="1"/>
  <c r="AE202" i="95" a="1"/>
  <c r="AE202" i="95" s="1"/>
  <c r="AD202" i="95" a="1"/>
  <c r="AD202" i="95" s="1"/>
  <c r="AC202" i="95" a="1"/>
  <c r="AC202" i="95" s="1"/>
  <c r="AB202" i="95" a="1"/>
  <c r="AB202" i="95" s="1"/>
  <c r="AA202" i="95" a="1"/>
  <c r="AA202" i="95" s="1"/>
  <c r="Z202" i="95" a="1"/>
  <c r="Z202" i="95" s="1"/>
  <c r="Y202" i="95" a="1"/>
  <c r="Y202" i="95" s="1"/>
  <c r="X202" i="95" a="1"/>
  <c r="X202" i="95" s="1"/>
  <c r="W202" i="95" a="1"/>
  <c r="W202" i="95" s="1"/>
  <c r="V202" i="95" a="1"/>
  <c r="V202" i="95" s="1"/>
  <c r="U202" i="95" a="1"/>
  <c r="U202" i="95" s="1"/>
  <c r="T202" i="95" a="1"/>
  <c r="T202" i="95" s="1"/>
  <c r="S202" i="95" a="1"/>
  <c r="S202" i="95" s="1"/>
  <c r="R202" i="95" a="1"/>
  <c r="R202" i="95" s="1"/>
  <c r="Q202" i="95" a="1"/>
  <c r="Q202" i="95" s="1"/>
  <c r="P202" i="95" a="1"/>
  <c r="P202" i="95" s="1"/>
  <c r="O202" i="95" a="1"/>
  <c r="O202" i="95" s="1"/>
  <c r="N202" i="95" a="1"/>
  <c r="N202" i="95" s="1"/>
  <c r="M202" i="95" a="1"/>
  <c r="M202" i="95" s="1"/>
  <c r="L202" i="95" a="1"/>
  <c r="L202" i="95" s="1"/>
  <c r="K202" i="95" a="1"/>
  <c r="K202" i="95" s="1"/>
  <c r="J202" i="95" a="1"/>
  <c r="J202" i="95" s="1"/>
  <c r="I202" i="95" a="1"/>
  <c r="I202" i="95" s="1"/>
  <c r="H202" i="95" a="1"/>
  <c r="H202" i="95" s="1"/>
  <c r="G202" i="95" a="1"/>
  <c r="G202" i="95" s="1"/>
  <c r="F202" i="95" a="1"/>
  <c r="F202" i="95" s="1"/>
  <c r="E202" i="95" a="1"/>
  <c r="E202" i="95" s="1"/>
  <c r="D202" i="95" a="1"/>
  <c r="D202" i="95" s="1"/>
  <c r="AH201" i="95" a="1"/>
  <c r="AH201" i="95" s="1"/>
  <c r="AG201" i="95" a="1"/>
  <c r="AG201" i="95" s="1"/>
  <c r="AF201" i="95" a="1"/>
  <c r="AF201" i="95" s="1"/>
  <c r="AE201" i="95" a="1"/>
  <c r="AE201" i="95" s="1"/>
  <c r="AD201" i="95" a="1"/>
  <c r="AD201" i="95" s="1"/>
  <c r="AC201" i="95" a="1"/>
  <c r="AC201" i="95" s="1"/>
  <c r="AB201" i="95" a="1"/>
  <c r="AB201" i="95" s="1"/>
  <c r="AA201" i="95" a="1"/>
  <c r="AA201" i="95" s="1"/>
  <c r="Z201" i="95" a="1"/>
  <c r="Z201" i="95" s="1"/>
  <c r="Y201" i="95" a="1"/>
  <c r="Y201" i="95" s="1"/>
  <c r="X201" i="95" a="1"/>
  <c r="X201" i="95" s="1"/>
  <c r="W201" i="95" a="1"/>
  <c r="W201" i="95" s="1"/>
  <c r="V201" i="95" a="1"/>
  <c r="V201" i="95" s="1"/>
  <c r="U201" i="95" a="1"/>
  <c r="U201" i="95" s="1"/>
  <c r="T201" i="95" a="1"/>
  <c r="T201" i="95" s="1"/>
  <c r="S201" i="95" a="1"/>
  <c r="S201" i="95" s="1"/>
  <c r="R201" i="95" a="1"/>
  <c r="R201" i="95" s="1"/>
  <c r="Q201" i="95" a="1"/>
  <c r="Q201" i="95" s="1"/>
  <c r="P201" i="95" a="1"/>
  <c r="P201" i="95" s="1"/>
  <c r="O201" i="95" a="1"/>
  <c r="O201" i="95" s="1"/>
  <c r="N201" i="95" a="1"/>
  <c r="N201" i="95" s="1"/>
  <c r="M201" i="95" a="1"/>
  <c r="M201" i="95" s="1"/>
  <c r="L201" i="95" a="1"/>
  <c r="L201" i="95" s="1"/>
  <c r="K201" i="95" a="1"/>
  <c r="K201" i="95" s="1"/>
  <c r="J201" i="95" a="1"/>
  <c r="J201" i="95" s="1"/>
  <c r="I201" i="95" a="1"/>
  <c r="I201" i="95" s="1"/>
  <c r="H201" i="95" a="1"/>
  <c r="H201" i="95" s="1"/>
  <c r="G201" i="95" a="1"/>
  <c r="G201" i="95" s="1"/>
  <c r="F201" i="95" a="1"/>
  <c r="F201" i="95" s="1"/>
  <c r="E201" i="95" a="1"/>
  <c r="E201" i="95" s="1"/>
  <c r="D201" i="95" a="1"/>
  <c r="D201" i="95" s="1"/>
  <c r="AH200" i="95" a="1"/>
  <c r="AH200" i="95" s="1"/>
  <c r="AG200" i="95" a="1"/>
  <c r="AG200" i="95" s="1"/>
  <c r="AF200" i="95" a="1"/>
  <c r="AF200" i="95" s="1"/>
  <c r="AE200" i="95" a="1"/>
  <c r="AE200" i="95" s="1"/>
  <c r="AD200" i="95" a="1"/>
  <c r="AD200" i="95" s="1"/>
  <c r="AC200" i="95" a="1"/>
  <c r="AC200" i="95" s="1"/>
  <c r="AB200" i="95" a="1"/>
  <c r="AB200" i="95" s="1"/>
  <c r="AA200" i="95" a="1"/>
  <c r="AA200" i="95" s="1"/>
  <c r="Z200" i="95" a="1"/>
  <c r="Z200" i="95" s="1"/>
  <c r="Y200" i="95" a="1"/>
  <c r="Y200" i="95" s="1"/>
  <c r="X200" i="95" a="1"/>
  <c r="X200" i="95" s="1"/>
  <c r="W200" i="95" a="1"/>
  <c r="W200" i="95" s="1"/>
  <c r="V200" i="95" a="1"/>
  <c r="V200" i="95" s="1"/>
  <c r="U200" i="95" a="1"/>
  <c r="U200" i="95" s="1"/>
  <c r="T200" i="95" a="1"/>
  <c r="T200" i="95" s="1"/>
  <c r="S200" i="95" a="1"/>
  <c r="S200" i="95" s="1"/>
  <c r="R200" i="95" a="1"/>
  <c r="R200" i="95" s="1"/>
  <c r="Q200" i="95" a="1"/>
  <c r="Q200" i="95" s="1"/>
  <c r="P200" i="95" a="1"/>
  <c r="P200" i="95" s="1"/>
  <c r="O200" i="95" a="1"/>
  <c r="O200" i="95" s="1"/>
  <c r="N200" i="95" a="1"/>
  <c r="N200" i="95" s="1"/>
  <c r="M200" i="95" a="1"/>
  <c r="M200" i="95" s="1"/>
  <c r="L200" i="95" a="1"/>
  <c r="L200" i="95" s="1"/>
  <c r="K200" i="95" a="1"/>
  <c r="K200" i="95" s="1"/>
  <c r="J200" i="95" a="1"/>
  <c r="J200" i="95" s="1"/>
  <c r="I200" i="95" a="1"/>
  <c r="I200" i="95" s="1"/>
  <c r="H200" i="95" a="1"/>
  <c r="H200" i="95" s="1"/>
  <c r="G200" i="95" a="1"/>
  <c r="G200" i="95" s="1"/>
  <c r="F200" i="95" a="1"/>
  <c r="F200" i="95" s="1"/>
  <c r="E200" i="95" a="1"/>
  <c r="E200" i="95" s="1"/>
  <c r="D200" i="95" a="1"/>
  <c r="D200" i="95" s="1"/>
  <c r="AH199" i="95" a="1"/>
  <c r="AH199" i="95" s="1"/>
  <c r="AG199" i="95" a="1"/>
  <c r="AG199" i="95" s="1"/>
  <c r="AF199" i="95" a="1"/>
  <c r="AF199" i="95" s="1"/>
  <c r="AE199" i="95" a="1"/>
  <c r="AE199" i="95" s="1"/>
  <c r="AD199" i="95" a="1"/>
  <c r="AD199" i="95" s="1"/>
  <c r="AC199" i="95" a="1"/>
  <c r="AC199" i="95" s="1"/>
  <c r="AB199" i="95" a="1"/>
  <c r="AB199" i="95" s="1"/>
  <c r="AA199" i="95" a="1"/>
  <c r="AA199" i="95" s="1"/>
  <c r="Z199" i="95" a="1"/>
  <c r="Z199" i="95" s="1"/>
  <c r="Y199" i="95" a="1"/>
  <c r="Y199" i="95" s="1"/>
  <c r="X199" i="95" a="1"/>
  <c r="X199" i="95" s="1"/>
  <c r="W199" i="95" a="1"/>
  <c r="W199" i="95" s="1"/>
  <c r="V199" i="95" a="1"/>
  <c r="V199" i="95" s="1"/>
  <c r="U199" i="95" a="1"/>
  <c r="U199" i="95" s="1"/>
  <c r="T199" i="95" a="1"/>
  <c r="T199" i="95" s="1"/>
  <c r="S199" i="95" a="1"/>
  <c r="S199" i="95" s="1"/>
  <c r="R199" i="95" a="1"/>
  <c r="R199" i="95" s="1"/>
  <c r="Q199" i="95" a="1"/>
  <c r="Q199" i="95" s="1"/>
  <c r="P199" i="95" a="1"/>
  <c r="P199" i="95" s="1"/>
  <c r="O199" i="95" a="1"/>
  <c r="O199" i="95" s="1"/>
  <c r="N199" i="95" a="1"/>
  <c r="N199" i="95" s="1"/>
  <c r="M199" i="95" a="1"/>
  <c r="M199" i="95" s="1"/>
  <c r="L199" i="95" a="1"/>
  <c r="L199" i="95" s="1"/>
  <c r="K199" i="95" a="1"/>
  <c r="K199" i="95" s="1"/>
  <c r="J199" i="95" a="1"/>
  <c r="J199" i="95" s="1"/>
  <c r="I199" i="95" a="1"/>
  <c r="I199" i="95" s="1"/>
  <c r="H199" i="95" a="1"/>
  <c r="H199" i="95" s="1"/>
  <c r="G199" i="95" a="1"/>
  <c r="G199" i="95" s="1"/>
  <c r="F199" i="95" a="1"/>
  <c r="F199" i="95" s="1"/>
  <c r="E199" i="95" a="1"/>
  <c r="E199" i="95" s="1"/>
  <c r="D199" i="95" a="1"/>
  <c r="D199" i="95" s="1"/>
  <c r="AH198" i="95" a="1"/>
  <c r="AH198" i="95" s="1"/>
  <c r="AG198" i="95" a="1"/>
  <c r="AG198" i="95" s="1"/>
  <c r="AF198" i="95" a="1"/>
  <c r="AF198" i="95" s="1"/>
  <c r="AE198" i="95" a="1"/>
  <c r="AE198" i="95" s="1"/>
  <c r="AD198" i="95" a="1"/>
  <c r="AD198" i="95" s="1"/>
  <c r="AC198" i="95" a="1"/>
  <c r="AC198" i="95" s="1"/>
  <c r="AB198" i="95" a="1"/>
  <c r="AB198" i="95" s="1"/>
  <c r="AA198" i="95" a="1"/>
  <c r="AA198" i="95" s="1"/>
  <c r="Z198" i="95" a="1"/>
  <c r="Z198" i="95" s="1"/>
  <c r="Y198" i="95" a="1"/>
  <c r="Y198" i="95" s="1"/>
  <c r="X198" i="95" a="1"/>
  <c r="X198" i="95" s="1"/>
  <c r="W198" i="95" a="1"/>
  <c r="W198" i="95" s="1"/>
  <c r="V198" i="95" a="1"/>
  <c r="V198" i="95" s="1"/>
  <c r="U198" i="95" a="1"/>
  <c r="U198" i="95" s="1"/>
  <c r="T198" i="95" a="1"/>
  <c r="T198" i="95" s="1"/>
  <c r="S198" i="95" a="1"/>
  <c r="S198" i="95" s="1"/>
  <c r="R198" i="95" a="1"/>
  <c r="R198" i="95" s="1"/>
  <c r="Q198" i="95" a="1"/>
  <c r="Q198" i="95" s="1"/>
  <c r="P198" i="95" a="1"/>
  <c r="P198" i="95" s="1"/>
  <c r="O198" i="95" a="1"/>
  <c r="O198" i="95" s="1"/>
  <c r="N198" i="95" a="1"/>
  <c r="N198" i="95" s="1"/>
  <c r="M198" i="95" a="1"/>
  <c r="M198" i="95" s="1"/>
  <c r="L198" i="95" a="1"/>
  <c r="L198" i="95" s="1"/>
  <c r="K198" i="95" a="1"/>
  <c r="K198" i="95" s="1"/>
  <c r="J198" i="95" a="1"/>
  <c r="J198" i="95" s="1"/>
  <c r="I198" i="95" a="1"/>
  <c r="I198" i="95" s="1"/>
  <c r="H198" i="95" a="1"/>
  <c r="H198" i="95" s="1"/>
  <c r="G198" i="95" a="1"/>
  <c r="G198" i="95" s="1"/>
  <c r="F198" i="95" a="1"/>
  <c r="F198" i="95" s="1"/>
  <c r="E198" i="95" a="1"/>
  <c r="E198" i="95" s="1"/>
  <c r="D198" i="95" a="1"/>
  <c r="D198" i="95" s="1"/>
  <c r="AH197" i="95" a="1"/>
  <c r="AH197" i="95" s="1"/>
  <c r="AG197" i="95" a="1"/>
  <c r="AG197" i="95" s="1"/>
  <c r="AF197" i="95" a="1"/>
  <c r="AF197" i="95" s="1"/>
  <c r="AE197" i="95" a="1"/>
  <c r="AE197" i="95" s="1"/>
  <c r="AD197" i="95" a="1"/>
  <c r="AD197" i="95" s="1"/>
  <c r="AC197" i="95" a="1"/>
  <c r="AC197" i="95" s="1"/>
  <c r="AB197" i="95" a="1"/>
  <c r="AB197" i="95" s="1"/>
  <c r="AA197" i="95" a="1"/>
  <c r="AA197" i="95" s="1"/>
  <c r="Z197" i="95" a="1"/>
  <c r="Z197" i="95" s="1"/>
  <c r="Y197" i="95" a="1"/>
  <c r="Y197" i="95" s="1"/>
  <c r="X197" i="95" a="1"/>
  <c r="X197" i="95" s="1"/>
  <c r="W197" i="95" a="1"/>
  <c r="W197" i="95" s="1"/>
  <c r="V197" i="95" a="1"/>
  <c r="V197" i="95" s="1"/>
  <c r="U197" i="95" a="1"/>
  <c r="U197" i="95" s="1"/>
  <c r="T197" i="95" a="1"/>
  <c r="T197" i="95" s="1"/>
  <c r="S197" i="95" a="1"/>
  <c r="S197" i="95" s="1"/>
  <c r="R197" i="95" a="1"/>
  <c r="R197" i="95" s="1"/>
  <c r="Q197" i="95" a="1"/>
  <c r="Q197" i="95" s="1"/>
  <c r="P197" i="95" a="1"/>
  <c r="P197" i="95" s="1"/>
  <c r="O197" i="95" a="1"/>
  <c r="O197" i="95" s="1"/>
  <c r="N197" i="95" a="1"/>
  <c r="N197" i="95" s="1"/>
  <c r="M197" i="95" a="1"/>
  <c r="M197" i="95" s="1"/>
  <c r="L197" i="95" a="1"/>
  <c r="L197" i="95" s="1"/>
  <c r="K197" i="95" a="1"/>
  <c r="K197" i="95" s="1"/>
  <c r="J197" i="95" a="1"/>
  <c r="J197" i="95" s="1"/>
  <c r="I197" i="95" a="1"/>
  <c r="I197" i="95" s="1"/>
  <c r="H197" i="95" a="1"/>
  <c r="H197" i="95" s="1"/>
  <c r="G197" i="95" a="1"/>
  <c r="G197" i="95" s="1"/>
  <c r="F197" i="95" a="1"/>
  <c r="F197" i="95" s="1"/>
  <c r="E197" i="95" a="1"/>
  <c r="E197" i="95" s="1"/>
  <c r="D197" i="95" a="1"/>
  <c r="D197" i="95" s="1"/>
  <c r="AH196" i="95" a="1"/>
  <c r="AH196" i="95" s="1"/>
  <c r="AG196" i="95" a="1"/>
  <c r="AG196" i="95" s="1"/>
  <c r="AF196" i="95" a="1"/>
  <c r="AF196" i="95" s="1"/>
  <c r="AE196" i="95" a="1"/>
  <c r="AE196" i="95" s="1"/>
  <c r="AD196" i="95" a="1"/>
  <c r="AD196" i="95" s="1"/>
  <c r="AC196" i="95" a="1"/>
  <c r="AC196" i="95" s="1"/>
  <c r="AB196" i="95" a="1"/>
  <c r="AB196" i="95" s="1"/>
  <c r="AA196" i="95" a="1"/>
  <c r="AA196" i="95" s="1"/>
  <c r="Z196" i="95" a="1"/>
  <c r="Z196" i="95" s="1"/>
  <c r="Y196" i="95" a="1"/>
  <c r="Y196" i="95" s="1"/>
  <c r="X196" i="95" a="1"/>
  <c r="X196" i="95" s="1"/>
  <c r="W196" i="95" a="1"/>
  <c r="W196" i="95" s="1"/>
  <c r="V196" i="95" a="1"/>
  <c r="V196" i="95" s="1"/>
  <c r="U196" i="95" a="1"/>
  <c r="U196" i="95" s="1"/>
  <c r="T196" i="95" a="1"/>
  <c r="T196" i="95" s="1"/>
  <c r="S196" i="95" a="1"/>
  <c r="S196" i="95" s="1"/>
  <c r="R196" i="95" a="1"/>
  <c r="R196" i="95" s="1"/>
  <c r="Q196" i="95" a="1"/>
  <c r="Q196" i="95" s="1"/>
  <c r="P196" i="95" a="1"/>
  <c r="P196" i="95" s="1"/>
  <c r="O196" i="95" a="1"/>
  <c r="O196" i="95" s="1"/>
  <c r="N196" i="95" a="1"/>
  <c r="N196" i="95" s="1"/>
  <c r="M196" i="95" a="1"/>
  <c r="M196" i="95" s="1"/>
  <c r="L196" i="95" a="1"/>
  <c r="L196" i="95" s="1"/>
  <c r="K196" i="95" a="1"/>
  <c r="K196" i="95" s="1"/>
  <c r="J196" i="95" a="1"/>
  <c r="J196" i="95" s="1"/>
  <c r="I196" i="95" a="1"/>
  <c r="I196" i="95" s="1"/>
  <c r="H196" i="95" a="1"/>
  <c r="H196" i="95" s="1"/>
  <c r="G196" i="95" a="1"/>
  <c r="G196" i="95" s="1"/>
  <c r="F196" i="95" a="1"/>
  <c r="F196" i="95" s="1"/>
  <c r="E196" i="95" a="1"/>
  <c r="E196" i="95" s="1"/>
  <c r="D196" i="95" a="1"/>
  <c r="D196" i="95" s="1"/>
  <c r="AH195" i="95" a="1"/>
  <c r="AH195" i="95" s="1"/>
  <c r="AG195" i="95" a="1"/>
  <c r="AG195" i="95" s="1"/>
  <c r="AF195" i="95" a="1"/>
  <c r="AF195" i="95" s="1"/>
  <c r="AE195" i="95" a="1"/>
  <c r="AE195" i="95" s="1"/>
  <c r="AD195" i="95" a="1"/>
  <c r="AD195" i="95" s="1"/>
  <c r="AC195" i="95" a="1"/>
  <c r="AC195" i="95" s="1"/>
  <c r="AB195" i="95" a="1"/>
  <c r="AB195" i="95" s="1"/>
  <c r="AA195" i="95" a="1"/>
  <c r="AA195" i="95" s="1"/>
  <c r="Z195" i="95" a="1"/>
  <c r="Z195" i="95" s="1"/>
  <c r="Y195" i="95" a="1"/>
  <c r="Y195" i="95" s="1"/>
  <c r="X195" i="95" a="1"/>
  <c r="X195" i="95" s="1"/>
  <c r="W195" i="95" a="1"/>
  <c r="W195" i="95" s="1"/>
  <c r="V195" i="95" a="1"/>
  <c r="V195" i="95" s="1"/>
  <c r="U195" i="95" a="1"/>
  <c r="U195" i="95" s="1"/>
  <c r="T195" i="95" a="1"/>
  <c r="T195" i="95" s="1"/>
  <c r="S195" i="95" a="1"/>
  <c r="S195" i="95" s="1"/>
  <c r="R195" i="95" a="1"/>
  <c r="R195" i="95" s="1"/>
  <c r="Q195" i="95" a="1"/>
  <c r="Q195" i="95" s="1"/>
  <c r="P195" i="95" a="1"/>
  <c r="P195" i="95" s="1"/>
  <c r="O195" i="95" a="1"/>
  <c r="O195" i="95" s="1"/>
  <c r="N195" i="95" a="1"/>
  <c r="N195" i="95" s="1"/>
  <c r="M195" i="95" a="1"/>
  <c r="M195" i="95" s="1"/>
  <c r="L195" i="95" a="1"/>
  <c r="L195" i="95" s="1"/>
  <c r="K195" i="95" a="1"/>
  <c r="K195" i="95" s="1"/>
  <c r="J195" i="95" a="1"/>
  <c r="J195" i="95" s="1"/>
  <c r="I195" i="95" a="1"/>
  <c r="I195" i="95" s="1"/>
  <c r="H195" i="95" a="1"/>
  <c r="H195" i="95" s="1"/>
  <c r="G195" i="95" a="1"/>
  <c r="G195" i="95" s="1"/>
  <c r="F195" i="95" a="1"/>
  <c r="F195" i="95" s="1"/>
  <c r="E195" i="95" a="1"/>
  <c r="E195" i="95" s="1"/>
  <c r="D195" i="95" a="1"/>
  <c r="D195" i="95" s="1"/>
  <c r="AH194" i="95" a="1"/>
  <c r="AH194" i="95" s="1"/>
  <c r="AG194" i="95" a="1"/>
  <c r="AG194" i="95" s="1"/>
  <c r="AF194" i="95" a="1"/>
  <c r="AF194" i="95" s="1"/>
  <c r="AE194" i="95" a="1"/>
  <c r="AE194" i="95" s="1"/>
  <c r="AD194" i="95" a="1"/>
  <c r="AD194" i="95" s="1"/>
  <c r="AC194" i="95" a="1"/>
  <c r="AC194" i="95" s="1"/>
  <c r="AB194" i="95" a="1"/>
  <c r="AB194" i="95" s="1"/>
  <c r="AA194" i="95" a="1"/>
  <c r="AA194" i="95" s="1"/>
  <c r="Z194" i="95" a="1"/>
  <c r="Z194" i="95" s="1"/>
  <c r="Y194" i="95" a="1"/>
  <c r="Y194" i="95" s="1"/>
  <c r="X194" i="95" a="1"/>
  <c r="X194" i="95" s="1"/>
  <c r="W194" i="95" a="1"/>
  <c r="W194" i="95" s="1"/>
  <c r="V194" i="95" a="1"/>
  <c r="V194" i="95" s="1"/>
  <c r="U194" i="95" a="1"/>
  <c r="U194" i="95" s="1"/>
  <c r="T194" i="95" a="1"/>
  <c r="T194" i="95" s="1"/>
  <c r="S194" i="95" a="1"/>
  <c r="S194" i="95" s="1"/>
  <c r="R194" i="95" a="1"/>
  <c r="R194" i="95" s="1"/>
  <c r="Q194" i="95" a="1"/>
  <c r="Q194" i="95" s="1"/>
  <c r="P194" i="95" a="1"/>
  <c r="P194" i="95" s="1"/>
  <c r="O194" i="95" a="1"/>
  <c r="O194" i="95" s="1"/>
  <c r="N194" i="95" a="1"/>
  <c r="N194" i="95" s="1"/>
  <c r="M194" i="95" a="1"/>
  <c r="M194" i="95" s="1"/>
  <c r="L194" i="95" a="1"/>
  <c r="L194" i="95" s="1"/>
  <c r="K194" i="95" a="1"/>
  <c r="K194" i="95" s="1"/>
  <c r="J194" i="95" a="1"/>
  <c r="J194" i="95" s="1"/>
  <c r="I194" i="95" a="1"/>
  <c r="I194" i="95" s="1"/>
  <c r="H194" i="95" a="1"/>
  <c r="H194" i="95" s="1"/>
  <c r="G194" i="95" a="1"/>
  <c r="G194" i="95" s="1"/>
  <c r="F194" i="95" a="1"/>
  <c r="F194" i="95" s="1"/>
  <c r="E194" i="95" a="1"/>
  <c r="E194" i="95" s="1"/>
  <c r="D194" i="95" a="1"/>
  <c r="D194" i="95" s="1"/>
  <c r="AH193" i="95" a="1"/>
  <c r="AH193" i="95" s="1"/>
  <c r="AG193" i="95" a="1"/>
  <c r="AG193" i="95" s="1"/>
  <c r="AF193" i="95" a="1"/>
  <c r="AF193" i="95" s="1"/>
  <c r="AE193" i="95" a="1"/>
  <c r="AE193" i="95" s="1"/>
  <c r="AD193" i="95" a="1"/>
  <c r="AD193" i="95" s="1"/>
  <c r="AC193" i="95" a="1"/>
  <c r="AC193" i="95" s="1"/>
  <c r="AB193" i="95" a="1"/>
  <c r="AB193" i="95" s="1"/>
  <c r="AA193" i="95" a="1"/>
  <c r="AA193" i="95" s="1"/>
  <c r="Z193" i="95" a="1"/>
  <c r="Z193" i="95" s="1"/>
  <c r="Y193" i="95" a="1"/>
  <c r="Y193" i="95" s="1"/>
  <c r="X193" i="95" a="1"/>
  <c r="X193" i="95" s="1"/>
  <c r="W193" i="95" a="1"/>
  <c r="W193" i="95" s="1"/>
  <c r="V193" i="95" a="1"/>
  <c r="V193" i="95" s="1"/>
  <c r="U193" i="95" a="1"/>
  <c r="U193" i="95" s="1"/>
  <c r="T193" i="95" a="1"/>
  <c r="T193" i="95" s="1"/>
  <c r="S193" i="95" a="1"/>
  <c r="S193" i="95" s="1"/>
  <c r="R193" i="95" a="1"/>
  <c r="R193" i="95" s="1"/>
  <c r="Q193" i="95" a="1"/>
  <c r="Q193" i="95" s="1"/>
  <c r="P193" i="95" a="1"/>
  <c r="P193" i="95" s="1"/>
  <c r="O193" i="95" a="1"/>
  <c r="O193" i="95" s="1"/>
  <c r="N193" i="95" a="1"/>
  <c r="N193" i="95" s="1"/>
  <c r="M193" i="95" a="1"/>
  <c r="M193" i="95" s="1"/>
  <c r="L193" i="95" a="1"/>
  <c r="L193" i="95" s="1"/>
  <c r="K193" i="95" a="1"/>
  <c r="K193" i="95" s="1"/>
  <c r="J193" i="95" a="1"/>
  <c r="J193" i="95" s="1"/>
  <c r="I193" i="95" a="1"/>
  <c r="I193" i="95" s="1"/>
  <c r="H193" i="95" a="1"/>
  <c r="H193" i="95" s="1"/>
  <c r="G193" i="95" a="1"/>
  <c r="G193" i="95" s="1"/>
  <c r="F193" i="95" a="1"/>
  <c r="F193" i="95" s="1"/>
  <c r="E193" i="95" a="1"/>
  <c r="E193" i="95" s="1"/>
  <c r="D193" i="95" a="1"/>
  <c r="D193" i="95" s="1"/>
  <c r="AH192" i="95" a="1"/>
  <c r="AH192" i="95" s="1"/>
  <c r="AG192" i="95" a="1"/>
  <c r="AG192" i="95" s="1"/>
  <c r="AF192" i="95" a="1"/>
  <c r="AF192" i="95" s="1"/>
  <c r="AE192" i="95" a="1"/>
  <c r="AE192" i="95" s="1"/>
  <c r="AD192" i="95" a="1"/>
  <c r="AD192" i="95" s="1"/>
  <c r="AC192" i="95" a="1"/>
  <c r="AC192" i="95" s="1"/>
  <c r="AB192" i="95" a="1"/>
  <c r="AB192" i="95" s="1"/>
  <c r="AA192" i="95" a="1"/>
  <c r="AA192" i="95" s="1"/>
  <c r="Z192" i="95" a="1"/>
  <c r="Z192" i="95" s="1"/>
  <c r="Y192" i="95" a="1"/>
  <c r="Y192" i="95" s="1"/>
  <c r="X192" i="95" a="1"/>
  <c r="X192" i="95" s="1"/>
  <c r="W192" i="95" a="1"/>
  <c r="W192" i="95" s="1"/>
  <c r="V192" i="95" a="1"/>
  <c r="V192" i="95" s="1"/>
  <c r="U192" i="95" a="1"/>
  <c r="U192" i="95" s="1"/>
  <c r="T192" i="95" a="1"/>
  <c r="T192" i="95" s="1"/>
  <c r="S192" i="95" a="1"/>
  <c r="S192" i="95" s="1"/>
  <c r="R192" i="95" a="1"/>
  <c r="R192" i="95" s="1"/>
  <c r="Q192" i="95" a="1"/>
  <c r="Q192" i="95" s="1"/>
  <c r="P192" i="95" a="1"/>
  <c r="P192" i="95" s="1"/>
  <c r="O192" i="95" a="1"/>
  <c r="O192" i="95" s="1"/>
  <c r="N192" i="95" a="1"/>
  <c r="N192" i="95" s="1"/>
  <c r="M192" i="95" a="1"/>
  <c r="M192" i="95" s="1"/>
  <c r="L192" i="95" a="1"/>
  <c r="L192" i="95" s="1"/>
  <c r="K192" i="95" a="1"/>
  <c r="K192" i="95" s="1"/>
  <c r="J192" i="95" a="1"/>
  <c r="J192" i="95" s="1"/>
  <c r="I192" i="95" a="1"/>
  <c r="I192" i="95" s="1"/>
  <c r="H192" i="95" a="1"/>
  <c r="H192" i="95" s="1"/>
  <c r="G192" i="95" a="1"/>
  <c r="G192" i="95" s="1"/>
  <c r="F192" i="95" a="1"/>
  <c r="F192" i="95" s="1"/>
  <c r="E192" i="95" a="1"/>
  <c r="E192" i="95" s="1"/>
  <c r="D192" i="95" a="1"/>
  <c r="D192" i="95" s="1"/>
  <c r="AH191" i="95" a="1"/>
  <c r="AH191" i="95" s="1"/>
  <c r="AG191" i="95" a="1"/>
  <c r="AG191" i="95" s="1"/>
  <c r="AF191" i="95" a="1"/>
  <c r="AF191" i="95" s="1"/>
  <c r="AE191" i="95" a="1"/>
  <c r="AE191" i="95" s="1"/>
  <c r="AD191" i="95" a="1"/>
  <c r="AD191" i="95" s="1"/>
  <c r="AC191" i="95" a="1"/>
  <c r="AC191" i="95" s="1"/>
  <c r="AB191" i="95" a="1"/>
  <c r="AB191" i="95" s="1"/>
  <c r="AA191" i="95" a="1"/>
  <c r="AA191" i="95" s="1"/>
  <c r="Z191" i="95" a="1"/>
  <c r="Z191" i="95" s="1"/>
  <c r="Y191" i="95" a="1"/>
  <c r="Y191" i="95" s="1"/>
  <c r="X191" i="95" a="1"/>
  <c r="X191" i="95" s="1"/>
  <c r="W191" i="95" a="1"/>
  <c r="W191" i="95" s="1"/>
  <c r="V191" i="95" a="1"/>
  <c r="V191" i="95" s="1"/>
  <c r="U191" i="95" a="1"/>
  <c r="U191" i="95" s="1"/>
  <c r="T191" i="95" a="1"/>
  <c r="T191" i="95" s="1"/>
  <c r="S191" i="95" a="1"/>
  <c r="S191" i="95" s="1"/>
  <c r="R191" i="95" a="1"/>
  <c r="R191" i="95" s="1"/>
  <c r="Q191" i="95" a="1"/>
  <c r="Q191" i="95" s="1"/>
  <c r="P191" i="95" a="1"/>
  <c r="P191" i="95" s="1"/>
  <c r="O191" i="95" a="1"/>
  <c r="O191" i="95" s="1"/>
  <c r="N191" i="95" a="1"/>
  <c r="N191" i="95" s="1"/>
  <c r="M191" i="95" a="1"/>
  <c r="M191" i="95" s="1"/>
  <c r="L191" i="95" a="1"/>
  <c r="L191" i="95" s="1"/>
  <c r="K191" i="95" a="1"/>
  <c r="K191" i="95" s="1"/>
  <c r="J191" i="95" a="1"/>
  <c r="J191" i="95" s="1"/>
  <c r="I191" i="95" a="1"/>
  <c r="I191" i="95" s="1"/>
  <c r="H191" i="95" a="1"/>
  <c r="H191" i="95" s="1"/>
  <c r="G191" i="95" a="1"/>
  <c r="G191" i="95" s="1"/>
  <c r="F191" i="95" a="1"/>
  <c r="F191" i="95" s="1"/>
  <c r="E191" i="95" a="1"/>
  <c r="E191" i="95" s="1"/>
  <c r="D191" i="95" a="1"/>
  <c r="D191" i="95" s="1"/>
  <c r="AH190" i="95" a="1"/>
  <c r="AH190" i="95" s="1"/>
  <c r="AG190" i="95" a="1"/>
  <c r="AG190" i="95" s="1"/>
  <c r="AF190" i="95" a="1"/>
  <c r="AF190" i="95" s="1"/>
  <c r="AE190" i="95" a="1"/>
  <c r="AE190" i="95" s="1"/>
  <c r="AD190" i="95" a="1"/>
  <c r="AD190" i="95" s="1"/>
  <c r="AC190" i="95" a="1"/>
  <c r="AC190" i="95" s="1"/>
  <c r="AB190" i="95" a="1"/>
  <c r="AB190" i="95" s="1"/>
  <c r="AA190" i="95" a="1"/>
  <c r="AA190" i="95" s="1"/>
  <c r="Z190" i="95" a="1"/>
  <c r="Z190" i="95" s="1"/>
  <c r="Y190" i="95" a="1"/>
  <c r="Y190" i="95" s="1"/>
  <c r="X190" i="95" a="1"/>
  <c r="X190" i="95" s="1"/>
  <c r="W190" i="95" a="1"/>
  <c r="W190" i="95" s="1"/>
  <c r="V190" i="95" a="1"/>
  <c r="V190" i="95" s="1"/>
  <c r="U190" i="95" a="1"/>
  <c r="U190" i="95" s="1"/>
  <c r="T190" i="95" a="1"/>
  <c r="T190" i="95" s="1"/>
  <c r="S190" i="95" a="1"/>
  <c r="S190" i="95" s="1"/>
  <c r="R190" i="95" a="1"/>
  <c r="R190" i="95" s="1"/>
  <c r="Q190" i="95" a="1"/>
  <c r="Q190" i="95" s="1"/>
  <c r="P190" i="95" a="1"/>
  <c r="P190" i="95" s="1"/>
  <c r="O190" i="95" a="1"/>
  <c r="O190" i="95" s="1"/>
  <c r="N190" i="95" a="1"/>
  <c r="N190" i="95" s="1"/>
  <c r="M190" i="95" a="1"/>
  <c r="M190" i="95" s="1"/>
  <c r="L190" i="95" a="1"/>
  <c r="L190" i="95" s="1"/>
  <c r="K190" i="95" a="1"/>
  <c r="K190" i="95" s="1"/>
  <c r="J190" i="95" a="1"/>
  <c r="J190" i="95" s="1"/>
  <c r="I190" i="95" a="1"/>
  <c r="I190" i="95" s="1"/>
  <c r="H190" i="95" a="1"/>
  <c r="H190" i="95" s="1"/>
  <c r="G190" i="95" a="1"/>
  <c r="G190" i="95" s="1"/>
  <c r="F190" i="95" a="1"/>
  <c r="F190" i="95" s="1"/>
  <c r="E190" i="95" a="1"/>
  <c r="E190" i="95" s="1"/>
  <c r="D190" i="95" a="1"/>
  <c r="D190" i="95" s="1"/>
  <c r="AH189" i="95" a="1"/>
  <c r="AH189" i="95" s="1"/>
  <c r="AG189" i="95" a="1"/>
  <c r="AG189" i="95" s="1"/>
  <c r="AF189" i="95" a="1"/>
  <c r="AF189" i="95" s="1"/>
  <c r="AE189" i="95" a="1"/>
  <c r="AE189" i="95" s="1"/>
  <c r="AD189" i="95" a="1"/>
  <c r="AD189" i="95" s="1"/>
  <c r="AC189" i="95" a="1"/>
  <c r="AC189" i="95" s="1"/>
  <c r="AB189" i="95" a="1"/>
  <c r="AB189" i="95" s="1"/>
  <c r="AA189" i="95" a="1"/>
  <c r="AA189" i="95" s="1"/>
  <c r="Z189" i="95" a="1"/>
  <c r="Z189" i="95" s="1"/>
  <c r="Y189" i="95" a="1"/>
  <c r="Y189" i="95" s="1"/>
  <c r="X189" i="95" a="1"/>
  <c r="X189" i="95" s="1"/>
  <c r="W189" i="95" a="1"/>
  <c r="W189" i="95" s="1"/>
  <c r="V189" i="95" a="1"/>
  <c r="V189" i="95" s="1"/>
  <c r="U189" i="95" a="1"/>
  <c r="U189" i="95" s="1"/>
  <c r="T189" i="95" a="1"/>
  <c r="T189" i="95" s="1"/>
  <c r="S189" i="95" a="1"/>
  <c r="S189" i="95" s="1"/>
  <c r="R189" i="95" a="1"/>
  <c r="R189" i="95" s="1"/>
  <c r="Q189" i="95" a="1"/>
  <c r="Q189" i="95" s="1"/>
  <c r="P189" i="95" a="1"/>
  <c r="P189" i="95" s="1"/>
  <c r="O189" i="95" a="1"/>
  <c r="O189" i="95" s="1"/>
  <c r="N189" i="95" a="1"/>
  <c r="N189" i="95" s="1"/>
  <c r="M189" i="95" a="1"/>
  <c r="M189" i="95" s="1"/>
  <c r="L189" i="95" a="1"/>
  <c r="L189" i="95" s="1"/>
  <c r="K189" i="95" a="1"/>
  <c r="K189" i="95" s="1"/>
  <c r="J189" i="95" a="1"/>
  <c r="J189" i="95" s="1"/>
  <c r="I189" i="95" a="1"/>
  <c r="I189" i="95" s="1"/>
  <c r="H189" i="95" a="1"/>
  <c r="H189" i="95" s="1"/>
  <c r="G189" i="95" a="1"/>
  <c r="G189" i="95" s="1"/>
  <c r="F189" i="95" a="1"/>
  <c r="F189" i="95" s="1"/>
  <c r="E189" i="95" a="1"/>
  <c r="E189" i="95" s="1"/>
  <c r="D189" i="95" a="1"/>
  <c r="D189" i="95" s="1"/>
  <c r="AH188" i="95" a="1"/>
  <c r="AH188" i="95" s="1"/>
  <c r="AG188" i="95" a="1"/>
  <c r="AG188" i="95" s="1"/>
  <c r="AF188" i="95" a="1"/>
  <c r="AF188" i="95" s="1"/>
  <c r="AE188" i="95" a="1"/>
  <c r="AE188" i="95" s="1"/>
  <c r="AD188" i="95" a="1"/>
  <c r="AD188" i="95" s="1"/>
  <c r="AC188" i="95" a="1"/>
  <c r="AC188" i="95" s="1"/>
  <c r="AB188" i="95" a="1"/>
  <c r="AB188" i="95" s="1"/>
  <c r="AA188" i="95" a="1"/>
  <c r="AA188" i="95" s="1"/>
  <c r="Z188" i="95" a="1"/>
  <c r="Z188" i="95" s="1"/>
  <c r="Y188" i="95" a="1"/>
  <c r="Y188" i="95" s="1"/>
  <c r="X188" i="95" a="1"/>
  <c r="X188" i="95" s="1"/>
  <c r="W188" i="95" a="1"/>
  <c r="W188" i="95" s="1"/>
  <c r="V188" i="95" a="1"/>
  <c r="V188" i="95" s="1"/>
  <c r="U188" i="95" a="1"/>
  <c r="U188" i="95" s="1"/>
  <c r="T188" i="95" a="1"/>
  <c r="T188" i="95" s="1"/>
  <c r="S188" i="95" a="1"/>
  <c r="S188" i="95" s="1"/>
  <c r="R188" i="95" a="1"/>
  <c r="R188" i="95" s="1"/>
  <c r="Q188" i="95" a="1"/>
  <c r="Q188" i="95" s="1"/>
  <c r="P188" i="95" a="1"/>
  <c r="P188" i="95" s="1"/>
  <c r="O188" i="95" a="1"/>
  <c r="O188" i="95" s="1"/>
  <c r="N188" i="95" a="1"/>
  <c r="N188" i="95" s="1"/>
  <c r="M188" i="95" a="1"/>
  <c r="M188" i="95" s="1"/>
  <c r="L188" i="95" a="1"/>
  <c r="L188" i="95" s="1"/>
  <c r="K188" i="95" a="1"/>
  <c r="K188" i="95" s="1"/>
  <c r="J188" i="95" a="1"/>
  <c r="J188" i="95" s="1"/>
  <c r="I188" i="95" a="1"/>
  <c r="I188" i="95" s="1"/>
  <c r="H188" i="95" a="1"/>
  <c r="H188" i="95" s="1"/>
  <c r="G188" i="95" a="1"/>
  <c r="G188" i="95" s="1"/>
  <c r="F188" i="95" a="1"/>
  <c r="F188" i="95" s="1"/>
  <c r="E188" i="95" a="1"/>
  <c r="E188" i="95" s="1"/>
  <c r="D188" i="95" a="1"/>
  <c r="D188" i="95" s="1"/>
  <c r="AH187" i="95" a="1"/>
  <c r="AH187" i="95" s="1"/>
  <c r="AG187" i="95" a="1"/>
  <c r="AG187" i="95" s="1"/>
  <c r="AF187" i="95" a="1"/>
  <c r="AF187" i="95" s="1"/>
  <c r="AE187" i="95" a="1"/>
  <c r="AE187" i="95" s="1"/>
  <c r="AD187" i="95" a="1"/>
  <c r="AD187" i="95" s="1"/>
  <c r="AC187" i="95" a="1"/>
  <c r="AC187" i="95" s="1"/>
  <c r="AB187" i="95" a="1"/>
  <c r="AB187" i="95" s="1"/>
  <c r="AA187" i="95" a="1"/>
  <c r="AA187" i="95" s="1"/>
  <c r="Z187" i="95" a="1"/>
  <c r="Z187" i="95" s="1"/>
  <c r="Y187" i="95" a="1"/>
  <c r="Y187" i="95" s="1"/>
  <c r="X187" i="95" a="1"/>
  <c r="X187" i="95" s="1"/>
  <c r="W187" i="95" a="1"/>
  <c r="W187" i="95" s="1"/>
  <c r="V187" i="95" a="1"/>
  <c r="V187" i="95" s="1"/>
  <c r="U187" i="95" a="1"/>
  <c r="U187" i="95" s="1"/>
  <c r="T187" i="95" a="1"/>
  <c r="T187" i="95" s="1"/>
  <c r="S187" i="95" a="1"/>
  <c r="S187" i="95" s="1"/>
  <c r="R187" i="95" a="1"/>
  <c r="R187" i="95" s="1"/>
  <c r="Q187" i="95" a="1"/>
  <c r="Q187" i="95" s="1"/>
  <c r="P187" i="95" a="1"/>
  <c r="P187" i="95" s="1"/>
  <c r="O187" i="95" a="1"/>
  <c r="O187" i="95" s="1"/>
  <c r="N187" i="95" a="1"/>
  <c r="N187" i="95" s="1"/>
  <c r="M187" i="95" a="1"/>
  <c r="M187" i="95" s="1"/>
  <c r="L187" i="95" a="1"/>
  <c r="L187" i="95" s="1"/>
  <c r="K187" i="95" a="1"/>
  <c r="K187" i="95" s="1"/>
  <c r="J187" i="95" a="1"/>
  <c r="J187" i="95" s="1"/>
  <c r="I187" i="95" a="1"/>
  <c r="I187" i="95" s="1"/>
  <c r="H187" i="95" a="1"/>
  <c r="H187" i="95" s="1"/>
  <c r="G187" i="95" a="1"/>
  <c r="G187" i="95" s="1"/>
  <c r="F187" i="95" a="1"/>
  <c r="F187" i="95" s="1"/>
  <c r="E187" i="95" a="1"/>
  <c r="E187" i="95" s="1"/>
  <c r="D187" i="95" a="1"/>
  <c r="D187" i="95" s="1"/>
  <c r="AH186" i="95" a="1"/>
  <c r="AH186" i="95" s="1"/>
  <c r="AG186" i="95" a="1"/>
  <c r="AG186" i="95" s="1"/>
  <c r="AF186" i="95" a="1"/>
  <c r="AF186" i="95" s="1"/>
  <c r="AE186" i="95" a="1"/>
  <c r="AE186" i="95" s="1"/>
  <c r="AD186" i="95" a="1"/>
  <c r="AD186" i="95" s="1"/>
  <c r="AC186" i="95" a="1"/>
  <c r="AC186" i="95" s="1"/>
  <c r="AB186" i="95" a="1"/>
  <c r="AB186" i="95" s="1"/>
  <c r="AA186" i="95" a="1"/>
  <c r="AA186" i="95" s="1"/>
  <c r="Z186" i="95" a="1"/>
  <c r="Z186" i="95" s="1"/>
  <c r="Y186" i="95" a="1"/>
  <c r="Y186" i="95" s="1"/>
  <c r="X186" i="95" a="1"/>
  <c r="X186" i="95" s="1"/>
  <c r="W186" i="95" a="1"/>
  <c r="W186" i="95" s="1"/>
  <c r="V186" i="95" a="1"/>
  <c r="V186" i="95" s="1"/>
  <c r="U186" i="95" a="1"/>
  <c r="U186" i="95" s="1"/>
  <c r="T186" i="95" a="1"/>
  <c r="T186" i="95" s="1"/>
  <c r="S186" i="95" a="1"/>
  <c r="S186" i="95" s="1"/>
  <c r="R186" i="95" a="1"/>
  <c r="R186" i="95" s="1"/>
  <c r="Q186" i="95" a="1"/>
  <c r="Q186" i="95" s="1"/>
  <c r="P186" i="95" a="1"/>
  <c r="P186" i="95" s="1"/>
  <c r="O186" i="95" a="1"/>
  <c r="O186" i="95" s="1"/>
  <c r="N186" i="95" a="1"/>
  <c r="N186" i="95" s="1"/>
  <c r="M186" i="95" a="1"/>
  <c r="M186" i="95" s="1"/>
  <c r="L186" i="95" a="1"/>
  <c r="L186" i="95" s="1"/>
  <c r="K186" i="95" a="1"/>
  <c r="K186" i="95" s="1"/>
  <c r="J186" i="95" a="1"/>
  <c r="J186" i="95" s="1"/>
  <c r="I186" i="95" a="1"/>
  <c r="I186" i="95" s="1"/>
  <c r="H186" i="95" a="1"/>
  <c r="H186" i="95" s="1"/>
  <c r="G186" i="95" a="1"/>
  <c r="G186" i="95" s="1"/>
  <c r="F186" i="95" a="1"/>
  <c r="F186" i="95" s="1"/>
  <c r="E186" i="95" a="1"/>
  <c r="E186" i="95" s="1"/>
  <c r="D186" i="95" a="1"/>
  <c r="D186" i="95" s="1"/>
  <c r="AH185" i="95" a="1"/>
  <c r="AH185" i="95" s="1"/>
  <c r="AG185" i="95" a="1"/>
  <c r="AG185" i="95" s="1"/>
  <c r="AF185" i="95" a="1"/>
  <c r="AF185" i="95" s="1"/>
  <c r="AE185" i="95" a="1"/>
  <c r="AE185" i="95" s="1"/>
  <c r="AD185" i="95" a="1"/>
  <c r="AD185" i="95" s="1"/>
  <c r="AC185" i="95" a="1"/>
  <c r="AC185" i="95" s="1"/>
  <c r="AB185" i="95" a="1"/>
  <c r="AB185" i="95" s="1"/>
  <c r="AA185" i="95" a="1"/>
  <c r="AA185" i="95" s="1"/>
  <c r="Z185" i="95" a="1"/>
  <c r="Z185" i="95" s="1"/>
  <c r="Y185" i="95" a="1"/>
  <c r="Y185" i="95" s="1"/>
  <c r="X185" i="95" a="1"/>
  <c r="X185" i="95" s="1"/>
  <c r="W185" i="95" a="1"/>
  <c r="W185" i="95" s="1"/>
  <c r="V185" i="95" a="1"/>
  <c r="V185" i="95" s="1"/>
  <c r="U185" i="95" a="1"/>
  <c r="U185" i="95" s="1"/>
  <c r="T185" i="95" a="1"/>
  <c r="T185" i="95" s="1"/>
  <c r="S185" i="95" a="1"/>
  <c r="S185" i="95" s="1"/>
  <c r="R185" i="95" a="1"/>
  <c r="R185" i="95" s="1"/>
  <c r="Q185" i="95" a="1"/>
  <c r="Q185" i="95" s="1"/>
  <c r="P185" i="95" a="1"/>
  <c r="P185" i="95" s="1"/>
  <c r="O185" i="95" a="1"/>
  <c r="O185" i="95" s="1"/>
  <c r="N185" i="95" a="1"/>
  <c r="N185" i="95" s="1"/>
  <c r="M185" i="95" a="1"/>
  <c r="M185" i="95" s="1"/>
  <c r="L185" i="95" a="1"/>
  <c r="L185" i="95" s="1"/>
  <c r="K185" i="95" a="1"/>
  <c r="K185" i="95" s="1"/>
  <c r="J185" i="95" a="1"/>
  <c r="J185" i="95" s="1"/>
  <c r="I185" i="95" a="1"/>
  <c r="I185" i="95" s="1"/>
  <c r="H185" i="95" a="1"/>
  <c r="H185" i="95" s="1"/>
  <c r="G185" i="95" a="1"/>
  <c r="G185" i="95" s="1"/>
  <c r="F185" i="95" a="1"/>
  <c r="F185" i="95" s="1"/>
  <c r="E185" i="95" a="1"/>
  <c r="E185" i="95" s="1"/>
  <c r="D185" i="95" a="1"/>
  <c r="D185" i="95" s="1"/>
  <c r="AH184" i="95" a="1"/>
  <c r="AH184" i="95" s="1"/>
  <c r="AG184" i="95" a="1"/>
  <c r="AG184" i="95" s="1"/>
  <c r="AF184" i="95" a="1"/>
  <c r="AF184" i="95" s="1"/>
  <c r="AE184" i="95" a="1"/>
  <c r="AE184" i="95" s="1"/>
  <c r="AD184" i="95" a="1"/>
  <c r="AD184" i="95" s="1"/>
  <c r="AC184" i="95" a="1"/>
  <c r="AC184" i="95" s="1"/>
  <c r="AB184" i="95" a="1"/>
  <c r="AB184" i="95" s="1"/>
  <c r="AA184" i="95" a="1"/>
  <c r="AA184" i="95" s="1"/>
  <c r="Z184" i="95" a="1"/>
  <c r="Z184" i="95" s="1"/>
  <c r="Y184" i="95" a="1"/>
  <c r="Y184" i="95" s="1"/>
  <c r="X184" i="95" a="1"/>
  <c r="X184" i="95" s="1"/>
  <c r="W184" i="95" a="1"/>
  <c r="W184" i="95" s="1"/>
  <c r="V184" i="95" a="1"/>
  <c r="V184" i="95" s="1"/>
  <c r="U184" i="95" a="1"/>
  <c r="U184" i="95" s="1"/>
  <c r="T184" i="95" a="1"/>
  <c r="T184" i="95" s="1"/>
  <c r="S184" i="95" a="1"/>
  <c r="S184" i="95" s="1"/>
  <c r="R184" i="95" a="1"/>
  <c r="R184" i="95" s="1"/>
  <c r="Q184" i="95" a="1"/>
  <c r="Q184" i="95" s="1"/>
  <c r="P184" i="95" a="1"/>
  <c r="P184" i="95" s="1"/>
  <c r="O184" i="95" a="1"/>
  <c r="O184" i="95" s="1"/>
  <c r="N184" i="95" a="1"/>
  <c r="N184" i="95" s="1"/>
  <c r="M184" i="95" a="1"/>
  <c r="M184" i="95" s="1"/>
  <c r="L184" i="95" a="1"/>
  <c r="L184" i="95" s="1"/>
  <c r="K184" i="95" a="1"/>
  <c r="K184" i="95" s="1"/>
  <c r="J184" i="95" a="1"/>
  <c r="J184" i="95" s="1"/>
  <c r="I184" i="95" a="1"/>
  <c r="I184" i="95" s="1"/>
  <c r="H184" i="95" a="1"/>
  <c r="H184" i="95" s="1"/>
  <c r="G184" i="95" a="1"/>
  <c r="G184" i="95" s="1"/>
  <c r="F184" i="95" a="1"/>
  <c r="F184" i="95" s="1"/>
  <c r="E184" i="95" a="1"/>
  <c r="E184" i="95" s="1"/>
  <c r="D184" i="95" a="1"/>
  <c r="D184" i="95" s="1"/>
  <c r="AH183" i="95" a="1"/>
  <c r="AH183" i="95" s="1"/>
  <c r="AG183" i="95" a="1"/>
  <c r="AG183" i="95" s="1"/>
  <c r="AF183" i="95" a="1"/>
  <c r="AF183" i="95" s="1"/>
  <c r="AE183" i="95" a="1"/>
  <c r="AE183" i="95" s="1"/>
  <c r="AD183" i="95" a="1"/>
  <c r="AD183" i="95" s="1"/>
  <c r="AC183" i="95" a="1"/>
  <c r="AC183" i="95" s="1"/>
  <c r="AB183" i="95" a="1"/>
  <c r="AB183" i="95" s="1"/>
  <c r="AA183" i="95" a="1"/>
  <c r="AA183" i="95" s="1"/>
  <c r="Z183" i="95" a="1"/>
  <c r="Z183" i="95" s="1"/>
  <c r="Y183" i="95" a="1"/>
  <c r="Y183" i="95" s="1"/>
  <c r="X183" i="95" a="1"/>
  <c r="X183" i="95" s="1"/>
  <c r="W183" i="95" a="1"/>
  <c r="W183" i="95" s="1"/>
  <c r="V183" i="95" a="1"/>
  <c r="V183" i="95" s="1"/>
  <c r="U183" i="95" a="1"/>
  <c r="U183" i="95" s="1"/>
  <c r="T183" i="95" a="1"/>
  <c r="T183" i="95" s="1"/>
  <c r="S183" i="95" a="1"/>
  <c r="S183" i="95" s="1"/>
  <c r="R183" i="95" a="1"/>
  <c r="R183" i="95" s="1"/>
  <c r="Q183" i="95" a="1"/>
  <c r="Q183" i="95" s="1"/>
  <c r="P183" i="95" a="1"/>
  <c r="P183" i="95" s="1"/>
  <c r="O183" i="95" a="1"/>
  <c r="O183" i="95" s="1"/>
  <c r="N183" i="95" a="1"/>
  <c r="N183" i="95" s="1"/>
  <c r="M183" i="95" a="1"/>
  <c r="M183" i="95" s="1"/>
  <c r="L183" i="95" a="1"/>
  <c r="L183" i="95" s="1"/>
  <c r="K183" i="95" a="1"/>
  <c r="K183" i="95" s="1"/>
  <c r="J183" i="95" a="1"/>
  <c r="J183" i="95" s="1"/>
  <c r="I183" i="95" a="1"/>
  <c r="I183" i="95" s="1"/>
  <c r="H183" i="95" a="1"/>
  <c r="H183" i="95" s="1"/>
  <c r="G183" i="95" a="1"/>
  <c r="G183" i="95" s="1"/>
  <c r="F183" i="95" a="1"/>
  <c r="F183" i="95" s="1"/>
  <c r="E183" i="95" a="1"/>
  <c r="E183" i="95" s="1"/>
  <c r="D183" i="95" a="1"/>
  <c r="D183" i="95" s="1"/>
  <c r="AH182" i="95" a="1"/>
  <c r="AH182" i="95" s="1"/>
  <c r="AG182" i="95" a="1"/>
  <c r="AG182" i="95" s="1"/>
  <c r="AF182" i="95" a="1"/>
  <c r="AF182" i="95" s="1"/>
  <c r="AE182" i="95" a="1"/>
  <c r="AE182" i="95" s="1"/>
  <c r="AD182" i="95" a="1"/>
  <c r="AD182" i="95" s="1"/>
  <c r="AC182" i="95" a="1"/>
  <c r="AC182" i="95" s="1"/>
  <c r="AB182" i="95" a="1"/>
  <c r="AB182" i="95" s="1"/>
  <c r="AA182" i="95" a="1"/>
  <c r="AA182" i="95" s="1"/>
  <c r="Z182" i="95" a="1"/>
  <c r="Z182" i="95" s="1"/>
  <c r="Y182" i="95" a="1"/>
  <c r="Y182" i="95" s="1"/>
  <c r="X182" i="95" a="1"/>
  <c r="X182" i="95" s="1"/>
  <c r="W182" i="95" a="1"/>
  <c r="W182" i="95" s="1"/>
  <c r="V182" i="95" a="1"/>
  <c r="V182" i="95" s="1"/>
  <c r="U182" i="95" a="1"/>
  <c r="U182" i="95" s="1"/>
  <c r="T182" i="95" a="1"/>
  <c r="T182" i="95" s="1"/>
  <c r="S182" i="95" a="1"/>
  <c r="S182" i="95" s="1"/>
  <c r="R182" i="95" a="1"/>
  <c r="R182" i="95" s="1"/>
  <c r="Q182" i="95" a="1"/>
  <c r="Q182" i="95" s="1"/>
  <c r="P182" i="95" a="1"/>
  <c r="P182" i="95" s="1"/>
  <c r="O182" i="95" a="1"/>
  <c r="O182" i="95" s="1"/>
  <c r="N182" i="95" a="1"/>
  <c r="N182" i="95" s="1"/>
  <c r="M182" i="95" a="1"/>
  <c r="M182" i="95" s="1"/>
  <c r="L182" i="95" a="1"/>
  <c r="L182" i="95" s="1"/>
  <c r="K182" i="95" a="1"/>
  <c r="K182" i="95" s="1"/>
  <c r="J182" i="95" a="1"/>
  <c r="J182" i="95" s="1"/>
  <c r="I182" i="95" a="1"/>
  <c r="I182" i="95" s="1"/>
  <c r="H182" i="95" a="1"/>
  <c r="H182" i="95" s="1"/>
  <c r="G182" i="95" a="1"/>
  <c r="G182" i="95" s="1"/>
  <c r="F182" i="95" a="1"/>
  <c r="F182" i="95" s="1"/>
  <c r="E182" i="95" a="1"/>
  <c r="E182" i="95" s="1"/>
  <c r="D182" i="95" a="1"/>
  <c r="D182" i="95" s="1"/>
  <c r="AH181" i="95" a="1"/>
  <c r="AH181" i="95" s="1"/>
  <c r="AG181" i="95" a="1"/>
  <c r="AG181" i="95" s="1"/>
  <c r="AF181" i="95" a="1"/>
  <c r="AF181" i="95" s="1"/>
  <c r="AE181" i="95" a="1"/>
  <c r="AE181" i="95" s="1"/>
  <c r="AD181" i="95" a="1"/>
  <c r="AD181" i="95" s="1"/>
  <c r="AC181" i="95" a="1"/>
  <c r="AC181" i="95" s="1"/>
  <c r="AB181" i="95" a="1"/>
  <c r="AB181" i="95" s="1"/>
  <c r="AA181" i="95" a="1"/>
  <c r="AA181" i="95" s="1"/>
  <c r="Z181" i="95" a="1"/>
  <c r="Z181" i="95" s="1"/>
  <c r="Y181" i="95" a="1"/>
  <c r="Y181" i="95" s="1"/>
  <c r="X181" i="95" a="1"/>
  <c r="X181" i="95" s="1"/>
  <c r="W181" i="95" a="1"/>
  <c r="W181" i="95" s="1"/>
  <c r="V181" i="95" a="1"/>
  <c r="V181" i="95" s="1"/>
  <c r="U181" i="95" a="1"/>
  <c r="U181" i="95" s="1"/>
  <c r="T181" i="95" a="1"/>
  <c r="T181" i="95" s="1"/>
  <c r="S181" i="95" a="1"/>
  <c r="S181" i="95" s="1"/>
  <c r="R181" i="95" a="1"/>
  <c r="R181" i="95" s="1"/>
  <c r="Q181" i="95" a="1"/>
  <c r="Q181" i="95" s="1"/>
  <c r="P181" i="95" a="1"/>
  <c r="P181" i="95" s="1"/>
  <c r="O181" i="95" a="1"/>
  <c r="O181" i="95" s="1"/>
  <c r="N181" i="95" a="1"/>
  <c r="N181" i="95" s="1"/>
  <c r="M181" i="95" a="1"/>
  <c r="M181" i="95" s="1"/>
  <c r="L181" i="95" a="1"/>
  <c r="L181" i="95" s="1"/>
  <c r="K181" i="95" a="1"/>
  <c r="K181" i="95" s="1"/>
  <c r="J181" i="95" a="1"/>
  <c r="J181" i="95" s="1"/>
  <c r="I181" i="95" a="1"/>
  <c r="I181" i="95" s="1"/>
  <c r="H181" i="95" a="1"/>
  <c r="H181" i="95" s="1"/>
  <c r="G181" i="95" a="1"/>
  <c r="G181" i="95" s="1"/>
  <c r="F181" i="95" a="1"/>
  <c r="F181" i="95" s="1"/>
  <c r="E181" i="95" a="1"/>
  <c r="E181" i="95" s="1"/>
  <c r="D181" i="95" a="1"/>
  <c r="D181" i="95" s="1"/>
  <c r="AH180" i="95" a="1"/>
  <c r="AH180" i="95" s="1"/>
  <c r="AG180" i="95" a="1"/>
  <c r="AG180" i="95" s="1"/>
  <c r="AF180" i="95" a="1"/>
  <c r="AF180" i="95" s="1"/>
  <c r="AE180" i="95" a="1"/>
  <c r="AE180" i="95" s="1"/>
  <c r="AD180" i="95" a="1"/>
  <c r="AD180" i="95" s="1"/>
  <c r="AC180" i="95" a="1"/>
  <c r="AC180" i="95" s="1"/>
  <c r="AB180" i="95" a="1"/>
  <c r="AB180" i="95" s="1"/>
  <c r="AA180" i="95" a="1"/>
  <c r="AA180" i="95" s="1"/>
  <c r="Z180" i="95" a="1"/>
  <c r="Z180" i="95" s="1"/>
  <c r="Y180" i="95" a="1"/>
  <c r="Y180" i="95" s="1"/>
  <c r="X180" i="95" a="1"/>
  <c r="X180" i="95" s="1"/>
  <c r="W180" i="95" a="1"/>
  <c r="W180" i="95" s="1"/>
  <c r="V180" i="95" a="1"/>
  <c r="V180" i="95" s="1"/>
  <c r="U180" i="95" a="1"/>
  <c r="U180" i="95" s="1"/>
  <c r="T180" i="95" a="1"/>
  <c r="T180" i="95" s="1"/>
  <c r="S180" i="95" a="1"/>
  <c r="S180" i="95" s="1"/>
  <c r="R180" i="95" a="1"/>
  <c r="R180" i="95" s="1"/>
  <c r="Q180" i="95" a="1"/>
  <c r="Q180" i="95" s="1"/>
  <c r="P180" i="95" a="1"/>
  <c r="P180" i="95" s="1"/>
  <c r="O180" i="95" a="1"/>
  <c r="O180" i="95" s="1"/>
  <c r="N180" i="95" a="1"/>
  <c r="N180" i="95" s="1"/>
  <c r="M180" i="95" a="1"/>
  <c r="M180" i="95" s="1"/>
  <c r="L180" i="95" a="1"/>
  <c r="L180" i="95" s="1"/>
  <c r="K180" i="95" a="1"/>
  <c r="K180" i="95" s="1"/>
  <c r="J180" i="95" a="1"/>
  <c r="J180" i="95" s="1"/>
  <c r="I180" i="95" a="1"/>
  <c r="I180" i="95" s="1"/>
  <c r="H180" i="95" a="1"/>
  <c r="H180" i="95" s="1"/>
  <c r="G180" i="95" a="1"/>
  <c r="G180" i="95" s="1"/>
  <c r="F180" i="95" a="1"/>
  <c r="F180" i="95" s="1"/>
  <c r="E180" i="95" a="1"/>
  <c r="E180" i="95" s="1"/>
  <c r="D180" i="95" a="1"/>
  <c r="D180" i="95" s="1"/>
  <c r="AH179" i="95" a="1"/>
  <c r="AH179" i="95" s="1"/>
  <c r="AG179" i="95" a="1"/>
  <c r="AG179" i="95" s="1"/>
  <c r="AF179" i="95" a="1"/>
  <c r="AF179" i="95" s="1"/>
  <c r="AE179" i="95" a="1"/>
  <c r="AE179" i="95" s="1"/>
  <c r="AD179" i="95" a="1"/>
  <c r="AD179" i="95" s="1"/>
  <c r="AC179" i="95" a="1"/>
  <c r="AC179" i="95" s="1"/>
  <c r="AB179" i="95" a="1"/>
  <c r="AB179" i="95" s="1"/>
  <c r="AA179" i="95" a="1"/>
  <c r="AA179" i="95" s="1"/>
  <c r="Z179" i="95" a="1"/>
  <c r="Z179" i="95" s="1"/>
  <c r="Y179" i="95" a="1"/>
  <c r="Y179" i="95" s="1"/>
  <c r="X179" i="95" a="1"/>
  <c r="X179" i="95" s="1"/>
  <c r="W179" i="95" a="1"/>
  <c r="W179" i="95" s="1"/>
  <c r="V179" i="95" a="1"/>
  <c r="V179" i="95" s="1"/>
  <c r="U179" i="95" a="1"/>
  <c r="U179" i="95" s="1"/>
  <c r="T179" i="95" a="1"/>
  <c r="T179" i="95" s="1"/>
  <c r="S179" i="95" a="1"/>
  <c r="S179" i="95" s="1"/>
  <c r="R179" i="95" a="1"/>
  <c r="R179" i="95" s="1"/>
  <c r="Q179" i="95" a="1"/>
  <c r="Q179" i="95" s="1"/>
  <c r="P179" i="95" a="1"/>
  <c r="P179" i="95" s="1"/>
  <c r="O179" i="95" a="1"/>
  <c r="O179" i="95" s="1"/>
  <c r="N179" i="95" a="1"/>
  <c r="N179" i="95" s="1"/>
  <c r="M179" i="95" a="1"/>
  <c r="M179" i="95" s="1"/>
  <c r="L179" i="95" a="1"/>
  <c r="L179" i="95" s="1"/>
  <c r="K179" i="95" a="1"/>
  <c r="K179" i="95" s="1"/>
  <c r="J179" i="95" a="1"/>
  <c r="J179" i="95" s="1"/>
  <c r="I179" i="95" a="1"/>
  <c r="I179" i="95" s="1"/>
  <c r="H179" i="95" a="1"/>
  <c r="H179" i="95" s="1"/>
  <c r="G179" i="95" a="1"/>
  <c r="G179" i="95" s="1"/>
  <c r="F179" i="95" a="1"/>
  <c r="F179" i="95" s="1"/>
  <c r="E179" i="95" a="1"/>
  <c r="E179" i="95" s="1"/>
  <c r="D179" i="95" a="1"/>
  <c r="D179" i="95" s="1"/>
  <c r="AH178" i="95" a="1"/>
  <c r="AH178" i="95" s="1"/>
  <c r="AG178" i="95" a="1"/>
  <c r="AG178" i="95" s="1"/>
  <c r="AF178" i="95" a="1"/>
  <c r="AF178" i="95" s="1"/>
  <c r="AE178" i="95" a="1"/>
  <c r="AE178" i="95" s="1"/>
  <c r="AD178" i="95" a="1"/>
  <c r="AD178" i="95" s="1"/>
  <c r="AC178" i="95" a="1"/>
  <c r="AC178" i="95" s="1"/>
  <c r="AB178" i="95" a="1"/>
  <c r="AB178" i="95" s="1"/>
  <c r="AA178" i="95" a="1"/>
  <c r="AA178" i="95" s="1"/>
  <c r="Z178" i="95" a="1"/>
  <c r="Z178" i="95" s="1"/>
  <c r="Y178" i="95" a="1"/>
  <c r="Y178" i="95" s="1"/>
  <c r="X178" i="95" a="1"/>
  <c r="X178" i="95" s="1"/>
  <c r="W178" i="95" a="1"/>
  <c r="W178" i="95" s="1"/>
  <c r="V178" i="95" a="1"/>
  <c r="V178" i="95" s="1"/>
  <c r="U178" i="95" a="1"/>
  <c r="U178" i="95" s="1"/>
  <c r="T178" i="95" a="1"/>
  <c r="T178" i="95" s="1"/>
  <c r="S178" i="95" a="1"/>
  <c r="S178" i="95" s="1"/>
  <c r="R178" i="95" a="1"/>
  <c r="R178" i="95" s="1"/>
  <c r="Q178" i="95" a="1"/>
  <c r="Q178" i="95" s="1"/>
  <c r="P178" i="95" a="1"/>
  <c r="P178" i="95" s="1"/>
  <c r="O178" i="95" a="1"/>
  <c r="O178" i="95" s="1"/>
  <c r="N178" i="95" a="1"/>
  <c r="N178" i="95" s="1"/>
  <c r="M178" i="95" a="1"/>
  <c r="M178" i="95" s="1"/>
  <c r="L178" i="95" a="1"/>
  <c r="L178" i="95" s="1"/>
  <c r="K178" i="95" a="1"/>
  <c r="K178" i="95" s="1"/>
  <c r="J178" i="95" a="1"/>
  <c r="J178" i="95" s="1"/>
  <c r="I178" i="95" a="1"/>
  <c r="I178" i="95" s="1"/>
  <c r="H178" i="95" a="1"/>
  <c r="H178" i="95" s="1"/>
  <c r="G178" i="95" a="1"/>
  <c r="G178" i="95" s="1"/>
  <c r="F178" i="95" a="1"/>
  <c r="F178" i="95" s="1"/>
  <c r="E178" i="95" a="1"/>
  <c r="E178" i="95" s="1"/>
  <c r="D178" i="95" a="1"/>
  <c r="D178" i="95" s="1"/>
  <c r="AH177" i="95" a="1"/>
  <c r="AH177" i="95" s="1"/>
  <c r="AG177" i="95" a="1"/>
  <c r="AG177" i="95" s="1"/>
  <c r="AF177" i="95" a="1"/>
  <c r="AF177" i="95" s="1"/>
  <c r="AE177" i="95" a="1"/>
  <c r="AE177" i="95" s="1"/>
  <c r="AD177" i="95" a="1"/>
  <c r="AD177" i="95" s="1"/>
  <c r="AC177" i="95" a="1"/>
  <c r="AC177" i="95" s="1"/>
  <c r="AB177" i="95" a="1"/>
  <c r="AB177" i="95" s="1"/>
  <c r="AA177" i="95" a="1"/>
  <c r="AA177" i="95" s="1"/>
  <c r="Z177" i="95" a="1"/>
  <c r="Z177" i="95" s="1"/>
  <c r="Y177" i="95" a="1"/>
  <c r="Y177" i="95" s="1"/>
  <c r="X177" i="95" a="1"/>
  <c r="X177" i="95" s="1"/>
  <c r="W177" i="95" a="1"/>
  <c r="W177" i="95" s="1"/>
  <c r="V177" i="95" a="1"/>
  <c r="V177" i="95" s="1"/>
  <c r="U177" i="95" a="1"/>
  <c r="U177" i="95" s="1"/>
  <c r="T177" i="95" a="1"/>
  <c r="T177" i="95" s="1"/>
  <c r="S177" i="95" a="1"/>
  <c r="S177" i="95" s="1"/>
  <c r="R177" i="95" a="1"/>
  <c r="R177" i="95" s="1"/>
  <c r="Q177" i="95" a="1"/>
  <c r="Q177" i="95" s="1"/>
  <c r="P177" i="95" a="1"/>
  <c r="P177" i="95" s="1"/>
  <c r="O177" i="95" a="1"/>
  <c r="O177" i="95" s="1"/>
  <c r="N177" i="95" a="1"/>
  <c r="N177" i="95" s="1"/>
  <c r="M177" i="95" a="1"/>
  <c r="M177" i="95" s="1"/>
  <c r="L177" i="95" a="1"/>
  <c r="L177" i="95" s="1"/>
  <c r="K177" i="95" a="1"/>
  <c r="K177" i="95" s="1"/>
  <c r="J177" i="95" a="1"/>
  <c r="J177" i="95" s="1"/>
  <c r="I177" i="95" a="1"/>
  <c r="I177" i="95" s="1"/>
  <c r="H177" i="95" a="1"/>
  <c r="H177" i="95" s="1"/>
  <c r="G177" i="95" a="1"/>
  <c r="G177" i="95" s="1"/>
  <c r="F177" i="95" a="1"/>
  <c r="F177" i="95" s="1"/>
  <c r="E177" i="95" a="1"/>
  <c r="E177" i="95" s="1"/>
  <c r="D177" i="95" a="1"/>
  <c r="D177" i="95" s="1"/>
  <c r="AH176" i="95" a="1"/>
  <c r="AH176" i="95" s="1"/>
  <c r="AG176" i="95" a="1"/>
  <c r="AG176" i="95" s="1"/>
  <c r="AF176" i="95" a="1"/>
  <c r="AF176" i="95" s="1"/>
  <c r="AE176" i="95" a="1"/>
  <c r="AE176" i="95" s="1"/>
  <c r="AD176" i="95" a="1"/>
  <c r="AD176" i="95" s="1"/>
  <c r="AC176" i="95" a="1"/>
  <c r="AC176" i="95" s="1"/>
  <c r="AB176" i="95" a="1"/>
  <c r="AB176" i="95" s="1"/>
  <c r="AA176" i="95" a="1"/>
  <c r="AA176" i="95" s="1"/>
  <c r="Z176" i="95" a="1"/>
  <c r="Z176" i="95" s="1"/>
  <c r="Y176" i="95" a="1"/>
  <c r="Y176" i="95" s="1"/>
  <c r="X176" i="95" a="1"/>
  <c r="X176" i="95" s="1"/>
  <c r="W176" i="95" a="1"/>
  <c r="W176" i="95" s="1"/>
  <c r="V176" i="95" a="1"/>
  <c r="V176" i="95" s="1"/>
  <c r="U176" i="95" a="1"/>
  <c r="U176" i="95" s="1"/>
  <c r="T176" i="95" a="1"/>
  <c r="T176" i="95" s="1"/>
  <c r="S176" i="95" a="1"/>
  <c r="S176" i="95" s="1"/>
  <c r="R176" i="95" a="1"/>
  <c r="R176" i="95" s="1"/>
  <c r="Q176" i="95" a="1"/>
  <c r="Q176" i="95" s="1"/>
  <c r="P176" i="95" a="1"/>
  <c r="P176" i="95" s="1"/>
  <c r="O176" i="95" a="1"/>
  <c r="O176" i="95" s="1"/>
  <c r="N176" i="95" a="1"/>
  <c r="N176" i="95" s="1"/>
  <c r="M176" i="95" a="1"/>
  <c r="M176" i="95" s="1"/>
  <c r="L176" i="95" a="1"/>
  <c r="L176" i="95" s="1"/>
  <c r="K176" i="95" a="1"/>
  <c r="K176" i="95" s="1"/>
  <c r="J176" i="95" a="1"/>
  <c r="J176" i="95" s="1"/>
  <c r="I176" i="95" a="1"/>
  <c r="I176" i="95" s="1"/>
  <c r="H176" i="95" a="1"/>
  <c r="H176" i="95" s="1"/>
  <c r="G176" i="95" a="1"/>
  <c r="G176" i="95" s="1"/>
  <c r="F176" i="95" a="1"/>
  <c r="F176" i="95" s="1"/>
  <c r="E176" i="95" a="1"/>
  <c r="E176" i="95" s="1"/>
  <c r="D176" i="95" a="1"/>
  <c r="D176" i="95" s="1"/>
  <c r="AH175" i="95" a="1"/>
  <c r="AH175" i="95" s="1"/>
  <c r="AG175" i="95" a="1"/>
  <c r="AG175" i="95" s="1"/>
  <c r="AF175" i="95" a="1"/>
  <c r="AF175" i="95" s="1"/>
  <c r="AE175" i="95" a="1"/>
  <c r="AE175" i="95" s="1"/>
  <c r="AD175" i="95" a="1"/>
  <c r="AD175" i="95" s="1"/>
  <c r="AC175" i="95" a="1"/>
  <c r="AC175" i="95" s="1"/>
  <c r="AB175" i="95" a="1"/>
  <c r="AB175" i="95" s="1"/>
  <c r="AA175" i="95" a="1"/>
  <c r="AA175" i="95" s="1"/>
  <c r="Z175" i="95" a="1"/>
  <c r="Z175" i="95" s="1"/>
  <c r="Y175" i="95" a="1"/>
  <c r="Y175" i="95" s="1"/>
  <c r="X175" i="95" a="1"/>
  <c r="X175" i="95" s="1"/>
  <c r="W175" i="95" a="1"/>
  <c r="W175" i="95" s="1"/>
  <c r="V175" i="95" a="1"/>
  <c r="V175" i="95" s="1"/>
  <c r="U175" i="95" a="1"/>
  <c r="U175" i="95" s="1"/>
  <c r="T175" i="95" a="1"/>
  <c r="T175" i="95" s="1"/>
  <c r="S175" i="95" a="1"/>
  <c r="S175" i="95" s="1"/>
  <c r="R175" i="95" a="1"/>
  <c r="R175" i="95" s="1"/>
  <c r="Q175" i="95" a="1"/>
  <c r="Q175" i="95" s="1"/>
  <c r="P175" i="95" a="1"/>
  <c r="P175" i="95" s="1"/>
  <c r="O175" i="95" a="1"/>
  <c r="O175" i="95" s="1"/>
  <c r="N175" i="95" a="1"/>
  <c r="N175" i="95" s="1"/>
  <c r="M175" i="95" a="1"/>
  <c r="M175" i="95" s="1"/>
  <c r="L175" i="95" a="1"/>
  <c r="L175" i="95" s="1"/>
  <c r="K175" i="95" a="1"/>
  <c r="K175" i="95" s="1"/>
  <c r="J175" i="95" a="1"/>
  <c r="J175" i="95" s="1"/>
  <c r="I175" i="95" a="1"/>
  <c r="I175" i="95" s="1"/>
  <c r="H175" i="95" a="1"/>
  <c r="H175" i="95" s="1"/>
  <c r="G175" i="95" a="1"/>
  <c r="G175" i="95" s="1"/>
  <c r="F175" i="95" a="1"/>
  <c r="F175" i="95" s="1"/>
  <c r="E175" i="95" a="1"/>
  <c r="E175" i="95" s="1"/>
  <c r="D175" i="95" a="1"/>
  <c r="D175" i="95" s="1"/>
  <c r="AH174" i="95" a="1"/>
  <c r="AH174" i="95" s="1"/>
  <c r="AG174" i="95" a="1"/>
  <c r="AG174" i="95" s="1"/>
  <c r="AF174" i="95" a="1"/>
  <c r="AF174" i="95" s="1"/>
  <c r="AE174" i="95" a="1"/>
  <c r="AE174" i="95" s="1"/>
  <c r="AD174" i="95" a="1"/>
  <c r="AD174" i="95" s="1"/>
  <c r="AC174" i="95" a="1"/>
  <c r="AC174" i="95" s="1"/>
  <c r="AB174" i="95" a="1"/>
  <c r="AB174" i="95" s="1"/>
  <c r="AA174" i="95" a="1"/>
  <c r="AA174" i="95" s="1"/>
  <c r="Z174" i="95" a="1"/>
  <c r="Z174" i="95" s="1"/>
  <c r="Y174" i="95" a="1"/>
  <c r="Y174" i="95" s="1"/>
  <c r="X174" i="95" a="1"/>
  <c r="X174" i="95" s="1"/>
  <c r="W174" i="95" a="1"/>
  <c r="W174" i="95" s="1"/>
  <c r="V174" i="95" a="1"/>
  <c r="V174" i="95" s="1"/>
  <c r="U174" i="95" a="1"/>
  <c r="U174" i="95" s="1"/>
  <c r="T174" i="95" a="1"/>
  <c r="T174" i="95" s="1"/>
  <c r="S174" i="95" a="1"/>
  <c r="S174" i="95" s="1"/>
  <c r="R174" i="95" a="1"/>
  <c r="R174" i="95" s="1"/>
  <c r="Q174" i="95" a="1"/>
  <c r="Q174" i="95" s="1"/>
  <c r="P174" i="95" a="1"/>
  <c r="P174" i="95" s="1"/>
  <c r="O174" i="95" a="1"/>
  <c r="O174" i="95" s="1"/>
  <c r="N174" i="95" a="1"/>
  <c r="N174" i="95" s="1"/>
  <c r="M174" i="95" a="1"/>
  <c r="M174" i="95" s="1"/>
  <c r="L174" i="95" a="1"/>
  <c r="L174" i="95" s="1"/>
  <c r="K174" i="95" a="1"/>
  <c r="K174" i="95" s="1"/>
  <c r="J174" i="95" a="1"/>
  <c r="J174" i="95" s="1"/>
  <c r="I174" i="95" a="1"/>
  <c r="I174" i="95" s="1"/>
  <c r="H174" i="95" a="1"/>
  <c r="H174" i="95" s="1"/>
  <c r="G174" i="95" a="1"/>
  <c r="G174" i="95" s="1"/>
  <c r="F174" i="95" a="1"/>
  <c r="F174" i="95" s="1"/>
  <c r="E174" i="95" a="1"/>
  <c r="E174" i="95" s="1"/>
  <c r="D174" i="95" a="1"/>
  <c r="D174" i="95" s="1"/>
  <c r="AH173" i="95" a="1"/>
  <c r="AH173" i="95" s="1"/>
  <c r="AG173" i="95" a="1"/>
  <c r="AG173" i="95" s="1"/>
  <c r="AF173" i="95" a="1"/>
  <c r="AF173" i="95" s="1"/>
  <c r="AE173" i="95" a="1"/>
  <c r="AE173" i="95" s="1"/>
  <c r="AD173" i="95" a="1"/>
  <c r="AD173" i="95" s="1"/>
  <c r="AC173" i="95" a="1"/>
  <c r="AC173" i="95" s="1"/>
  <c r="AB173" i="95" a="1"/>
  <c r="AB173" i="95" s="1"/>
  <c r="AA173" i="95" a="1"/>
  <c r="AA173" i="95" s="1"/>
  <c r="Z173" i="95" a="1"/>
  <c r="Z173" i="95" s="1"/>
  <c r="Y173" i="95" a="1"/>
  <c r="Y173" i="95" s="1"/>
  <c r="X173" i="95" a="1"/>
  <c r="X173" i="95" s="1"/>
  <c r="W173" i="95" a="1"/>
  <c r="W173" i="95" s="1"/>
  <c r="V173" i="95" a="1"/>
  <c r="V173" i="95" s="1"/>
  <c r="U173" i="95" a="1"/>
  <c r="U173" i="95" s="1"/>
  <c r="T173" i="95" a="1"/>
  <c r="T173" i="95" s="1"/>
  <c r="S173" i="95" a="1"/>
  <c r="S173" i="95" s="1"/>
  <c r="R173" i="95" a="1"/>
  <c r="R173" i="95" s="1"/>
  <c r="Q173" i="95" a="1"/>
  <c r="Q173" i="95" s="1"/>
  <c r="P173" i="95" a="1"/>
  <c r="P173" i="95" s="1"/>
  <c r="O173" i="95" a="1"/>
  <c r="O173" i="95" s="1"/>
  <c r="N173" i="95" a="1"/>
  <c r="N173" i="95" s="1"/>
  <c r="M173" i="95" a="1"/>
  <c r="M173" i="95" s="1"/>
  <c r="L173" i="95" a="1"/>
  <c r="L173" i="95" s="1"/>
  <c r="K173" i="95" a="1"/>
  <c r="K173" i="95" s="1"/>
  <c r="J173" i="95" a="1"/>
  <c r="J173" i="95" s="1"/>
  <c r="I173" i="95" a="1"/>
  <c r="I173" i="95" s="1"/>
  <c r="H173" i="95" a="1"/>
  <c r="H173" i="95" s="1"/>
  <c r="G173" i="95" a="1"/>
  <c r="G173" i="95" s="1"/>
  <c r="F173" i="95" a="1"/>
  <c r="F173" i="95" s="1"/>
  <c r="E173" i="95" a="1"/>
  <c r="E173" i="95" s="1"/>
  <c r="D173" i="95" a="1"/>
  <c r="D173" i="95" s="1"/>
  <c r="AH172" i="95" a="1"/>
  <c r="AH172" i="95" s="1"/>
  <c r="AG172" i="95" a="1"/>
  <c r="AG172" i="95" s="1"/>
  <c r="AF172" i="95" a="1"/>
  <c r="AF172" i="95" s="1"/>
  <c r="AE172" i="95" a="1"/>
  <c r="AE172" i="95" s="1"/>
  <c r="AD172" i="95" a="1"/>
  <c r="AD172" i="95" s="1"/>
  <c r="AC172" i="95" a="1"/>
  <c r="AC172" i="95" s="1"/>
  <c r="AB172" i="95" a="1"/>
  <c r="AB172" i="95" s="1"/>
  <c r="AA172" i="95" a="1"/>
  <c r="AA172" i="95" s="1"/>
  <c r="Z172" i="95" a="1"/>
  <c r="Z172" i="95" s="1"/>
  <c r="Y172" i="95" a="1"/>
  <c r="Y172" i="95" s="1"/>
  <c r="X172" i="95" a="1"/>
  <c r="X172" i="95" s="1"/>
  <c r="W172" i="95" a="1"/>
  <c r="W172" i="95" s="1"/>
  <c r="V172" i="95" a="1"/>
  <c r="V172" i="95" s="1"/>
  <c r="U172" i="95" a="1"/>
  <c r="U172" i="95" s="1"/>
  <c r="T172" i="95" a="1"/>
  <c r="T172" i="95" s="1"/>
  <c r="S172" i="95" a="1"/>
  <c r="S172" i="95" s="1"/>
  <c r="R172" i="95" a="1"/>
  <c r="R172" i="95" s="1"/>
  <c r="Q172" i="95" a="1"/>
  <c r="Q172" i="95" s="1"/>
  <c r="P172" i="95" a="1"/>
  <c r="P172" i="95" s="1"/>
  <c r="O172" i="95" a="1"/>
  <c r="O172" i="95" s="1"/>
  <c r="N172" i="95" a="1"/>
  <c r="N172" i="95" s="1"/>
  <c r="M172" i="95" a="1"/>
  <c r="M172" i="95" s="1"/>
  <c r="L172" i="95" a="1"/>
  <c r="L172" i="95" s="1"/>
  <c r="K172" i="95" a="1"/>
  <c r="K172" i="95" s="1"/>
  <c r="J172" i="95" a="1"/>
  <c r="J172" i="95" s="1"/>
  <c r="I172" i="95" a="1"/>
  <c r="I172" i="95" s="1"/>
  <c r="H172" i="95" a="1"/>
  <c r="H172" i="95" s="1"/>
  <c r="G172" i="95" a="1"/>
  <c r="G172" i="95" s="1"/>
  <c r="F172" i="95" a="1"/>
  <c r="F172" i="95" s="1"/>
  <c r="E172" i="95" a="1"/>
  <c r="E172" i="95" s="1"/>
  <c r="D172" i="95" a="1"/>
  <c r="D172" i="95" s="1"/>
  <c r="AH171" i="95" a="1"/>
  <c r="AH171" i="95" s="1"/>
  <c r="AG171" i="95" a="1"/>
  <c r="AG171" i="95" s="1"/>
  <c r="AF171" i="95" a="1"/>
  <c r="AF171" i="95" s="1"/>
  <c r="AE171" i="95" a="1"/>
  <c r="AE171" i="95" s="1"/>
  <c r="AD171" i="95" a="1"/>
  <c r="AD171" i="95" s="1"/>
  <c r="AC171" i="95" a="1"/>
  <c r="AC171" i="95" s="1"/>
  <c r="AB171" i="95" a="1"/>
  <c r="AB171" i="95" s="1"/>
  <c r="AA171" i="95" a="1"/>
  <c r="AA171" i="95" s="1"/>
  <c r="Z171" i="95" a="1"/>
  <c r="Z171" i="95" s="1"/>
  <c r="Y171" i="95" a="1"/>
  <c r="Y171" i="95" s="1"/>
  <c r="X171" i="95" a="1"/>
  <c r="X171" i="95" s="1"/>
  <c r="W171" i="95" a="1"/>
  <c r="W171" i="95" s="1"/>
  <c r="V171" i="95" a="1"/>
  <c r="V171" i="95" s="1"/>
  <c r="U171" i="95" a="1"/>
  <c r="U171" i="95" s="1"/>
  <c r="T171" i="95" a="1"/>
  <c r="T171" i="95" s="1"/>
  <c r="S171" i="95" a="1"/>
  <c r="S171" i="95" s="1"/>
  <c r="R171" i="95" a="1"/>
  <c r="R171" i="95" s="1"/>
  <c r="Q171" i="95" a="1"/>
  <c r="Q171" i="95" s="1"/>
  <c r="P171" i="95" a="1"/>
  <c r="P171" i="95" s="1"/>
  <c r="O171" i="95" a="1"/>
  <c r="O171" i="95" s="1"/>
  <c r="N171" i="95" a="1"/>
  <c r="N171" i="95" s="1"/>
  <c r="M171" i="95" a="1"/>
  <c r="M171" i="95" s="1"/>
  <c r="L171" i="95" a="1"/>
  <c r="L171" i="95" s="1"/>
  <c r="K171" i="95" a="1"/>
  <c r="K171" i="95" s="1"/>
  <c r="J171" i="95" a="1"/>
  <c r="J171" i="95" s="1"/>
  <c r="I171" i="95" a="1"/>
  <c r="I171" i="95" s="1"/>
  <c r="H171" i="95" a="1"/>
  <c r="H171" i="95" s="1"/>
  <c r="G171" i="95" a="1"/>
  <c r="G171" i="95" s="1"/>
  <c r="F171" i="95" a="1"/>
  <c r="F171" i="95" s="1"/>
  <c r="E171" i="95" a="1"/>
  <c r="E171" i="95" s="1"/>
  <c r="D171" i="95" a="1"/>
  <c r="D171" i="95" s="1"/>
  <c r="AH170" i="95" a="1"/>
  <c r="AH170" i="95" s="1"/>
  <c r="AG170" i="95" a="1"/>
  <c r="AG170" i="95" s="1"/>
  <c r="AF170" i="95" a="1"/>
  <c r="AF170" i="95" s="1"/>
  <c r="AE170" i="95" a="1"/>
  <c r="AE170" i="95" s="1"/>
  <c r="AD170" i="95" a="1"/>
  <c r="AD170" i="95" s="1"/>
  <c r="AC170" i="95" a="1"/>
  <c r="AC170" i="95" s="1"/>
  <c r="AB170" i="95" a="1"/>
  <c r="AB170" i="95" s="1"/>
  <c r="AA170" i="95" a="1"/>
  <c r="AA170" i="95" s="1"/>
  <c r="Z170" i="95" a="1"/>
  <c r="Z170" i="95" s="1"/>
  <c r="Y170" i="95" a="1"/>
  <c r="Y170" i="95" s="1"/>
  <c r="X170" i="95" a="1"/>
  <c r="X170" i="95" s="1"/>
  <c r="W170" i="95" a="1"/>
  <c r="W170" i="95" s="1"/>
  <c r="V170" i="95" a="1"/>
  <c r="V170" i="95" s="1"/>
  <c r="U170" i="95" a="1"/>
  <c r="U170" i="95" s="1"/>
  <c r="T170" i="95" a="1"/>
  <c r="T170" i="95" s="1"/>
  <c r="S170" i="95" a="1"/>
  <c r="S170" i="95" s="1"/>
  <c r="R170" i="95" a="1"/>
  <c r="R170" i="95" s="1"/>
  <c r="Q170" i="95" a="1"/>
  <c r="Q170" i="95" s="1"/>
  <c r="P170" i="95" a="1"/>
  <c r="P170" i="95" s="1"/>
  <c r="O170" i="95" a="1"/>
  <c r="O170" i="95" s="1"/>
  <c r="N170" i="95" a="1"/>
  <c r="N170" i="95" s="1"/>
  <c r="M170" i="95" a="1"/>
  <c r="M170" i="95" s="1"/>
  <c r="L170" i="95" a="1"/>
  <c r="L170" i="95" s="1"/>
  <c r="K170" i="95" a="1"/>
  <c r="K170" i="95" s="1"/>
  <c r="J170" i="95" a="1"/>
  <c r="J170" i="95" s="1"/>
  <c r="I170" i="95" a="1"/>
  <c r="I170" i="95" s="1"/>
  <c r="H170" i="95" a="1"/>
  <c r="H170" i="95" s="1"/>
  <c r="G170" i="95" a="1"/>
  <c r="G170" i="95" s="1"/>
  <c r="F170" i="95" a="1"/>
  <c r="F170" i="95" s="1"/>
  <c r="E170" i="95" a="1"/>
  <c r="E170" i="95" s="1"/>
  <c r="D170" i="95" a="1"/>
  <c r="D170" i="95" s="1"/>
  <c r="AH169" i="95" a="1"/>
  <c r="AH169" i="95" s="1"/>
  <c r="AG169" i="95" a="1"/>
  <c r="AG169" i="95" s="1"/>
  <c r="AF169" i="95" a="1"/>
  <c r="AF169" i="95" s="1"/>
  <c r="AE169" i="95" a="1"/>
  <c r="AE169" i="95" s="1"/>
  <c r="AD169" i="95" a="1"/>
  <c r="AD169" i="95" s="1"/>
  <c r="AC169" i="95" a="1"/>
  <c r="AC169" i="95" s="1"/>
  <c r="AB169" i="95" a="1"/>
  <c r="AB169" i="95" s="1"/>
  <c r="AA169" i="95" a="1"/>
  <c r="AA169" i="95" s="1"/>
  <c r="Z169" i="95" a="1"/>
  <c r="Z169" i="95" s="1"/>
  <c r="Y169" i="95" a="1"/>
  <c r="Y169" i="95" s="1"/>
  <c r="X169" i="95" a="1"/>
  <c r="X169" i="95" s="1"/>
  <c r="W169" i="95" a="1"/>
  <c r="W169" i="95" s="1"/>
  <c r="V169" i="95" a="1"/>
  <c r="V169" i="95" s="1"/>
  <c r="U169" i="95" a="1"/>
  <c r="U169" i="95" s="1"/>
  <c r="T169" i="95" a="1"/>
  <c r="T169" i="95" s="1"/>
  <c r="S169" i="95" a="1"/>
  <c r="S169" i="95" s="1"/>
  <c r="R169" i="95" a="1"/>
  <c r="R169" i="95" s="1"/>
  <c r="Q169" i="95" a="1"/>
  <c r="Q169" i="95" s="1"/>
  <c r="P169" i="95" a="1"/>
  <c r="P169" i="95" s="1"/>
  <c r="O169" i="95" a="1"/>
  <c r="O169" i="95" s="1"/>
  <c r="N169" i="95" a="1"/>
  <c r="N169" i="95" s="1"/>
  <c r="M169" i="95" a="1"/>
  <c r="M169" i="95" s="1"/>
  <c r="L169" i="95" a="1"/>
  <c r="L169" i="95" s="1"/>
  <c r="K169" i="95" a="1"/>
  <c r="K169" i="95" s="1"/>
  <c r="J169" i="95" a="1"/>
  <c r="J169" i="95" s="1"/>
  <c r="I169" i="95" a="1"/>
  <c r="I169" i="95" s="1"/>
  <c r="H169" i="95" a="1"/>
  <c r="H169" i="95" s="1"/>
  <c r="G169" i="95" a="1"/>
  <c r="G169" i="95" s="1"/>
  <c r="F169" i="95" a="1"/>
  <c r="F169" i="95" s="1"/>
  <c r="E169" i="95" a="1"/>
  <c r="E169" i="95" s="1"/>
  <c r="D169" i="95" a="1"/>
  <c r="D169" i="95" s="1"/>
  <c r="AH168" i="95" a="1"/>
  <c r="AH168" i="95" s="1"/>
  <c r="AG168" i="95" a="1"/>
  <c r="AG168" i="95" s="1"/>
  <c r="AF168" i="95" a="1"/>
  <c r="AF168" i="95" s="1"/>
  <c r="AE168" i="95" a="1"/>
  <c r="AE168" i="95" s="1"/>
  <c r="AD168" i="95" a="1"/>
  <c r="AD168" i="95" s="1"/>
  <c r="AC168" i="95" a="1"/>
  <c r="AC168" i="95" s="1"/>
  <c r="AB168" i="95" a="1"/>
  <c r="AB168" i="95" s="1"/>
  <c r="AA168" i="95" a="1"/>
  <c r="AA168" i="95" s="1"/>
  <c r="Z168" i="95" a="1"/>
  <c r="Z168" i="95" s="1"/>
  <c r="Y168" i="95" a="1"/>
  <c r="Y168" i="95" s="1"/>
  <c r="X168" i="95" a="1"/>
  <c r="X168" i="95" s="1"/>
  <c r="W168" i="95" a="1"/>
  <c r="W168" i="95" s="1"/>
  <c r="V168" i="95" a="1"/>
  <c r="V168" i="95" s="1"/>
  <c r="U168" i="95" a="1"/>
  <c r="U168" i="95" s="1"/>
  <c r="T168" i="95" a="1"/>
  <c r="T168" i="95" s="1"/>
  <c r="S168" i="95" a="1"/>
  <c r="S168" i="95" s="1"/>
  <c r="R168" i="95" a="1"/>
  <c r="R168" i="95" s="1"/>
  <c r="Q168" i="95" a="1"/>
  <c r="Q168" i="95" s="1"/>
  <c r="P168" i="95" a="1"/>
  <c r="P168" i="95" s="1"/>
  <c r="O168" i="95" a="1"/>
  <c r="O168" i="95" s="1"/>
  <c r="N168" i="95" a="1"/>
  <c r="N168" i="95" s="1"/>
  <c r="M168" i="95" a="1"/>
  <c r="M168" i="95" s="1"/>
  <c r="L168" i="95" a="1"/>
  <c r="L168" i="95" s="1"/>
  <c r="K168" i="95" a="1"/>
  <c r="K168" i="95" s="1"/>
  <c r="J168" i="95" a="1"/>
  <c r="J168" i="95" s="1"/>
  <c r="I168" i="95" a="1"/>
  <c r="I168" i="95" s="1"/>
  <c r="H168" i="95" a="1"/>
  <c r="H168" i="95" s="1"/>
  <c r="G168" i="95" a="1"/>
  <c r="G168" i="95" s="1"/>
  <c r="F168" i="95" a="1"/>
  <c r="F168" i="95" s="1"/>
  <c r="E168" i="95" a="1"/>
  <c r="E168" i="95" s="1"/>
  <c r="D168" i="95" a="1"/>
  <c r="D168" i="95" s="1"/>
  <c r="AH167" i="95" a="1"/>
  <c r="AH167" i="95" s="1"/>
  <c r="AG167" i="95" a="1"/>
  <c r="AG167" i="95" s="1"/>
  <c r="AF167" i="95" a="1"/>
  <c r="AF167" i="95" s="1"/>
  <c r="AE167" i="95" a="1"/>
  <c r="AE167" i="95" s="1"/>
  <c r="AD167" i="95" a="1"/>
  <c r="AD167" i="95" s="1"/>
  <c r="AC167" i="95" a="1"/>
  <c r="AC167" i="95" s="1"/>
  <c r="AB167" i="95" a="1"/>
  <c r="AB167" i="95" s="1"/>
  <c r="AA167" i="95" a="1"/>
  <c r="AA167" i="95" s="1"/>
  <c r="Z167" i="95" a="1"/>
  <c r="Z167" i="95" s="1"/>
  <c r="Y167" i="95" a="1"/>
  <c r="Y167" i="95" s="1"/>
  <c r="X167" i="95" a="1"/>
  <c r="X167" i="95" s="1"/>
  <c r="W167" i="95" a="1"/>
  <c r="W167" i="95" s="1"/>
  <c r="V167" i="95" a="1"/>
  <c r="V167" i="95" s="1"/>
  <c r="U167" i="95" a="1"/>
  <c r="U167" i="95" s="1"/>
  <c r="T167" i="95" a="1"/>
  <c r="T167" i="95" s="1"/>
  <c r="S167" i="95" a="1"/>
  <c r="S167" i="95" s="1"/>
  <c r="R167" i="95" a="1"/>
  <c r="R167" i="95" s="1"/>
  <c r="Q167" i="95" a="1"/>
  <c r="Q167" i="95" s="1"/>
  <c r="P167" i="95" a="1"/>
  <c r="P167" i="95" s="1"/>
  <c r="O167" i="95" a="1"/>
  <c r="O167" i="95" s="1"/>
  <c r="N167" i="95" a="1"/>
  <c r="N167" i="95" s="1"/>
  <c r="M167" i="95" a="1"/>
  <c r="M167" i="95" s="1"/>
  <c r="L167" i="95" a="1"/>
  <c r="L167" i="95" s="1"/>
  <c r="K167" i="95" a="1"/>
  <c r="K167" i="95" s="1"/>
  <c r="J167" i="95" a="1"/>
  <c r="J167" i="95" s="1"/>
  <c r="I167" i="95" a="1"/>
  <c r="I167" i="95" s="1"/>
  <c r="H167" i="95" a="1"/>
  <c r="H167" i="95" s="1"/>
  <c r="G167" i="95" a="1"/>
  <c r="G167" i="95" s="1"/>
  <c r="F167" i="95" a="1"/>
  <c r="F167" i="95" s="1"/>
  <c r="E167" i="95" a="1"/>
  <c r="E167" i="95" s="1"/>
  <c r="D167" i="95" a="1"/>
  <c r="D167" i="95" s="1"/>
  <c r="AH166" i="95" a="1"/>
  <c r="AH166" i="95" s="1"/>
  <c r="AG166" i="95" a="1"/>
  <c r="AG166" i="95" s="1"/>
  <c r="AF166" i="95" a="1"/>
  <c r="AF166" i="95" s="1"/>
  <c r="AE166" i="95" a="1"/>
  <c r="AE166" i="95" s="1"/>
  <c r="AD166" i="95" a="1"/>
  <c r="AD166" i="95" s="1"/>
  <c r="AC166" i="95" a="1"/>
  <c r="AC166" i="95" s="1"/>
  <c r="AB166" i="95" a="1"/>
  <c r="AB166" i="95" s="1"/>
  <c r="AA166" i="95" a="1"/>
  <c r="AA166" i="95" s="1"/>
  <c r="Z166" i="95" a="1"/>
  <c r="Z166" i="95" s="1"/>
  <c r="Y166" i="95" a="1"/>
  <c r="Y166" i="95" s="1"/>
  <c r="X166" i="95" a="1"/>
  <c r="X166" i="95" s="1"/>
  <c r="W166" i="95" a="1"/>
  <c r="W166" i="95" s="1"/>
  <c r="V166" i="95" a="1"/>
  <c r="V166" i="95" s="1"/>
  <c r="U166" i="95" a="1"/>
  <c r="U166" i="95" s="1"/>
  <c r="T166" i="95" a="1"/>
  <c r="T166" i="95" s="1"/>
  <c r="S166" i="95" a="1"/>
  <c r="S166" i="95" s="1"/>
  <c r="R166" i="95" a="1"/>
  <c r="R166" i="95" s="1"/>
  <c r="Q166" i="95" a="1"/>
  <c r="Q166" i="95" s="1"/>
  <c r="P166" i="95" a="1"/>
  <c r="P166" i="95" s="1"/>
  <c r="O166" i="95" a="1"/>
  <c r="O166" i="95" s="1"/>
  <c r="N166" i="95" a="1"/>
  <c r="N166" i="95" s="1"/>
  <c r="M166" i="95" a="1"/>
  <c r="M166" i="95" s="1"/>
  <c r="L166" i="95" a="1"/>
  <c r="L166" i="95" s="1"/>
  <c r="K166" i="95" a="1"/>
  <c r="K166" i="95" s="1"/>
  <c r="J166" i="95" a="1"/>
  <c r="J166" i="95" s="1"/>
  <c r="I166" i="95" a="1"/>
  <c r="I166" i="95" s="1"/>
  <c r="H166" i="95" a="1"/>
  <c r="H166" i="95" s="1"/>
  <c r="G166" i="95" a="1"/>
  <c r="G166" i="95" s="1"/>
  <c r="F166" i="95" a="1"/>
  <c r="F166" i="95" s="1"/>
  <c r="E166" i="95" a="1"/>
  <c r="E166" i="95" s="1"/>
  <c r="D166" i="95" a="1"/>
  <c r="D166" i="95" s="1"/>
  <c r="AH165" i="95" a="1"/>
  <c r="AH165" i="95" s="1"/>
  <c r="AG165" i="95" a="1"/>
  <c r="AG165" i="95" s="1"/>
  <c r="AF165" i="95" a="1"/>
  <c r="AF165" i="95" s="1"/>
  <c r="AE165" i="95" a="1"/>
  <c r="AE165" i="95" s="1"/>
  <c r="AD165" i="95" a="1"/>
  <c r="AD165" i="95" s="1"/>
  <c r="AC165" i="95" a="1"/>
  <c r="AC165" i="95" s="1"/>
  <c r="AB165" i="95" a="1"/>
  <c r="AB165" i="95" s="1"/>
  <c r="AA165" i="95" a="1"/>
  <c r="AA165" i="95" s="1"/>
  <c r="Z165" i="95" a="1"/>
  <c r="Z165" i="95" s="1"/>
  <c r="Y165" i="95" a="1"/>
  <c r="Y165" i="95" s="1"/>
  <c r="X165" i="95" a="1"/>
  <c r="X165" i="95" s="1"/>
  <c r="W165" i="95" a="1"/>
  <c r="W165" i="95" s="1"/>
  <c r="V165" i="95" a="1"/>
  <c r="V165" i="95" s="1"/>
  <c r="U165" i="95" a="1"/>
  <c r="U165" i="95" s="1"/>
  <c r="T165" i="95" a="1"/>
  <c r="T165" i="95" s="1"/>
  <c r="S165" i="95" a="1"/>
  <c r="S165" i="95" s="1"/>
  <c r="R165" i="95" a="1"/>
  <c r="R165" i="95" s="1"/>
  <c r="Q165" i="95" a="1"/>
  <c r="Q165" i="95" s="1"/>
  <c r="P165" i="95" a="1"/>
  <c r="P165" i="95" s="1"/>
  <c r="O165" i="95" a="1"/>
  <c r="O165" i="95" s="1"/>
  <c r="N165" i="95" a="1"/>
  <c r="N165" i="95" s="1"/>
  <c r="M165" i="95" a="1"/>
  <c r="M165" i="95" s="1"/>
  <c r="L165" i="95" a="1"/>
  <c r="L165" i="95" s="1"/>
  <c r="K165" i="95" a="1"/>
  <c r="K165" i="95" s="1"/>
  <c r="J165" i="95" a="1"/>
  <c r="J165" i="95" s="1"/>
  <c r="I165" i="95" a="1"/>
  <c r="I165" i="95" s="1"/>
  <c r="H165" i="95" a="1"/>
  <c r="H165" i="95" s="1"/>
  <c r="G165" i="95" a="1"/>
  <c r="G165" i="95" s="1"/>
  <c r="F165" i="95" a="1"/>
  <c r="F165" i="95" s="1"/>
  <c r="E165" i="95" a="1"/>
  <c r="E165" i="95" s="1"/>
  <c r="D165" i="95" a="1"/>
  <c r="D165" i="95" s="1"/>
  <c r="AH164" i="95" a="1"/>
  <c r="AH164" i="95" s="1"/>
  <c r="AG164" i="95" a="1"/>
  <c r="AG164" i="95" s="1"/>
  <c r="AF164" i="95" a="1"/>
  <c r="AF164" i="95" s="1"/>
  <c r="AE164" i="95" a="1"/>
  <c r="AE164" i="95" s="1"/>
  <c r="AD164" i="95" a="1"/>
  <c r="AD164" i="95" s="1"/>
  <c r="AC164" i="95" a="1"/>
  <c r="AC164" i="95" s="1"/>
  <c r="AB164" i="95" a="1"/>
  <c r="AB164" i="95" s="1"/>
  <c r="AA164" i="95" a="1"/>
  <c r="AA164" i="95" s="1"/>
  <c r="Z164" i="95" a="1"/>
  <c r="Z164" i="95" s="1"/>
  <c r="Y164" i="95" a="1"/>
  <c r="Y164" i="95" s="1"/>
  <c r="X164" i="95" a="1"/>
  <c r="X164" i="95" s="1"/>
  <c r="W164" i="95" a="1"/>
  <c r="W164" i="95" s="1"/>
  <c r="V164" i="95" a="1"/>
  <c r="V164" i="95" s="1"/>
  <c r="U164" i="95" a="1"/>
  <c r="U164" i="95" s="1"/>
  <c r="T164" i="95" a="1"/>
  <c r="T164" i="95" s="1"/>
  <c r="S164" i="95" a="1"/>
  <c r="S164" i="95" s="1"/>
  <c r="R164" i="95" a="1"/>
  <c r="R164" i="95" s="1"/>
  <c r="Q164" i="95" a="1"/>
  <c r="Q164" i="95" s="1"/>
  <c r="P164" i="95" a="1"/>
  <c r="P164" i="95" s="1"/>
  <c r="O164" i="95" a="1"/>
  <c r="O164" i="95" s="1"/>
  <c r="N164" i="95" a="1"/>
  <c r="N164" i="95" s="1"/>
  <c r="M164" i="95" a="1"/>
  <c r="M164" i="95" s="1"/>
  <c r="L164" i="95" a="1"/>
  <c r="L164" i="95" s="1"/>
  <c r="K164" i="95" a="1"/>
  <c r="K164" i="95" s="1"/>
  <c r="J164" i="95" a="1"/>
  <c r="J164" i="95" s="1"/>
  <c r="I164" i="95" a="1"/>
  <c r="I164" i="95" s="1"/>
  <c r="H164" i="95" a="1"/>
  <c r="H164" i="95" s="1"/>
  <c r="G164" i="95" a="1"/>
  <c r="G164" i="95" s="1"/>
  <c r="F164" i="95" a="1"/>
  <c r="F164" i="95" s="1"/>
  <c r="E164" i="95" a="1"/>
  <c r="E164" i="95" s="1"/>
  <c r="D164" i="95" a="1"/>
  <c r="D164" i="95" s="1"/>
  <c r="AH163" i="95" a="1"/>
  <c r="AH163" i="95" s="1"/>
  <c r="AG163" i="95" a="1"/>
  <c r="AG163" i="95" s="1"/>
  <c r="AF163" i="95" a="1"/>
  <c r="AF163" i="95" s="1"/>
  <c r="AE163" i="95" a="1"/>
  <c r="AE163" i="95" s="1"/>
  <c r="AD163" i="95" a="1"/>
  <c r="AD163" i="95" s="1"/>
  <c r="AC163" i="95" a="1"/>
  <c r="AC163" i="95" s="1"/>
  <c r="AB163" i="95" a="1"/>
  <c r="AB163" i="95" s="1"/>
  <c r="AA163" i="95" a="1"/>
  <c r="AA163" i="95" s="1"/>
  <c r="Z163" i="95" a="1"/>
  <c r="Z163" i="95" s="1"/>
  <c r="Y163" i="95" a="1"/>
  <c r="Y163" i="95" s="1"/>
  <c r="X163" i="95" a="1"/>
  <c r="X163" i="95" s="1"/>
  <c r="W163" i="95" a="1"/>
  <c r="W163" i="95" s="1"/>
  <c r="V163" i="95" a="1"/>
  <c r="V163" i="95" s="1"/>
  <c r="U163" i="95" a="1"/>
  <c r="U163" i="95" s="1"/>
  <c r="T163" i="95" a="1"/>
  <c r="T163" i="95" s="1"/>
  <c r="S163" i="95" a="1"/>
  <c r="S163" i="95" s="1"/>
  <c r="R163" i="95" a="1"/>
  <c r="R163" i="95" s="1"/>
  <c r="Q163" i="95" a="1"/>
  <c r="Q163" i="95" s="1"/>
  <c r="P163" i="95" a="1"/>
  <c r="P163" i="95" s="1"/>
  <c r="O163" i="95" a="1"/>
  <c r="O163" i="95" s="1"/>
  <c r="N163" i="95" a="1"/>
  <c r="N163" i="95" s="1"/>
  <c r="M163" i="95" a="1"/>
  <c r="M163" i="95" s="1"/>
  <c r="L163" i="95" a="1"/>
  <c r="L163" i="95" s="1"/>
  <c r="K163" i="95" a="1"/>
  <c r="K163" i="95" s="1"/>
  <c r="J163" i="95" a="1"/>
  <c r="J163" i="95" s="1"/>
  <c r="I163" i="95" a="1"/>
  <c r="I163" i="95" s="1"/>
  <c r="H163" i="95" a="1"/>
  <c r="H163" i="95" s="1"/>
  <c r="G163" i="95" a="1"/>
  <c r="G163" i="95" s="1"/>
  <c r="F163" i="95" a="1"/>
  <c r="F163" i="95" s="1"/>
  <c r="E163" i="95" a="1"/>
  <c r="E163" i="95" s="1"/>
  <c r="D163" i="95" a="1"/>
  <c r="D163" i="95" s="1"/>
  <c r="AH162" i="95" a="1"/>
  <c r="AH162" i="95" s="1"/>
  <c r="AG162" i="95" a="1"/>
  <c r="AG162" i="95" s="1"/>
  <c r="AF162" i="95" a="1"/>
  <c r="AF162" i="95" s="1"/>
  <c r="AE162" i="95" a="1"/>
  <c r="AE162" i="95" s="1"/>
  <c r="AD162" i="95" a="1"/>
  <c r="AD162" i="95" s="1"/>
  <c r="AC162" i="95" a="1"/>
  <c r="AC162" i="95" s="1"/>
  <c r="AB162" i="95" a="1"/>
  <c r="AB162" i="95" s="1"/>
  <c r="AA162" i="95" a="1"/>
  <c r="AA162" i="95" s="1"/>
  <c r="Z162" i="95" a="1"/>
  <c r="Z162" i="95" s="1"/>
  <c r="Y162" i="95" a="1"/>
  <c r="Y162" i="95" s="1"/>
  <c r="X162" i="95" a="1"/>
  <c r="X162" i="95" s="1"/>
  <c r="W162" i="95" a="1"/>
  <c r="W162" i="95" s="1"/>
  <c r="V162" i="95" a="1"/>
  <c r="V162" i="95" s="1"/>
  <c r="U162" i="95" a="1"/>
  <c r="U162" i="95" s="1"/>
  <c r="T162" i="95" a="1"/>
  <c r="T162" i="95" s="1"/>
  <c r="S162" i="95" a="1"/>
  <c r="S162" i="95" s="1"/>
  <c r="R162" i="95" a="1"/>
  <c r="R162" i="95" s="1"/>
  <c r="Q162" i="95" a="1"/>
  <c r="Q162" i="95" s="1"/>
  <c r="P162" i="95" a="1"/>
  <c r="P162" i="95" s="1"/>
  <c r="O162" i="95" a="1"/>
  <c r="O162" i="95" s="1"/>
  <c r="N162" i="95" a="1"/>
  <c r="N162" i="95" s="1"/>
  <c r="M162" i="95" a="1"/>
  <c r="M162" i="95" s="1"/>
  <c r="L162" i="95" a="1"/>
  <c r="L162" i="95" s="1"/>
  <c r="K162" i="95" a="1"/>
  <c r="K162" i="95" s="1"/>
  <c r="J162" i="95" a="1"/>
  <c r="J162" i="95" s="1"/>
  <c r="I162" i="95" a="1"/>
  <c r="I162" i="95" s="1"/>
  <c r="H162" i="95" a="1"/>
  <c r="H162" i="95" s="1"/>
  <c r="G162" i="95" a="1"/>
  <c r="G162" i="95" s="1"/>
  <c r="F162" i="95" a="1"/>
  <c r="F162" i="95" s="1"/>
  <c r="E162" i="95" a="1"/>
  <c r="E162" i="95" s="1"/>
  <c r="D162" i="95" a="1"/>
  <c r="D162" i="95" s="1"/>
  <c r="AH161" i="95" a="1"/>
  <c r="AH161" i="95" s="1"/>
  <c r="AG161" i="95" a="1"/>
  <c r="AG161" i="95" s="1"/>
  <c r="AF161" i="95" a="1"/>
  <c r="AF161" i="95" s="1"/>
  <c r="AE161" i="95" a="1"/>
  <c r="AE161" i="95" s="1"/>
  <c r="AD161" i="95" a="1"/>
  <c r="AD161" i="95" s="1"/>
  <c r="AC161" i="95" a="1"/>
  <c r="AC161" i="95" s="1"/>
  <c r="AB161" i="95" a="1"/>
  <c r="AB161" i="95" s="1"/>
  <c r="AA161" i="95" a="1"/>
  <c r="AA161" i="95" s="1"/>
  <c r="Z161" i="95" a="1"/>
  <c r="Z161" i="95" s="1"/>
  <c r="Y161" i="95" a="1"/>
  <c r="Y161" i="95" s="1"/>
  <c r="X161" i="95" a="1"/>
  <c r="X161" i="95" s="1"/>
  <c r="W161" i="95" a="1"/>
  <c r="W161" i="95" s="1"/>
  <c r="V161" i="95" a="1"/>
  <c r="V161" i="95" s="1"/>
  <c r="U161" i="95" a="1"/>
  <c r="U161" i="95" s="1"/>
  <c r="T161" i="95" a="1"/>
  <c r="T161" i="95" s="1"/>
  <c r="S161" i="95" a="1"/>
  <c r="S161" i="95" s="1"/>
  <c r="R161" i="95" a="1"/>
  <c r="R161" i="95" s="1"/>
  <c r="Q161" i="95" a="1"/>
  <c r="Q161" i="95" s="1"/>
  <c r="P161" i="95" a="1"/>
  <c r="P161" i="95" s="1"/>
  <c r="O161" i="95" a="1"/>
  <c r="O161" i="95" s="1"/>
  <c r="N161" i="95" a="1"/>
  <c r="N161" i="95" s="1"/>
  <c r="M161" i="95" a="1"/>
  <c r="M161" i="95" s="1"/>
  <c r="L161" i="95" a="1"/>
  <c r="L161" i="95" s="1"/>
  <c r="K161" i="95" a="1"/>
  <c r="K161" i="95" s="1"/>
  <c r="J161" i="95" a="1"/>
  <c r="J161" i="95" s="1"/>
  <c r="I161" i="95" a="1"/>
  <c r="I161" i="95" s="1"/>
  <c r="H161" i="95" a="1"/>
  <c r="H161" i="95" s="1"/>
  <c r="G161" i="95" a="1"/>
  <c r="G161" i="95" s="1"/>
  <c r="F161" i="95" a="1"/>
  <c r="F161" i="95" s="1"/>
  <c r="E161" i="95" a="1"/>
  <c r="E161" i="95" s="1"/>
  <c r="D161" i="95" a="1"/>
  <c r="D161" i="95" s="1"/>
  <c r="AH160" i="95" a="1"/>
  <c r="AH160" i="95" s="1"/>
  <c r="AG160" i="95" a="1"/>
  <c r="AG160" i="95" s="1"/>
  <c r="AF160" i="95" a="1"/>
  <c r="AF160" i="95" s="1"/>
  <c r="AE160" i="95" a="1"/>
  <c r="AE160" i="95" s="1"/>
  <c r="AD160" i="95" a="1"/>
  <c r="AD160" i="95" s="1"/>
  <c r="AC160" i="95" a="1"/>
  <c r="AC160" i="95" s="1"/>
  <c r="AB160" i="95" a="1"/>
  <c r="AB160" i="95" s="1"/>
  <c r="AA160" i="95" a="1"/>
  <c r="AA160" i="95" s="1"/>
  <c r="Z160" i="95" a="1"/>
  <c r="Z160" i="95" s="1"/>
  <c r="Y160" i="95" a="1"/>
  <c r="Y160" i="95" s="1"/>
  <c r="X160" i="95" a="1"/>
  <c r="X160" i="95" s="1"/>
  <c r="W160" i="95" a="1"/>
  <c r="W160" i="95" s="1"/>
  <c r="V160" i="95" a="1"/>
  <c r="V160" i="95" s="1"/>
  <c r="U160" i="95" a="1"/>
  <c r="U160" i="95" s="1"/>
  <c r="T160" i="95" a="1"/>
  <c r="T160" i="95" s="1"/>
  <c r="S160" i="95" a="1"/>
  <c r="S160" i="95" s="1"/>
  <c r="R160" i="95" a="1"/>
  <c r="R160" i="95" s="1"/>
  <c r="Q160" i="95" a="1"/>
  <c r="Q160" i="95" s="1"/>
  <c r="P160" i="95" a="1"/>
  <c r="P160" i="95" s="1"/>
  <c r="O160" i="95" a="1"/>
  <c r="O160" i="95" s="1"/>
  <c r="N160" i="95" a="1"/>
  <c r="N160" i="95" s="1"/>
  <c r="M160" i="95" a="1"/>
  <c r="M160" i="95" s="1"/>
  <c r="L160" i="95" a="1"/>
  <c r="L160" i="95" s="1"/>
  <c r="K160" i="95" a="1"/>
  <c r="K160" i="95" s="1"/>
  <c r="J160" i="95" a="1"/>
  <c r="J160" i="95" s="1"/>
  <c r="I160" i="95" a="1"/>
  <c r="I160" i="95" s="1"/>
  <c r="H160" i="95" a="1"/>
  <c r="H160" i="95" s="1"/>
  <c r="G160" i="95" a="1"/>
  <c r="G160" i="95" s="1"/>
  <c r="F160" i="95" a="1"/>
  <c r="F160" i="95" s="1"/>
  <c r="E160" i="95" a="1"/>
  <c r="E160" i="95" s="1"/>
  <c r="D160" i="95" a="1"/>
  <c r="D160" i="95" s="1"/>
  <c r="AH159" i="95" a="1"/>
  <c r="AH159" i="95" s="1"/>
  <c r="AG159" i="95" a="1"/>
  <c r="AG159" i="95" s="1"/>
  <c r="AF159" i="95" a="1"/>
  <c r="AF159" i="95" s="1"/>
  <c r="AE159" i="95" a="1"/>
  <c r="AE159" i="95" s="1"/>
  <c r="AD159" i="95" a="1"/>
  <c r="AD159" i="95" s="1"/>
  <c r="AC159" i="95" a="1"/>
  <c r="AC159" i="95" s="1"/>
  <c r="AB159" i="95" a="1"/>
  <c r="AB159" i="95" s="1"/>
  <c r="AA159" i="95" a="1"/>
  <c r="AA159" i="95" s="1"/>
  <c r="Z159" i="95" a="1"/>
  <c r="Z159" i="95" s="1"/>
  <c r="Y159" i="95" a="1"/>
  <c r="Y159" i="95" s="1"/>
  <c r="X159" i="95" a="1"/>
  <c r="X159" i="95" s="1"/>
  <c r="W159" i="95" a="1"/>
  <c r="W159" i="95" s="1"/>
  <c r="V159" i="95" a="1"/>
  <c r="V159" i="95" s="1"/>
  <c r="U159" i="95" a="1"/>
  <c r="U159" i="95" s="1"/>
  <c r="T159" i="95" a="1"/>
  <c r="T159" i="95" s="1"/>
  <c r="S159" i="95" a="1"/>
  <c r="S159" i="95" s="1"/>
  <c r="R159" i="95" a="1"/>
  <c r="R159" i="95" s="1"/>
  <c r="Q159" i="95" a="1"/>
  <c r="Q159" i="95" s="1"/>
  <c r="P159" i="95" a="1"/>
  <c r="P159" i="95" s="1"/>
  <c r="O159" i="95" a="1"/>
  <c r="O159" i="95" s="1"/>
  <c r="N159" i="95" a="1"/>
  <c r="N159" i="95" s="1"/>
  <c r="M159" i="95" a="1"/>
  <c r="M159" i="95" s="1"/>
  <c r="L159" i="95" a="1"/>
  <c r="L159" i="95" s="1"/>
  <c r="K159" i="95" a="1"/>
  <c r="K159" i="95" s="1"/>
  <c r="J159" i="95" a="1"/>
  <c r="J159" i="95" s="1"/>
  <c r="I159" i="95" a="1"/>
  <c r="I159" i="95" s="1"/>
  <c r="H159" i="95" a="1"/>
  <c r="H159" i="95" s="1"/>
  <c r="G159" i="95" a="1"/>
  <c r="G159" i="95" s="1"/>
  <c r="F159" i="95" a="1"/>
  <c r="F159" i="95" s="1"/>
  <c r="E159" i="95" a="1"/>
  <c r="E159" i="95" s="1"/>
  <c r="D159" i="95" a="1"/>
  <c r="D159" i="95" s="1"/>
  <c r="AH158" i="95" a="1"/>
  <c r="AH158" i="95" s="1"/>
  <c r="AG158" i="95" a="1"/>
  <c r="AG158" i="95" s="1"/>
  <c r="AF158" i="95" a="1"/>
  <c r="AF158" i="95" s="1"/>
  <c r="AE158" i="95" a="1"/>
  <c r="AE158" i="95" s="1"/>
  <c r="AD158" i="95" a="1"/>
  <c r="AD158" i="95" s="1"/>
  <c r="AC158" i="95" a="1"/>
  <c r="AC158" i="95" s="1"/>
  <c r="AB158" i="95" a="1"/>
  <c r="AB158" i="95" s="1"/>
  <c r="AA158" i="95" a="1"/>
  <c r="AA158" i="95" s="1"/>
  <c r="Z158" i="95" a="1"/>
  <c r="Z158" i="95" s="1"/>
  <c r="Y158" i="95" a="1"/>
  <c r="Y158" i="95" s="1"/>
  <c r="X158" i="95" a="1"/>
  <c r="X158" i="95" s="1"/>
  <c r="W158" i="95" a="1"/>
  <c r="W158" i="95" s="1"/>
  <c r="V158" i="95" a="1"/>
  <c r="V158" i="95" s="1"/>
  <c r="U158" i="95" a="1"/>
  <c r="U158" i="95" s="1"/>
  <c r="T158" i="95" a="1"/>
  <c r="T158" i="95" s="1"/>
  <c r="S158" i="95" a="1"/>
  <c r="S158" i="95" s="1"/>
  <c r="R158" i="95" a="1"/>
  <c r="R158" i="95" s="1"/>
  <c r="Q158" i="95" a="1"/>
  <c r="Q158" i="95" s="1"/>
  <c r="P158" i="95" a="1"/>
  <c r="P158" i="95" s="1"/>
  <c r="O158" i="95" a="1"/>
  <c r="O158" i="95" s="1"/>
  <c r="N158" i="95" a="1"/>
  <c r="N158" i="95" s="1"/>
  <c r="M158" i="95" a="1"/>
  <c r="M158" i="95" s="1"/>
  <c r="L158" i="95" a="1"/>
  <c r="L158" i="95" s="1"/>
  <c r="K158" i="95" a="1"/>
  <c r="K158" i="95" s="1"/>
  <c r="J158" i="95" a="1"/>
  <c r="J158" i="95" s="1"/>
  <c r="I158" i="95" a="1"/>
  <c r="I158" i="95" s="1"/>
  <c r="H158" i="95" a="1"/>
  <c r="H158" i="95" s="1"/>
  <c r="G158" i="95" a="1"/>
  <c r="G158" i="95" s="1"/>
  <c r="F158" i="95" a="1"/>
  <c r="F158" i="95" s="1"/>
  <c r="E158" i="95" a="1"/>
  <c r="E158" i="95" s="1"/>
  <c r="D158" i="95" a="1"/>
  <c r="D158" i="95" s="1"/>
  <c r="AH157" i="95" a="1"/>
  <c r="AH157" i="95" s="1"/>
  <c r="AG157" i="95" a="1"/>
  <c r="AG157" i="95" s="1"/>
  <c r="AF157" i="95" a="1"/>
  <c r="AF157" i="95" s="1"/>
  <c r="AE157" i="95" a="1"/>
  <c r="AE157" i="95" s="1"/>
  <c r="AD157" i="95" a="1"/>
  <c r="AD157" i="95" s="1"/>
  <c r="AC157" i="95" a="1"/>
  <c r="AC157" i="95" s="1"/>
  <c r="AB157" i="95" a="1"/>
  <c r="AB157" i="95" s="1"/>
  <c r="AA157" i="95" a="1"/>
  <c r="AA157" i="95" s="1"/>
  <c r="Z157" i="95" a="1"/>
  <c r="Z157" i="95" s="1"/>
  <c r="Y157" i="95" a="1"/>
  <c r="Y157" i="95" s="1"/>
  <c r="X157" i="95" a="1"/>
  <c r="X157" i="95" s="1"/>
  <c r="W157" i="95" a="1"/>
  <c r="W157" i="95" s="1"/>
  <c r="V157" i="95" a="1"/>
  <c r="V157" i="95" s="1"/>
  <c r="U157" i="95" a="1"/>
  <c r="U157" i="95" s="1"/>
  <c r="T157" i="95" a="1"/>
  <c r="T157" i="95" s="1"/>
  <c r="S157" i="95" a="1"/>
  <c r="S157" i="95" s="1"/>
  <c r="R157" i="95" a="1"/>
  <c r="R157" i="95" s="1"/>
  <c r="Q157" i="95" a="1"/>
  <c r="Q157" i="95" s="1"/>
  <c r="P157" i="95" a="1"/>
  <c r="P157" i="95" s="1"/>
  <c r="O157" i="95" a="1"/>
  <c r="O157" i="95" s="1"/>
  <c r="N157" i="95" a="1"/>
  <c r="N157" i="95" s="1"/>
  <c r="M157" i="95" a="1"/>
  <c r="M157" i="95" s="1"/>
  <c r="L157" i="95" a="1"/>
  <c r="L157" i="95" s="1"/>
  <c r="K157" i="95" a="1"/>
  <c r="K157" i="95" s="1"/>
  <c r="J157" i="95" a="1"/>
  <c r="J157" i="95" s="1"/>
  <c r="I157" i="95" a="1"/>
  <c r="I157" i="95" s="1"/>
  <c r="H157" i="95" a="1"/>
  <c r="H157" i="95" s="1"/>
  <c r="G157" i="95" a="1"/>
  <c r="G157" i="95" s="1"/>
  <c r="F157" i="95" a="1"/>
  <c r="F157" i="95" s="1"/>
  <c r="E157" i="95" a="1"/>
  <c r="E157" i="95" s="1"/>
  <c r="D157" i="95" a="1"/>
  <c r="D157" i="95" s="1"/>
  <c r="AH156" i="95" a="1"/>
  <c r="AH156" i="95" s="1"/>
  <c r="AG156" i="95" a="1"/>
  <c r="AG156" i="95" s="1"/>
  <c r="AF156" i="95" a="1"/>
  <c r="AF156" i="95" s="1"/>
  <c r="AE156" i="95" a="1"/>
  <c r="AE156" i="95" s="1"/>
  <c r="AD156" i="95" a="1"/>
  <c r="AD156" i="95" s="1"/>
  <c r="AC156" i="95" a="1"/>
  <c r="AC156" i="95" s="1"/>
  <c r="AB156" i="95" a="1"/>
  <c r="AB156" i="95" s="1"/>
  <c r="AA156" i="95" a="1"/>
  <c r="AA156" i="95" s="1"/>
  <c r="Z156" i="95" a="1"/>
  <c r="Z156" i="95" s="1"/>
  <c r="Y156" i="95" a="1"/>
  <c r="Y156" i="95" s="1"/>
  <c r="X156" i="95" a="1"/>
  <c r="X156" i="95" s="1"/>
  <c r="W156" i="95" a="1"/>
  <c r="W156" i="95" s="1"/>
  <c r="V156" i="95" a="1"/>
  <c r="V156" i="95" s="1"/>
  <c r="U156" i="95" a="1"/>
  <c r="U156" i="95" s="1"/>
  <c r="T156" i="95" a="1"/>
  <c r="T156" i="95" s="1"/>
  <c r="S156" i="95" a="1"/>
  <c r="S156" i="95" s="1"/>
  <c r="R156" i="95" a="1"/>
  <c r="R156" i="95" s="1"/>
  <c r="Q156" i="95" a="1"/>
  <c r="Q156" i="95" s="1"/>
  <c r="P156" i="95" a="1"/>
  <c r="P156" i="95" s="1"/>
  <c r="O156" i="95" a="1"/>
  <c r="O156" i="95" s="1"/>
  <c r="N156" i="95" a="1"/>
  <c r="N156" i="95" s="1"/>
  <c r="M156" i="95" a="1"/>
  <c r="M156" i="95" s="1"/>
  <c r="L156" i="95" a="1"/>
  <c r="L156" i="95" s="1"/>
  <c r="K156" i="95" a="1"/>
  <c r="K156" i="95" s="1"/>
  <c r="J156" i="95" a="1"/>
  <c r="J156" i="95" s="1"/>
  <c r="I156" i="95" a="1"/>
  <c r="I156" i="95" s="1"/>
  <c r="H156" i="95" a="1"/>
  <c r="H156" i="95" s="1"/>
  <c r="G156" i="95" a="1"/>
  <c r="G156" i="95" s="1"/>
  <c r="F156" i="95" a="1"/>
  <c r="F156" i="95" s="1"/>
  <c r="E156" i="95" a="1"/>
  <c r="E156" i="95" s="1"/>
  <c r="D156" i="95" a="1"/>
  <c r="D156" i="95" s="1"/>
  <c r="AH155" i="95" a="1"/>
  <c r="AH155" i="95" s="1"/>
  <c r="AG155" i="95" a="1"/>
  <c r="AG155" i="95" s="1"/>
  <c r="AF155" i="95" a="1"/>
  <c r="AF155" i="95" s="1"/>
  <c r="AE155" i="95" a="1"/>
  <c r="AE155" i="95" s="1"/>
  <c r="AD155" i="95" a="1"/>
  <c r="AD155" i="95" s="1"/>
  <c r="AC155" i="95" a="1"/>
  <c r="AC155" i="95" s="1"/>
  <c r="AB155" i="95" a="1"/>
  <c r="AB155" i="95" s="1"/>
  <c r="AA155" i="95" a="1"/>
  <c r="AA155" i="95" s="1"/>
  <c r="Z155" i="95" a="1"/>
  <c r="Z155" i="95" s="1"/>
  <c r="Y155" i="95" a="1"/>
  <c r="Y155" i="95" s="1"/>
  <c r="X155" i="95" a="1"/>
  <c r="X155" i="95" s="1"/>
  <c r="W155" i="95" a="1"/>
  <c r="W155" i="95" s="1"/>
  <c r="V155" i="95" a="1"/>
  <c r="V155" i="95" s="1"/>
  <c r="U155" i="95" a="1"/>
  <c r="U155" i="95" s="1"/>
  <c r="T155" i="95" a="1"/>
  <c r="T155" i="95" s="1"/>
  <c r="S155" i="95" a="1"/>
  <c r="S155" i="95" s="1"/>
  <c r="R155" i="95" a="1"/>
  <c r="R155" i="95" s="1"/>
  <c r="Q155" i="95" a="1"/>
  <c r="Q155" i="95" s="1"/>
  <c r="P155" i="95" a="1"/>
  <c r="P155" i="95" s="1"/>
  <c r="O155" i="95" a="1"/>
  <c r="O155" i="95" s="1"/>
  <c r="N155" i="95" a="1"/>
  <c r="N155" i="95" s="1"/>
  <c r="M155" i="95" a="1"/>
  <c r="M155" i="95" s="1"/>
  <c r="L155" i="95" a="1"/>
  <c r="L155" i="95" s="1"/>
  <c r="K155" i="95" a="1"/>
  <c r="K155" i="95" s="1"/>
  <c r="J155" i="95" a="1"/>
  <c r="J155" i="95" s="1"/>
  <c r="I155" i="95" a="1"/>
  <c r="I155" i="95" s="1"/>
  <c r="H155" i="95" a="1"/>
  <c r="H155" i="95" s="1"/>
  <c r="G155" i="95" a="1"/>
  <c r="G155" i="95" s="1"/>
  <c r="F155" i="95" a="1"/>
  <c r="F155" i="95" s="1"/>
  <c r="E155" i="95" a="1"/>
  <c r="E155" i="95" s="1"/>
  <c r="D155" i="95" a="1"/>
  <c r="D155" i="95" s="1"/>
  <c r="AH154" i="95" a="1"/>
  <c r="AH154" i="95" s="1"/>
  <c r="AG154" i="95" a="1"/>
  <c r="AG154" i="95" s="1"/>
  <c r="AF154" i="95" a="1"/>
  <c r="AF154" i="95" s="1"/>
  <c r="AE154" i="95" a="1"/>
  <c r="AE154" i="95" s="1"/>
  <c r="AD154" i="95" a="1"/>
  <c r="AD154" i="95" s="1"/>
  <c r="AC154" i="95" a="1"/>
  <c r="AC154" i="95" s="1"/>
  <c r="AB154" i="95" a="1"/>
  <c r="AB154" i="95" s="1"/>
  <c r="AA154" i="95" a="1"/>
  <c r="AA154" i="95" s="1"/>
  <c r="Z154" i="95" a="1"/>
  <c r="Z154" i="95" s="1"/>
  <c r="Y154" i="95" a="1"/>
  <c r="Y154" i="95" s="1"/>
  <c r="X154" i="95" a="1"/>
  <c r="X154" i="95" s="1"/>
  <c r="W154" i="95" a="1"/>
  <c r="W154" i="95" s="1"/>
  <c r="V154" i="95" a="1"/>
  <c r="V154" i="95" s="1"/>
  <c r="U154" i="95" a="1"/>
  <c r="U154" i="95" s="1"/>
  <c r="T154" i="95" a="1"/>
  <c r="T154" i="95" s="1"/>
  <c r="S154" i="95" a="1"/>
  <c r="S154" i="95" s="1"/>
  <c r="R154" i="95" a="1"/>
  <c r="R154" i="95" s="1"/>
  <c r="Q154" i="95" a="1"/>
  <c r="Q154" i="95" s="1"/>
  <c r="P154" i="95" a="1"/>
  <c r="P154" i="95" s="1"/>
  <c r="O154" i="95" a="1"/>
  <c r="O154" i="95" s="1"/>
  <c r="N154" i="95" a="1"/>
  <c r="N154" i="95" s="1"/>
  <c r="M154" i="95" a="1"/>
  <c r="M154" i="95" s="1"/>
  <c r="L154" i="95" a="1"/>
  <c r="L154" i="95" s="1"/>
  <c r="K154" i="95" a="1"/>
  <c r="K154" i="95" s="1"/>
  <c r="J154" i="95" a="1"/>
  <c r="J154" i="95" s="1"/>
  <c r="I154" i="95" a="1"/>
  <c r="I154" i="95" s="1"/>
  <c r="H154" i="95" a="1"/>
  <c r="H154" i="95" s="1"/>
  <c r="G154" i="95" a="1"/>
  <c r="G154" i="95" s="1"/>
  <c r="F154" i="95" a="1"/>
  <c r="F154" i="95" s="1"/>
  <c r="E154" i="95" a="1"/>
  <c r="E154" i="95" s="1"/>
  <c r="D154" i="95" a="1"/>
  <c r="D154" i="95" s="1"/>
  <c r="AH153" i="95" a="1"/>
  <c r="AH153" i="95" s="1"/>
  <c r="AG153" i="95" a="1"/>
  <c r="AG153" i="95" s="1"/>
  <c r="AF153" i="95" a="1"/>
  <c r="AF153" i="95" s="1"/>
  <c r="AE153" i="95" a="1"/>
  <c r="AE153" i="95" s="1"/>
  <c r="AD153" i="95" a="1"/>
  <c r="AD153" i="95" s="1"/>
  <c r="AC153" i="95" a="1"/>
  <c r="AC153" i="95" s="1"/>
  <c r="AB153" i="95" a="1"/>
  <c r="AB153" i="95" s="1"/>
  <c r="AA153" i="95" a="1"/>
  <c r="AA153" i="95" s="1"/>
  <c r="Z153" i="95" a="1"/>
  <c r="Z153" i="95" s="1"/>
  <c r="Y153" i="95" a="1"/>
  <c r="Y153" i="95" s="1"/>
  <c r="X153" i="95" a="1"/>
  <c r="X153" i="95" s="1"/>
  <c r="W153" i="95" a="1"/>
  <c r="W153" i="95" s="1"/>
  <c r="V153" i="95" a="1"/>
  <c r="V153" i="95" s="1"/>
  <c r="U153" i="95" a="1"/>
  <c r="U153" i="95" s="1"/>
  <c r="T153" i="95" a="1"/>
  <c r="T153" i="95" s="1"/>
  <c r="S153" i="95" a="1"/>
  <c r="S153" i="95" s="1"/>
  <c r="R153" i="95" a="1"/>
  <c r="R153" i="95" s="1"/>
  <c r="Q153" i="95" a="1"/>
  <c r="Q153" i="95" s="1"/>
  <c r="P153" i="95" a="1"/>
  <c r="P153" i="95" s="1"/>
  <c r="O153" i="95" a="1"/>
  <c r="O153" i="95" s="1"/>
  <c r="N153" i="95" a="1"/>
  <c r="N153" i="95" s="1"/>
  <c r="M153" i="95" a="1"/>
  <c r="M153" i="95" s="1"/>
  <c r="L153" i="95" a="1"/>
  <c r="L153" i="95" s="1"/>
  <c r="K153" i="95" a="1"/>
  <c r="K153" i="95" s="1"/>
  <c r="J153" i="95" a="1"/>
  <c r="J153" i="95" s="1"/>
  <c r="I153" i="95" a="1"/>
  <c r="I153" i="95" s="1"/>
  <c r="H153" i="95" a="1"/>
  <c r="H153" i="95" s="1"/>
  <c r="G153" i="95" a="1"/>
  <c r="G153" i="95" s="1"/>
  <c r="F153" i="95" a="1"/>
  <c r="F153" i="95" s="1"/>
  <c r="E153" i="95" a="1"/>
  <c r="E153" i="95" s="1"/>
  <c r="D153" i="95" a="1"/>
  <c r="D153" i="95" s="1"/>
  <c r="AH152" i="95" a="1"/>
  <c r="AH152" i="95" s="1"/>
  <c r="AG152" i="95" a="1"/>
  <c r="AG152" i="95" s="1"/>
  <c r="AF152" i="95" a="1"/>
  <c r="AF152" i="95" s="1"/>
  <c r="AE152" i="95" a="1"/>
  <c r="AE152" i="95" s="1"/>
  <c r="AD152" i="95" a="1"/>
  <c r="AD152" i="95" s="1"/>
  <c r="AC152" i="95" a="1"/>
  <c r="AC152" i="95" s="1"/>
  <c r="AB152" i="95" a="1"/>
  <c r="AB152" i="95" s="1"/>
  <c r="AA152" i="95" a="1"/>
  <c r="AA152" i="95" s="1"/>
  <c r="Z152" i="95" a="1"/>
  <c r="Z152" i="95" s="1"/>
  <c r="Y152" i="95" a="1"/>
  <c r="Y152" i="95" s="1"/>
  <c r="X152" i="95" a="1"/>
  <c r="X152" i="95" s="1"/>
  <c r="W152" i="95" a="1"/>
  <c r="W152" i="95" s="1"/>
  <c r="V152" i="95" a="1"/>
  <c r="V152" i="95" s="1"/>
  <c r="U152" i="95" a="1"/>
  <c r="U152" i="95" s="1"/>
  <c r="T152" i="95" a="1"/>
  <c r="T152" i="95" s="1"/>
  <c r="S152" i="95" a="1"/>
  <c r="S152" i="95" s="1"/>
  <c r="R152" i="95" a="1"/>
  <c r="R152" i="95" s="1"/>
  <c r="Q152" i="95" a="1"/>
  <c r="Q152" i="95" s="1"/>
  <c r="P152" i="95" a="1"/>
  <c r="P152" i="95" s="1"/>
  <c r="O152" i="95" a="1"/>
  <c r="O152" i="95" s="1"/>
  <c r="N152" i="95" a="1"/>
  <c r="N152" i="95" s="1"/>
  <c r="M152" i="95" a="1"/>
  <c r="M152" i="95" s="1"/>
  <c r="L152" i="95" a="1"/>
  <c r="L152" i="95" s="1"/>
  <c r="K152" i="95" a="1"/>
  <c r="K152" i="95" s="1"/>
  <c r="J152" i="95" a="1"/>
  <c r="J152" i="95" s="1"/>
  <c r="I152" i="95" a="1"/>
  <c r="I152" i="95" s="1"/>
  <c r="H152" i="95" a="1"/>
  <c r="H152" i="95" s="1"/>
  <c r="G152" i="95" a="1"/>
  <c r="G152" i="95" s="1"/>
  <c r="F152" i="95" a="1"/>
  <c r="F152" i="95" s="1"/>
  <c r="E152" i="95" a="1"/>
  <c r="E152" i="95" s="1"/>
  <c r="D152" i="95" a="1"/>
  <c r="D152" i="95" s="1"/>
  <c r="AH151" i="95" a="1"/>
  <c r="AH151" i="95" s="1"/>
  <c r="AG151" i="95" a="1"/>
  <c r="AG151" i="95" s="1"/>
  <c r="AF151" i="95" a="1"/>
  <c r="AF151" i="95" s="1"/>
  <c r="AE151" i="95" a="1"/>
  <c r="AE151" i="95" s="1"/>
  <c r="AD151" i="95" a="1"/>
  <c r="AD151" i="95" s="1"/>
  <c r="AC151" i="95" a="1"/>
  <c r="AC151" i="95" s="1"/>
  <c r="AB151" i="95" a="1"/>
  <c r="AB151" i="95" s="1"/>
  <c r="AA151" i="95" a="1"/>
  <c r="AA151" i="95" s="1"/>
  <c r="Z151" i="95" a="1"/>
  <c r="Z151" i="95" s="1"/>
  <c r="Y151" i="95" a="1"/>
  <c r="Y151" i="95" s="1"/>
  <c r="X151" i="95" a="1"/>
  <c r="X151" i="95" s="1"/>
  <c r="W151" i="95" a="1"/>
  <c r="W151" i="95" s="1"/>
  <c r="V151" i="95" a="1"/>
  <c r="V151" i="95" s="1"/>
  <c r="U151" i="95" a="1"/>
  <c r="U151" i="95" s="1"/>
  <c r="T151" i="95" a="1"/>
  <c r="T151" i="95" s="1"/>
  <c r="S151" i="95" a="1"/>
  <c r="S151" i="95" s="1"/>
  <c r="R151" i="95" a="1"/>
  <c r="R151" i="95" s="1"/>
  <c r="Q151" i="95" a="1"/>
  <c r="Q151" i="95" s="1"/>
  <c r="P151" i="95" a="1"/>
  <c r="P151" i="95" s="1"/>
  <c r="O151" i="95" a="1"/>
  <c r="O151" i="95" s="1"/>
  <c r="N151" i="95" a="1"/>
  <c r="N151" i="95" s="1"/>
  <c r="M151" i="95" a="1"/>
  <c r="M151" i="95" s="1"/>
  <c r="L151" i="95" a="1"/>
  <c r="L151" i="95" s="1"/>
  <c r="K151" i="95" a="1"/>
  <c r="K151" i="95" s="1"/>
  <c r="J151" i="95" a="1"/>
  <c r="J151" i="95" s="1"/>
  <c r="I151" i="95" a="1"/>
  <c r="I151" i="95" s="1"/>
  <c r="H151" i="95" a="1"/>
  <c r="H151" i="95" s="1"/>
  <c r="G151" i="95" a="1"/>
  <c r="G151" i="95" s="1"/>
  <c r="F151" i="95" a="1"/>
  <c r="F151" i="95" s="1"/>
  <c r="E151" i="95" a="1"/>
  <c r="E151" i="95" s="1"/>
  <c r="D151" i="95" a="1"/>
  <c r="D151" i="95" s="1"/>
  <c r="AH150" i="95" a="1"/>
  <c r="AH150" i="95" s="1"/>
  <c r="AG150" i="95" a="1"/>
  <c r="AG150" i="95" s="1"/>
  <c r="AF150" i="95" a="1"/>
  <c r="AF150" i="95" s="1"/>
  <c r="AE150" i="95" a="1"/>
  <c r="AE150" i="95" s="1"/>
  <c r="AD150" i="95" a="1"/>
  <c r="AD150" i="95" s="1"/>
  <c r="AC150" i="95" a="1"/>
  <c r="AC150" i="95" s="1"/>
  <c r="AB150" i="95" a="1"/>
  <c r="AB150" i="95" s="1"/>
  <c r="AA150" i="95" a="1"/>
  <c r="AA150" i="95" s="1"/>
  <c r="Z150" i="95" a="1"/>
  <c r="Z150" i="95" s="1"/>
  <c r="Y150" i="95" a="1"/>
  <c r="Y150" i="95" s="1"/>
  <c r="X150" i="95" a="1"/>
  <c r="X150" i="95" s="1"/>
  <c r="W150" i="95" a="1"/>
  <c r="W150" i="95" s="1"/>
  <c r="V150" i="95" a="1"/>
  <c r="V150" i="95" s="1"/>
  <c r="U150" i="95" a="1"/>
  <c r="U150" i="95" s="1"/>
  <c r="T150" i="95" a="1"/>
  <c r="T150" i="95" s="1"/>
  <c r="S150" i="95" a="1"/>
  <c r="S150" i="95" s="1"/>
  <c r="R150" i="95" a="1"/>
  <c r="R150" i="95" s="1"/>
  <c r="Q150" i="95" a="1"/>
  <c r="Q150" i="95" s="1"/>
  <c r="P150" i="95" a="1"/>
  <c r="P150" i="95" s="1"/>
  <c r="O150" i="95" a="1"/>
  <c r="O150" i="95" s="1"/>
  <c r="N150" i="95" a="1"/>
  <c r="N150" i="95" s="1"/>
  <c r="M150" i="95" a="1"/>
  <c r="M150" i="95" s="1"/>
  <c r="L150" i="95" a="1"/>
  <c r="L150" i="95" s="1"/>
  <c r="K150" i="95" a="1"/>
  <c r="K150" i="95" s="1"/>
  <c r="J150" i="95" a="1"/>
  <c r="J150" i="95" s="1"/>
  <c r="I150" i="95" a="1"/>
  <c r="I150" i="95" s="1"/>
  <c r="H150" i="95" a="1"/>
  <c r="H150" i="95" s="1"/>
  <c r="G150" i="95" a="1"/>
  <c r="G150" i="95" s="1"/>
  <c r="F150" i="95" a="1"/>
  <c r="F150" i="95" s="1"/>
  <c r="E150" i="95" a="1"/>
  <c r="E150" i="95" s="1"/>
  <c r="D150" i="95" a="1"/>
  <c r="D150" i="95" s="1"/>
  <c r="AH149" i="95" a="1"/>
  <c r="AH149" i="95" s="1"/>
  <c r="AG149" i="95" a="1"/>
  <c r="AG149" i="95" s="1"/>
  <c r="AF149" i="95" a="1"/>
  <c r="AF149" i="95" s="1"/>
  <c r="AE149" i="95" a="1"/>
  <c r="AE149" i="95" s="1"/>
  <c r="AD149" i="95" a="1"/>
  <c r="AD149" i="95" s="1"/>
  <c r="AC149" i="95" a="1"/>
  <c r="AC149" i="95" s="1"/>
  <c r="AB149" i="95" a="1"/>
  <c r="AB149" i="95" s="1"/>
  <c r="AA149" i="95" a="1"/>
  <c r="AA149" i="95" s="1"/>
  <c r="Z149" i="95" a="1"/>
  <c r="Z149" i="95" s="1"/>
  <c r="Y149" i="95" a="1"/>
  <c r="Y149" i="95" s="1"/>
  <c r="X149" i="95" a="1"/>
  <c r="X149" i="95" s="1"/>
  <c r="W149" i="95" a="1"/>
  <c r="W149" i="95" s="1"/>
  <c r="V149" i="95" a="1"/>
  <c r="V149" i="95" s="1"/>
  <c r="U149" i="95" a="1"/>
  <c r="U149" i="95" s="1"/>
  <c r="T149" i="95" a="1"/>
  <c r="T149" i="95" s="1"/>
  <c r="S149" i="95" a="1"/>
  <c r="S149" i="95" s="1"/>
  <c r="R149" i="95" a="1"/>
  <c r="R149" i="95" s="1"/>
  <c r="Q149" i="95" a="1"/>
  <c r="Q149" i="95" s="1"/>
  <c r="P149" i="95" a="1"/>
  <c r="P149" i="95" s="1"/>
  <c r="O149" i="95" a="1"/>
  <c r="O149" i="95" s="1"/>
  <c r="N149" i="95" a="1"/>
  <c r="N149" i="95" s="1"/>
  <c r="M149" i="95" a="1"/>
  <c r="M149" i="95" s="1"/>
  <c r="L149" i="95" a="1"/>
  <c r="L149" i="95" s="1"/>
  <c r="K149" i="95" a="1"/>
  <c r="K149" i="95" s="1"/>
  <c r="J149" i="95" a="1"/>
  <c r="J149" i="95" s="1"/>
  <c r="I149" i="95" a="1"/>
  <c r="I149" i="95" s="1"/>
  <c r="H149" i="95" a="1"/>
  <c r="H149" i="95" s="1"/>
  <c r="G149" i="95" a="1"/>
  <c r="G149" i="95" s="1"/>
  <c r="F149" i="95" a="1"/>
  <c r="F149" i="95" s="1"/>
  <c r="E149" i="95" a="1"/>
  <c r="E149" i="95" s="1"/>
  <c r="D149" i="95" a="1"/>
  <c r="D149" i="95" s="1"/>
  <c r="AH148" i="95" a="1"/>
  <c r="AH148" i="95" s="1"/>
  <c r="AG148" i="95" a="1"/>
  <c r="AG148" i="95" s="1"/>
  <c r="AF148" i="95" a="1"/>
  <c r="AF148" i="95" s="1"/>
  <c r="AE148" i="95" a="1"/>
  <c r="AE148" i="95" s="1"/>
  <c r="AD148" i="95" a="1"/>
  <c r="AD148" i="95" s="1"/>
  <c r="AC148" i="95" a="1"/>
  <c r="AC148" i="95" s="1"/>
  <c r="AB148" i="95" a="1"/>
  <c r="AB148" i="95" s="1"/>
  <c r="AA148" i="95" a="1"/>
  <c r="AA148" i="95" s="1"/>
  <c r="Z148" i="95" a="1"/>
  <c r="Z148" i="95" s="1"/>
  <c r="Y148" i="95" a="1"/>
  <c r="Y148" i="95" s="1"/>
  <c r="X148" i="95" a="1"/>
  <c r="X148" i="95" s="1"/>
  <c r="W148" i="95" a="1"/>
  <c r="W148" i="95" s="1"/>
  <c r="V148" i="95" a="1"/>
  <c r="V148" i="95" s="1"/>
  <c r="U148" i="95" a="1"/>
  <c r="U148" i="95" s="1"/>
  <c r="T148" i="95" a="1"/>
  <c r="T148" i="95" s="1"/>
  <c r="S148" i="95" a="1"/>
  <c r="S148" i="95" s="1"/>
  <c r="R148" i="95" a="1"/>
  <c r="R148" i="95" s="1"/>
  <c r="Q148" i="95" a="1"/>
  <c r="Q148" i="95" s="1"/>
  <c r="P148" i="95" a="1"/>
  <c r="P148" i="95" s="1"/>
  <c r="O148" i="95" a="1"/>
  <c r="O148" i="95" s="1"/>
  <c r="N148" i="95" a="1"/>
  <c r="N148" i="95" s="1"/>
  <c r="M148" i="95" a="1"/>
  <c r="M148" i="95" s="1"/>
  <c r="L148" i="95" a="1"/>
  <c r="L148" i="95" s="1"/>
  <c r="K148" i="95" a="1"/>
  <c r="K148" i="95" s="1"/>
  <c r="J148" i="95" a="1"/>
  <c r="J148" i="95" s="1"/>
  <c r="I148" i="95" a="1"/>
  <c r="I148" i="95" s="1"/>
  <c r="H148" i="95" a="1"/>
  <c r="H148" i="95" s="1"/>
  <c r="G148" i="95" a="1"/>
  <c r="G148" i="95" s="1"/>
  <c r="F148" i="95" a="1"/>
  <c r="F148" i="95" s="1"/>
  <c r="E148" i="95" a="1"/>
  <c r="E148" i="95" s="1"/>
  <c r="D148" i="95" a="1"/>
  <c r="D148" i="95" s="1"/>
  <c r="AH147" i="95" a="1"/>
  <c r="AH147" i="95" s="1"/>
  <c r="AG147" i="95" a="1"/>
  <c r="AG147" i="95" s="1"/>
  <c r="AF147" i="95" a="1"/>
  <c r="AF147" i="95" s="1"/>
  <c r="AE147" i="95" a="1"/>
  <c r="AE147" i="95" s="1"/>
  <c r="AD147" i="95" a="1"/>
  <c r="AD147" i="95" s="1"/>
  <c r="AC147" i="95" a="1"/>
  <c r="AC147" i="95" s="1"/>
  <c r="AB147" i="95" a="1"/>
  <c r="AB147" i="95" s="1"/>
  <c r="AA147" i="95" a="1"/>
  <c r="AA147" i="95" s="1"/>
  <c r="Z147" i="95" a="1"/>
  <c r="Z147" i="95" s="1"/>
  <c r="Y147" i="95" a="1"/>
  <c r="Y147" i="95" s="1"/>
  <c r="X147" i="95" a="1"/>
  <c r="X147" i="95" s="1"/>
  <c r="W147" i="95" a="1"/>
  <c r="W147" i="95" s="1"/>
  <c r="V147" i="95" a="1"/>
  <c r="V147" i="95" s="1"/>
  <c r="U147" i="95" a="1"/>
  <c r="U147" i="95" s="1"/>
  <c r="T147" i="95" a="1"/>
  <c r="T147" i="95" s="1"/>
  <c r="S147" i="95" a="1"/>
  <c r="S147" i="95" s="1"/>
  <c r="R147" i="95" a="1"/>
  <c r="R147" i="95" s="1"/>
  <c r="Q147" i="95" a="1"/>
  <c r="Q147" i="95" s="1"/>
  <c r="P147" i="95" a="1"/>
  <c r="P147" i="95" s="1"/>
  <c r="O147" i="95" a="1"/>
  <c r="O147" i="95" s="1"/>
  <c r="N147" i="95" a="1"/>
  <c r="N147" i="95" s="1"/>
  <c r="M147" i="95" a="1"/>
  <c r="M147" i="95" s="1"/>
  <c r="L147" i="95" a="1"/>
  <c r="L147" i="95" s="1"/>
  <c r="K147" i="95" a="1"/>
  <c r="K147" i="95" s="1"/>
  <c r="J147" i="95" a="1"/>
  <c r="J147" i="95" s="1"/>
  <c r="I147" i="95" a="1"/>
  <c r="I147" i="95" s="1"/>
  <c r="H147" i="95" a="1"/>
  <c r="H147" i="95" s="1"/>
  <c r="G147" i="95" a="1"/>
  <c r="G147" i="95" s="1"/>
  <c r="F147" i="95" a="1"/>
  <c r="F147" i="95" s="1"/>
  <c r="E147" i="95" a="1"/>
  <c r="E147" i="95" s="1"/>
  <c r="D147" i="95" a="1"/>
  <c r="D147" i="95" s="1"/>
  <c r="AH146" i="95" a="1"/>
  <c r="AH146" i="95" s="1"/>
  <c r="AG146" i="95" a="1"/>
  <c r="AG146" i="95" s="1"/>
  <c r="AF146" i="95" a="1"/>
  <c r="AF146" i="95" s="1"/>
  <c r="AE146" i="95" a="1"/>
  <c r="AE146" i="95" s="1"/>
  <c r="AD146" i="95" a="1"/>
  <c r="AD146" i="95" s="1"/>
  <c r="AC146" i="95" a="1"/>
  <c r="AC146" i="95" s="1"/>
  <c r="AB146" i="95" a="1"/>
  <c r="AB146" i="95" s="1"/>
  <c r="AA146" i="95" a="1"/>
  <c r="AA146" i="95" s="1"/>
  <c r="Z146" i="95" a="1"/>
  <c r="Z146" i="95" s="1"/>
  <c r="Y146" i="95" a="1"/>
  <c r="Y146" i="95" s="1"/>
  <c r="X146" i="95" a="1"/>
  <c r="X146" i="95" s="1"/>
  <c r="W146" i="95" a="1"/>
  <c r="W146" i="95" s="1"/>
  <c r="V146" i="95" a="1"/>
  <c r="V146" i="95" s="1"/>
  <c r="U146" i="95" a="1"/>
  <c r="U146" i="95" s="1"/>
  <c r="T146" i="95" a="1"/>
  <c r="T146" i="95" s="1"/>
  <c r="S146" i="95" a="1"/>
  <c r="S146" i="95" s="1"/>
  <c r="R146" i="95" a="1"/>
  <c r="R146" i="95" s="1"/>
  <c r="Q146" i="95" a="1"/>
  <c r="Q146" i="95" s="1"/>
  <c r="P146" i="95" a="1"/>
  <c r="P146" i="95" s="1"/>
  <c r="O146" i="95" a="1"/>
  <c r="O146" i="95" s="1"/>
  <c r="N146" i="95" a="1"/>
  <c r="N146" i="95" s="1"/>
  <c r="M146" i="95" a="1"/>
  <c r="M146" i="95" s="1"/>
  <c r="L146" i="95" a="1"/>
  <c r="L146" i="95" s="1"/>
  <c r="K146" i="95" a="1"/>
  <c r="K146" i="95" s="1"/>
  <c r="J146" i="95" a="1"/>
  <c r="J146" i="95" s="1"/>
  <c r="I146" i="95" a="1"/>
  <c r="I146" i="95" s="1"/>
  <c r="H146" i="95" a="1"/>
  <c r="H146" i="95" s="1"/>
  <c r="G146" i="95" a="1"/>
  <c r="G146" i="95" s="1"/>
  <c r="F146" i="95" a="1"/>
  <c r="F146" i="95" s="1"/>
  <c r="E146" i="95" a="1"/>
  <c r="E146" i="95" s="1"/>
  <c r="D146" i="95" a="1"/>
  <c r="D146" i="95" s="1"/>
  <c r="AH145" i="95" a="1"/>
  <c r="AH145" i="95" s="1"/>
  <c r="AG145" i="95" a="1"/>
  <c r="AG145" i="95" s="1"/>
  <c r="AF145" i="95" a="1"/>
  <c r="AF145" i="95" s="1"/>
  <c r="AE145" i="95" a="1"/>
  <c r="AE145" i="95" s="1"/>
  <c r="AD145" i="95" a="1"/>
  <c r="AD145" i="95" s="1"/>
  <c r="AC145" i="95" a="1"/>
  <c r="AC145" i="95" s="1"/>
  <c r="AB145" i="95" a="1"/>
  <c r="AB145" i="95" s="1"/>
  <c r="AA145" i="95" a="1"/>
  <c r="AA145" i="95" s="1"/>
  <c r="Z145" i="95" a="1"/>
  <c r="Z145" i="95" s="1"/>
  <c r="Y145" i="95" a="1"/>
  <c r="Y145" i="95" s="1"/>
  <c r="X145" i="95" a="1"/>
  <c r="X145" i="95" s="1"/>
  <c r="W145" i="95" a="1"/>
  <c r="W145" i="95" s="1"/>
  <c r="V145" i="95" a="1"/>
  <c r="V145" i="95" s="1"/>
  <c r="U145" i="95" a="1"/>
  <c r="U145" i="95" s="1"/>
  <c r="T145" i="95" a="1"/>
  <c r="T145" i="95" s="1"/>
  <c r="S145" i="95" a="1"/>
  <c r="S145" i="95" s="1"/>
  <c r="R145" i="95" a="1"/>
  <c r="R145" i="95" s="1"/>
  <c r="Q145" i="95" a="1"/>
  <c r="Q145" i="95" s="1"/>
  <c r="P145" i="95" a="1"/>
  <c r="P145" i="95" s="1"/>
  <c r="O145" i="95" a="1"/>
  <c r="O145" i="95" s="1"/>
  <c r="N145" i="95" a="1"/>
  <c r="N145" i="95" s="1"/>
  <c r="M145" i="95" a="1"/>
  <c r="M145" i="95" s="1"/>
  <c r="L145" i="95" a="1"/>
  <c r="L145" i="95" s="1"/>
  <c r="K145" i="95" a="1"/>
  <c r="K145" i="95" s="1"/>
  <c r="J145" i="95" a="1"/>
  <c r="J145" i="95" s="1"/>
  <c r="I145" i="95" a="1"/>
  <c r="I145" i="95" s="1"/>
  <c r="H145" i="95" a="1"/>
  <c r="H145" i="95" s="1"/>
  <c r="G145" i="95" a="1"/>
  <c r="G145" i="95" s="1"/>
  <c r="F145" i="95" a="1"/>
  <c r="F145" i="95" s="1"/>
  <c r="E145" i="95" a="1"/>
  <c r="E145" i="95" s="1"/>
  <c r="D145" i="95" a="1"/>
  <c r="D145" i="95" s="1"/>
  <c r="AH144" i="95" a="1"/>
  <c r="AH144" i="95" s="1"/>
  <c r="AG144" i="95" a="1"/>
  <c r="AG144" i="95" s="1"/>
  <c r="AF144" i="95" a="1"/>
  <c r="AF144" i="95" s="1"/>
  <c r="AE144" i="95" a="1"/>
  <c r="AE144" i="95" s="1"/>
  <c r="AD144" i="95" a="1"/>
  <c r="AD144" i="95" s="1"/>
  <c r="AC144" i="95" a="1"/>
  <c r="AC144" i="95" s="1"/>
  <c r="AB144" i="95" a="1"/>
  <c r="AB144" i="95" s="1"/>
  <c r="AA144" i="95" a="1"/>
  <c r="AA144" i="95" s="1"/>
  <c r="Z144" i="95" a="1"/>
  <c r="Z144" i="95" s="1"/>
  <c r="Y144" i="95" a="1"/>
  <c r="Y144" i="95" s="1"/>
  <c r="X144" i="95" a="1"/>
  <c r="X144" i="95" s="1"/>
  <c r="W144" i="95" a="1"/>
  <c r="W144" i="95" s="1"/>
  <c r="V144" i="95" a="1"/>
  <c r="V144" i="95" s="1"/>
  <c r="U144" i="95" a="1"/>
  <c r="U144" i="95" s="1"/>
  <c r="T144" i="95" a="1"/>
  <c r="T144" i="95" s="1"/>
  <c r="S144" i="95" a="1"/>
  <c r="S144" i="95" s="1"/>
  <c r="R144" i="95" a="1"/>
  <c r="R144" i="95" s="1"/>
  <c r="Q144" i="95" a="1"/>
  <c r="Q144" i="95" s="1"/>
  <c r="P144" i="95" a="1"/>
  <c r="P144" i="95" s="1"/>
  <c r="O144" i="95" a="1"/>
  <c r="O144" i="95" s="1"/>
  <c r="N144" i="95" a="1"/>
  <c r="N144" i="95" s="1"/>
  <c r="M144" i="95" a="1"/>
  <c r="M144" i="95" s="1"/>
  <c r="L144" i="95" a="1"/>
  <c r="L144" i="95" s="1"/>
  <c r="K144" i="95" a="1"/>
  <c r="K144" i="95" s="1"/>
  <c r="J144" i="95" a="1"/>
  <c r="J144" i="95" s="1"/>
  <c r="I144" i="95" a="1"/>
  <c r="I144" i="95" s="1"/>
  <c r="H144" i="95" a="1"/>
  <c r="H144" i="95" s="1"/>
  <c r="G144" i="95" a="1"/>
  <c r="G144" i="95" s="1"/>
  <c r="F144" i="95" a="1"/>
  <c r="F144" i="95" s="1"/>
  <c r="E144" i="95" a="1"/>
  <c r="E144" i="95" s="1"/>
  <c r="D144" i="95" a="1"/>
  <c r="D144" i="95" s="1"/>
  <c r="AH143" i="95" a="1"/>
  <c r="AH143" i="95" s="1"/>
  <c r="AG143" i="95" a="1"/>
  <c r="AG143" i="95" s="1"/>
  <c r="AF143" i="95" a="1"/>
  <c r="AF143" i="95" s="1"/>
  <c r="AE143" i="95" a="1"/>
  <c r="AE143" i="95" s="1"/>
  <c r="AD143" i="95" a="1"/>
  <c r="AD143" i="95" s="1"/>
  <c r="AC143" i="95" a="1"/>
  <c r="AC143" i="95" s="1"/>
  <c r="AB143" i="95" a="1"/>
  <c r="AB143" i="95" s="1"/>
  <c r="AA143" i="95" a="1"/>
  <c r="AA143" i="95" s="1"/>
  <c r="Z143" i="95" a="1"/>
  <c r="Z143" i="95" s="1"/>
  <c r="Y143" i="95" a="1"/>
  <c r="Y143" i="95" s="1"/>
  <c r="X143" i="95" a="1"/>
  <c r="X143" i="95" s="1"/>
  <c r="W143" i="95" a="1"/>
  <c r="W143" i="95" s="1"/>
  <c r="V143" i="95" a="1"/>
  <c r="V143" i="95" s="1"/>
  <c r="U143" i="95" a="1"/>
  <c r="U143" i="95" s="1"/>
  <c r="T143" i="95" a="1"/>
  <c r="T143" i="95" s="1"/>
  <c r="S143" i="95" a="1"/>
  <c r="S143" i="95" s="1"/>
  <c r="R143" i="95" a="1"/>
  <c r="R143" i="95" s="1"/>
  <c r="Q143" i="95" a="1"/>
  <c r="Q143" i="95" s="1"/>
  <c r="P143" i="95" a="1"/>
  <c r="P143" i="95" s="1"/>
  <c r="O143" i="95" a="1"/>
  <c r="O143" i="95" s="1"/>
  <c r="N143" i="95" a="1"/>
  <c r="N143" i="95" s="1"/>
  <c r="M143" i="95" a="1"/>
  <c r="M143" i="95" s="1"/>
  <c r="L143" i="95" a="1"/>
  <c r="L143" i="95" s="1"/>
  <c r="K143" i="95" a="1"/>
  <c r="K143" i="95" s="1"/>
  <c r="J143" i="95" a="1"/>
  <c r="J143" i="95" s="1"/>
  <c r="I143" i="95" a="1"/>
  <c r="I143" i="95" s="1"/>
  <c r="H143" i="95" a="1"/>
  <c r="H143" i="95" s="1"/>
  <c r="G143" i="95" a="1"/>
  <c r="G143" i="95" s="1"/>
  <c r="F143" i="95" a="1"/>
  <c r="F143" i="95" s="1"/>
  <c r="E143" i="95" a="1"/>
  <c r="E143" i="95" s="1"/>
  <c r="D143" i="95" a="1"/>
  <c r="D143" i="95" s="1"/>
  <c r="AH142" i="95" a="1"/>
  <c r="AH142" i="95" s="1"/>
  <c r="AG142" i="95" a="1"/>
  <c r="AG142" i="95" s="1"/>
  <c r="AF142" i="95" a="1"/>
  <c r="AF142" i="95" s="1"/>
  <c r="AE142" i="95" a="1"/>
  <c r="AE142" i="95" s="1"/>
  <c r="AD142" i="95" a="1"/>
  <c r="AD142" i="95" s="1"/>
  <c r="AC142" i="95" a="1"/>
  <c r="AC142" i="95" s="1"/>
  <c r="AB142" i="95" a="1"/>
  <c r="AB142" i="95" s="1"/>
  <c r="AA142" i="95" a="1"/>
  <c r="AA142" i="95" s="1"/>
  <c r="Z142" i="95" a="1"/>
  <c r="Z142" i="95" s="1"/>
  <c r="Y142" i="95" a="1"/>
  <c r="Y142" i="95" s="1"/>
  <c r="X142" i="95" a="1"/>
  <c r="X142" i="95" s="1"/>
  <c r="W142" i="95" a="1"/>
  <c r="W142" i="95" s="1"/>
  <c r="V142" i="95" a="1"/>
  <c r="V142" i="95" s="1"/>
  <c r="U142" i="95" a="1"/>
  <c r="U142" i="95" s="1"/>
  <c r="T142" i="95" a="1"/>
  <c r="T142" i="95" s="1"/>
  <c r="S142" i="95" a="1"/>
  <c r="S142" i="95" s="1"/>
  <c r="R142" i="95" a="1"/>
  <c r="R142" i="95" s="1"/>
  <c r="Q142" i="95" a="1"/>
  <c r="Q142" i="95" s="1"/>
  <c r="P142" i="95" a="1"/>
  <c r="P142" i="95" s="1"/>
  <c r="O142" i="95" a="1"/>
  <c r="O142" i="95" s="1"/>
  <c r="N142" i="95" a="1"/>
  <c r="N142" i="95" s="1"/>
  <c r="M142" i="95" a="1"/>
  <c r="M142" i="95" s="1"/>
  <c r="L142" i="95" a="1"/>
  <c r="L142" i="95" s="1"/>
  <c r="K142" i="95" a="1"/>
  <c r="K142" i="95" s="1"/>
  <c r="J142" i="95" a="1"/>
  <c r="J142" i="95" s="1"/>
  <c r="I142" i="95" a="1"/>
  <c r="I142" i="95" s="1"/>
  <c r="H142" i="95" a="1"/>
  <c r="H142" i="95" s="1"/>
  <c r="G142" i="95" a="1"/>
  <c r="G142" i="95" s="1"/>
  <c r="F142" i="95" a="1"/>
  <c r="F142" i="95" s="1"/>
  <c r="E142" i="95" a="1"/>
  <c r="E142" i="95" s="1"/>
  <c r="D142" i="95" a="1"/>
  <c r="D142" i="95" s="1"/>
  <c r="AH141" i="95" a="1"/>
  <c r="AH141" i="95" s="1"/>
  <c r="AG141" i="95" a="1"/>
  <c r="AG141" i="95" s="1"/>
  <c r="AF141" i="95" a="1"/>
  <c r="AF141" i="95" s="1"/>
  <c r="AE141" i="95" a="1"/>
  <c r="AE141" i="95" s="1"/>
  <c r="AD141" i="95" a="1"/>
  <c r="AD141" i="95" s="1"/>
  <c r="AC141" i="95" a="1"/>
  <c r="AC141" i="95" s="1"/>
  <c r="AB141" i="95" a="1"/>
  <c r="AB141" i="95" s="1"/>
  <c r="AA141" i="95" a="1"/>
  <c r="AA141" i="95" s="1"/>
  <c r="Z141" i="95" a="1"/>
  <c r="Z141" i="95" s="1"/>
  <c r="Y141" i="95" a="1"/>
  <c r="Y141" i="95" s="1"/>
  <c r="X141" i="95" a="1"/>
  <c r="X141" i="95" s="1"/>
  <c r="W141" i="95" a="1"/>
  <c r="W141" i="95" s="1"/>
  <c r="V141" i="95" a="1"/>
  <c r="V141" i="95" s="1"/>
  <c r="U141" i="95" a="1"/>
  <c r="U141" i="95" s="1"/>
  <c r="T141" i="95" a="1"/>
  <c r="T141" i="95" s="1"/>
  <c r="S141" i="95" a="1"/>
  <c r="S141" i="95" s="1"/>
  <c r="R141" i="95" a="1"/>
  <c r="R141" i="95" s="1"/>
  <c r="Q141" i="95" a="1"/>
  <c r="Q141" i="95" s="1"/>
  <c r="P141" i="95" a="1"/>
  <c r="P141" i="95" s="1"/>
  <c r="O141" i="95" a="1"/>
  <c r="O141" i="95" s="1"/>
  <c r="N141" i="95" a="1"/>
  <c r="N141" i="95" s="1"/>
  <c r="M141" i="95" a="1"/>
  <c r="M141" i="95" s="1"/>
  <c r="L141" i="95" a="1"/>
  <c r="L141" i="95" s="1"/>
  <c r="K141" i="95" a="1"/>
  <c r="K141" i="95" s="1"/>
  <c r="J141" i="95" a="1"/>
  <c r="J141" i="95" s="1"/>
  <c r="I141" i="95" a="1"/>
  <c r="I141" i="95" s="1"/>
  <c r="H141" i="95" a="1"/>
  <c r="H141" i="95" s="1"/>
  <c r="G141" i="95" a="1"/>
  <c r="G141" i="95" s="1"/>
  <c r="F141" i="95" a="1"/>
  <c r="F141" i="95" s="1"/>
  <c r="E141" i="95" a="1"/>
  <c r="E141" i="95" s="1"/>
  <c r="D141" i="95" a="1"/>
  <c r="D141" i="95" s="1"/>
  <c r="AH140" i="95" a="1"/>
  <c r="AH140" i="95" s="1"/>
  <c r="AG140" i="95" a="1"/>
  <c r="AG140" i="95" s="1"/>
  <c r="AF140" i="95" a="1"/>
  <c r="AF140" i="95" s="1"/>
  <c r="AE140" i="95" a="1"/>
  <c r="AE140" i="95" s="1"/>
  <c r="AD140" i="95" a="1"/>
  <c r="AD140" i="95" s="1"/>
  <c r="AC140" i="95" a="1"/>
  <c r="AC140" i="95" s="1"/>
  <c r="AB140" i="95" a="1"/>
  <c r="AB140" i="95" s="1"/>
  <c r="AA140" i="95" a="1"/>
  <c r="AA140" i="95" s="1"/>
  <c r="Z140" i="95" a="1"/>
  <c r="Z140" i="95" s="1"/>
  <c r="Y140" i="95" a="1"/>
  <c r="Y140" i="95" s="1"/>
  <c r="X140" i="95" a="1"/>
  <c r="X140" i="95" s="1"/>
  <c r="W140" i="95" a="1"/>
  <c r="W140" i="95" s="1"/>
  <c r="V140" i="95" a="1"/>
  <c r="V140" i="95" s="1"/>
  <c r="U140" i="95" a="1"/>
  <c r="U140" i="95" s="1"/>
  <c r="T140" i="95" a="1"/>
  <c r="T140" i="95" s="1"/>
  <c r="S140" i="95" a="1"/>
  <c r="S140" i="95" s="1"/>
  <c r="R140" i="95" a="1"/>
  <c r="R140" i="95" s="1"/>
  <c r="Q140" i="95" a="1"/>
  <c r="Q140" i="95" s="1"/>
  <c r="P140" i="95" a="1"/>
  <c r="P140" i="95" s="1"/>
  <c r="O140" i="95" a="1"/>
  <c r="O140" i="95" s="1"/>
  <c r="N140" i="95" a="1"/>
  <c r="N140" i="95" s="1"/>
  <c r="M140" i="95" a="1"/>
  <c r="M140" i="95" s="1"/>
  <c r="L140" i="95" a="1"/>
  <c r="L140" i="95" s="1"/>
  <c r="K140" i="95" a="1"/>
  <c r="K140" i="95" s="1"/>
  <c r="J140" i="95" a="1"/>
  <c r="J140" i="95" s="1"/>
  <c r="I140" i="95" a="1"/>
  <c r="I140" i="95" s="1"/>
  <c r="H140" i="95" a="1"/>
  <c r="H140" i="95" s="1"/>
  <c r="G140" i="95" a="1"/>
  <c r="G140" i="95" s="1"/>
  <c r="F140" i="95" a="1"/>
  <c r="F140" i="95" s="1"/>
  <c r="E140" i="95" a="1"/>
  <c r="E140" i="95" s="1"/>
  <c r="D140" i="95" a="1"/>
  <c r="D140" i="95" s="1"/>
  <c r="AH139" i="95" a="1"/>
  <c r="AH139" i="95" s="1"/>
  <c r="AG139" i="95" a="1"/>
  <c r="AG139" i="95" s="1"/>
  <c r="AF139" i="95" a="1"/>
  <c r="AF139" i="95" s="1"/>
  <c r="AE139" i="95" a="1"/>
  <c r="AE139" i="95" s="1"/>
  <c r="AD139" i="95" a="1"/>
  <c r="AD139" i="95" s="1"/>
  <c r="AC139" i="95" a="1"/>
  <c r="AC139" i="95" s="1"/>
  <c r="AB139" i="95" a="1"/>
  <c r="AB139" i="95" s="1"/>
  <c r="AA139" i="95" a="1"/>
  <c r="AA139" i="95" s="1"/>
  <c r="Z139" i="95" a="1"/>
  <c r="Z139" i="95" s="1"/>
  <c r="Y139" i="95" a="1"/>
  <c r="Y139" i="95" s="1"/>
  <c r="X139" i="95" a="1"/>
  <c r="X139" i="95" s="1"/>
  <c r="W139" i="95" a="1"/>
  <c r="W139" i="95" s="1"/>
  <c r="V139" i="95" a="1"/>
  <c r="V139" i="95" s="1"/>
  <c r="U139" i="95" a="1"/>
  <c r="U139" i="95" s="1"/>
  <c r="T139" i="95" a="1"/>
  <c r="T139" i="95" s="1"/>
  <c r="S139" i="95" a="1"/>
  <c r="S139" i="95" s="1"/>
  <c r="R139" i="95" a="1"/>
  <c r="R139" i="95" s="1"/>
  <c r="Q139" i="95" a="1"/>
  <c r="Q139" i="95" s="1"/>
  <c r="P139" i="95" a="1"/>
  <c r="P139" i="95" s="1"/>
  <c r="O139" i="95" a="1"/>
  <c r="O139" i="95" s="1"/>
  <c r="N139" i="95" a="1"/>
  <c r="N139" i="95" s="1"/>
  <c r="M139" i="95" a="1"/>
  <c r="M139" i="95" s="1"/>
  <c r="L139" i="95" a="1"/>
  <c r="L139" i="95" s="1"/>
  <c r="K139" i="95" a="1"/>
  <c r="K139" i="95" s="1"/>
  <c r="J139" i="95" a="1"/>
  <c r="J139" i="95" s="1"/>
  <c r="I139" i="95" a="1"/>
  <c r="I139" i="95" s="1"/>
  <c r="H139" i="95" a="1"/>
  <c r="H139" i="95" s="1"/>
  <c r="G139" i="95" a="1"/>
  <c r="G139" i="95" s="1"/>
  <c r="F139" i="95" a="1"/>
  <c r="F139" i="95" s="1"/>
  <c r="E139" i="95" a="1"/>
  <c r="E139" i="95" s="1"/>
  <c r="D139" i="95" a="1"/>
  <c r="D139" i="95" s="1"/>
  <c r="AH138" i="95" a="1"/>
  <c r="AH138" i="95" s="1"/>
  <c r="AG138" i="95" a="1"/>
  <c r="AG138" i="95" s="1"/>
  <c r="AF138" i="95" a="1"/>
  <c r="AF138" i="95" s="1"/>
  <c r="AE138" i="95" a="1"/>
  <c r="AE138" i="95" s="1"/>
  <c r="AD138" i="95" a="1"/>
  <c r="AD138" i="95" s="1"/>
  <c r="AC138" i="95" a="1"/>
  <c r="AC138" i="95" s="1"/>
  <c r="AB138" i="95" a="1"/>
  <c r="AB138" i="95" s="1"/>
  <c r="AA138" i="95" a="1"/>
  <c r="AA138" i="95" s="1"/>
  <c r="Z138" i="95" a="1"/>
  <c r="Z138" i="95" s="1"/>
  <c r="Y138" i="95" a="1"/>
  <c r="Y138" i="95" s="1"/>
  <c r="X138" i="95" a="1"/>
  <c r="X138" i="95" s="1"/>
  <c r="W138" i="95" a="1"/>
  <c r="W138" i="95" s="1"/>
  <c r="V138" i="95" a="1"/>
  <c r="V138" i="95" s="1"/>
  <c r="U138" i="95" a="1"/>
  <c r="U138" i="95" s="1"/>
  <c r="T138" i="95" a="1"/>
  <c r="T138" i="95" s="1"/>
  <c r="S138" i="95" a="1"/>
  <c r="S138" i="95" s="1"/>
  <c r="R138" i="95" a="1"/>
  <c r="R138" i="95" s="1"/>
  <c r="Q138" i="95" a="1"/>
  <c r="Q138" i="95" s="1"/>
  <c r="P138" i="95" a="1"/>
  <c r="P138" i="95" s="1"/>
  <c r="O138" i="95" a="1"/>
  <c r="O138" i="95" s="1"/>
  <c r="N138" i="95" a="1"/>
  <c r="N138" i="95" s="1"/>
  <c r="M138" i="95" a="1"/>
  <c r="M138" i="95" s="1"/>
  <c r="L138" i="95" a="1"/>
  <c r="L138" i="95" s="1"/>
  <c r="K138" i="95" a="1"/>
  <c r="K138" i="95" s="1"/>
  <c r="J138" i="95" a="1"/>
  <c r="J138" i="95" s="1"/>
  <c r="I138" i="95" a="1"/>
  <c r="I138" i="95" s="1"/>
  <c r="H138" i="95" a="1"/>
  <c r="H138" i="95" s="1"/>
  <c r="G138" i="95" a="1"/>
  <c r="G138" i="95" s="1"/>
  <c r="F138" i="95" a="1"/>
  <c r="F138" i="95" s="1"/>
  <c r="E138" i="95" a="1"/>
  <c r="E138" i="95" s="1"/>
  <c r="D138" i="95" a="1"/>
  <c r="D138" i="95" s="1"/>
  <c r="AH137" i="95" a="1"/>
  <c r="AH137" i="95" s="1"/>
  <c r="AG137" i="95" a="1"/>
  <c r="AG137" i="95" s="1"/>
  <c r="AF137" i="95" a="1"/>
  <c r="AF137" i="95" s="1"/>
  <c r="AE137" i="95" a="1"/>
  <c r="AE137" i="95" s="1"/>
  <c r="AD137" i="95" a="1"/>
  <c r="AD137" i="95" s="1"/>
  <c r="AC137" i="95" a="1"/>
  <c r="AC137" i="95" s="1"/>
  <c r="AB137" i="95" a="1"/>
  <c r="AB137" i="95" s="1"/>
  <c r="AA137" i="95" a="1"/>
  <c r="AA137" i="95" s="1"/>
  <c r="Z137" i="95" a="1"/>
  <c r="Z137" i="95" s="1"/>
  <c r="Y137" i="95" a="1"/>
  <c r="Y137" i="95" s="1"/>
  <c r="X137" i="95" a="1"/>
  <c r="X137" i="95" s="1"/>
  <c r="W137" i="95" a="1"/>
  <c r="W137" i="95" s="1"/>
  <c r="V137" i="95" a="1"/>
  <c r="V137" i="95" s="1"/>
  <c r="U137" i="95" a="1"/>
  <c r="U137" i="95" s="1"/>
  <c r="T137" i="95" a="1"/>
  <c r="T137" i="95" s="1"/>
  <c r="S137" i="95" a="1"/>
  <c r="S137" i="95" s="1"/>
  <c r="R137" i="95" a="1"/>
  <c r="R137" i="95" s="1"/>
  <c r="Q137" i="95" a="1"/>
  <c r="Q137" i="95" s="1"/>
  <c r="P137" i="95" a="1"/>
  <c r="P137" i="95" s="1"/>
  <c r="O137" i="95" a="1"/>
  <c r="O137" i="95" s="1"/>
  <c r="N137" i="95" a="1"/>
  <c r="N137" i="95" s="1"/>
  <c r="M137" i="95" a="1"/>
  <c r="M137" i="95" s="1"/>
  <c r="L137" i="95" a="1"/>
  <c r="L137" i="95" s="1"/>
  <c r="K137" i="95" a="1"/>
  <c r="K137" i="95" s="1"/>
  <c r="J137" i="95" a="1"/>
  <c r="J137" i="95" s="1"/>
  <c r="I137" i="95" a="1"/>
  <c r="I137" i="95" s="1"/>
  <c r="H137" i="95" a="1"/>
  <c r="H137" i="95" s="1"/>
  <c r="G137" i="95" a="1"/>
  <c r="G137" i="95" s="1"/>
  <c r="F137" i="95" a="1"/>
  <c r="F137" i="95" s="1"/>
  <c r="E137" i="95" a="1"/>
  <c r="E137" i="95" s="1"/>
  <c r="D137" i="95" a="1"/>
  <c r="D137" i="95" s="1"/>
  <c r="AH136" i="95" a="1"/>
  <c r="AH136" i="95" s="1"/>
  <c r="AG136" i="95" a="1"/>
  <c r="AG136" i="95" s="1"/>
  <c r="AF136" i="95" a="1"/>
  <c r="AF136" i="95" s="1"/>
  <c r="AE136" i="95" a="1"/>
  <c r="AE136" i="95" s="1"/>
  <c r="AD136" i="95" a="1"/>
  <c r="AD136" i="95" s="1"/>
  <c r="AC136" i="95" a="1"/>
  <c r="AC136" i="95" s="1"/>
  <c r="AB136" i="95" a="1"/>
  <c r="AB136" i="95" s="1"/>
  <c r="AA136" i="95" a="1"/>
  <c r="AA136" i="95" s="1"/>
  <c r="Z136" i="95" a="1"/>
  <c r="Z136" i="95" s="1"/>
  <c r="Y136" i="95" a="1"/>
  <c r="Y136" i="95" s="1"/>
  <c r="X136" i="95" a="1"/>
  <c r="X136" i="95" s="1"/>
  <c r="W136" i="95" a="1"/>
  <c r="W136" i="95" s="1"/>
  <c r="V136" i="95" a="1"/>
  <c r="V136" i="95" s="1"/>
  <c r="U136" i="95" a="1"/>
  <c r="U136" i="95" s="1"/>
  <c r="T136" i="95" a="1"/>
  <c r="T136" i="95" s="1"/>
  <c r="S136" i="95" a="1"/>
  <c r="S136" i="95" s="1"/>
  <c r="R136" i="95" a="1"/>
  <c r="R136" i="95" s="1"/>
  <c r="Q136" i="95" a="1"/>
  <c r="Q136" i="95" s="1"/>
  <c r="P136" i="95" a="1"/>
  <c r="P136" i="95" s="1"/>
  <c r="O136" i="95" a="1"/>
  <c r="O136" i="95" s="1"/>
  <c r="N136" i="95" a="1"/>
  <c r="N136" i="95" s="1"/>
  <c r="M136" i="95" a="1"/>
  <c r="M136" i="95" s="1"/>
  <c r="L136" i="95" a="1"/>
  <c r="L136" i="95" s="1"/>
  <c r="K136" i="95" a="1"/>
  <c r="K136" i="95" s="1"/>
  <c r="J136" i="95" a="1"/>
  <c r="J136" i="95" s="1"/>
  <c r="I136" i="95" a="1"/>
  <c r="I136" i="95" s="1"/>
  <c r="H136" i="95" a="1"/>
  <c r="H136" i="95" s="1"/>
  <c r="G136" i="95" a="1"/>
  <c r="G136" i="95" s="1"/>
  <c r="F136" i="95" a="1"/>
  <c r="F136" i="95" s="1"/>
  <c r="E136" i="95" a="1"/>
  <c r="E136" i="95" s="1"/>
  <c r="D136" i="95" a="1"/>
  <c r="D136" i="95" s="1"/>
  <c r="AH135" i="95" a="1"/>
  <c r="AH135" i="95" s="1"/>
  <c r="AG135" i="95" a="1"/>
  <c r="AG135" i="95" s="1"/>
  <c r="AF135" i="95" a="1"/>
  <c r="AF135" i="95" s="1"/>
  <c r="AE135" i="95" a="1"/>
  <c r="AE135" i="95" s="1"/>
  <c r="AD135" i="95" a="1"/>
  <c r="AD135" i="95" s="1"/>
  <c r="AC135" i="95" a="1"/>
  <c r="AC135" i="95" s="1"/>
  <c r="AB135" i="95" a="1"/>
  <c r="AB135" i="95" s="1"/>
  <c r="AA135" i="95" a="1"/>
  <c r="AA135" i="95" s="1"/>
  <c r="Z135" i="95" a="1"/>
  <c r="Z135" i="95" s="1"/>
  <c r="Y135" i="95" a="1"/>
  <c r="Y135" i="95" s="1"/>
  <c r="X135" i="95" a="1"/>
  <c r="X135" i="95" s="1"/>
  <c r="W135" i="95" a="1"/>
  <c r="W135" i="95" s="1"/>
  <c r="V135" i="95" a="1"/>
  <c r="V135" i="95" s="1"/>
  <c r="U135" i="95" a="1"/>
  <c r="U135" i="95" s="1"/>
  <c r="T135" i="95" a="1"/>
  <c r="T135" i="95" s="1"/>
  <c r="S135" i="95" a="1"/>
  <c r="S135" i="95" s="1"/>
  <c r="R135" i="95" a="1"/>
  <c r="R135" i="95" s="1"/>
  <c r="Q135" i="95" a="1"/>
  <c r="Q135" i="95" s="1"/>
  <c r="P135" i="95" a="1"/>
  <c r="P135" i="95" s="1"/>
  <c r="O135" i="95" a="1"/>
  <c r="O135" i="95" s="1"/>
  <c r="N135" i="95" a="1"/>
  <c r="N135" i="95" s="1"/>
  <c r="M135" i="95" a="1"/>
  <c r="M135" i="95" s="1"/>
  <c r="L135" i="95" a="1"/>
  <c r="L135" i="95" s="1"/>
  <c r="K135" i="95" a="1"/>
  <c r="K135" i="95" s="1"/>
  <c r="J135" i="95" a="1"/>
  <c r="J135" i="95" s="1"/>
  <c r="I135" i="95" a="1"/>
  <c r="I135" i="95" s="1"/>
  <c r="H135" i="95" a="1"/>
  <c r="H135" i="95" s="1"/>
  <c r="G135" i="95" a="1"/>
  <c r="G135" i="95" s="1"/>
  <c r="F135" i="95" a="1"/>
  <c r="F135" i="95" s="1"/>
  <c r="E135" i="95" a="1"/>
  <c r="E135" i="95" s="1"/>
  <c r="D135" i="95" a="1"/>
  <c r="D135" i="95" s="1"/>
  <c r="AH134" i="95" a="1"/>
  <c r="AH134" i="95" s="1"/>
  <c r="AG134" i="95" a="1"/>
  <c r="AG134" i="95" s="1"/>
  <c r="AF134" i="95" a="1"/>
  <c r="AF134" i="95" s="1"/>
  <c r="AE134" i="95" a="1"/>
  <c r="AE134" i="95" s="1"/>
  <c r="AD134" i="95" a="1"/>
  <c r="AD134" i="95" s="1"/>
  <c r="AC134" i="95" a="1"/>
  <c r="AC134" i="95" s="1"/>
  <c r="AB134" i="95" a="1"/>
  <c r="AB134" i="95" s="1"/>
  <c r="AA134" i="95" a="1"/>
  <c r="AA134" i="95" s="1"/>
  <c r="Z134" i="95" a="1"/>
  <c r="Z134" i="95" s="1"/>
  <c r="Y134" i="95" a="1"/>
  <c r="Y134" i="95" s="1"/>
  <c r="X134" i="95" a="1"/>
  <c r="X134" i="95" s="1"/>
  <c r="W134" i="95" a="1"/>
  <c r="W134" i="95" s="1"/>
  <c r="V134" i="95" a="1"/>
  <c r="V134" i="95" s="1"/>
  <c r="U134" i="95" a="1"/>
  <c r="U134" i="95" s="1"/>
  <c r="T134" i="95" a="1"/>
  <c r="T134" i="95" s="1"/>
  <c r="S134" i="95" a="1"/>
  <c r="S134" i="95" s="1"/>
  <c r="R134" i="95" a="1"/>
  <c r="R134" i="95" s="1"/>
  <c r="Q134" i="95" a="1"/>
  <c r="Q134" i="95" s="1"/>
  <c r="P134" i="95" a="1"/>
  <c r="P134" i="95" s="1"/>
  <c r="O134" i="95" a="1"/>
  <c r="O134" i="95" s="1"/>
  <c r="N134" i="95" a="1"/>
  <c r="N134" i="95" s="1"/>
  <c r="M134" i="95" a="1"/>
  <c r="M134" i="95" s="1"/>
  <c r="L134" i="95" a="1"/>
  <c r="L134" i="95" s="1"/>
  <c r="K134" i="95" a="1"/>
  <c r="K134" i="95" s="1"/>
  <c r="J134" i="95" a="1"/>
  <c r="J134" i="95" s="1"/>
  <c r="I134" i="95" a="1"/>
  <c r="I134" i="95" s="1"/>
  <c r="H134" i="95" a="1"/>
  <c r="H134" i="95" s="1"/>
  <c r="G134" i="95" a="1"/>
  <c r="G134" i="95" s="1"/>
  <c r="F134" i="95" a="1"/>
  <c r="F134" i="95" s="1"/>
  <c r="E134" i="95" a="1"/>
  <c r="E134" i="95" s="1"/>
  <c r="D134" i="95" a="1"/>
  <c r="D134" i="95" s="1"/>
  <c r="AH133" i="95" a="1"/>
  <c r="AH133" i="95" s="1"/>
  <c r="AG133" i="95" a="1"/>
  <c r="AG133" i="95" s="1"/>
  <c r="AF133" i="95" a="1"/>
  <c r="AF133" i="95" s="1"/>
  <c r="AE133" i="95" a="1"/>
  <c r="AE133" i="95" s="1"/>
  <c r="AD133" i="95" a="1"/>
  <c r="AD133" i="95" s="1"/>
  <c r="AC133" i="95" a="1"/>
  <c r="AC133" i="95" s="1"/>
  <c r="AB133" i="95" a="1"/>
  <c r="AB133" i="95" s="1"/>
  <c r="AA133" i="95" a="1"/>
  <c r="AA133" i="95" s="1"/>
  <c r="Z133" i="95" a="1"/>
  <c r="Z133" i="95" s="1"/>
  <c r="Y133" i="95" a="1"/>
  <c r="Y133" i="95" s="1"/>
  <c r="X133" i="95" a="1"/>
  <c r="X133" i="95" s="1"/>
  <c r="W133" i="95" a="1"/>
  <c r="W133" i="95" s="1"/>
  <c r="V133" i="95" a="1"/>
  <c r="V133" i="95" s="1"/>
  <c r="U133" i="95" a="1"/>
  <c r="U133" i="95" s="1"/>
  <c r="T133" i="95" a="1"/>
  <c r="T133" i="95" s="1"/>
  <c r="S133" i="95" a="1"/>
  <c r="S133" i="95" s="1"/>
  <c r="R133" i="95" a="1"/>
  <c r="R133" i="95" s="1"/>
  <c r="Q133" i="95" a="1"/>
  <c r="Q133" i="95" s="1"/>
  <c r="P133" i="95" a="1"/>
  <c r="P133" i="95" s="1"/>
  <c r="O133" i="95" a="1"/>
  <c r="O133" i="95" s="1"/>
  <c r="N133" i="95" a="1"/>
  <c r="N133" i="95" s="1"/>
  <c r="M133" i="95" a="1"/>
  <c r="M133" i="95" s="1"/>
  <c r="L133" i="95" a="1"/>
  <c r="L133" i="95" s="1"/>
  <c r="K133" i="95" a="1"/>
  <c r="K133" i="95" s="1"/>
  <c r="J133" i="95" a="1"/>
  <c r="J133" i="95" s="1"/>
  <c r="I133" i="95" a="1"/>
  <c r="I133" i="95" s="1"/>
  <c r="H133" i="95" a="1"/>
  <c r="H133" i="95" s="1"/>
  <c r="G133" i="95" a="1"/>
  <c r="G133" i="95" s="1"/>
  <c r="F133" i="95" a="1"/>
  <c r="F133" i="95" s="1"/>
  <c r="E133" i="95" a="1"/>
  <c r="E133" i="95" s="1"/>
  <c r="D133" i="95" a="1"/>
  <c r="D133" i="95" s="1"/>
  <c r="AH132" i="95" a="1"/>
  <c r="AH132" i="95" s="1"/>
  <c r="AG132" i="95" a="1"/>
  <c r="AG132" i="95" s="1"/>
  <c r="AF132" i="95" a="1"/>
  <c r="AF132" i="95" s="1"/>
  <c r="AE132" i="95" a="1"/>
  <c r="AE132" i="95" s="1"/>
  <c r="AD132" i="95" a="1"/>
  <c r="AD132" i="95" s="1"/>
  <c r="AC132" i="95" a="1"/>
  <c r="AC132" i="95" s="1"/>
  <c r="AB132" i="95" a="1"/>
  <c r="AB132" i="95" s="1"/>
  <c r="AA132" i="95" a="1"/>
  <c r="AA132" i="95" s="1"/>
  <c r="Z132" i="95" a="1"/>
  <c r="Z132" i="95" s="1"/>
  <c r="Y132" i="95" a="1"/>
  <c r="Y132" i="95" s="1"/>
  <c r="X132" i="95" a="1"/>
  <c r="X132" i="95" s="1"/>
  <c r="W132" i="95" a="1"/>
  <c r="W132" i="95" s="1"/>
  <c r="V132" i="95" a="1"/>
  <c r="V132" i="95" s="1"/>
  <c r="U132" i="95" a="1"/>
  <c r="U132" i="95" s="1"/>
  <c r="T132" i="95" a="1"/>
  <c r="T132" i="95" s="1"/>
  <c r="S132" i="95" a="1"/>
  <c r="S132" i="95" s="1"/>
  <c r="R132" i="95" a="1"/>
  <c r="R132" i="95" s="1"/>
  <c r="Q132" i="95" a="1"/>
  <c r="Q132" i="95" s="1"/>
  <c r="P132" i="95" a="1"/>
  <c r="P132" i="95" s="1"/>
  <c r="O132" i="95" a="1"/>
  <c r="O132" i="95" s="1"/>
  <c r="N132" i="95" a="1"/>
  <c r="N132" i="95" s="1"/>
  <c r="M132" i="95" a="1"/>
  <c r="M132" i="95" s="1"/>
  <c r="L132" i="95" a="1"/>
  <c r="L132" i="95" s="1"/>
  <c r="K132" i="95" a="1"/>
  <c r="K132" i="95" s="1"/>
  <c r="J132" i="95" a="1"/>
  <c r="J132" i="95" s="1"/>
  <c r="I132" i="95" a="1"/>
  <c r="I132" i="95" s="1"/>
  <c r="H132" i="95" a="1"/>
  <c r="H132" i="95" s="1"/>
  <c r="G132" i="95" a="1"/>
  <c r="G132" i="95" s="1"/>
  <c r="F132" i="95" a="1"/>
  <c r="F132" i="95" s="1"/>
  <c r="E132" i="95" a="1"/>
  <c r="E132" i="95" s="1"/>
  <c r="D132" i="95" a="1"/>
  <c r="D132" i="95" s="1"/>
  <c r="AH131" i="95" a="1"/>
  <c r="AH131" i="95" s="1"/>
  <c r="AG131" i="95" a="1"/>
  <c r="AG131" i="95" s="1"/>
  <c r="AF131" i="95" a="1"/>
  <c r="AF131" i="95" s="1"/>
  <c r="AE131" i="95" a="1"/>
  <c r="AE131" i="95" s="1"/>
  <c r="AD131" i="95" a="1"/>
  <c r="AD131" i="95" s="1"/>
  <c r="AC131" i="95" a="1"/>
  <c r="AC131" i="95" s="1"/>
  <c r="AB131" i="95" a="1"/>
  <c r="AB131" i="95" s="1"/>
  <c r="AA131" i="95" a="1"/>
  <c r="AA131" i="95" s="1"/>
  <c r="Z131" i="95" a="1"/>
  <c r="Z131" i="95" s="1"/>
  <c r="Y131" i="95" a="1"/>
  <c r="Y131" i="95" s="1"/>
  <c r="X131" i="95" a="1"/>
  <c r="X131" i="95" s="1"/>
  <c r="W131" i="95" a="1"/>
  <c r="W131" i="95" s="1"/>
  <c r="V131" i="95" a="1"/>
  <c r="V131" i="95" s="1"/>
  <c r="U131" i="95" a="1"/>
  <c r="U131" i="95" s="1"/>
  <c r="T131" i="95" a="1"/>
  <c r="T131" i="95" s="1"/>
  <c r="S131" i="95" a="1"/>
  <c r="S131" i="95" s="1"/>
  <c r="R131" i="95" a="1"/>
  <c r="R131" i="95" s="1"/>
  <c r="Q131" i="95" a="1"/>
  <c r="Q131" i="95" s="1"/>
  <c r="P131" i="95" a="1"/>
  <c r="P131" i="95" s="1"/>
  <c r="O131" i="95" a="1"/>
  <c r="O131" i="95" s="1"/>
  <c r="N131" i="95" a="1"/>
  <c r="N131" i="95" s="1"/>
  <c r="M131" i="95" a="1"/>
  <c r="M131" i="95" s="1"/>
  <c r="L131" i="95" a="1"/>
  <c r="L131" i="95" s="1"/>
  <c r="K131" i="95" a="1"/>
  <c r="K131" i="95" s="1"/>
  <c r="J131" i="95" a="1"/>
  <c r="J131" i="95" s="1"/>
  <c r="I131" i="95" a="1"/>
  <c r="I131" i="95" s="1"/>
  <c r="H131" i="95" a="1"/>
  <c r="H131" i="95" s="1"/>
  <c r="G131" i="95" a="1"/>
  <c r="G131" i="95" s="1"/>
  <c r="F131" i="95" a="1"/>
  <c r="F131" i="95" s="1"/>
  <c r="E131" i="95" a="1"/>
  <c r="E131" i="95" s="1"/>
  <c r="D131" i="95" a="1"/>
  <c r="D131" i="95" s="1"/>
  <c r="AH130" i="95" a="1"/>
  <c r="AH130" i="95" s="1"/>
  <c r="AG130" i="95" a="1"/>
  <c r="AG130" i="95" s="1"/>
  <c r="AF130" i="95" a="1"/>
  <c r="AF130" i="95" s="1"/>
  <c r="AE130" i="95" a="1"/>
  <c r="AE130" i="95" s="1"/>
  <c r="AD130" i="95" a="1"/>
  <c r="AD130" i="95" s="1"/>
  <c r="AC130" i="95" a="1"/>
  <c r="AC130" i="95" s="1"/>
  <c r="AB130" i="95" a="1"/>
  <c r="AB130" i="95" s="1"/>
  <c r="AA130" i="95" a="1"/>
  <c r="AA130" i="95" s="1"/>
  <c r="Z130" i="95" a="1"/>
  <c r="Z130" i="95" s="1"/>
  <c r="Y130" i="95" a="1"/>
  <c r="Y130" i="95" s="1"/>
  <c r="X130" i="95" a="1"/>
  <c r="X130" i="95" s="1"/>
  <c r="W130" i="95" a="1"/>
  <c r="W130" i="95" s="1"/>
  <c r="V130" i="95" a="1"/>
  <c r="V130" i="95" s="1"/>
  <c r="U130" i="95" a="1"/>
  <c r="U130" i="95" s="1"/>
  <c r="T130" i="95" a="1"/>
  <c r="T130" i="95" s="1"/>
  <c r="S130" i="95" a="1"/>
  <c r="S130" i="95" s="1"/>
  <c r="R130" i="95" a="1"/>
  <c r="R130" i="95" s="1"/>
  <c r="Q130" i="95" a="1"/>
  <c r="Q130" i="95" s="1"/>
  <c r="P130" i="95" a="1"/>
  <c r="P130" i="95" s="1"/>
  <c r="O130" i="95" a="1"/>
  <c r="O130" i="95" s="1"/>
  <c r="N130" i="95" a="1"/>
  <c r="N130" i="95" s="1"/>
  <c r="M130" i="95" a="1"/>
  <c r="M130" i="95" s="1"/>
  <c r="L130" i="95" a="1"/>
  <c r="L130" i="95" s="1"/>
  <c r="K130" i="95" a="1"/>
  <c r="K130" i="95" s="1"/>
  <c r="J130" i="95" a="1"/>
  <c r="J130" i="95" s="1"/>
  <c r="I130" i="95" a="1"/>
  <c r="I130" i="95" s="1"/>
  <c r="H130" i="95" a="1"/>
  <c r="H130" i="95" s="1"/>
  <c r="G130" i="95" a="1"/>
  <c r="G130" i="95" s="1"/>
  <c r="F130" i="95" a="1"/>
  <c r="F130" i="95" s="1"/>
  <c r="E130" i="95" a="1"/>
  <c r="E130" i="95" s="1"/>
  <c r="D130" i="95" a="1"/>
  <c r="D130" i="95" s="1"/>
  <c r="AH129" i="95" a="1"/>
  <c r="AH129" i="95" s="1"/>
  <c r="AG129" i="95" a="1"/>
  <c r="AG129" i="95" s="1"/>
  <c r="AF129" i="95" a="1"/>
  <c r="AF129" i="95" s="1"/>
  <c r="AE129" i="95" a="1"/>
  <c r="AE129" i="95" s="1"/>
  <c r="AD129" i="95" a="1"/>
  <c r="AD129" i="95" s="1"/>
  <c r="AC129" i="95" a="1"/>
  <c r="AC129" i="95" s="1"/>
  <c r="AB129" i="95" a="1"/>
  <c r="AB129" i="95" s="1"/>
  <c r="AA129" i="95" a="1"/>
  <c r="AA129" i="95" s="1"/>
  <c r="Z129" i="95" a="1"/>
  <c r="Z129" i="95" s="1"/>
  <c r="Y129" i="95" a="1"/>
  <c r="Y129" i="95" s="1"/>
  <c r="X129" i="95" a="1"/>
  <c r="X129" i="95" s="1"/>
  <c r="W129" i="95" a="1"/>
  <c r="W129" i="95" s="1"/>
  <c r="V129" i="95" a="1"/>
  <c r="V129" i="95" s="1"/>
  <c r="U129" i="95" a="1"/>
  <c r="U129" i="95" s="1"/>
  <c r="T129" i="95" a="1"/>
  <c r="T129" i="95" s="1"/>
  <c r="S129" i="95" a="1"/>
  <c r="S129" i="95" s="1"/>
  <c r="R129" i="95" a="1"/>
  <c r="R129" i="95" s="1"/>
  <c r="Q129" i="95" a="1"/>
  <c r="Q129" i="95" s="1"/>
  <c r="P129" i="95" a="1"/>
  <c r="P129" i="95" s="1"/>
  <c r="O129" i="95" a="1"/>
  <c r="O129" i="95" s="1"/>
  <c r="N129" i="95" a="1"/>
  <c r="N129" i="95" s="1"/>
  <c r="M129" i="95" a="1"/>
  <c r="M129" i="95" s="1"/>
  <c r="L129" i="95" a="1"/>
  <c r="L129" i="95" s="1"/>
  <c r="K129" i="95" a="1"/>
  <c r="K129" i="95" s="1"/>
  <c r="J129" i="95" a="1"/>
  <c r="J129" i="95" s="1"/>
  <c r="I129" i="95" a="1"/>
  <c r="I129" i="95" s="1"/>
  <c r="H129" i="95" a="1"/>
  <c r="H129" i="95" s="1"/>
  <c r="G129" i="95" a="1"/>
  <c r="G129" i="95" s="1"/>
  <c r="F129" i="95" a="1"/>
  <c r="F129" i="95" s="1"/>
  <c r="E129" i="95" a="1"/>
  <c r="E129" i="95" s="1"/>
  <c r="D129" i="95" a="1"/>
  <c r="D129" i="95" s="1"/>
  <c r="AH128" i="95" a="1"/>
  <c r="AH128" i="95" s="1"/>
  <c r="AG128" i="95" a="1"/>
  <c r="AG128" i="95" s="1"/>
  <c r="AF128" i="95" a="1"/>
  <c r="AF128" i="95" s="1"/>
  <c r="AE128" i="95" a="1"/>
  <c r="AE128" i="95" s="1"/>
  <c r="AD128" i="95" a="1"/>
  <c r="AD128" i="95" s="1"/>
  <c r="AC128" i="95" a="1"/>
  <c r="AC128" i="95" s="1"/>
  <c r="AB128" i="95" a="1"/>
  <c r="AB128" i="95" s="1"/>
  <c r="AA128" i="95" a="1"/>
  <c r="AA128" i="95" s="1"/>
  <c r="Z128" i="95" a="1"/>
  <c r="Z128" i="95" s="1"/>
  <c r="Y128" i="95" a="1"/>
  <c r="Y128" i="95" s="1"/>
  <c r="X128" i="95" a="1"/>
  <c r="X128" i="95" s="1"/>
  <c r="W128" i="95" a="1"/>
  <c r="W128" i="95" s="1"/>
  <c r="V128" i="95" a="1"/>
  <c r="V128" i="95" s="1"/>
  <c r="U128" i="95" a="1"/>
  <c r="U128" i="95" s="1"/>
  <c r="T128" i="95" a="1"/>
  <c r="T128" i="95" s="1"/>
  <c r="S128" i="95" a="1"/>
  <c r="S128" i="95" s="1"/>
  <c r="R128" i="95" a="1"/>
  <c r="R128" i="95" s="1"/>
  <c r="Q128" i="95" a="1"/>
  <c r="Q128" i="95" s="1"/>
  <c r="P128" i="95" a="1"/>
  <c r="P128" i="95" s="1"/>
  <c r="O128" i="95" a="1"/>
  <c r="O128" i="95" s="1"/>
  <c r="N128" i="95" a="1"/>
  <c r="N128" i="95" s="1"/>
  <c r="M128" i="95" a="1"/>
  <c r="M128" i="95" s="1"/>
  <c r="L128" i="95" a="1"/>
  <c r="L128" i="95" s="1"/>
  <c r="K128" i="95" a="1"/>
  <c r="K128" i="95" s="1"/>
  <c r="J128" i="95" a="1"/>
  <c r="J128" i="95" s="1"/>
  <c r="I128" i="95" a="1"/>
  <c r="I128" i="95" s="1"/>
  <c r="H128" i="95" a="1"/>
  <c r="H128" i="95" s="1"/>
  <c r="G128" i="95" a="1"/>
  <c r="G128" i="95" s="1"/>
  <c r="F128" i="95" a="1"/>
  <c r="F128" i="95" s="1"/>
  <c r="E128" i="95" a="1"/>
  <c r="E128" i="95" s="1"/>
  <c r="D128" i="95" a="1"/>
  <c r="D128" i="95" s="1"/>
  <c r="AH127" i="95" a="1"/>
  <c r="AH127" i="95" s="1"/>
  <c r="AG127" i="95" a="1"/>
  <c r="AG127" i="95" s="1"/>
  <c r="AF127" i="95" a="1"/>
  <c r="AF127" i="95" s="1"/>
  <c r="AE127" i="95" a="1"/>
  <c r="AE127" i="95" s="1"/>
  <c r="AD127" i="95" a="1"/>
  <c r="AD127" i="95" s="1"/>
  <c r="AC127" i="95" a="1"/>
  <c r="AC127" i="95" s="1"/>
  <c r="AB127" i="95" a="1"/>
  <c r="AB127" i="95" s="1"/>
  <c r="AA127" i="95" a="1"/>
  <c r="AA127" i="95" s="1"/>
  <c r="Z127" i="95" a="1"/>
  <c r="Z127" i="95" s="1"/>
  <c r="Y127" i="95" a="1"/>
  <c r="Y127" i="95" s="1"/>
  <c r="X127" i="95" a="1"/>
  <c r="X127" i="95" s="1"/>
  <c r="W127" i="95" a="1"/>
  <c r="W127" i="95" s="1"/>
  <c r="V127" i="95" a="1"/>
  <c r="V127" i="95" s="1"/>
  <c r="U127" i="95" a="1"/>
  <c r="U127" i="95" s="1"/>
  <c r="T127" i="95" a="1"/>
  <c r="T127" i="95" s="1"/>
  <c r="S127" i="95" a="1"/>
  <c r="S127" i="95" s="1"/>
  <c r="R127" i="95" a="1"/>
  <c r="R127" i="95" s="1"/>
  <c r="Q127" i="95" a="1"/>
  <c r="Q127" i="95" s="1"/>
  <c r="P127" i="95" a="1"/>
  <c r="P127" i="95" s="1"/>
  <c r="O127" i="95" a="1"/>
  <c r="O127" i="95" s="1"/>
  <c r="N127" i="95" a="1"/>
  <c r="N127" i="95" s="1"/>
  <c r="M127" i="95" a="1"/>
  <c r="M127" i="95" s="1"/>
  <c r="L127" i="95" a="1"/>
  <c r="L127" i="95" s="1"/>
  <c r="K127" i="95" a="1"/>
  <c r="K127" i="95" s="1"/>
  <c r="J127" i="95" a="1"/>
  <c r="J127" i="95" s="1"/>
  <c r="I127" i="95" a="1"/>
  <c r="I127" i="95" s="1"/>
  <c r="H127" i="95" a="1"/>
  <c r="H127" i="95" s="1"/>
  <c r="G127" i="95" a="1"/>
  <c r="G127" i="95" s="1"/>
  <c r="F127" i="95" a="1"/>
  <c r="F127" i="95" s="1"/>
  <c r="E127" i="95" a="1"/>
  <c r="E127" i="95" s="1"/>
  <c r="D127" i="95" a="1"/>
  <c r="D127" i="95" s="1"/>
  <c r="AH126" i="95" a="1"/>
  <c r="AH126" i="95" s="1"/>
  <c r="AG126" i="95" a="1"/>
  <c r="AG126" i="95" s="1"/>
  <c r="AF126" i="95" a="1"/>
  <c r="AF126" i="95" s="1"/>
  <c r="AE126" i="95" a="1"/>
  <c r="AE126" i="95" s="1"/>
  <c r="AD126" i="95" a="1"/>
  <c r="AD126" i="95" s="1"/>
  <c r="AC126" i="95" a="1"/>
  <c r="AC126" i="95" s="1"/>
  <c r="AB126" i="95" a="1"/>
  <c r="AB126" i="95" s="1"/>
  <c r="AA126" i="95" a="1"/>
  <c r="AA126" i="95" s="1"/>
  <c r="Z126" i="95" a="1"/>
  <c r="Z126" i="95" s="1"/>
  <c r="Y126" i="95" a="1"/>
  <c r="Y126" i="95" s="1"/>
  <c r="X126" i="95" a="1"/>
  <c r="X126" i="95" s="1"/>
  <c r="W126" i="95" a="1"/>
  <c r="W126" i="95" s="1"/>
  <c r="V126" i="95" a="1"/>
  <c r="V126" i="95" s="1"/>
  <c r="U126" i="95" a="1"/>
  <c r="U126" i="95" s="1"/>
  <c r="T126" i="95" a="1"/>
  <c r="T126" i="95" s="1"/>
  <c r="S126" i="95" a="1"/>
  <c r="S126" i="95" s="1"/>
  <c r="R126" i="95" a="1"/>
  <c r="R126" i="95" s="1"/>
  <c r="Q126" i="95" a="1"/>
  <c r="Q126" i="95" s="1"/>
  <c r="P126" i="95" a="1"/>
  <c r="P126" i="95" s="1"/>
  <c r="O126" i="95" a="1"/>
  <c r="O126" i="95" s="1"/>
  <c r="N126" i="95" a="1"/>
  <c r="N126" i="95" s="1"/>
  <c r="M126" i="95" a="1"/>
  <c r="M126" i="95" s="1"/>
  <c r="L126" i="95" a="1"/>
  <c r="L126" i="95" s="1"/>
  <c r="K126" i="95" a="1"/>
  <c r="K126" i="95" s="1"/>
  <c r="J126" i="95" a="1"/>
  <c r="J126" i="95" s="1"/>
  <c r="I126" i="95" a="1"/>
  <c r="I126" i="95" s="1"/>
  <c r="H126" i="95" a="1"/>
  <c r="H126" i="95" s="1"/>
  <c r="G126" i="95" a="1"/>
  <c r="G126" i="95" s="1"/>
  <c r="F126" i="95" a="1"/>
  <c r="F126" i="95" s="1"/>
  <c r="E126" i="95" a="1"/>
  <c r="E126" i="95" s="1"/>
  <c r="D126" i="95" a="1"/>
  <c r="D126" i="95" s="1"/>
  <c r="AH125" i="95" a="1"/>
  <c r="AH125" i="95" s="1"/>
  <c r="AG125" i="95" a="1"/>
  <c r="AG125" i="95" s="1"/>
  <c r="AF125" i="95" a="1"/>
  <c r="AF125" i="95" s="1"/>
  <c r="AE125" i="95" a="1"/>
  <c r="AE125" i="95" s="1"/>
  <c r="AD125" i="95" a="1"/>
  <c r="AD125" i="95" s="1"/>
  <c r="AC125" i="95" a="1"/>
  <c r="AC125" i="95" s="1"/>
  <c r="AB125" i="95" a="1"/>
  <c r="AB125" i="95" s="1"/>
  <c r="AA125" i="95" a="1"/>
  <c r="AA125" i="95" s="1"/>
  <c r="Z125" i="95" a="1"/>
  <c r="Z125" i="95" s="1"/>
  <c r="Y125" i="95" a="1"/>
  <c r="Y125" i="95" s="1"/>
  <c r="X125" i="95" a="1"/>
  <c r="X125" i="95" s="1"/>
  <c r="W125" i="95" a="1"/>
  <c r="W125" i="95" s="1"/>
  <c r="V125" i="95" a="1"/>
  <c r="V125" i="95" s="1"/>
  <c r="U125" i="95" a="1"/>
  <c r="U125" i="95" s="1"/>
  <c r="T125" i="95" a="1"/>
  <c r="T125" i="95" s="1"/>
  <c r="S125" i="95" a="1"/>
  <c r="S125" i="95" s="1"/>
  <c r="R125" i="95" a="1"/>
  <c r="R125" i="95" s="1"/>
  <c r="Q125" i="95" a="1"/>
  <c r="Q125" i="95" s="1"/>
  <c r="P125" i="95" a="1"/>
  <c r="P125" i="95" s="1"/>
  <c r="O125" i="95" a="1"/>
  <c r="O125" i="95" s="1"/>
  <c r="N125" i="95" a="1"/>
  <c r="N125" i="95" s="1"/>
  <c r="M125" i="95" a="1"/>
  <c r="M125" i="95" s="1"/>
  <c r="L125" i="95" a="1"/>
  <c r="L125" i="95" s="1"/>
  <c r="K125" i="95" a="1"/>
  <c r="K125" i="95" s="1"/>
  <c r="J125" i="95" a="1"/>
  <c r="J125" i="95" s="1"/>
  <c r="I125" i="95" a="1"/>
  <c r="I125" i="95" s="1"/>
  <c r="H125" i="95" a="1"/>
  <c r="H125" i="95" s="1"/>
  <c r="G125" i="95" a="1"/>
  <c r="G125" i="95" s="1"/>
  <c r="F125" i="95" a="1"/>
  <c r="F125" i="95" s="1"/>
  <c r="E125" i="95" a="1"/>
  <c r="E125" i="95" s="1"/>
  <c r="D125" i="95" a="1"/>
  <c r="D125" i="95" s="1"/>
  <c r="AH124" i="95" a="1"/>
  <c r="AH124" i="95" s="1"/>
  <c r="AG124" i="95" a="1"/>
  <c r="AG124" i="95" s="1"/>
  <c r="AF124" i="95" a="1"/>
  <c r="AF124" i="95" s="1"/>
  <c r="AE124" i="95" a="1"/>
  <c r="AE124" i="95" s="1"/>
  <c r="AD124" i="95" a="1"/>
  <c r="AD124" i="95" s="1"/>
  <c r="AC124" i="95" a="1"/>
  <c r="AC124" i="95" s="1"/>
  <c r="AB124" i="95" a="1"/>
  <c r="AB124" i="95" s="1"/>
  <c r="AA124" i="95" a="1"/>
  <c r="AA124" i="95" s="1"/>
  <c r="Z124" i="95" a="1"/>
  <c r="Z124" i="95" s="1"/>
  <c r="Y124" i="95" a="1"/>
  <c r="Y124" i="95" s="1"/>
  <c r="X124" i="95" a="1"/>
  <c r="X124" i="95" s="1"/>
  <c r="W124" i="95" a="1"/>
  <c r="W124" i="95" s="1"/>
  <c r="V124" i="95" a="1"/>
  <c r="V124" i="95" s="1"/>
  <c r="U124" i="95" a="1"/>
  <c r="U124" i="95" s="1"/>
  <c r="T124" i="95" a="1"/>
  <c r="T124" i="95" s="1"/>
  <c r="S124" i="95" a="1"/>
  <c r="S124" i="95" s="1"/>
  <c r="R124" i="95" a="1"/>
  <c r="R124" i="95" s="1"/>
  <c r="Q124" i="95" a="1"/>
  <c r="Q124" i="95" s="1"/>
  <c r="P124" i="95" a="1"/>
  <c r="P124" i="95" s="1"/>
  <c r="O124" i="95" a="1"/>
  <c r="O124" i="95" s="1"/>
  <c r="N124" i="95" a="1"/>
  <c r="N124" i="95" s="1"/>
  <c r="M124" i="95" a="1"/>
  <c r="M124" i="95" s="1"/>
  <c r="L124" i="95" a="1"/>
  <c r="L124" i="95" s="1"/>
  <c r="K124" i="95" a="1"/>
  <c r="K124" i="95" s="1"/>
  <c r="J124" i="95" a="1"/>
  <c r="J124" i="95" s="1"/>
  <c r="I124" i="95" a="1"/>
  <c r="I124" i="95" s="1"/>
  <c r="H124" i="95" a="1"/>
  <c r="H124" i="95" s="1"/>
  <c r="G124" i="95" a="1"/>
  <c r="G124" i="95" s="1"/>
  <c r="F124" i="95" a="1"/>
  <c r="F124" i="95" s="1"/>
  <c r="E124" i="95" a="1"/>
  <c r="E124" i="95" s="1"/>
  <c r="D124" i="95" a="1"/>
  <c r="D124" i="95" s="1"/>
  <c r="AH123" i="95" a="1"/>
  <c r="AH123" i="95" s="1"/>
  <c r="AG123" i="95" a="1"/>
  <c r="AG123" i="95" s="1"/>
  <c r="AF123" i="95" a="1"/>
  <c r="AF123" i="95" s="1"/>
  <c r="AE123" i="95" a="1"/>
  <c r="AE123" i="95" s="1"/>
  <c r="AD123" i="95" a="1"/>
  <c r="AD123" i="95" s="1"/>
  <c r="AC123" i="95" a="1"/>
  <c r="AC123" i="95" s="1"/>
  <c r="AB123" i="95" a="1"/>
  <c r="AB123" i="95" s="1"/>
  <c r="AA123" i="95" a="1"/>
  <c r="AA123" i="95" s="1"/>
  <c r="Z123" i="95" a="1"/>
  <c r="Z123" i="95" s="1"/>
  <c r="Y123" i="95" a="1"/>
  <c r="Y123" i="95" s="1"/>
  <c r="X123" i="95" a="1"/>
  <c r="X123" i="95" s="1"/>
  <c r="W123" i="95" a="1"/>
  <c r="W123" i="95" s="1"/>
  <c r="V123" i="95" a="1"/>
  <c r="V123" i="95" s="1"/>
  <c r="U123" i="95" a="1"/>
  <c r="U123" i="95" s="1"/>
  <c r="T123" i="95" a="1"/>
  <c r="T123" i="95" s="1"/>
  <c r="S123" i="95" a="1"/>
  <c r="S123" i="95" s="1"/>
  <c r="R123" i="95" a="1"/>
  <c r="R123" i="95" s="1"/>
  <c r="Q123" i="95" a="1"/>
  <c r="Q123" i="95" s="1"/>
  <c r="P123" i="95" a="1"/>
  <c r="P123" i="95" s="1"/>
  <c r="O123" i="95" a="1"/>
  <c r="O123" i="95" s="1"/>
  <c r="N123" i="95" a="1"/>
  <c r="N123" i="95" s="1"/>
  <c r="M123" i="95" a="1"/>
  <c r="M123" i="95" s="1"/>
  <c r="L123" i="95" a="1"/>
  <c r="L123" i="95" s="1"/>
  <c r="K123" i="95" a="1"/>
  <c r="K123" i="95" s="1"/>
  <c r="J123" i="95" a="1"/>
  <c r="J123" i="95" s="1"/>
  <c r="I123" i="95" a="1"/>
  <c r="I123" i="95" s="1"/>
  <c r="H123" i="95" a="1"/>
  <c r="H123" i="95" s="1"/>
  <c r="G123" i="95" a="1"/>
  <c r="G123" i="95" s="1"/>
  <c r="F123" i="95" a="1"/>
  <c r="F123" i="95" s="1"/>
  <c r="E123" i="95" a="1"/>
  <c r="E123" i="95" s="1"/>
  <c r="D123" i="95" a="1"/>
  <c r="D123" i="95" s="1"/>
  <c r="AH122" i="95" a="1"/>
  <c r="AH122" i="95" s="1"/>
  <c r="AG122" i="95" a="1"/>
  <c r="AG122" i="95" s="1"/>
  <c r="AF122" i="95" a="1"/>
  <c r="AF122" i="95" s="1"/>
  <c r="AE122" i="95" a="1"/>
  <c r="AE122" i="95" s="1"/>
  <c r="AD122" i="95" a="1"/>
  <c r="AD122" i="95" s="1"/>
  <c r="AC122" i="95" a="1"/>
  <c r="AC122" i="95" s="1"/>
  <c r="AB122" i="95" a="1"/>
  <c r="AB122" i="95" s="1"/>
  <c r="AA122" i="95" a="1"/>
  <c r="AA122" i="95" s="1"/>
  <c r="Z122" i="95" a="1"/>
  <c r="Z122" i="95" s="1"/>
  <c r="Y122" i="95" a="1"/>
  <c r="Y122" i="95" s="1"/>
  <c r="X122" i="95" a="1"/>
  <c r="X122" i="95" s="1"/>
  <c r="W122" i="95" a="1"/>
  <c r="W122" i="95" s="1"/>
  <c r="V122" i="95" a="1"/>
  <c r="V122" i="95" s="1"/>
  <c r="U122" i="95" a="1"/>
  <c r="U122" i="95" s="1"/>
  <c r="T122" i="95" a="1"/>
  <c r="T122" i="95" s="1"/>
  <c r="S122" i="95" a="1"/>
  <c r="S122" i="95" s="1"/>
  <c r="R122" i="95" a="1"/>
  <c r="R122" i="95" s="1"/>
  <c r="Q122" i="95" a="1"/>
  <c r="Q122" i="95" s="1"/>
  <c r="P122" i="95" a="1"/>
  <c r="P122" i="95" s="1"/>
  <c r="O122" i="95" a="1"/>
  <c r="O122" i="95" s="1"/>
  <c r="N122" i="95" a="1"/>
  <c r="N122" i="95" s="1"/>
  <c r="M122" i="95" a="1"/>
  <c r="M122" i="95" s="1"/>
  <c r="L122" i="95" a="1"/>
  <c r="L122" i="95" s="1"/>
  <c r="K122" i="95" a="1"/>
  <c r="K122" i="95" s="1"/>
  <c r="J122" i="95" a="1"/>
  <c r="J122" i="95" s="1"/>
  <c r="I122" i="95" a="1"/>
  <c r="I122" i="95" s="1"/>
  <c r="H122" i="95" a="1"/>
  <c r="H122" i="95" s="1"/>
  <c r="G122" i="95" a="1"/>
  <c r="G122" i="95" s="1"/>
  <c r="F122" i="95" a="1"/>
  <c r="F122" i="95" s="1"/>
  <c r="E122" i="95" a="1"/>
  <c r="E122" i="95" s="1"/>
  <c r="D122" i="95" a="1"/>
  <c r="D122" i="95" s="1"/>
  <c r="AH121" i="95" a="1"/>
  <c r="AH121" i="95" s="1"/>
  <c r="AG121" i="95" a="1"/>
  <c r="AG121" i="95" s="1"/>
  <c r="AF121" i="95" a="1"/>
  <c r="AF121" i="95" s="1"/>
  <c r="AE121" i="95" a="1"/>
  <c r="AE121" i="95" s="1"/>
  <c r="AD121" i="95" a="1"/>
  <c r="AD121" i="95" s="1"/>
  <c r="AC121" i="95" a="1"/>
  <c r="AC121" i="95" s="1"/>
  <c r="AB121" i="95" a="1"/>
  <c r="AB121" i="95" s="1"/>
  <c r="AA121" i="95" a="1"/>
  <c r="AA121" i="95" s="1"/>
  <c r="Z121" i="95" a="1"/>
  <c r="Z121" i="95" s="1"/>
  <c r="Y121" i="95" a="1"/>
  <c r="Y121" i="95" s="1"/>
  <c r="X121" i="95" a="1"/>
  <c r="X121" i="95" s="1"/>
  <c r="W121" i="95" a="1"/>
  <c r="W121" i="95" s="1"/>
  <c r="V121" i="95" a="1"/>
  <c r="V121" i="95" s="1"/>
  <c r="U121" i="95" a="1"/>
  <c r="U121" i="95" s="1"/>
  <c r="T121" i="95" a="1"/>
  <c r="T121" i="95" s="1"/>
  <c r="S121" i="95" a="1"/>
  <c r="S121" i="95" s="1"/>
  <c r="R121" i="95" a="1"/>
  <c r="R121" i="95" s="1"/>
  <c r="Q121" i="95" a="1"/>
  <c r="Q121" i="95" s="1"/>
  <c r="P121" i="95" a="1"/>
  <c r="P121" i="95" s="1"/>
  <c r="O121" i="95" a="1"/>
  <c r="O121" i="95" s="1"/>
  <c r="N121" i="95" a="1"/>
  <c r="N121" i="95" s="1"/>
  <c r="M121" i="95" a="1"/>
  <c r="M121" i="95" s="1"/>
  <c r="L121" i="95" a="1"/>
  <c r="L121" i="95" s="1"/>
  <c r="K121" i="95" a="1"/>
  <c r="K121" i="95" s="1"/>
  <c r="J121" i="95" a="1"/>
  <c r="J121" i="95" s="1"/>
  <c r="I121" i="95" a="1"/>
  <c r="I121" i="95" s="1"/>
  <c r="H121" i="95" a="1"/>
  <c r="H121" i="95" s="1"/>
  <c r="G121" i="95" a="1"/>
  <c r="G121" i="95" s="1"/>
  <c r="F121" i="95" a="1"/>
  <c r="F121" i="95" s="1"/>
  <c r="E121" i="95" a="1"/>
  <c r="E121" i="95" s="1"/>
  <c r="D121" i="95" a="1"/>
  <c r="D121" i="95" s="1"/>
  <c r="AH120" i="95" a="1"/>
  <c r="AH120" i="95" s="1"/>
  <c r="AG120" i="95" a="1"/>
  <c r="AG120" i="95" s="1"/>
  <c r="AF120" i="95" a="1"/>
  <c r="AF120" i="95" s="1"/>
  <c r="AE120" i="95" a="1"/>
  <c r="AE120" i="95" s="1"/>
  <c r="AD120" i="95" a="1"/>
  <c r="AD120" i="95" s="1"/>
  <c r="AC120" i="95" a="1"/>
  <c r="AC120" i="95" s="1"/>
  <c r="AB120" i="95" a="1"/>
  <c r="AB120" i="95" s="1"/>
  <c r="AA120" i="95" a="1"/>
  <c r="AA120" i="95" s="1"/>
  <c r="Z120" i="95" a="1"/>
  <c r="Z120" i="95" s="1"/>
  <c r="Y120" i="95" a="1"/>
  <c r="Y120" i="95" s="1"/>
  <c r="X120" i="95" a="1"/>
  <c r="X120" i="95" s="1"/>
  <c r="W120" i="95" a="1"/>
  <c r="W120" i="95" s="1"/>
  <c r="V120" i="95" a="1"/>
  <c r="V120" i="95" s="1"/>
  <c r="U120" i="95" a="1"/>
  <c r="U120" i="95" s="1"/>
  <c r="T120" i="95" a="1"/>
  <c r="T120" i="95" s="1"/>
  <c r="S120" i="95" a="1"/>
  <c r="S120" i="95" s="1"/>
  <c r="R120" i="95" a="1"/>
  <c r="R120" i="95" s="1"/>
  <c r="Q120" i="95" a="1"/>
  <c r="Q120" i="95" s="1"/>
  <c r="P120" i="95" a="1"/>
  <c r="P120" i="95" s="1"/>
  <c r="O120" i="95" a="1"/>
  <c r="O120" i="95" s="1"/>
  <c r="N120" i="95" a="1"/>
  <c r="N120" i="95" s="1"/>
  <c r="M120" i="95" a="1"/>
  <c r="M120" i="95" s="1"/>
  <c r="L120" i="95" a="1"/>
  <c r="L120" i="95" s="1"/>
  <c r="K120" i="95" a="1"/>
  <c r="K120" i="95" s="1"/>
  <c r="J120" i="95" a="1"/>
  <c r="J120" i="95" s="1"/>
  <c r="I120" i="95" a="1"/>
  <c r="I120" i="95" s="1"/>
  <c r="H120" i="95" a="1"/>
  <c r="H120" i="95" s="1"/>
  <c r="G120" i="95" a="1"/>
  <c r="G120" i="95" s="1"/>
  <c r="F120" i="95" a="1"/>
  <c r="F120" i="95" s="1"/>
  <c r="E120" i="95" a="1"/>
  <c r="E120" i="95" s="1"/>
  <c r="D120" i="95" a="1"/>
  <c r="D120" i="95" s="1"/>
  <c r="AH119" i="95" a="1"/>
  <c r="AH119" i="95" s="1"/>
  <c r="AG119" i="95" a="1"/>
  <c r="AG119" i="95" s="1"/>
  <c r="AF119" i="95" a="1"/>
  <c r="AF119" i="95" s="1"/>
  <c r="AE119" i="95" a="1"/>
  <c r="AE119" i="95" s="1"/>
  <c r="AD119" i="95" a="1"/>
  <c r="AD119" i="95" s="1"/>
  <c r="AC119" i="95" a="1"/>
  <c r="AC119" i="95" s="1"/>
  <c r="AB119" i="95" a="1"/>
  <c r="AB119" i="95" s="1"/>
  <c r="AA119" i="95" a="1"/>
  <c r="AA119" i="95" s="1"/>
  <c r="Z119" i="95" a="1"/>
  <c r="Z119" i="95" s="1"/>
  <c r="Y119" i="95" a="1"/>
  <c r="Y119" i="95" s="1"/>
  <c r="X119" i="95" a="1"/>
  <c r="X119" i="95" s="1"/>
  <c r="W119" i="95" a="1"/>
  <c r="W119" i="95" s="1"/>
  <c r="V119" i="95" a="1"/>
  <c r="V119" i="95" s="1"/>
  <c r="U119" i="95" a="1"/>
  <c r="U119" i="95" s="1"/>
  <c r="T119" i="95" a="1"/>
  <c r="T119" i="95" s="1"/>
  <c r="S119" i="95" a="1"/>
  <c r="S119" i="95" s="1"/>
  <c r="R119" i="95" a="1"/>
  <c r="R119" i="95" s="1"/>
  <c r="Q119" i="95" a="1"/>
  <c r="Q119" i="95" s="1"/>
  <c r="P119" i="95" a="1"/>
  <c r="P119" i="95" s="1"/>
  <c r="O119" i="95" a="1"/>
  <c r="O119" i="95" s="1"/>
  <c r="N119" i="95" a="1"/>
  <c r="N119" i="95" s="1"/>
  <c r="M119" i="95" a="1"/>
  <c r="M119" i="95" s="1"/>
  <c r="L119" i="95" a="1"/>
  <c r="L119" i="95" s="1"/>
  <c r="K119" i="95" a="1"/>
  <c r="K119" i="95" s="1"/>
  <c r="J119" i="95" a="1"/>
  <c r="J119" i="95" s="1"/>
  <c r="I119" i="95" a="1"/>
  <c r="I119" i="95" s="1"/>
  <c r="H119" i="95" a="1"/>
  <c r="H119" i="95" s="1"/>
  <c r="G119" i="95" a="1"/>
  <c r="G119" i="95" s="1"/>
  <c r="F119" i="95" a="1"/>
  <c r="F119" i="95" s="1"/>
  <c r="E119" i="95" a="1"/>
  <c r="E119" i="95" s="1"/>
  <c r="D119" i="95" a="1"/>
  <c r="D119" i="95" s="1"/>
  <c r="AH118" i="95" a="1"/>
  <c r="AH118" i="95" s="1"/>
  <c r="AG118" i="95" a="1"/>
  <c r="AG118" i="95" s="1"/>
  <c r="AF118" i="95" a="1"/>
  <c r="AF118" i="95" s="1"/>
  <c r="AE118" i="95" a="1"/>
  <c r="AE118" i="95" s="1"/>
  <c r="AD118" i="95" a="1"/>
  <c r="AD118" i="95" s="1"/>
  <c r="AC118" i="95" a="1"/>
  <c r="AC118" i="95" s="1"/>
  <c r="AB118" i="95" a="1"/>
  <c r="AB118" i="95" s="1"/>
  <c r="AA118" i="95" a="1"/>
  <c r="AA118" i="95" s="1"/>
  <c r="Z118" i="95" a="1"/>
  <c r="Z118" i="95" s="1"/>
  <c r="Y118" i="95" a="1"/>
  <c r="Y118" i="95" s="1"/>
  <c r="X118" i="95" a="1"/>
  <c r="X118" i="95" s="1"/>
  <c r="W118" i="95" a="1"/>
  <c r="W118" i="95" s="1"/>
  <c r="V118" i="95" a="1"/>
  <c r="V118" i="95" s="1"/>
  <c r="U118" i="95" a="1"/>
  <c r="U118" i="95" s="1"/>
  <c r="T118" i="95" a="1"/>
  <c r="T118" i="95" s="1"/>
  <c r="S118" i="95" a="1"/>
  <c r="S118" i="95" s="1"/>
  <c r="R118" i="95" a="1"/>
  <c r="R118" i="95" s="1"/>
  <c r="Q118" i="95" a="1"/>
  <c r="Q118" i="95" s="1"/>
  <c r="P118" i="95" a="1"/>
  <c r="P118" i="95" s="1"/>
  <c r="O118" i="95" a="1"/>
  <c r="O118" i="95" s="1"/>
  <c r="N118" i="95" a="1"/>
  <c r="N118" i="95" s="1"/>
  <c r="M118" i="95" a="1"/>
  <c r="M118" i="95" s="1"/>
  <c r="L118" i="95" a="1"/>
  <c r="L118" i="95" s="1"/>
  <c r="K118" i="95" a="1"/>
  <c r="K118" i="95" s="1"/>
  <c r="J118" i="95" a="1"/>
  <c r="J118" i="95" s="1"/>
  <c r="I118" i="95" a="1"/>
  <c r="I118" i="95" s="1"/>
  <c r="H118" i="95" a="1"/>
  <c r="H118" i="95" s="1"/>
  <c r="G118" i="95" a="1"/>
  <c r="G118" i="95" s="1"/>
  <c r="F118" i="95" a="1"/>
  <c r="F118" i="95" s="1"/>
  <c r="E118" i="95" a="1"/>
  <c r="E118" i="95" s="1"/>
  <c r="D118" i="95" a="1"/>
  <c r="D118" i="95" s="1"/>
  <c r="AH117" i="95" a="1"/>
  <c r="AH117" i="95" s="1"/>
  <c r="AG117" i="95" a="1"/>
  <c r="AG117" i="95" s="1"/>
  <c r="AF117" i="95" a="1"/>
  <c r="AF117" i="95" s="1"/>
  <c r="AE117" i="95" a="1"/>
  <c r="AE117" i="95" s="1"/>
  <c r="AD117" i="95" a="1"/>
  <c r="AD117" i="95" s="1"/>
  <c r="AC117" i="95" a="1"/>
  <c r="AC117" i="95" s="1"/>
  <c r="AB117" i="95" a="1"/>
  <c r="AB117" i="95" s="1"/>
  <c r="AA117" i="95" a="1"/>
  <c r="AA117" i="95" s="1"/>
  <c r="Z117" i="95" a="1"/>
  <c r="Z117" i="95" s="1"/>
  <c r="Y117" i="95" a="1"/>
  <c r="Y117" i="95" s="1"/>
  <c r="X117" i="95" a="1"/>
  <c r="X117" i="95" s="1"/>
  <c r="W117" i="95" a="1"/>
  <c r="W117" i="95" s="1"/>
  <c r="V117" i="95" a="1"/>
  <c r="V117" i="95" s="1"/>
  <c r="U117" i="95" a="1"/>
  <c r="U117" i="95" s="1"/>
  <c r="T117" i="95" a="1"/>
  <c r="T117" i="95" s="1"/>
  <c r="S117" i="95" a="1"/>
  <c r="S117" i="95" s="1"/>
  <c r="R117" i="95" a="1"/>
  <c r="R117" i="95" s="1"/>
  <c r="Q117" i="95" a="1"/>
  <c r="Q117" i="95" s="1"/>
  <c r="P117" i="95" a="1"/>
  <c r="P117" i="95" s="1"/>
  <c r="O117" i="95" a="1"/>
  <c r="O117" i="95" s="1"/>
  <c r="N117" i="95" a="1"/>
  <c r="N117" i="95" s="1"/>
  <c r="M117" i="95" a="1"/>
  <c r="M117" i="95" s="1"/>
  <c r="L117" i="95" a="1"/>
  <c r="L117" i="95" s="1"/>
  <c r="K117" i="95" a="1"/>
  <c r="K117" i="95" s="1"/>
  <c r="J117" i="95" a="1"/>
  <c r="J117" i="95" s="1"/>
  <c r="I117" i="95" a="1"/>
  <c r="I117" i="95" s="1"/>
  <c r="H117" i="95" a="1"/>
  <c r="H117" i="95" s="1"/>
  <c r="G117" i="95" a="1"/>
  <c r="G117" i="95" s="1"/>
  <c r="F117" i="95" a="1"/>
  <c r="F117" i="95" s="1"/>
  <c r="E117" i="95" a="1"/>
  <c r="E117" i="95" s="1"/>
  <c r="D117" i="95" a="1"/>
  <c r="D117" i="95" s="1"/>
  <c r="AH116" i="95" a="1"/>
  <c r="AH116" i="95" s="1"/>
  <c r="AG116" i="95" a="1"/>
  <c r="AG116" i="95" s="1"/>
  <c r="AF116" i="95" a="1"/>
  <c r="AF116" i="95" s="1"/>
  <c r="AE116" i="95" a="1"/>
  <c r="AE116" i="95" s="1"/>
  <c r="AD116" i="95" a="1"/>
  <c r="AD116" i="95" s="1"/>
  <c r="AC116" i="95" a="1"/>
  <c r="AC116" i="95" s="1"/>
  <c r="AB116" i="95" a="1"/>
  <c r="AB116" i="95" s="1"/>
  <c r="AA116" i="95" a="1"/>
  <c r="AA116" i="95" s="1"/>
  <c r="Z116" i="95" a="1"/>
  <c r="Z116" i="95" s="1"/>
  <c r="Y116" i="95" a="1"/>
  <c r="Y116" i="95" s="1"/>
  <c r="X116" i="95" a="1"/>
  <c r="X116" i="95" s="1"/>
  <c r="W116" i="95" a="1"/>
  <c r="W116" i="95" s="1"/>
  <c r="V116" i="95" a="1"/>
  <c r="V116" i="95" s="1"/>
  <c r="U116" i="95" a="1"/>
  <c r="U116" i="95" s="1"/>
  <c r="T116" i="95" a="1"/>
  <c r="T116" i="95" s="1"/>
  <c r="S116" i="95" a="1"/>
  <c r="S116" i="95" s="1"/>
  <c r="R116" i="95" a="1"/>
  <c r="R116" i="95" s="1"/>
  <c r="Q116" i="95" a="1"/>
  <c r="Q116" i="95" s="1"/>
  <c r="P116" i="95" a="1"/>
  <c r="P116" i="95" s="1"/>
  <c r="O116" i="95" a="1"/>
  <c r="O116" i="95" s="1"/>
  <c r="N116" i="95" a="1"/>
  <c r="N116" i="95" s="1"/>
  <c r="M116" i="95" a="1"/>
  <c r="M116" i="95" s="1"/>
  <c r="L116" i="95" a="1"/>
  <c r="L116" i="95" s="1"/>
  <c r="K116" i="95" a="1"/>
  <c r="K116" i="95" s="1"/>
  <c r="J116" i="95" a="1"/>
  <c r="J116" i="95" s="1"/>
  <c r="I116" i="95" a="1"/>
  <c r="I116" i="95" s="1"/>
  <c r="H116" i="95" a="1"/>
  <c r="H116" i="95" s="1"/>
  <c r="G116" i="95" a="1"/>
  <c r="G116" i="95" s="1"/>
  <c r="F116" i="95" a="1"/>
  <c r="F116" i="95" s="1"/>
  <c r="E116" i="95" a="1"/>
  <c r="E116" i="95" s="1"/>
  <c r="D116" i="95" a="1"/>
  <c r="D116" i="95" s="1"/>
  <c r="AH115" i="95" a="1"/>
  <c r="AH115" i="95" s="1"/>
  <c r="AG115" i="95" a="1"/>
  <c r="AG115" i="95" s="1"/>
  <c r="AF115" i="95" a="1"/>
  <c r="AF115" i="95" s="1"/>
  <c r="AE115" i="95" a="1"/>
  <c r="AE115" i="95" s="1"/>
  <c r="AD115" i="95" a="1"/>
  <c r="AD115" i="95" s="1"/>
  <c r="AC115" i="95" a="1"/>
  <c r="AC115" i="95" s="1"/>
  <c r="AB115" i="95" a="1"/>
  <c r="AB115" i="95" s="1"/>
  <c r="AA115" i="95" a="1"/>
  <c r="AA115" i="95" s="1"/>
  <c r="Z115" i="95" a="1"/>
  <c r="Z115" i="95" s="1"/>
  <c r="Y115" i="95" a="1"/>
  <c r="Y115" i="95" s="1"/>
  <c r="X115" i="95" a="1"/>
  <c r="X115" i="95" s="1"/>
  <c r="W115" i="95" a="1"/>
  <c r="W115" i="95" s="1"/>
  <c r="V115" i="95" a="1"/>
  <c r="V115" i="95" s="1"/>
  <c r="U115" i="95" a="1"/>
  <c r="U115" i="95" s="1"/>
  <c r="T115" i="95" a="1"/>
  <c r="T115" i="95" s="1"/>
  <c r="S115" i="95" a="1"/>
  <c r="S115" i="95" s="1"/>
  <c r="R115" i="95" a="1"/>
  <c r="R115" i="95" s="1"/>
  <c r="Q115" i="95" a="1"/>
  <c r="Q115" i="95" s="1"/>
  <c r="P115" i="95" a="1"/>
  <c r="P115" i="95" s="1"/>
  <c r="O115" i="95" a="1"/>
  <c r="O115" i="95" s="1"/>
  <c r="N115" i="95" a="1"/>
  <c r="N115" i="95" s="1"/>
  <c r="M115" i="95" a="1"/>
  <c r="M115" i="95" s="1"/>
  <c r="L115" i="95" a="1"/>
  <c r="L115" i="95" s="1"/>
  <c r="K115" i="95" a="1"/>
  <c r="K115" i="95" s="1"/>
  <c r="J115" i="95" a="1"/>
  <c r="J115" i="95" s="1"/>
  <c r="I115" i="95" a="1"/>
  <c r="I115" i="95" s="1"/>
  <c r="H115" i="95" a="1"/>
  <c r="H115" i="95" s="1"/>
  <c r="G115" i="95" a="1"/>
  <c r="G115" i="95" s="1"/>
  <c r="F115" i="95" a="1"/>
  <c r="F115" i="95" s="1"/>
  <c r="E115" i="95" a="1"/>
  <c r="E115" i="95" s="1"/>
  <c r="D115" i="95" a="1"/>
  <c r="D115" i="95" s="1"/>
  <c r="AH114" i="95" a="1"/>
  <c r="AH114" i="95" s="1"/>
  <c r="AG114" i="95" a="1"/>
  <c r="AG114" i="95" s="1"/>
  <c r="AF114" i="95" a="1"/>
  <c r="AF114" i="95" s="1"/>
  <c r="AE114" i="95" a="1"/>
  <c r="AE114" i="95" s="1"/>
  <c r="AD114" i="95" a="1"/>
  <c r="AD114" i="95" s="1"/>
  <c r="AC114" i="95" a="1"/>
  <c r="AC114" i="95" s="1"/>
  <c r="AB114" i="95" a="1"/>
  <c r="AB114" i="95" s="1"/>
  <c r="AA114" i="95" a="1"/>
  <c r="AA114" i="95" s="1"/>
  <c r="Z114" i="95" a="1"/>
  <c r="Z114" i="95" s="1"/>
  <c r="Y114" i="95" a="1"/>
  <c r="Y114" i="95" s="1"/>
  <c r="X114" i="95" a="1"/>
  <c r="X114" i="95" s="1"/>
  <c r="W114" i="95" a="1"/>
  <c r="W114" i="95" s="1"/>
  <c r="V114" i="95" a="1"/>
  <c r="V114" i="95" s="1"/>
  <c r="U114" i="95" a="1"/>
  <c r="U114" i="95" s="1"/>
  <c r="T114" i="95" a="1"/>
  <c r="T114" i="95" s="1"/>
  <c r="S114" i="95" a="1"/>
  <c r="S114" i="95" s="1"/>
  <c r="R114" i="95" a="1"/>
  <c r="R114" i="95" s="1"/>
  <c r="Q114" i="95" a="1"/>
  <c r="Q114" i="95" s="1"/>
  <c r="P114" i="95" a="1"/>
  <c r="P114" i="95" s="1"/>
  <c r="O114" i="95" a="1"/>
  <c r="O114" i="95" s="1"/>
  <c r="N114" i="95" a="1"/>
  <c r="N114" i="95" s="1"/>
  <c r="M114" i="95" a="1"/>
  <c r="M114" i="95" s="1"/>
  <c r="L114" i="95" a="1"/>
  <c r="L114" i="95" s="1"/>
  <c r="K114" i="95" a="1"/>
  <c r="K114" i="95" s="1"/>
  <c r="J114" i="95" a="1"/>
  <c r="J114" i="95" s="1"/>
  <c r="I114" i="95" a="1"/>
  <c r="I114" i="95" s="1"/>
  <c r="H114" i="95" a="1"/>
  <c r="H114" i="95" s="1"/>
  <c r="G114" i="95" a="1"/>
  <c r="G114" i="95" s="1"/>
  <c r="F114" i="95" a="1"/>
  <c r="F114" i="95" s="1"/>
  <c r="E114" i="95" a="1"/>
  <c r="E114" i="95" s="1"/>
  <c r="D114" i="95" a="1"/>
  <c r="D114" i="95" s="1"/>
  <c r="AH113" i="95" a="1"/>
  <c r="AH113" i="95" s="1"/>
  <c r="AG113" i="95" a="1"/>
  <c r="AG113" i="95" s="1"/>
  <c r="AF113" i="95" a="1"/>
  <c r="AF113" i="95" s="1"/>
  <c r="AE113" i="95" a="1"/>
  <c r="AE113" i="95" s="1"/>
  <c r="AD113" i="95" a="1"/>
  <c r="AD113" i="95" s="1"/>
  <c r="AC113" i="95" a="1"/>
  <c r="AC113" i="95" s="1"/>
  <c r="AB113" i="95" a="1"/>
  <c r="AB113" i="95" s="1"/>
  <c r="AA113" i="95" a="1"/>
  <c r="AA113" i="95" s="1"/>
  <c r="Z113" i="95" a="1"/>
  <c r="Z113" i="95" s="1"/>
  <c r="Y113" i="95" a="1"/>
  <c r="Y113" i="95" s="1"/>
  <c r="X113" i="95" a="1"/>
  <c r="X113" i="95" s="1"/>
  <c r="W113" i="95" a="1"/>
  <c r="W113" i="95" s="1"/>
  <c r="V113" i="95" a="1"/>
  <c r="V113" i="95" s="1"/>
  <c r="U113" i="95" a="1"/>
  <c r="U113" i="95" s="1"/>
  <c r="T113" i="95" a="1"/>
  <c r="T113" i="95" s="1"/>
  <c r="S113" i="95" a="1"/>
  <c r="S113" i="95" s="1"/>
  <c r="R113" i="95" a="1"/>
  <c r="R113" i="95" s="1"/>
  <c r="Q113" i="95" a="1"/>
  <c r="Q113" i="95" s="1"/>
  <c r="P113" i="95" a="1"/>
  <c r="P113" i="95" s="1"/>
  <c r="O113" i="95" a="1"/>
  <c r="O113" i="95" s="1"/>
  <c r="N113" i="95" a="1"/>
  <c r="N113" i="95" s="1"/>
  <c r="M113" i="95" a="1"/>
  <c r="M113" i="95" s="1"/>
  <c r="L113" i="95" a="1"/>
  <c r="L113" i="95" s="1"/>
  <c r="K113" i="95" a="1"/>
  <c r="K113" i="95" s="1"/>
  <c r="J113" i="95" a="1"/>
  <c r="J113" i="95" s="1"/>
  <c r="I113" i="95" a="1"/>
  <c r="I113" i="95" s="1"/>
  <c r="H113" i="95" a="1"/>
  <c r="H113" i="95" s="1"/>
  <c r="G113" i="95" a="1"/>
  <c r="G113" i="95" s="1"/>
  <c r="F113" i="95" a="1"/>
  <c r="F113" i="95" s="1"/>
  <c r="E113" i="95" a="1"/>
  <c r="E113" i="95" s="1"/>
  <c r="D113" i="95" a="1"/>
  <c r="D113" i="95" s="1"/>
  <c r="AH112" i="95" a="1"/>
  <c r="AH112" i="95" s="1"/>
  <c r="AG112" i="95" a="1"/>
  <c r="AG112" i="95" s="1"/>
  <c r="AF112" i="95" a="1"/>
  <c r="AF112" i="95" s="1"/>
  <c r="AE112" i="95" a="1"/>
  <c r="AE112" i="95" s="1"/>
  <c r="AD112" i="95" a="1"/>
  <c r="AD112" i="95" s="1"/>
  <c r="AC112" i="95" a="1"/>
  <c r="AC112" i="95" s="1"/>
  <c r="AB112" i="95" a="1"/>
  <c r="AB112" i="95" s="1"/>
  <c r="AA112" i="95" a="1"/>
  <c r="AA112" i="95" s="1"/>
  <c r="Z112" i="95" a="1"/>
  <c r="Z112" i="95" s="1"/>
  <c r="Y112" i="95" a="1"/>
  <c r="Y112" i="95" s="1"/>
  <c r="X112" i="95" a="1"/>
  <c r="X112" i="95" s="1"/>
  <c r="W112" i="95" a="1"/>
  <c r="W112" i="95" s="1"/>
  <c r="V112" i="95" a="1"/>
  <c r="V112" i="95" s="1"/>
  <c r="U112" i="95" a="1"/>
  <c r="U112" i="95" s="1"/>
  <c r="T112" i="95" a="1"/>
  <c r="T112" i="95" s="1"/>
  <c r="S112" i="95" a="1"/>
  <c r="S112" i="95" s="1"/>
  <c r="R112" i="95" a="1"/>
  <c r="R112" i="95" s="1"/>
  <c r="Q112" i="95" a="1"/>
  <c r="Q112" i="95" s="1"/>
  <c r="P112" i="95" a="1"/>
  <c r="P112" i="95" s="1"/>
  <c r="O112" i="95" a="1"/>
  <c r="O112" i="95" s="1"/>
  <c r="N112" i="95" a="1"/>
  <c r="N112" i="95" s="1"/>
  <c r="M112" i="95" a="1"/>
  <c r="M112" i="95" s="1"/>
  <c r="L112" i="95" a="1"/>
  <c r="L112" i="95" s="1"/>
  <c r="K112" i="95" a="1"/>
  <c r="K112" i="95" s="1"/>
  <c r="J112" i="95" a="1"/>
  <c r="J112" i="95" s="1"/>
  <c r="I112" i="95" a="1"/>
  <c r="I112" i="95" s="1"/>
  <c r="H112" i="95" a="1"/>
  <c r="H112" i="95" s="1"/>
  <c r="G112" i="95" a="1"/>
  <c r="G112" i="95" s="1"/>
  <c r="F112" i="95" a="1"/>
  <c r="F112" i="95" s="1"/>
  <c r="E112" i="95" a="1"/>
  <c r="E112" i="95" s="1"/>
  <c r="D112" i="95" a="1"/>
  <c r="D112" i="95" s="1"/>
  <c r="AH111" i="95" a="1"/>
  <c r="AH111" i="95" s="1"/>
  <c r="AG111" i="95" a="1"/>
  <c r="AG111" i="95" s="1"/>
  <c r="AF111" i="95" a="1"/>
  <c r="AF111" i="95" s="1"/>
  <c r="AE111" i="95" a="1"/>
  <c r="AE111" i="95" s="1"/>
  <c r="AD111" i="95" a="1"/>
  <c r="AD111" i="95" s="1"/>
  <c r="AC111" i="95" a="1"/>
  <c r="AC111" i="95" s="1"/>
  <c r="AB111" i="95" a="1"/>
  <c r="AB111" i="95" s="1"/>
  <c r="AA111" i="95" a="1"/>
  <c r="AA111" i="95" s="1"/>
  <c r="Z111" i="95" a="1"/>
  <c r="Z111" i="95" s="1"/>
  <c r="Y111" i="95" a="1"/>
  <c r="Y111" i="95" s="1"/>
  <c r="X111" i="95" a="1"/>
  <c r="X111" i="95" s="1"/>
  <c r="W111" i="95" a="1"/>
  <c r="W111" i="95" s="1"/>
  <c r="V111" i="95" a="1"/>
  <c r="V111" i="95" s="1"/>
  <c r="U111" i="95" a="1"/>
  <c r="U111" i="95" s="1"/>
  <c r="T111" i="95" a="1"/>
  <c r="T111" i="95" s="1"/>
  <c r="S111" i="95" a="1"/>
  <c r="S111" i="95" s="1"/>
  <c r="R111" i="95" a="1"/>
  <c r="R111" i="95" s="1"/>
  <c r="Q111" i="95" a="1"/>
  <c r="Q111" i="95" s="1"/>
  <c r="P111" i="95" a="1"/>
  <c r="P111" i="95" s="1"/>
  <c r="O111" i="95" a="1"/>
  <c r="O111" i="95" s="1"/>
  <c r="N111" i="95" a="1"/>
  <c r="N111" i="95" s="1"/>
  <c r="M111" i="95" a="1"/>
  <c r="M111" i="95" s="1"/>
  <c r="L111" i="95" a="1"/>
  <c r="L111" i="95" s="1"/>
  <c r="K111" i="95" a="1"/>
  <c r="K111" i="95" s="1"/>
  <c r="J111" i="95" a="1"/>
  <c r="J111" i="95" s="1"/>
  <c r="I111" i="95" a="1"/>
  <c r="I111" i="95" s="1"/>
  <c r="H111" i="95" a="1"/>
  <c r="H111" i="95" s="1"/>
  <c r="G111" i="95" a="1"/>
  <c r="G111" i="95" s="1"/>
  <c r="F111" i="95" a="1"/>
  <c r="F111" i="95" s="1"/>
  <c r="E111" i="95" a="1"/>
  <c r="E111" i="95" s="1"/>
  <c r="D111" i="95" a="1"/>
  <c r="D111" i="95" s="1"/>
  <c r="AH110" i="95" a="1"/>
  <c r="AH110" i="95" s="1"/>
  <c r="AG110" i="95" a="1"/>
  <c r="AG110" i="95" s="1"/>
  <c r="AF110" i="95" a="1"/>
  <c r="AF110" i="95" s="1"/>
  <c r="AE110" i="95" a="1"/>
  <c r="AE110" i="95" s="1"/>
  <c r="AD110" i="95" a="1"/>
  <c r="AD110" i="95" s="1"/>
  <c r="AC110" i="95" a="1"/>
  <c r="AC110" i="95" s="1"/>
  <c r="AB110" i="95" a="1"/>
  <c r="AB110" i="95" s="1"/>
  <c r="AA110" i="95" a="1"/>
  <c r="AA110" i="95" s="1"/>
  <c r="Z110" i="95" a="1"/>
  <c r="Z110" i="95" s="1"/>
  <c r="Y110" i="95" a="1"/>
  <c r="Y110" i="95" s="1"/>
  <c r="X110" i="95" a="1"/>
  <c r="X110" i="95" s="1"/>
  <c r="W110" i="95" a="1"/>
  <c r="W110" i="95" s="1"/>
  <c r="V110" i="95" a="1"/>
  <c r="V110" i="95" s="1"/>
  <c r="U110" i="95" a="1"/>
  <c r="U110" i="95" s="1"/>
  <c r="T110" i="95" a="1"/>
  <c r="T110" i="95" s="1"/>
  <c r="S110" i="95" a="1"/>
  <c r="S110" i="95" s="1"/>
  <c r="R110" i="95" a="1"/>
  <c r="R110" i="95" s="1"/>
  <c r="Q110" i="95" a="1"/>
  <c r="Q110" i="95" s="1"/>
  <c r="P110" i="95" a="1"/>
  <c r="P110" i="95" s="1"/>
  <c r="O110" i="95" a="1"/>
  <c r="O110" i="95" s="1"/>
  <c r="N110" i="95" a="1"/>
  <c r="N110" i="95" s="1"/>
  <c r="M110" i="95" a="1"/>
  <c r="M110" i="95" s="1"/>
  <c r="L110" i="95" a="1"/>
  <c r="L110" i="95" s="1"/>
  <c r="K110" i="95" a="1"/>
  <c r="K110" i="95" s="1"/>
  <c r="J110" i="95" a="1"/>
  <c r="J110" i="95" s="1"/>
  <c r="I110" i="95" a="1"/>
  <c r="I110" i="95" s="1"/>
  <c r="H110" i="95" a="1"/>
  <c r="H110" i="95" s="1"/>
  <c r="G110" i="95" a="1"/>
  <c r="G110" i="95" s="1"/>
  <c r="F110" i="95" a="1"/>
  <c r="F110" i="95" s="1"/>
  <c r="E110" i="95" a="1"/>
  <c r="E110" i="95" s="1"/>
  <c r="D110" i="95" a="1"/>
  <c r="D110" i="95" s="1"/>
  <c r="AH109" i="95" a="1"/>
  <c r="AH109" i="95" s="1"/>
  <c r="AG109" i="95" a="1"/>
  <c r="AG109" i="95" s="1"/>
  <c r="AF109" i="95" a="1"/>
  <c r="AF109" i="95" s="1"/>
  <c r="AE109" i="95" a="1"/>
  <c r="AE109" i="95" s="1"/>
  <c r="AD109" i="95" a="1"/>
  <c r="AD109" i="95" s="1"/>
  <c r="AC109" i="95" a="1"/>
  <c r="AC109" i="95" s="1"/>
  <c r="AB109" i="95" a="1"/>
  <c r="AB109" i="95" s="1"/>
  <c r="AA109" i="95" a="1"/>
  <c r="AA109" i="95" s="1"/>
  <c r="Z109" i="95" a="1"/>
  <c r="Z109" i="95" s="1"/>
  <c r="Y109" i="95" a="1"/>
  <c r="Y109" i="95" s="1"/>
  <c r="X109" i="95" a="1"/>
  <c r="X109" i="95" s="1"/>
  <c r="W109" i="95" a="1"/>
  <c r="W109" i="95" s="1"/>
  <c r="V109" i="95" a="1"/>
  <c r="V109" i="95" s="1"/>
  <c r="U109" i="95" a="1"/>
  <c r="U109" i="95" s="1"/>
  <c r="T109" i="95" a="1"/>
  <c r="T109" i="95" s="1"/>
  <c r="S109" i="95" a="1"/>
  <c r="S109" i="95" s="1"/>
  <c r="R109" i="95" a="1"/>
  <c r="R109" i="95" s="1"/>
  <c r="Q109" i="95" a="1"/>
  <c r="Q109" i="95" s="1"/>
  <c r="P109" i="95" a="1"/>
  <c r="P109" i="95" s="1"/>
  <c r="O109" i="95" a="1"/>
  <c r="O109" i="95" s="1"/>
  <c r="N109" i="95" a="1"/>
  <c r="N109" i="95" s="1"/>
  <c r="M109" i="95" a="1"/>
  <c r="M109" i="95" s="1"/>
  <c r="L109" i="95" a="1"/>
  <c r="L109" i="95" s="1"/>
  <c r="K109" i="95" a="1"/>
  <c r="K109" i="95" s="1"/>
  <c r="J109" i="95" a="1"/>
  <c r="J109" i="95" s="1"/>
  <c r="I109" i="95" a="1"/>
  <c r="I109" i="95" s="1"/>
  <c r="H109" i="95" a="1"/>
  <c r="H109" i="95" s="1"/>
  <c r="G109" i="95" a="1"/>
  <c r="G109" i="95" s="1"/>
  <c r="F109" i="95" a="1"/>
  <c r="F109" i="95" s="1"/>
  <c r="E109" i="95" a="1"/>
  <c r="E109" i="95" s="1"/>
  <c r="D109" i="95" a="1"/>
  <c r="D109" i="95" s="1"/>
  <c r="AH108" i="95" a="1"/>
  <c r="AH108" i="95" s="1"/>
  <c r="AG108" i="95" a="1"/>
  <c r="AG108" i="95" s="1"/>
  <c r="AF108" i="95" a="1"/>
  <c r="AF108" i="95" s="1"/>
  <c r="AE108" i="95" a="1"/>
  <c r="AE108" i="95" s="1"/>
  <c r="AD108" i="95" a="1"/>
  <c r="AD108" i="95" s="1"/>
  <c r="AC108" i="95" a="1"/>
  <c r="AC108" i="95" s="1"/>
  <c r="AB108" i="95" a="1"/>
  <c r="AB108" i="95" s="1"/>
  <c r="AA108" i="95" a="1"/>
  <c r="AA108" i="95" s="1"/>
  <c r="Z108" i="95" a="1"/>
  <c r="Z108" i="95" s="1"/>
  <c r="Y108" i="95" a="1"/>
  <c r="Y108" i="95" s="1"/>
  <c r="X108" i="95" a="1"/>
  <c r="X108" i="95" s="1"/>
  <c r="W108" i="95" a="1"/>
  <c r="W108" i="95" s="1"/>
  <c r="V108" i="95" a="1"/>
  <c r="V108" i="95" s="1"/>
  <c r="U108" i="95" a="1"/>
  <c r="U108" i="95" s="1"/>
  <c r="T108" i="95" a="1"/>
  <c r="T108" i="95" s="1"/>
  <c r="S108" i="95" a="1"/>
  <c r="S108" i="95" s="1"/>
  <c r="R108" i="95" a="1"/>
  <c r="R108" i="95" s="1"/>
  <c r="Q108" i="95" a="1"/>
  <c r="Q108" i="95" s="1"/>
  <c r="P108" i="95" a="1"/>
  <c r="P108" i="95" s="1"/>
  <c r="O108" i="95" a="1"/>
  <c r="O108" i="95" s="1"/>
  <c r="N108" i="95" a="1"/>
  <c r="N108" i="95" s="1"/>
  <c r="M108" i="95" a="1"/>
  <c r="M108" i="95" s="1"/>
  <c r="L108" i="95" a="1"/>
  <c r="L108" i="95" s="1"/>
  <c r="K108" i="95" a="1"/>
  <c r="K108" i="95" s="1"/>
  <c r="J108" i="95" a="1"/>
  <c r="J108" i="95" s="1"/>
  <c r="I108" i="95" a="1"/>
  <c r="I108" i="95" s="1"/>
  <c r="H108" i="95" a="1"/>
  <c r="H108" i="95" s="1"/>
  <c r="G108" i="95" a="1"/>
  <c r="G108" i="95" s="1"/>
  <c r="F108" i="95" a="1"/>
  <c r="F108" i="95" s="1"/>
  <c r="E108" i="95" a="1"/>
  <c r="E108" i="95" s="1"/>
  <c r="D108" i="95" a="1"/>
  <c r="D108" i="95" s="1"/>
  <c r="AH107" i="95" a="1"/>
  <c r="AH107" i="95" s="1"/>
  <c r="AG107" i="95" a="1"/>
  <c r="AG107" i="95" s="1"/>
  <c r="AF107" i="95" a="1"/>
  <c r="AF107" i="95" s="1"/>
  <c r="AE107" i="95" a="1"/>
  <c r="AE107" i="95" s="1"/>
  <c r="AD107" i="95" a="1"/>
  <c r="AD107" i="95" s="1"/>
  <c r="AC107" i="95" a="1"/>
  <c r="AC107" i="95" s="1"/>
  <c r="AB107" i="95" a="1"/>
  <c r="AB107" i="95" s="1"/>
  <c r="AA107" i="95" a="1"/>
  <c r="AA107" i="95" s="1"/>
  <c r="Z107" i="95" a="1"/>
  <c r="Z107" i="95" s="1"/>
  <c r="Y107" i="95" a="1"/>
  <c r="Y107" i="95" s="1"/>
  <c r="X107" i="95" a="1"/>
  <c r="X107" i="95" s="1"/>
  <c r="W107" i="95" a="1"/>
  <c r="W107" i="95" s="1"/>
  <c r="V107" i="95" a="1"/>
  <c r="V107" i="95" s="1"/>
  <c r="U107" i="95" a="1"/>
  <c r="U107" i="95" s="1"/>
  <c r="T107" i="95" a="1"/>
  <c r="T107" i="95" s="1"/>
  <c r="S107" i="95" a="1"/>
  <c r="S107" i="95" s="1"/>
  <c r="R107" i="95" a="1"/>
  <c r="R107" i="95" s="1"/>
  <c r="Q107" i="95" a="1"/>
  <c r="Q107" i="95" s="1"/>
  <c r="P107" i="95" a="1"/>
  <c r="P107" i="95" s="1"/>
  <c r="O107" i="95" a="1"/>
  <c r="O107" i="95" s="1"/>
  <c r="N107" i="95" a="1"/>
  <c r="N107" i="95" s="1"/>
  <c r="M107" i="95" a="1"/>
  <c r="M107" i="95" s="1"/>
  <c r="L107" i="95" a="1"/>
  <c r="L107" i="95" s="1"/>
  <c r="K107" i="95" a="1"/>
  <c r="K107" i="95" s="1"/>
  <c r="J107" i="95" a="1"/>
  <c r="J107" i="95" s="1"/>
  <c r="I107" i="95" a="1"/>
  <c r="I107" i="95" s="1"/>
  <c r="H107" i="95" a="1"/>
  <c r="H107" i="95" s="1"/>
  <c r="G107" i="95" a="1"/>
  <c r="G107" i="95" s="1"/>
  <c r="F107" i="95" a="1"/>
  <c r="F107" i="95" s="1"/>
  <c r="E107" i="95" a="1"/>
  <c r="E107" i="95" s="1"/>
  <c r="D107" i="95" a="1"/>
  <c r="D107" i="95" s="1"/>
  <c r="AH106" i="95" a="1"/>
  <c r="AH106" i="95" s="1"/>
  <c r="AG106" i="95" a="1"/>
  <c r="AG106" i="95" s="1"/>
  <c r="AF106" i="95" a="1"/>
  <c r="AF106" i="95" s="1"/>
  <c r="AE106" i="95" a="1"/>
  <c r="AE106" i="95" s="1"/>
  <c r="AD106" i="95" a="1"/>
  <c r="AD106" i="95" s="1"/>
  <c r="AC106" i="95" a="1"/>
  <c r="AC106" i="95" s="1"/>
  <c r="AB106" i="95" a="1"/>
  <c r="AB106" i="95" s="1"/>
  <c r="AA106" i="95" a="1"/>
  <c r="AA106" i="95" s="1"/>
  <c r="Z106" i="95" a="1"/>
  <c r="Z106" i="95" s="1"/>
  <c r="Y106" i="95" a="1"/>
  <c r="Y106" i="95" s="1"/>
  <c r="X106" i="95" a="1"/>
  <c r="X106" i="95" s="1"/>
  <c r="W106" i="95" a="1"/>
  <c r="W106" i="95" s="1"/>
  <c r="V106" i="95" a="1"/>
  <c r="V106" i="95" s="1"/>
  <c r="U106" i="95" a="1"/>
  <c r="U106" i="95" s="1"/>
  <c r="T106" i="95" a="1"/>
  <c r="T106" i="95" s="1"/>
  <c r="S106" i="95" a="1"/>
  <c r="S106" i="95" s="1"/>
  <c r="R106" i="95" a="1"/>
  <c r="R106" i="95" s="1"/>
  <c r="Q106" i="95" a="1"/>
  <c r="Q106" i="95" s="1"/>
  <c r="P106" i="95" a="1"/>
  <c r="P106" i="95" s="1"/>
  <c r="O106" i="95" a="1"/>
  <c r="O106" i="95" s="1"/>
  <c r="N106" i="95" a="1"/>
  <c r="N106" i="95" s="1"/>
  <c r="M106" i="95" a="1"/>
  <c r="M106" i="95" s="1"/>
  <c r="L106" i="95" a="1"/>
  <c r="L106" i="95" s="1"/>
  <c r="K106" i="95" a="1"/>
  <c r="K106" i="95" s="1"/>
  <c r="J106" i="95" a="1"/>
  <c r="J106" i="95" s="1"/>
  <c r="I106" i="95" a="1"/>
  <c r="I106" i="95" s="1"/>
  <c r="H106" i="95" a="1"/>
  <c r="H106" i="95" s="1"/>
  <c r="G106" i="95" a="1"/>
  <c r="G106" i="95" s="1"/>
  <c r="F106" i="95" a="1"/>
  <c r="F106" i="95" s="1"/>
  <c r="E106" i="95" a="1"/>
  <c r="E106" i="95" s="1"/>
  <c r="D106" i="95" a="1"/>
  <c r="D106" i="95" s="1"/>
  <c r="AH105" i="95" a="1"/>
  <c r="AH105" i="95" s="1"/>
  <c r="AG105" i="95" a="1"/>
  <c r="AG105" i="95" s="1"/>
  <c r="AF105" i="95" a="1"/>
  <c r="AF105" i="95" s="1"/>
  <c r="AE105" i="95" a="1"/>
  <c r="AE105" i="95" s="1"/>
  <c r="AD105" i="95" a="1"/>
  <c r="AD105" i="95" s="1"/>
  <c r="AC105" i="95" a="1"/>
  <c r="AC105" i="95" s="1"/>
  <c r="AB105" i="95" a="1"/>
  <c r="AB105" i="95" s="1"/>
  <c r="AA105" i="95" a="1"/>
  <c r="AA105" i="95" s="1"/>
  <c r="Z105" i="95" a="1"/>
  <c r="Z105" i="95" s="1"/>
  <c r="Y105" i="95" a="1"/>
  <c r="Y105" i="95" s="1"/>
  <c r="X105" i="95" a="1"/>
  <c r="X105" i="95" s="1"/>
  <c r="W105" i="95" a="1"/>
  <c r="W105" i="95" s="1"/>
  <c r="V105" i="95" a="1"/>
  <c r="V105" i="95" s="1"/>
  <c r="U105" i="95" a="1"/>
  <c r="U105" i="95" s="1"/>
  <c r="T105" i="95" a="1"/>
  <c r="T105" i="95" s="1"/>
  <c r="S105" i="95" a="1"/>
  <c r="S105" i="95" s="1"/>
  <c r="R105" i="95" a="1"/>
  <c r="R105" i="95" s="1"/>
  <c r="Q105" i="95" a="1"/>
  <c r="Q105" i="95" s="1"/>
  <c r="P105" i="95" a="1"/>
  <c r="P105" i="95" s="1"/>
  <c r="O105" i="95" a="1"/>
  <c r="O105" i="95" s="1"/>
  <c r="N105" i="95" a="1"/>
  <c r="N105" i="95" s="1"/>
  <c r="M105" i="95" a="1"/>
  <c r="M105" i="95" s="1"/>
  <c r="L105" i="95" a="1"/>
  <c r="L105" i="95" s="1"/>
  <c r="K105" i="95" a="1"/>
  <c r="K105" i="95" s="1"/>
  <c r="J105" i="95" a="1"/>
  <c r="J105" i="95" s="1"/>
  <c r="I105" i="95" a="1"/>
  <c r="I105" i="95" s="1"/>
  <c r="H105" i="95" a="1"/>
  <c r="H105" i="95" s="1"/>
  <c r="G105" i="95" a="1"/>
  <c r="G105" i="95" s="1"/>
  <c r="F105" i="95" a="1"/>
  <c r="F105" i="95" s="1"/>
  <c r="E105" i="95" a="1"/>
  <c r="E105" i="95" s="1"/>
  <c r="D105" i="95" a="1"/>
  <c r="D105" i="95" s="1"/>
  <c r="AH104" i="95" a="1"/>
  <c r="AH104" i="95" s="1"/>
  <c r="AG104" i="95" a="1"/>
  <c r="AG104" i="95" s="1"/>
  <c r="AF104" i="95" a="1"/>
  <c r="AF104" i="95" s="1"/>
  <c r="AE104" i="95" a="1"/>
  <c r="AE104" i="95" s="1"/>
  <c r="AD104" i="95" a="1"/>
  <c r="AD104" i="95" s="1"/>
  <c r="AC104" i="95" a="1"/>
  <c r="AC104" i="95" s="1"/>
  <c r="AB104" i="95" a="1"/>
  <c r="AB104" i="95" s="1"/>
  <c r="AA104" i="95" a="1"/>
  <c r="AA104" i="95" s="1"/>
  <c r="Z104" i="95" a="1"/>
  <c r="Z104" i="95" s="1"/>
  <c r="Y104" i="95" a="1"/>
  <c r="Y104" i="95" s="1"/>
  <c r="X104" i="95" a="1"/>
  <c r="X104" i="95" s="1"/>
  <c r="W104" i="95" a="1"/>
  <c r="W104" i="95" s="1"/>
  <c r="V104" i="95" a="1"/>
  <c r="V104" i="95" s="1"/>
  <c r="U104" i="95" a="1"/>
  <c r="U104" i="95" s="1"/>
  <c r="T104" i="95" a="1"/>
  <c r="T104" i="95" s="1"/>
  <c r="S104" i="95" a="1"/>
  <c r="S104" i="95" s="1"/>
  <c r="R104" i="95" a="1"/>
  <c r="R104" i="95" s="1"/>
  <c r="Q104" i="95" a="1"/>
  <c r="Q104" i="95" s="1"/>
  <c r="P104" i="95" a="1"/>
  <c r="P104" i="95" s="1"/>
  <c r="O104" i="95" a="1"/>
  <c r="O104" i="95" s="1"/>
  <c r="N104" i="95" a="1"/>
  <c r="N104" i="95" s="1"/>
  <c r="M104" i="95" a="1"/>
  <c r="M104" i="95" s="1"/>
  <c r="L104" i="95" a="1"/>
  <c r="L104" i="95" s="1"/>
  <c r="K104" i="95" a="1"/>
  <c r="K104" i="95" s="1"/>
  <c r="J104" i="95" a="1"/>
  <c r="J104" i="95" s="1"/>
  <c r="I104" i="95" a="1"/>
  <c r="I104" i="95" s="1"/>
  <c r="H104" i="95" a="1"/>
  <c r="H104" i="95" s="1"/>
  <c r="G104" i="95" a="1"/>
  <c r="G104" i="95" s="1"/>
  <c r="F104" i="95" a="1"/>
  <c r="F104" i="95" s="1"/>
  <c r="E104" i="95" a="1"/>
  <c r="E104" i="95" s="1"/>
  <c r="D104" i="95" a="1"/>
  <c r="D104" i="95" s="1"/>
  <c r="AH103" i="95" a="1"/>
  <c r="AH103" i="95" s="1"/>
  <c r="AG103" i="95" a="1"/>
  <c r="AG103" i="95" s="1"/>
  <c r="AF103" i="95" a="1"/>
  <c r="AF103" i="95" s="1"/>
  <c r="AE103" i="95" a="1"/>
  <c r="AE103" i="95" s="1"/>
  <c r="AD103" i="95" a="1"/>
  <c r="AD103" i="95" s="1"/>
  <c r="AC103" i="95" a="1"/>
  <c r="AC103" i="95" s="1"/>
  <c r="AB103" i="95" a="1"/>
  <c r="AB103" i="95" s="1"/>
  <c r="AA103" i="95" a="1"/>
  <c r="AA103" i="95" s="1"/>
  <c r="Z103" i="95" a="1"/>
  <c r="Z103" i="95" s="1"/>
  <c r="Y103" i="95" a="1"/>
  <c r="Y103" i="95" s="1"/>
  <c r="X103" i="95" a="1"/>
  <c r="X103" i="95" s="1"/>
  <c r="W103" i="95" a="1"/>
  <c r="W103" i="95" s="1"/>
  <c r="V103" i="95" a="1"/>
  <c r="V103" i="95" s="1"/>
  <c r="U103" i="95" a="1"/>
  <c r="U103" i="95" s="1"/>
  <c r="T103" i="95" a="1"/>
  <c r="T103" i="95" s="1"/>
  <c r="S103" i="95" a="1"/>
  <c r="S103" i="95" s="1"/>
  <c r="R103" i="95" a="1"/>
  <c r="R103" i="95" s="1"/>
  <c r="Q103" i="95" a="1"/>
  <c r="Q103" i="95" s="1"/>
  <c r="P103" i="95" a="1"/>
  <c r="P103" i="95" s="1"/>
  <c r="O103" i="95" a="1"/>
  <c r="O103" i="95" s="1"/>
  <c r="N103" i="95" a="1"/>
  <c r="N103" i="95" s="1"/>
  <c r="M103" i="95" a="1"/>
  <c r="M103" i="95" s="1"/>
  <c r="L103" i="95" a="1"/>
  <c r="L103" i="95" s="1"/>
  <c r="K103" i="95" a="1"/>
  <c r="K103" i="95" s="1"/>
  <c r="J103" i="95" a="1"/>
  <c r="J103" i="95" s="1"/>
  <c r="I103" i="95" a="1"/>
  <c r="I103" i="95" s="1"/>
  <c r="H103" i="95" a="1"/>
  <c r="H103" i="95" s="1"/>
  <c r="G103" i="95" a="1"/>
  <c r="G103" i="95" s="1"/>
  <c r="F103" i="95" a="1"/>
  <c r="F103" i="95" s="1"/>
  <c r="E103" i="95" a="1"/>
  <c r="E103" i="95" s="1"/>
  <c r="D103" i="95" a="1"/>
  <c r="D103" i="95" s="1"/>
  <c r="AH102" i="95" a="1"/>
  <c r="AH102" i="95" s="1"/>
  <c r="AG102" i="95" a="1"/>
  <c r="AG102" i="95" s="1"/>
  <c r="AF102" i="95" a="1"/>
  <c r="AF102" i="95" s="1"/>
  <c r="AE102" i="95" a="1"/>
  <c r="AE102" i="95" s="1"/>
  <c r="AD102" i="95" a="1"/>
  <c r="AD102" i="95" s="1"/>
  <c r="AC102" i="95" a="1"/>
  <c r="AC102" i="95" s="1"/>
  <c r="AB102" i="95" a="1"/>
  <c r="AB102" i="95" s="1"/>
  <c r="AA102" i="95" a="1"/>
  <c r="AA102" i="95" s="1"/>
  <c r="Z102" i="95" a="1"/>
  <c r="Z102" i="95" s="1"/>
  <c r="Y102" i="95" a="1"/>
  <c r="Y102" i="95" s="1"/>
  <c r="X102" i="95" a="1"/>
  <c r="X102" i="95" s="1"/>
  <c r="W102" i="95" a="1"/>
  <c r="W102" i="95" s="1"/>
  <c r="V102" i="95" a="1"/>
  <c r="V102" i="95" s="1"/>
  <c r="U102" i="95" a="1"/>
  <c r="U102" i="95" s="1"/>
  <c r="T102" i="95" a="1"/>
  <c r="T102" i="95" s="1"/>
  <c r="S102" i="95" a="1"/>
  <c r="S102" i="95" s="1"/>
  <c r="R102" i="95" a="1"/>
  <c r="R102" i="95" s="1"/>
  <c r="Q102" i="95" a="1"/>
  <c r="Q102" i="95" s="1"/>
  <c r="P102" i="95" a="1"/>
  <c r="P102" i="95" s="1"/>
  <c r="O102" i="95" a="1"/>
  <c r="O102" i="95" s="1"/>
  <c r="N102" i="95" a="1"/>
  <c r="N102" i="95" s="1"/>
  <c r="M102" i="95" a="1"/>
  <c r="M102" i="95" s="1"/>
  <c r="L102" i="95" a="1"/>
  <c r="L102" i="95" s="1"/>
  <c r="K102" i="95" a="1"/>
  <c r="K102" i="95" s="1"/>
  <c r="J102" i="95" a="1"/>
  <c r="J102" i="95" s="1"/>
  <c r="I102" i="95" a="1"/>
  <c r="I102" i="95" s="1"/>
  <c r="H102" i="95" a="1"/>
  <c r="H102" i="95" s="1"/>
  <c r="G102" i="95" a="1"/>
  <c r="G102" i="95" s="1"/>
  <c r="F102" i="95" a="1"/>
  <c r="F102" i="95" s="1"/>
  <c r="E102" i="95" a="1"/>
  <c r="E102" i="95" s="1"/>
  <c r="D102" i="95" a="1"/>
  <c r="D102" i="95" s="1"/>
  <c r="AH101" i="95" a="1"/>
  <c r="AH101" i="95" s="1"/>
  <c r="AG101" i="95" a="1"/>
  <c r="AG101" i="95" s="1"/>
  <c r="AF101" i="95" a="1"/>
  <c r="AF101" i="95" s="1"/>
  <c r="AE101" i="95" a="1"/>
  <c r="AE101" i="95" s="1"/>
  <c r="AD101" i="95" a="1"/>
  <c r="AD101" i="95" s="1"/>
  <c r="AC101" i="95" a="1"/>
  <c r="AC101" i="95" s="1"/>
  <c r="AB101" i="95" a="1"/>
  <c r="AB101" i="95" s="1"/>
  <c r="AA101" i="95" a="1"/>
  <c r="AA101" i="95" s="1"/>
  <c r="Z101" i="95" a="1"/>
  <c r="Z101" i="95" s="1"/>
  <c r="Y101" i="95" a="1"/>
  <c r="Y101" i="95" s="1"/>
  <c r="X101" i="95" a="1"/>
  <c r="X101" i="95" s="1"/>
  <c r="W101" i="95" a="1"/>
  <c r="W101" i="95" s="1"/>
  <c r="V101" i="95" a="1"/>
  <c r="V101" i="95" s="1"/>
  <c r="U101" i="95" a="1"/>
  <c r="U101" i="95" s="1"/>
  <c r="T101" i="95" a="1"/>
  <c r="T101" i="95" s="1"/>
  <c r="S101" i="95" a="1"/>
  <c r="S101" i="95" s="1"/>
  <c r="R101" i="95" a="1"/>
  <c r="R101" i="95" s="1"/>
  <c r="Q101" i="95" a="1"/>
  <c r="Q101" i="95" s="1"/>
  <c r="P101" i="95" a="1"/>
  <c r="P101" i="95" s="1"/>
  <c r="O101" i="95" a="1"/>
  <c r="O101" i="95" s="1"/>
  <c r="N101" i="95" a="1"/>
  <c r="N101" i="95" s="1"/>
  <c r="M101" i="95" a="1"/>
  <c r="M101" i="95" s="1"/>
  <c r="L101" i="95" a="1"/>
  <c r="L101" i="95" s="1"/>
  <c r="K101" i="95" a="1"/>
  <c r="K101" i="95" s="1"/>
  <c r="J101" i="95" a="1"/>
  <c r="J101" i="95" s="1"/>
  <c r="I101" i="95" a="1"/>
  <c r="I101" i="95" s="1"/>
  <c r="H101" i="95" a="1"/>
  <c r="H101" i="95" s="1"/>
  <c r="G101" i="95" a="1"/>
  <c r="G101" i="95" s="1"/>
  <c r="F101" i="95" a="1"/>
  <c r="F101" i="95" s="1"/>
  <c r="E101" i="95" a="1"/>
  <c r="E101" i="95" s="1"/>
  <c r="D101" i="95" a="1"/>
  <c r="D101" i="95" s="1"/>
  <c r="AH100" i="95" a="1"/>
  <c r="AH100" i="95" s="1"/>
  <c r="AG100" i="95" a="1"/>
  <c r="AG100" i="95" s="1"/>
  <c r="AF100" i="95" a="1"/>
  <c r="AF100" i="95" s="1"/>
  <c r="AE100" i="95" a="1"/>
  <c r="AE100" i="95" s="1"/>
  <c r="AD100" i="95" a="1"/>
  <c r="AD100" i="95" s="1"/>
  <c r="AC100" i="95" a="1"/>
  <c r="AC100" i="95" s="1"/>
  <c r="AB100" i="95" a="1"/>
  <c r="AB100" i="95" s="1"/>
  <c r="AA100" i="95" a="1"/>
  <c r="AA100" i="95" s="1"/>
  <c r="Z100" i="95" a="1"/>
  <c r="Z100" i="95" s="1"/>
  <c r="Y100" i="95" a="1"/>
  <c r="Y100" i="95" s="1"/>
  <c r="X100" i="95" a="1"/>
  <c r="X100" i="95" s="1"/>
  <c r="W100" i="95" a="1"/>
  <c r="W100" i="95" s="1"/>
  <c r="V100" i="95" a="1"/>
  <c r="V100" i="95" s="1"/>
  <c r="U100" i="95" a="1"/>
  <c r="U100" i="95" s="1"/>
  <c r="T100" i="95" a="1"/>
  <c r="T100" i="95" s="1"/>
  <c r="S100" i="95" a="1"/>
  <c r="S100" i="95" s="1"/>
  <c r="R100" i="95" a="1"/>
  <c r="R100" i="95" s="1"/>
  <c r="Q100" i="95" a="1"/>
  <c r="Q100" i="95" s="1"/>
  <c r="P100" i="95" a="1"/>
  <c r="P100" i="95" s="1"/>
  <c r="O100" i="95" a="1"/>
  <c r="O100" i="95" s="1"/>
  <c r="N100" i="95" a="1"/>
  <c r="N100" i="95" s="1"/>
  <c r="M100" i="95" a="1"/>
  <c r="M100" i="95" s="1"/>
  <c r="L100" i="95" a="1"/>
  <c r="L100" i="95" s="1"/>
  <c r="K100" i="95" a="1"/>
  <c r="K100" i="95" s="1"/>
  <c r="J100" i="95" a="1"/>
  <c r="J100" i="95" s="1"/>
  <c r="I100" i="95" a="1"/>
  <c r="I100" i="95" s="1"/>
  <c r="H100" i="95" a="1"/>
  <c r="H100" i="95" s="1"/>
  <c r="G100" i="95" a="1"/>
  <c r="G100" i="95" s="1"/>
  <c r="F100" i="95" a="1"/>
  <c r="F100" i="95" s="1"/>
  <c r="E100" i="95" a="1"/>
  <c r="E100" i="95" s="1"/>
  <c r="D100" i="95" a="1"/>
  <c r="D100" i="95" s="1"/>
  <c r="AH99" i="95" a="1"/>
  <c r="AH99" i="95" s="1"/>
  <c r="AG99" i="95" a="1"/>
  <c r="AG99" i="95" s="1"/>
  <c r="AF99" i="95" a="1"/>
  <c r="AF99" i="95" s="1"/>
  <c r="AE99" i="95" a="1"/>
  <c r="AE99" i="95" s="1"/>
  <c r="AD99" i="95" a="1"/>
  <c r="AD99" i="95" s="1"/>
  <c r="AC99" i="95" a="1"/>
  <c r="AC99" i="95" s="1"/>
  <c r="AB99" i="95" a="1"/>
  <c r="AB99" i="95" s="1"/>
  <c r="AA99" i="95" a="1"/>
  <c r="AA99" i="95" s="1"/>
  <c r="Z99" i="95" a="1"/>
  <c r="Z99" i="95" s="1"/>
  <c r="Y99" i="95" a="1"/>
  <c r="Y99" i="95" s="1"/>
  <c r="X99" i="95" a="1"/>
  <c r="X99" i="95" s="1"/>
  <c r="W99" i="95" a="1"/>
  <c r="W99" i="95" s="1"/>
  <c r="V99" i="95" a="1"/>
  <c r="V99" i="95" s="1"/>
  <c r="U99" i="95" a="1"/>
  <c r="U99" i="95" s="1"/>
  <c r="T99" i="95" a="1"/>
  <c r="T99" i="95" s="1"/>
  <c r="S99" i="95" a="1"/>
  <c r="S99" i="95" s="1"/>
  <c r="R99" i="95" a="1"/>
  <c r="R99" i="95" s="1"/>
  <c r="Q99" i="95" a="1"/>
  <c r="Q99" i="95" s="1"/>
  <c r="P99" i="95" a="1"/>
  <c r="P99" i="95" s="1"/>
  <c r="O99" i="95" a="1"/>
  <c r="O99" i="95" s="1"/>
  <c r="N99" i="95" a="1"/>
  <c r="N99" i="95" s="1"/>
  <c r="M99" i="95" a="1"/>
  <c r="M99" i="95" s="1"/>
  <c r="L99" i="95" a="1"/>
  <c r="L99" i="95" s="1"/>
  <c r="K99" i="95" a="1"/>
  <c r="K99" i="95" s="1"/>
  <c r="J99" i="95" a="1"/>
  <c r="J99" i="95" s="1"/>
  <c r="I99" i="95" a="1"/>
  <c r="I99" i="95" s="1"/>
  <c r="H99" i="95" a="1"/>
  <c r="H99" i="95" s="1"/>
  <c r="G99" i="95" a="1"/>
  <c r="G99" i="95" s="1"/>
  <c r="F99" i="95" a="1"/>
  <c r="F99" i="95" s="1"/>
  <c r="E99" i="95" a="1"/>
  <c r="E99" i="95" s="1"/>
  <c r="D99" i="95" a="1"/>
  <c r="D99" i="95" s="1"/>
  <c r="AH98" i="95" a="1"/>
  <c r="AH98" i="95" s="1"/>
  <c r="AG98" i="95" a="1"/>
  <c r="AG98" i="95" s="1"/>
  <c r="AF98" i="95" a="1"/>
  <c r="AF98" i="95" s="1"/>
  <c r="AE98" i="95" a="1"/>
  <c r="AE98" i="95" s="1"/>
  <c r="AD98" i="95" a="1"/>
  <c r="AD98" i="95" s="1"/>
  <c r="AC98" i="95" a="1"/>
  <c r="AC98" i="95" s="1"/>
  <c r="AB98" i="95" a="1"/>
  <c r="AB98" i="95" s="1"/>
  <c r="AA98" i="95" a="1"/>
  <c r="AA98" i="95" s="1"/>
  <c r="Z98" i="95" a="1"/>
  <c r="Z98" i="95" s="1"/>
  <c r="Y98" i="95" a="1"/>
  <c r="Y98" i="95" s="1"/>
  <c r="X98" i="95" a="1"/>
  <c r="X98" i="95" s="1"/>
  <c r="W98" i="95" a="1"/>
  <c r="W98" i="95" s="1"/>
  <c r="V98" i="95" a="1"/>
  <c r="V98" i="95" s="1"/>
  <c r="U98" i="95" a="1"/>
  <c r="U98" i="95" s="1"/>
  <c r="T98" i="95" a="1"/>
  <c r="T98" i="95" s="1"/>
  <c r="S98" i="95" a="1"/>
  <c r="S98" i="95" s="1"/>
  <c r="R98" i="95" a="1"/>
  <c r="R98" i="95" s="1"/>
  <c r="Q98" i="95" a="1"/>
  <c r="Q98" i="95" s="1"/>
  <c r="P98" i="95" a="1"/>
  <c r="P98" i="95" s="1"/>
  <c r="O98" i="95" a="1"/>
  <c r="O98" i="95" s="1"/>
  <c r="N98" i="95" a="1"/>
  <c r="N98" i="95" s="1"/>
  <c r="M98" i="95" a="1"/>
  <c r="M98" i="95" s="1"/>
  <c r="L98" i="95" a="1"/>
  <c r="L98" i="95" s="1"/>
  <c r="K98" i="95" a="1"/>
  <c r="K98" i="95" s="1"/>
  <c r="J98" i="95" a="1"/>
  <c r="J98" i="95" s="1"/>
  <c r="I98" i="95" a="1"/>
  <c r="I98" i="95" s="1"/>
  <c r="H98" i="95" a="1"/>
  <c r="H98" i="95" s="1"/>
  <c r="G98" i="95" a="1"/>
  <c r="G98" i="95" s="1"/>
  <c r="F98" i="95" a="1"/>
  <c r="F98" i="95" s="1"/>
  <c r="E98" i="95" a="1"/>
  <c r="E98" i="95" s="1"/>
  <c r="D98" i="95" a="1"/>
  <c r="D98" i="95" s="1"/>
  <c r="AH97" i="95" a="1"/>
  <c r="AH97" i="95" s="1"/>
  <c r="AG97" i="95" a="1"/>
  <c r="AG97" i="95" s="1"/>
  <c r="AF97" i="95" a="1"/>
  <c r="AF97" i="95" s="1"/>
  <c r="AE97" i="95" a="1"/>
  <c r="AE97" i="95" s="1"/>
  <c r="AD97" i="95" a="1"/>
  <c r="AD97" i="95" s="1"/>
  <c r="AC97" i="95" a="1"/>
  <c r="AC97" i="95" s="1"/>
  <c r="AB97" i="95" a="1"/>
  <c r="AB97" i="95" s="1"/>
  <c r="AA97" i="95" a="1"/>
  <c r="AA97" i="95" s="1"/>
  <c r="Z97" i="95" a="1"/>
  <c r="Z97" i="95" s="1"/>
  <c r="Y97" i="95" a="1"/>
  <c r="Y97" i="95" s="1"/>
  <c r="X97" i="95" a="1"/>
  <c r="X97" i="95" s="1"/>
  <c r="W97" i="95" a="1"/>
  <c r="W97" i="95" s="1"/>
  <c r="V97" i="95" a="1"/>
  <c r="V97" i="95" s="1"/>
  <c r="U97" i="95" a="1"/>
  <c r="U97" i="95" s="1"/>
  <c r="T97" i="95" a="1"/>
  <c r="T97" i="95" s="1"/>
  <c r="S97" i="95" a="1"/>
  <c r="S97" i="95" s="1"/>
  <c r="R97" i="95" a="1"/>
  <c r="R97" i="95" s="1"/>
  <c r="Q97" i="95" a="1"/>
  <c r="Q97" i="95" s="1"/>
  <c r="P97" i="95" a="1"/>
  <c r="P97" i="95" s="1"/>
  <c r="O97" i="95" a="1"/>
  <c r="O97" i="95" s="1"/>
  <c r="N97" i="95" a="1"/>
  <c r="N97" i="95" s="1"/>
  <c r="M97" i="95" a="1"/>
  <c r="M97" i="95" s="1"/>
  <c r="L97" i="95" a="1"/>
  <c r="L97" i="95" s="1"/>
  <c r="K97" i="95" a="1"/>
  <c r="K97" i="95" s="1"/>
  <c r="J97" i="95" a="1"/>
  <c r="J97" i="95" s="1"/>
  <c r="I97" i="95" a="1"/>
  <c r="I97" i="95" s="1"/>
  <c r="H97" i="95" a="1"/>
  <c r="H97" i="95" s="1"/>
  <c r="G97" i="95" a="1"/>
  <c r="G97" i="95" s="1"/>
  <c r="F97" i="95" a="1"/>
  <c r="F97" i="95" s="1"/>
  <c r="E97" i="95" a="1"/>
  <c r="E97" i="95" s="1"/>
  <c r="D97" i="95" a="1"/>
  <c r="D97" i="95" s="1"/>
  <c r="AH96" i="95" a="1"/>
  <c r="AH96" i="95" s="1"/>
  <c r="AG96" i="95" a="1"/>
  <c r="AG96" i="95" s="1"/>
  <c r="AF96" i="95" a="1"/>
  <c r="AF96" i="95" s="1"/>
  <c r="AE96" i="95" a="1"/>
  <c r="AE96" i="95" s="1"/>
  <c r="AD96" i="95" a="1"/>
  <c r="AD96" i="95" s="1"/>
  <c r="AC96" i="95" a="1"/>
  <c r="AC96" i="95" s="1"/>
  <c r="AB96" i="95" a="1"/>
  <c r="AB96" i="95" s="1"/>
  <c r="AA96" i="95" a="1"/>
  <c r="AA96" i="95" s="1"/>
  <c r="Z96" i="95" a="1"/>
  <c r="Z96" i="95" s="1"/>
  <c r="Y96" i="95" a="1"/>
  <c r="Y96" i="95" s="1"/>
  <c r="X96" i="95" a="1"/>
  <c r="X96" i="95" s="1"/>
  <c r="W96" i="95" a="1"/>
  <c r="W96" i="95" s="1"/>
  <c r="V96" i="95" a="1"/>
  <c r="V96" i="95" s="1"/>
  <c r="U96" i="95" a="1"/>
  <c r="U96" i="95" s="1"/>
  <c r="T96" i="95" a="1"/>
  <c r="T96" i="95" s="1"/>
  <c r="S96" i="95" a="1"/>
  <c r="S96" i="95" s="1"/>
  <c r="R96" i="95" a="1"/>
  <c r="R96" i="95" s="1"/>
  <c r="Q96" i="95" a="1"/>
  <c r="Q96" i="95" s="1"/>
  <c r="P96" i="95" a="1"/>
  <c r="P96" i="95" s="1"/>
  <c r="O96" i="95" a="1"/>
  <c r="O96" i="95" s="1"/>
  <c r="N96" i="95" a="1"/>
  <c r="N96" i="95" s="1"/>
  <c r="M96" i="95" a="1"/>
  <c r="M96" i="95" s="1"/>
  <c r="L96" i="95" a="1"/>
  <c r="L96" i="95" s="1"/>
  <c r="K96" i="95" a="1"/>
  <c r="K96" i="95" s="1"/>
  <c r="J96" i="95" a="1"/>
  <c r="J96" i="95" s="1"/>
  <c r="I96" i="95" a="1"/>
  <c r="I96" i="95" s="1"/>
  <c r="H96" i="95" a="1"/>
  <c r="H96" i="95" s="1"/>
  <c r="G96" i="95" a="1"/>
  <c r="G96" i="95" s="1"/>
  <c r="F96" i="95" a="1"/>
  <c r="F96" i="95" s="1"/>
  <c r="E96" i="95" a="1"/>
  <c r="E96" i="95" s="1"/>
  <c r="D96" i="95" a="1"/>
  <c r="D96" i="95" s="1"/>
  <c r="AH95" i="95" a="1"/>
  <c r="AH95" i="95" s="1"/>
  <c r="AG95" i="95" a="1"/>
  <c r="AG95" i="95" s="1"/>
  <c r="AF95" i="95" a="1"/>
  <c r="AF95" i="95" s="1"/>
  <c r="AE95" i="95" a="1"/>
  <c r="AE95" i="95" s="1"/>
  <c r="AD95" i="95" a="1"/>
  <c r="AD95" i="95" s="1"/>
  <c r="AC95" i="95" a="1"/>
  <c r="AC95" i="95" s="1"/>
  <c r="AB95" i="95" a="1"/>
  <c r="AB95" i="95" s="1"/>
  <c r="AA95" i="95" a="1"/>
  <c r="AA95" i="95" s="1"/>
  <c r="Z95" i="95" a="1"/>
  <c r="Z95" i="95" s="1"/>
  <c r="Y95" i="95" a="1"/>
  <c r="Y95" i="95" s="1"/>
  <c r="X95" i="95" a="1"/>
  <c r="X95" i="95" s="1"/>
  <c r="W95" i="95" a="1"/>
  <c r="W95" i="95" s="1"/>
  <c r="V95" i="95" a="1"/>
  <c r="V95" i="95" s="1"/>
  <c r="U95" i="95" a="1"/>
  <c r="U95" i="95" s="1"/>
  <c r="T95" i="95" a="1"/>
  <c r="T95" i="95" s="1"/>
  <c r="S95" i="95" a="1"/>
  <c r="S95" i="95" s="1"/>
  <c r="R95" i="95" a="1"/>
  <c r="R95" i="95" s="1"/>
  <c r="Q95" i="95" a="1"/>
  <c r="Q95" i="95" s="1"/>
  <c r="P95" i="95" a="1"/>
  <c r="P95" i="95" s="1"/>
  <c r="O95" i="95" a="1"/>
  <c r="O95" i="95" s="1"/>
  <c r="N95" i="95" a="1"/>
  <c r="N95" i="95" s="1"/>
  <c r="M95" i="95" a="1"/>
  <c r="M95" i="95" s="1"/>
  <c r="L95" i="95" a="1"/>
  <c r="L95" i="95" s="1"/>
  <c r="K95" i="95" a="1"/>
  <c r="K95" i="95" s="1"/>
  <c r="J95" i="95" a="1"/>
  <c r="J95" i="95" s="1"/>
  <c r="I95" i="95" a="1"/>
  <c r="I95" i="95" s="1"/>
  <c r="H95" i="95" a="1"/>
  <c r="H95" i="95" s="1"/>
  <c r="G95" i="95" a="1"/>
  <c r="G95" i="95" s="1"/>
  <c r="F95" i="95" a="1"/>
  <c r="F95" i="95" s="1"/>
  <c r="E95" i="95" a="1"/>
  <c r="E95" i="95" s="1"/>
  <c r="D95" i="95" a="1"/>
  <c r="D95" i="95" s="1"/>
  <c r="AH94" i="95" a="1"/>
  <c r="AH94" i="95" s="1"/>
  <c r="AG94" i="95" a="1"/>
  <c r="AG94" i="95" s="1"/>
  <c r="AF94" i="95" a="1"/>
  <c r="AF94" i="95" s="1"/>
  <c r="AE94" i="95" a="1"/>
  <c r="AE94" i="95" s="1"/>
  <c r="AD94" i="95" a="1"/>
  <c r="AD94" i="95" s="1"/>
  <c r="AC94" i="95" a="1"/>
  <c r="AC94" i="95" s="1"/>
  <c r="AB94" i="95" a="1"/>
  <c r="AB94" i="95" s="1"/>
  <c r="AA94" i="95" a="1"/>
  <c r="AA94" i="95" s="1"/>
  <c r="Z94" i="95" a="1"/>
  <c r="Z94" i="95" s="1"/>
  <c r="Y94" i="95" a="1"/>
  <c r="Y94" i="95" s="1"/>
  <c r="X94" i="95" a="1"/>
  <c r="X94" i="95" s="1"/>
  <c r="W94" i="95" a="1"/>
  <c r="W94" i="95" s="1"/>
  <c r="V94" i="95" a="1"/>
  <c r="V94" i="95" s="1"/>
  <c r="U94" i="95" a="1"/>
  <c r="U94" i="95" s="1"/>
  <c r="T94" i="95" a="1"/>
  <c r="T94" i="95" s="1"/>
  <c r="S94" i="95" a="1"/>
  <c r="S94" i="95" s="1"/>
  <c r="R94" i="95" a="1"/>
  <c r="R94" i="95" s="1"/>
  <c r="Q94" i="95" a="1"/>
  <c r="Q94" i="95" s="1"/>
  <c r="P94" i="95" a="1"/>
  <c r="P94" i="95" s="1"/>
  <c r="O94" i="95" a="1"/>
  <c r="O94" i="95" s="1"/>
  <c r="N94" i="95" a="1"/>
  <c r="N94" i="95" s="1"/>
  <c r="M94" i="95" a="1"/>
  <c r="M94" i="95" s="1"/>
  <c r="L94" i="95" a="1"/>
  <c r="L94" i="95" s="1"/>
  <c r="K94" i="95" a="1"/>
  <c r="K94" i="95" s="1"/>
  <c r="J94" i="95" a="1"/>
  <c r="J94" i="95" s="1"/>
  <c r="I94" i="95" a="1"/>
  <c r="I94" i="95" s="1"/>
  <c r="H94" i="95" a="1"/>
  <c r="H94" i="95" s="1"/>
  <c r="G94" i="95" a="1"/>
  <c r="G94" i="95" s="1"/>
  <c r="F94" i="95" a="1"/>
  <c r="F94" i="95" s="1"/>
  <c r="E94" i="95" a="1"/>
  <c r="E94" i="95" s="1"/>
  <c r="D94" i="95" a="1"/>
  <c r="D94" i="95" s="1"/>
  <c r="AH93" i="95" a="1"/>
  <c r="AH93" i="95" s="1"/>
  <c r="AG93" i="95" a="1"/>
  <c r="AG93" i="95" s="1"/>
  <c r="AF93" i="95" a="1"/>
  <c r="AF93" i="95" s="1"/>
  <c r="AE93" i="95" a="1"/>
  <c r="AE93" i="95" s="1"/>
  <c r="AD93" i="95" a="1"/>
  <c r="AD93" i="95" s="1"/>
  <c r="AC93" i="95" a="1"/>
  <c r="AC93" i="95" s="1"/>
  <c r="AB93" i="95" a="1"/>
  <c r="AB93" i="95" s="1"/>
  <c r="AA93" i="95" a="1"/>
  <c r="AA93" i="95" s="1"/>
  <c r="Z93" i="95" a="1"/>
  <c r="Z93" i="95" s="1"/>
  <c r="Y93" i="95" a="1"/>
  <c r="Y93" i="95" s="1"/>
  <c r="X93" i="95" a="1"/>
  <c r="X93" i="95" s="1"/>
  <c r="W93" i="95" a="1"/>
  <c r="W93" i="95" s="1"/>
  <c r="V93" i="95" a="1"/>
  <c r="V93" i="95" s="1"/>
  <c r="U93" i="95" a="1"/>
  <c r="U93" i="95" s="1"/>
  <c r="T93" i="95" a="1"/>
  <c r="T93" i="95" s="1"/>
  <c r="S93" i="95" a="1"/>
  <c r="S93" i="95" s="1"/>
  <c r="R93" i="95" a="1"/>
  <c r="R93" i="95" s="1"/>
  <c r="Q93" i="95" a="1"/>
  <c r="Q93" i="95" s="1"/>
  <c r="P93" i="95" a="1"/>
  <c r="P93" i="95" s="1"/>
  <c r="O93" i="95" a="1"/>
  <c r="O93" i="95" s="1"/>
  <c r="N93" i="95" a="1"/>
  <c r="N93" i="95" s="1"/>
  <c r="M93" i="95" a="1"/>
  <c r="M93" i="95" s="1"/>
  <c r="L93" i="95" a="1"/>
  <c r="L93" i="95" s="1"/>
  <c r="K93" i="95" a="1"/>
  <c r="K93" i="95" s="1"/>
  <c r="J93" i="95" a="1"/>
  <c r="J93" i="95" s="1"/>
  <c r="I93" i="95" a="1"/>
  <c r="I93" i="95" s="1"/>
  <c r="H93" i="95" a="1"/>
  <c r="H93" i="95" s="1"/>
  <c r="G93" i="95" a="1"/>
  <c r="G93" i="95" s="1"/>
  <c r="F93" i="95" a="1"/>
  <c r="F93" i="95" s="1"/>
  <c r="E93" i="95" a="1"/>
  <c r="E93" i="95" s="1"/>
  <c r="D93" i="95" a="1"/>
  <c r="D93" i="95" s="1"/>
  <c r="AH92" i="95" a="1"/>
  <c r="AH92" i="95" s="1"/>
  <c r="AG92" i="95" a="1"/>
  <c r="AG92" i="95" s="1"/>
  <c r="AF92" i="95" a="1"/>
  <c r="AF92" i="95" s="1"/>
  <c r="AE92" i="95" a="1"/>
  <c r="AE92" i="95" s="1"/>
  <c r="AD92" i="95" a="1"/>
  <c r="AD92" i="95" s="1"/>
  <c r="AC92" i="95" a="1"/>
  <c r="AC92" i="95" s="1"/>
  <c r="AB92" i="95" a="1"/>
  <c r="AB92" i="95" s="1"/>
  <c r="AA92" i="95" a="1"/>
  <c r="AA92" i="95" s="1"/>
  <c r="Z92" i="95" a="1"/>
  <c r="Z92" i="95" s="1"/>
  <c r="Y92" i="95" a="1"/>
  <c r="Y92" i="95" s="1"/>
  <c r="X92" i="95" a="1"/>
  <c r="X92" i="95" s="1"/>
  <c r="W92" i="95" a="1"/>
  <c r="W92" i="95" s="1"/>
  <c r="V92" i="95" a="1"/>
  <c r="V92" i="95" s="1"/>
  <c r="U92" i="95" a="1"/>
  <c r="U92" i="95" s="1"/>
  <c r="T92" i="95" a="1"/>
  <c r="T92" i="95" s="1"/>
  <c r="S92" i="95" a="1"/>
  <c r="S92" i="95" s="1"/>
  <c r="R92" i="95" a="1"/>
  <c r="R92" i="95" s="1"/>
  <c r="Q92" i="95" a="1"/>
  <c r="Q92" i="95" s="1"/>
  <c r="P92" i="95" a="1"/>
  <c r="P92" i="95" s="1"/>
  <c r="O92" i="95" a="1"/>
  <c r="O92" i="95" s="1"/>
  <c r="N92" i="95" a="1"/>
  <c r="N92" i="95" s="1"/>
  <c r="M92" i="95" a="1"/>
  <c r="M92" i="95" s="1"/>
  <c r="L92" i="95" a="1"/>
  <c r="L92" i="95" s="1"/>
  <c r="K92" i="95" a="1"/>
  <c r="K92" i="95" s="1"/>
  <c r="J92" i="95" a="1"/>
  <c r="J92" i="95" s="1"/>
  <c r="I92" i="95" a="1"/>
  <c r="I92" i="95" s="1"/>
  <c r="H92" i="95" a="1"/>
  <c r="H92" i="95" s="1"/>
  <c r="G92" i="95" a="1"/>
  <c r="G92" i="95" s="1"/>
  <c r="F92" i="95" a="1"/>
  <c r="F92" i="95" s="1"/>
  <c r="E92" i="95" a="1"/>
  <c r="E92" i="95" s="1"/>
  <c r="D92" i="95" a="1"/>
  <c r="D92" i="95" s="1"/>
  <c r="AH91" i="95" a="1"/>
  <c r="AH91" i="95" s="1"/>
  <c r="AG91" i="95" a="1"/>
  <c r="AG91" i="95" s="1"/>
  <c r="AF91" i="95" a="1"/>
  <c r="AF91" i="95" s="1"/>
  <c r="AE91" i="95" a="1"/>
  <c r="AE91" i="95" s="1"/>
  <c r="AD91" i="95" a="1"/>
  <c r="AD91" i="95" s="1"/>
  <c r="AC91" i="95" a="1"/>
  <c r="AC91" i="95" s="1"/>
  <c r="AB91" i="95" a="1"/>
  <c r="AB91" i="95" s="1"/>
  <c r="AA91" i="95" a="1"/>
  <c r="AA91" i="95" s="1"/>
  <c r="Z91" i="95" a="1"/>
  <c r="Z91" i="95" s="1"/>
  <c r="Y91" i="95" a="1"/>
  <c r="Y91" i="95" s="1"/>
  <c r="X91" i="95" a="1"/>
  <c r="X91" i="95" s="1"/>
  <c r="W91" i="95" a="1"/>
  <c r="W91" i="95" s="1"/>
  <c r="V91" i="95" a="1"/>
  <c r="V91" i="95" s="1"/>
  <c r="U91" i="95" a="1"/>
  <c r="U91" i="95" s="1"/>
  <c r="T91" i="95" a="1"/>
  <c r="T91" i="95" s="1"/>
  <c r="S91" i="95" a="1"/>
  <c r="S91" i="95" s="1"/>
  <c r="R91" i="95" a="1"/>
  <c r="R91" i="95" s="1"/>
  <c r="Q91" i="95" a="1"/>
  <c r="Q91" i="95" s="1"/>
  <c r="P91" i="95" a="1"/>
  <c r="P91" i="95" s="1"/>
  <c r="O91" i="95" a="1"/>
  <c r="O91" i="95" s="1"/>
  <c r="N91" i="95" a="1"/>
  <c r="N91" i="95" s="1"/>
  <c r="M91" i="95" a="1"/>
  <c r="M91" i="95" s="1"/>
  <c r="L91" i="95" a="1"/>
  <c r="L91" i="95" s="1"/>
  <c r="K91" i="95" a="1"/>
  <c r="K91" i="95" s="1"/>
  <c r="J91" i="95" a="1"/>
  <c r="J91" i="95" s="1"/>
  <c r="I91" i="95" a="1"/>
  <c r="I91" i="95" s="1"/>
  <c r="H91" i="95" a="1"/>
  <c r="H91" i="95" s="1"/>
  <c r="G91" i="95" a="1"/>
  <c r="G91" i="95" s="1"/>
  <c r="F91" i="95" a="1"/>
  <c r="F91" i="95" s="1"/>
  <c r="E91" i="95" a="1"/>
  <c r="E91" i="95" s="1"/>
  <c r="D91" i="95" a="1"/>
  <c r="D91" i="95" s="1"/>
  <c r="AH90" i="95" a="1"/>
  <c r="AH90" i="95" s="1"/>
  <c r="AG90" i="95" a="1"/>
  <c r="AG90" i="95" s="1"/>
  <c r="AF90" i="95" a="1"/>
  <c r="AF90" i="95" s="1"/>
  <c r="AE90" i="95" a="1"/>
  <c r="AE90" i="95" s="1"/>
  <c r="AD90" i="95" a="1"/>
  <c r="AD90" i="95" s="1"/>
  <c r="AC90" i="95" a="1"/>
  <c r="AC90" i="95" s="1"/>
  <c r="AB90" i="95" a="1"/>
  <c r="AB90" i="95" s="1"/>
  <c r="AA90" i="95" a="1"/>
  <c r="AA90" i="95" s="1"/>
  <c r="Z90" i="95" a="1"/>
  <c r="Z90" i="95" s="1"/>
  <c r="Y90" i="95" a="1"/>
  <c r="Y90" i="95" s="1"/>
  <c r="X90" i="95" a="1"/>
  <c r="X90" i="95" s="1"/>
  <c r="W90" i="95" a="1"/>
  <c r="W90" i="95" s="1"/>
  <c r="V90" i="95" a="1"/>
  <c r="V90" i="95" s="1"/>
  <c r="U90" i="95" a="1"/>
  <c r="U90" i="95" s="1"/>
  <c r="T90" i="95" a="1"/>
  <c r="T90" i="95" s="1"/>
  <c r="S90" i="95" a="1"/>
  <c r="S90" i="95" s="1"/>
  <c r="R90" i="95" a="1"/>
  <c r="R90" i="95" s="1"/>
  <c r="Q90" i="95" a="1"/>
  <c r="Q90" i="95" s="1"/>
  <c r="P90" i="95" a="1"/>
  <c r="P90" i="95" s="1"/>
  <c r="O90" i="95" a="1"/>
  <c r="O90" i="95" s="1"/>
  <c r="N90" i="95" a="1"/>
  <c r="N90" i="95" s="1"/>
  <c r="M90" i="95" a="1"/>
  <c r="M90" i="95" s="1"/>
  <c r="L90" i="95" a="1"/>
  <c r="L90" i="95" s="1"/>
  <c r="K90" i="95" a="1"/>
  <c r="K90" i="95" s="1"/>
  <c r="J90" i="95" a="1"/>
  <c r="J90" i="95" s="1"/>
  <c r="I90" i="95" a="1"/>
  <c r="I90" i="95" s="1"/>
  <c r="H90" i="95" a="1"/>
  <c r="H90" i="95" s="1"/>
  <c r="G90" i="95" a="1"/>
  <c r="G90" i="95" s="1"/>
  <c r="F90" i="95" a="1"/>
  <c r="F90" i="95" s="1"/>
  <c r="E90" i="95" a="1"/>
  <c r="E90" i="95" s="1"/>
  <c r="D90" i="95" a="1"/>
  <c r="D90" i="95" s="1"/>
  <c r="F83" i="95" a="1"/>
  <c r="F83" i="95" s="1"/>
  <c r="E83" i="95" a="1"/>
  <c r="E83" i="95" s="1"/>
  <c r="J91" i="94" s="1"/>
  <c r="D83" i="95" a="1"/>
  <c r="D83" i="95" s="1"/>
  <c r="D82" i="95" a="1"/>
  <c r="D82" i="95" s="1"/>
  <c r="D81" i="95" a="1"/>
  <c r="D81" i="95" s="1"/>
  <c r="F78" i="95" a="1"/>
  <c r="F78" i="95" s="1"/>
  <c r="E78" i="95" a="1"/>
  <c r="E78" i="95" s="1"/>
  <c r="D78" i="95" a="1"/>
  <c r="D78" i="95" s="1"/>
  <c r="D77" i="95" a="1"/>
  <c r="D77" i="95" s="1"/>
  <c r="D76" i="95" a="1"/>
  <c r="D76" i="95" s="1"/>
  <c r="F73" i="95" a="1"/>
  <c r="F73" i="95" s="1"/>
  <c r="E73" i="95" a="1"/>
  <c r="E73" i="95" s="1"/>
  <c r="D73" i="95" a="1"/>
  <c r="D73" i="95" s="1"/>
  <c r="D72" i="95" a="1"/>
  <c r="D72" i="95" s="1"/>
  <c r="D71" i="95" a="1"/>
  <c r="D71" i="95" s="1"/>
  <c r="F68" i="95" a="1"/>
  <c r="F68" i="95" s="1"/>
  <c r="E68" i="95" a="1"/>
  <c r="E68" i="95" s="1"/>
  <c r="D68" i="95" a="1"/>
  <c r="D68" i="95" s="1"/>
  <c r="F67" i="95" a="1"/>
  <c r="F67" i="95" s="1"/>
  <c r="I19" i="92" s="1"/>
  <c r="E67" i="95" a="1"/>
  <c r="E67" i="95" s="1"/>
  <c r="I18" i="92" s="1"/>
  <c r="D67" i="95" a="1"/>
  <c r="D67" i="95" s="1"/>
  <c r="F66" i="95" a="1"/>
  <c r="F66" i="95" s="1"/>
  <c r="I16" i="92" s="1"/>
  <c r="E66" i="95" a="1"/>
  <c r="E66" i="95" s="1"/>
  <c r="I15" i="92" s="1"/>
  <c r="D66" i="95" a="1"/>
  <c r="D66" i="95" s="1"/>
  <c r="D64" i="95" a="1"/>
  <c r="D64" i="95" s="1"/>
  <c r="D63" i="95" a="1"/>
  <c r="D63" i="95" s="1"/>
  <c r="F60" i="95" a="1"/>
  <c r="F60" i="95" s="1"/>
  <c r="E60" i="95" a="1"/>
  <c r="E60" i="95" s="1"/>
  <c r="I50" i="90" s="1"/>
  <c r="D60" i="95" a="1"/>
  <c r="D60" i="95" s="1"/>
  <c r="D59" i="95" a="1"/>
  <c r="D59" i="95" s="1"/>
  <c r="D58" i="95" a="1"/>
  <c r="D58" i="95" s="1"/>
  <c r="E55" i="95" a="1"/>
  <c r="E55" i="95" s="1"/>
  <c r="D55" i="95" a="1"/>
  <c r="D55" i="95" s="1"/>
  <c r="E54" i="95" a="1"/>
  <c r="E54" i="95" s="1"/>
  <c r="D54" i="95" a="1"/>
  <c r="D54" i="95" s="1"/>
  <c r="E53" i="95" a="1"/>
  <c r="E53" i="95" s="1"/>
  <c r="D53" i="95" a="1"/>
  <c r="D53" i="95" s="1"/>
  <c r="E52" i="95" a="1"/>
  <c r="E52" i="95" s="1"/>
  <c r="D52" i="95" a="1"/>
  <c r="D52" i="95" s="1"/>
  <c r="E51" i="95" a="1"/>
  <c r="E51" i="95" s="1"/>
  <c r="D51" i="95" a="1"/>
  <c r="D51" i="95" s="1"/>
  <c r="D49" i="95" a="1"/>
  <c r="D49" i="95" s="1"/>
  <c r="D48" i="95" a="1"/>
  <c r="D48" i="95" s="1"/>
  <c r="I38" i="95" a="1"/>
  <c r="I38" i="95" s="1"/>
  <c r="H38" i="95" a="1"/>
  <c r="H38" i="95" s="1"/>
  <c r="G38" i="95" a="1"/>
  <c r="G38" i="95" s="1"/>
  <c r="F38" i="95" a="1"/>
  <c r="F38" i="95" s="1"/>
  <c r="E38" i="95" a="1"/>
  <c r="E38" i="95" s="1"/>
  <c r="D38" i="95" a="1"/>
  <c r="D38" i="95" s="1"/>
  <c r="G180" i="118" s="1"/>
  <c r="I37" i="95" a="1"/>
  <c r="I37" i="95" s="1"/>
  <c r="H37" i="95" a="1"/>
  <c r="H37" i="95" s="1"/>
  <c r="G37" i="95" a="1"/>
  <c r="G37" i="95" s="1"/>
  <c r="F37" i="95" a="1"/>
  <c r="F37" i="95" s="1"/>
  <c r="E37" i="95" a="1"/>
  <c r="E37" i="95" s="1"/>
  <c r="D37" i="95" a="1"/>
  <c r="D37" i="95" s="1"/>
  <c r="I36" i="95" a="1"/>
  <c r="I36" i="95" s="1"/>
  <c r="H36" i="95" a="1"/>
  <c r="H36" i="95" s="1"/>
  <c r="G36" i="95" a="1"/>
  <c r="G36" i="95" s="1"/>
  <c r="F36" i="95" a="1"/>
  <c r="F36" i="95" s="1"/>
  <c r="E36" i="95" a="1"/>
  <c r="E36" i="95" s="1"/>
  <c r="D36" i="95" a="1"/>
  <c r="D36" i="95" s="1"/>
  <c r="G190" i="118" s="1"/>
  <c r="I35" i="95" a="1"/>
  <c r="I35" i="95" s="1"/>
  <c r="H35" i="95" a="1"/>
  <c r="H35" i="95" s="1"/>
  <c r="G35" i="95" a="1"/>
  <c r="G35" i="95" s="1"/>
  <c r="F35" i="95" a="1"/>
  <c r="F35" i="95" s="1"/>
  <c r="E35" i="95" a="1"/>
  <c r="E35" i="95" s="1"/>
  <c r="D35" i="95" a="1"/>
  <c r="D35" i="95" s="1"/>
  <c r="G182" i="118" s="1"/>
  <c r="I34" i="95" a="1"/>
  <c r="I34" i="95" s="1"/>
  <c r="H34" i="95" a="1"/>
  <c r="H34" i="95" s="1"/>
  <c r="G34" i="95" a="1"/>
  <c r="G34" i="95" s="1"/>
  <c r="F34" i="95" a="1"/>
  <c r="F34" i="95" s="1"/>
  <c r="E34" i="95" a="1"/>
  <c r="E34" i="95" s="1"/>
  <c r="D34" i="95" a="1"/>
  <c r="D34" i="95" s="1"/>
  <c r="G184" i="118" s="1"/>
  <c r="I33" i="95" a="1"/>
  <c r="I33" i="95" s="1"/>
  <c r="H33" i="95" a="1"/>
  <c r="H33" i="95" s="1"/>
  <c r="G33" i="95" a="1"/>
  <c r="G33" i="95" s="1"/>
  <c r="F33" i="95" a="1"/>
  <c r="F33" i="95" s="1"/>
  <c r="E33" i="95" a="1"/>
  <c r="E33" i="95" s="1"/>
  <c r="D33" i="95" a="1"/>
  <c r="D33" i="95" s="1"/>
  <c r="G198" i="118" s="1"/>
  <c r="I32" i="95" a="1"/>
  <c r="I32" i="95" s="1"/>
  <c r="H32" i="95" a="1"/>
  <c r="H32" i="95" s="1"/>
  <c r="G32" i="95" a="1"/>
  <c r="G32" i="95" s="1"/>
  <c r="F32" i="95" a="1"/>
  <c r="F32" i="95" s="1"/>
  <c r="E32" i="95" a="1"/>
  <c r="E32" i="95" s="1"/>
  <c r="D32" i="95" a="1"/>
  <c r="D32" i="95" s="1"/>
  <c r="G191" i="118" s="1"/>
  <c r="I31" i="95" a="1"/>
  <c r="I31" i="95" s="1"/>
  <c r="H31" i="95" a="1"/>
  <c r="H31" i="95" s="1"/>
  <c r="G31" i="95" a="1"/>
  <c r="G31" i="95" s="1"/>
  <c r="F31" i="95" a="1"/>
  <c r="F31" i="95" s="1"/>
  <c r="E31" i="95" a="1"/>
  <c r="E31" i="95" s="1"/>
  <c r="D31" i="95" a="1"/>
  <c r="D31" i="95" s="1"/>
  <c r="G189" i="118" s="1"/>
  <c r="I30" i="95" a="1"/>
  <c r="I30" i="95" s="1"/>
  <c r="H30" i="95" a="1"/>
  <c r="H30" i="95" s="1"/>
  <c r="G30" i="95" a="1"/>
  <c r="G30" i="95" s="1"/>
  <c r="F30" i="95" a="1"/>
  <c r="F30" i="95" s="1"/>
  <c r="E30" i="95" a="1"/>
  <c r="E30" i="95" s="1"/>
  <c r="D30" i="95" a="1"/>
  <c r="D30" i="95" s="1"/>
  <c r="G188" i="118" s="1"/>
  <c r="I29" i="95" a="1"/>
  <c r="I29" i="95" s="1"/>
  <c r="H29" i="95" a="1"/>
  <c r="H29" i="95" s="1"/>
  <c r="G29" i="95" a="1"/>
  <c r="G29" i="95" s="1"/>
  <c r="F29" i="95" a="1"/>
  <c r="F29" i="95" s="1"/>
  <c r="E29" i="95" a="1"/>
  <c r="E29" i="95" s="1"/>
  <c r="D29" i="95" a="1"/>
  <c r="D29" i="95" s="1"/>
  <c r="G186" i="118" s="1"/>
  <c r="R28" i="95" a="1"/>
  <c r="R28" i="95" s="1"/>
  <c r="Q28" i="95" a="1"/>
  <c r="Q28" i="95" s="1"/>
  <c r="L28" i="95" a="1"/>
  <c r="L28" i="95" s="1"/>
  <c r="K28" i="95" a="1"/>
  <c r="K28" i="95" s="1"/>
  <c r="I28" i="95" a="1"/>
  <c r="I28" i="95" s="1"/>
  <c r="H28" i="95" a="1"/>
  <c r="H28" i="95" s="1"/>
  <c r="G28" i="95" a="1"/>
  <c r="G28" i="95" s="1"/>
  <c r="F28" i="95" a="1"/>
  <c r="F28" i="95" s="1"/>
  <c r="E28" i="95" a="1"/>
  <c r="E28" i="95" s="1"/>
  <c r="D28" i="95" a="1"/>
  <c r="D28" i="95" s="1"/>
  <c r="G187" i="118" s="1"/>
  <c r="R27" i="95" a="1"/>
  <c r="R27" i="95" s="1"/>
  <c r="Q27" i="95" a="1"/>
  <c r="Q27" i="95" s="1"/>
  <c r="L27" i="95" a="1"/>
  <c r="L27" i="95" s="1"/>
  <c r="K27" i="95" a="1"/>
  <c r="K27" i="95" s="1"/>
  <c r="I27" i="95" a="1"/>
  <c r="I27" i="95" s="1"/>
  <c r="H27" i="95" a="1"/>
  <c r="H27" i="95" s="1"/>
  <c r="G27" i="95" a="1"/>
  <c r="G27" i="95" s="1"/>
  <c r="F27" i="95" a="1"/>
  <c r="F27" i="95" s="1"/>
  <c r="E27" i="95" a="1"/>
  <c r="E27" i="95" s="1"/>
  <c r="D27" i="95" a="1"/>
  <c r="D27" i="95" s="1"/>
  <c r="G185" i="118" s="1"/>
  <c r="R26" i="95" a="1"/>
  <c r="R26" i="95" s="1"/>
  <c r="Q26" i="95" a="1"/>
  <c r="Q26" i="95" s="1"/>
  <c r="L26" i="95" a="1"/>
  <c r="L26" i="95" s="1"/>
  <c r="K26" i="95" a="1"/>
  <c r="K26" i="95" s="1"/>
  <c r="I26" i="95" a="1"/>
  <c r="I26" i="95" s="1"/>
  <c r="H26" i="95" a="1"/>
  <c r="H26" i="95" s="1"/>
  <c r="G26" i="95" a="1"/>
  <c r="G26" i="95" s="1"/>
  <c r="F26" i="95" a="1"/>
  <c r="F26" i="95" s="1"/>
  <c r="E26" i="95" a="1"/>
  <c r="E26" i="95" s="1"/>
  <c r="D26" i="95" a="1"/>
  <c r="D26" i="95" s="1"/>
  <c r="G179" i="118" s="1"/>
  <c r="R25" i="95" a="1"/>
  <c r="R25" i="95" s="1"/>
  <c r="Q25" i="95" a="1"/>
  <c r="Q25" i="95" s="1"/>
  <c r="L25" i="95" a="1"/>
  <c r="L25" i="95" s="1"/>
  <c r="K25" i="95" a="1"/>
  <c r="K25" i="95" s="1"/>
  <c r="I25" i="95" a="1"/>
  <c r="I25" i="95" s="1"/>
  <c r="H25" i="95" a="1"/>
  <c r="H25" i="95" s="1"/>
  <c r="G25" i="95" a="1"/>
  <c r="G25" i="95" s="1"/>
  <c r="F25" i="95" a="1"/>
  <c r="F25" i="95" s="1"/>
  <c r="E25" i="95" a="1"/>
  <c r="E25" i="95" s="1"/>
  <c r="D25" i="95" a="1"/>
  <c r="D25" i="95" s="1"/>
  <c r="G178" i="118" s="1"/>
  <c r="R24" i="95" a="1"/>
  <c r="R24" i="95" s="1"/>
  <c r="Q24" i="95" a="1"/>
  <c r="Q24" i="95" s="1"/>
  <c r="L24" i="95" a="1"/>
  <c r="L24" i="95" s="1"/>
  <c r="K24" i="95" a="1"/>
  <c r="K24" i="95" s="1"/>
  <c r="I24" i="95" a="1"/>
  <c r="I24" i="95" s="1"/>
  <c r="H24" i="95" a="1"/>
  <c r="H24" i="95" s="1"/>
  <c r="G24" i="95" a="1"/>
  <c r="G24" i="95" s="1"/>
  <c r="F24" i="95" a="1"/>
  <c r="F24" i="95" s="1"/>
  <c r="E24" i="95" a="1"/>
  <c r="E24" i="95" s="1"/>
  <c r="D24" i="95" a="1"/>
  <c r="D24" i="95" s="1"/>
  <c r="G193" i="118" s="1"/>
  <c r="V23" i="95" a="1"/>
  <c r="V23" i="95" s="1"/>
  <c r="I177" i="118" s="1"/>
  <c r="R23" i="95" a="1"/>
  <c r="R23" i="95" s="1"/>
  <c r="Q23" i="95" a="1"/>
  <c r="Q23" i="95" s="1"/>
  <c r="L23" i="95" a="1"/>
  <c r="L23" i="95" s="1"/>
  <c r="K23" i="95" a="1"/>
  <c r="K23" i="95" s="1"/>
  <c r="I23" i="95" a="1"/>
  <c r="I23" i="95" s="1"/>
  <c r="H23" i="95" a="1"/>
  <c r="H23" i="95" s="1"/>
  <c r="G23" i="95" a="1"/>
  <c r="G23" i="95" s="1"/>
  <c r="F23" i="95" a="1"/>
  <c r="F23" i="95" s="1"/>
  <c r="E23" i="95" a="1"/>
  <c r="E23" i="95" s="1"/>
  <c r="D23" i="95" a="1"/>
  <c r="D23" i="95" s="1"/>
  <c r="G192" i="118" s="1"/>
  <c r="V22" i="95" a="1"/>
  <c r="V22" i="95" s="1"/>
  <c r="R22" i="95" a="1"/>
  <c r="R22" i="95" s="1"/>
  <c r="Q22" i="95" a="1"/>
  <c r="Q22" i="95" s="1"/>
  <c r="L22" i="95" a="1"/>
  <c r="L22" i="95" s="1"/>
  <c r="K22" i="95" a="1"/>
  <c r="K22" i="95" s="1"/>
  <c r="I22" i="95" a="1"/>
  <c r="I22" i="95" s="1"/>
  <c r="H22" i="95" a="1"/>
  <c r="H22" i="95" s="1"/>
  <c r="G22" i="95" a="1"/>
  <c r="G22" i="95" s="1"/>
  <c r="F22" i="95" a="1"/>
  <c r="F22" i="95" s="1"/>
  <c r="E22" i="95" a="1"/>
  <c r="E22" i="95" s="1"/>
  <c r="D22" i="95" a="1"/>
  <c r="D22" i="95" s="1"/>
  <c r="V21" i="95" a="1"/>
  <c r="V21" i="95" s="1"/>
  <c r="R21" i="95" a="1"/>
  <c r="R21" i="95" s="1"/>
  <c r="Q21" i="95" a="1"/>
  <c r="Q21" i="95" s="1"/>
  <c r="L21" i="95" a="1"/>
  <c r="L21" i="95" s="1"/>
  <c r="K21" i="95" a="1"/>
  <c r="K21" i="95" s="1"/>
  <c r="I21" i="95" a="1"/>
  <c r="I21" i="95" s="1"/>
  <c r="H21" i="95" a="1"/>
  <c r="H21" i="95" s="1"/>
  <c r="G21" i="95" a="1"/>
  <c r="G21" i="95" s="1"/>
  <c r="F21" i="95" a="1"/>
  <c r="F21" i="95" s="1"/>
  <c r="E21" i="95" a="1"/>
  <c r="E21" i="95" s="1"/>
  <c r="D21" i="95" a="1"/>
  <c r="D21" i="95" s="1"/>
  <c r="G181" i="118" s="1"/>
  <c r="V20" i="95" a="1"/>
  <c r="V20" i="95" s="1"/>
  <c r="R20" i="95" a="1"/>
  <c r="R20" i="95" s="1"/>
  <c r="Q20" i="95" a="1"/>
  <c r="Q20" i="95" s="1"/>
  <c r="L20" i="95" a="1"/>
  <c r="L20" i="95" s="1"/>
  <c r="K20" i="95" a="1"/>
  <c r="K20" i="95" s="1"/>
  <c r="I20" i="95" a="1"/>
  <c r="I20" i="95" s="1"/>
  <c r="H20" i="95" a="1"/>
  <c r="H20" i="95" s="1"/>
  <c r="G20" i="95" a="1"/>
  <c r="G20" i="95" s="1"/>
  <c r="F20" i="95" a="1"/>
  <c r="F20" i="95" s="1"/>
  <c r="E20" i="95" a="1"/>
  <c r="E20" i="95" s="1"/>
  <c r="D20" i="95" a="1"/>
  <c r="D20" i="95" s="1"/>
  <c r="V18" i="95" a="1"/>
  <c r="V18" i="95" s="1"/>
  <c r="Q18" i="95" a="1"/>
  <c r="Q18" i="95" s="1"/>
  <c r="K18" i="95" a="1"/>
  <c r="K18" i="95" s="1"/>
  <c r="V17" i="95" a="1"/>
  <c r="V17" i="95" s="1"/>
  <c r="Q17" i="95" a="1"/>
  <c r="Q17" i="95" s="1"/>
  <c r="K17" i="95" a="1"/>
  <c r="K17" i="95" s="1"/>
  <c r="D7" i="95" a="1"/>
  <c r="D7" i="95" s="1"/>
  <c r="D6" i="95" a="1"/>
  <c r="D6" i="95" s="1"/>
  <c r="D5" i="95" a="1"/>
  <c r="D5" i="95" s="1"/>
  <c r="F99" i="94" a="1"/>
  <c r="F99" i="94" s="1"/>
  <c r="D96" i="94" a="1"/>
  <c r="D96" i="94" s="1"/>
  <c r="H89" i="94" a="1"/>
  <c r="H89" i="94" s="1"/>
  <c r="D89" i="94" a="1"/>
  <c r="D89" i="94" s="1"/>
  <c r="E87" i="94" a="1"/>
  <c r="E87" i="94" s="1"/>
  <c r="F94" i="94" s="1"/>
  <c r="E86" i="94" a="1"/>
  <c r="E86" i="94" s="1"/>
  <c r="D82" i="94" a="1"/>
  <c r="D82" i="94" s="1"/>
  <c r="D81" i="94" a="1"/>
  <c r="D81" i="94" s="1"/>
  <c r="D67" i="94"/>
  <c r="D66" i="94"/>
  <c r="D65" i="94"/>
  <c r="I59" i="94"/>
  <c r="I58" i="94"/>
  <c r="I55" i="94" a="1"/>
  <c r="I55" i="94" s="1"/>
  <c r="G55" i="94" a="1"/>
  <c r="G55" i="94" s="1"/>
  <c r="D55" i="94" a="1"/>
  <c r="D55" i="94" s="1"/>
  <c r="E53" i="94" a="1"/>
  <c r="E53" i="94" s="1"/>
  <c r="F77" i="94" s="1"/>
  <c r="E52" i="94" a="1"/>
  <c r="E52" i="94" s="1"/>
  <c r="D48" i="94" a="1"/>
  <c r="D48" i="94" s="1"/>
  <c r="D47" i="94" a="1"/>
  <c r="D47" i="94" s="1"/>
  <c r="I17" i="94"/>
  <c r="I16" i="94"/>
  <c r="I13" i="94" a="1"/>
  <c r="I13" i="94" s="1"/>
  <c r="G13" i="94" a="1"/>
  <c r="G13" i="94" s="1"/>
  <c r="D13" i="94" a="1"/>
  <c r="D13" i="94" s="1"/>
  <c r="E11" i="94" a="1"/>
  <c r="E11" i="94" s="1"/>
  <c r="F43" i="94" s="1"/>
  <c r="E10" i="94" a="1"/>
  <c r="E10" i="94" s="1"/>
  <c r="D6" i="94" a="1"/>
  <c r="D6" i="94" s="1"/>
  <c r="D5" i="94" a="1"/>
  <c r="D5" i="94" s="1"/>
  <c r="F151" i="93" a="1"/>
  <c r="F151" i="93" s="1"/>
  <c r="D148" i="93" a="1"/>
  <c r="D148" i="93" s="1"/>
  <c r="I127" i="93"/>
  <c r="I124" i="93" a="1"/>
  <c r="I124" i="93" s="1"/>
  <c r="G124" i="93" a="1"/>
  <c r="G124" i="93" s="1"/>
  <c r="D124" i="93" a="1"/>
  <c r="D124" i="93" s="1"/>
  <c r="E122" i="93" a="1"/>
  <c r="E122" i="93" s="1"/>
  <c r="F146" i="93" s="1"/>
  <c r="E121" i="93" a="1"/>
  <c r="E121" i="93" s="1"/>
  <c r="D117" i="93" a="1"/>
  <c r="D117" i="93" s="1"/>
  <c r="D116" i="93" a="1"/>
  <c r="D116" i="93" s="1"/>
  <c r="I96" i="93" a="1"/>
  <c r="I96" i="93" s="1"/>
  <c r="G96" i="93" a="1"/>
  <c r="G96" i="93" s="1"/>
  <c r="D96" i="93" a="1"/>
  <c r="D96" i="93" s="1"/>
  <c r="E94" i="93" a="1"/>
  <c r="E94" i="93" s="1"/>
  <c r="G102" i="93" s="1"/>
  <c r="E93" i="93" a="1"/>
  <c r="E93" i="93" s="1"/>
  <c r="D89" i="93" a="1"/>
  <c r="D89" i="93" s="1"/>
  <c r="D88" i="93" a="1"/>
  <c r="D88" i="93" s="1"/>
  <c r="F84" i="93" a="1"/>
  <c r="F84" i="93" s="1"/>
  <c r="D81" i="93" a="1"/>
  <c r="D81" i="93" s="1"/>
  <c r="J52" i="93"/>
  <c r="J49" i="93" a="1"/>
  <c r="J49" i="93" s="1"/>
  <c r="H49" i="93" a="1"/>
  <c r="H49" i="93" s="1"/>
  <c r="D49" i="93" a="1"/>
  <c r="D49" i="93" s="1"/>
  <c r="E47" i="93" a="1"/>
  <c r="E47" i="93" s="1"/>
  <c r="F79" i="93" s="1"/>
  <c r="E46" i="93" a="1"/>
  <c r="E46" i="93" s="1"/>
  <c r="D42" i="93" a="1"/>
  <c r="D42" i="93" s="1"/>
  <c r="D41" i="93" a="1"/>
  <c r="D41" i="93" s="1"/>
  <c r="I14" i="93" a="1"/>
  <c r="I14" i="93" s="1"/>
  <c r="I13" i="93" a="1"/>
  <c r="I13" i="93" s="1"/>
  <c r="G13" i="93" a="1"/>
  <c r="G13" i="93" s="1"/>
  <c r="D13" i="93" a="1"/>
  <c r="D13" i="93" s="1"/>
  <c r="E11" i="93" a="1"/>
  <c r="E11" i="93" s="1"/>
  <c r="E10" i="93" a="1"/>
  <c r="E10" i="93" s="1"/>
  <c r="D6" i="93" a="1"/>
  <c r="D6" i="93" s="1"/>
  <c r="D5" i="93" a="1"/>
  <c r="D5" i="93" s="1"/>
  <c r="I17" i="92" a="1"/>
  <c r="I17" i="92" s="1"/>
  <c r="I14" i="92" a="1"/>
  <c r="I14" i="92" s="1"/>
  <c r="I13" i="92" a="1"/>
  <c r="I13" i="92" s="1"/>
  <c r="G13" i="92" a="1"/>
  <c r="G13" i="92" s="1"/>
  <c r="D13" i="92" a="1"/>
  <c r="D13" i="92" s="1"/>
  <c r="E11" i="92" a="1"/>
  <c r="E11" i="92" s="1"/>
  <c r="E10" i="92" a="1"/>
  <c r="E10" i="92" s="1"/>
  <c r="D6" i="92" a="1"/>
  <c r="D6" i="92" s="1"/>
  <c r="D5" i="92" a="1"/>
  <c r="D5" i="92" s="1"/>
  <c r="F55" i="91" a="1"/>
  <c r="F55" i="91" s="1"/>
  <c r="D52" i="91" a="1"/>
  <c r="D52" i="91" s="1"/>
  <c r="K47" i="91"/>
  <c r="I44" i="91" a="1"/>
  <c r="I44" i="91" s="1"/>
  <c r="D44" i="91" a="1"/>
  <c r="D44" i="91" s="1"/>
  <c r="E42" i="91" a="1"/>
  <c r="E42" i="91" s="1"/>
  <c r="F50" i="91" s="1"/>
  <c r="E41" i="91" a="1"/>
  <c r="E41" i="91" s="1"/>
  <c r="D37" i="91" a="1"/>
  <c r="D37" i="91" s="1"/>
  <c r="D36" i="91" a="1"/>
  <c r="D36" i="91" s="1"/>
  <c r="I30" i="91" a="1"/>
  <c r="I30" i="91" s="1"/>
  <c r="E112" i="93" s="1"/>
  <c r="I29" i="91" a="1"/>
  <c r="I29" i="91" s="1"/>
  <c r="E111" i="93" s="1"/>
  <c r="I28" i="91" a="1"/>
  <c r="I28" i="91" s="1"/>
  <c r="I27" i="91" a="1"/>
  <c r="I27" i="91" s="1"/>
  <c r="I26" i="91" a="1"/>
  <c r="I26" i="91" s="1"/>
  <c r="I25" i="91" a="1"/>
  <c r="I25" i="91" s="1"/>
  <c r="I24" i="91" a="1"/>
  <c r="I24" i="91" s="1"/>
  <c r="I23" i="91" a="1"/>
  <c r="I23" i="91" s="1"/>
  <c r="I15" i="91" a="1"/>
  <c r="I15" i="91" s="1"/>
  <c r="I14" i="91" a="1"/>
  <c r="I14" i="91" s="1"/>
  <c r="I13" i="91" a="1"/>
  <c r="I13" i="91" s="1"/>
  <c r="G13" i="91" a="1"/>
  <c r="G13" i="91" s="1"/>
  <c r="D13" i="91" a="1"/>
  <c r="D13" i="91" s="1"/>
  <c r="E11" i="91" a="1"/>
  <c r="E11" i="91" s="1"/>
  <c r="F32" i="91" s="1"/>
  <c r="E10" i="91" a="1"/>
  <c r="E10" i="91" s="1"/>
  <c r="D6" i="91" a="1"/>
  <c r="D6" i="91" s="1"/>
  <c r="D5" i="91" a="1"/>
  <c r="D5" i="91" s="1"/>
  <c r="I53" i="90" a="1"/>
  <c r="I53" i="90" s="1"/>
  <c r="I52" i="90"/>
  <c r="I49" i="90" a="1"/>
  <c r="I49" i="90" s="1"/>
  <c r="G49" i="90" a="1"/>
  <c r="G49" i="90" s="1"/>
  <c r="D49" i="90" a="1"/>
  <c r="D49" i="90" s="1"/>
  <c r="E47" i="90" a="1"/>
  <c r="E47" i="90" s="1"/>
  <c r="E46" i="90" a="1"/>
  <c r="E46" i="90" s="1"/>
  <c r="D42" i="90" a="1"/>
  <c r="D42" i="90" s="1"/>
  <c r="D41" i="90" a="1"/>
  <c r="D41" i="90" s="1"/>
  <c r="I14" i="90" a="1"/>
  <c r="I14" i="90" s="1"/>
  <c r="I13" i="90" a="1"/>
  <c r="I13" i="90" s="1"/>
  <c r="G13" i="90" a="1"/>
  <c r="G13" i="90" s="1"/>
  <c r="D13" i="90" a="1"/>
  <c r="D13" i="90" s="1"/>
  <c r="E11" i="90" a="1"/>
  <c r="E11" i="90" s="1"/>
  <c r="E10" i="90" a="1"/>
  <c r="E10" i="90" s="1"/>
  <c r="D6" i="90" a="1"/>
  <c r="D6" i="90" s="1"/>
  <c r="D5" i="90" a="1"/>
  <c r="D5" i="90" s="1"/>
  <c r="O113" i="89" a="1"/>
  <c r="O113" i="89" s="1"/>
  <c r="M110" i="89" a="1"/>
  <c r="M110" i="89" s="1"/>
  <c r="F85" i="89" a="1"/>
  <c r="F85" i="89" s="1"/>
  <c r="D82" i="89" a="1"/>
  <c r="D82" i="89" s="1"/>
  <c r="S81" i="89"/>
  <c r="S80" i="89"/>
  <c r="S77" i="89" a="1"/>
  <c r="S77" i="89" s="1"/>
  <c r="Q77" i="89" a="1"/>
  <c r="Q77" i="89" s="1"/>
  <c r="M77" i="89" a="1"/>
  <c r="M77" i="89" s="1"/>
  <c r="N75" i="89" a="1"/>
  <c r="N75" i="89" s="1"/>
  <c r="N74" i="89" a="1"/>
  <c r="N74" i="89" s="1"/>
  <c r="M69" i="89" a="1"/>
  <c r="M69" i="89" s="1"/>
  <c r="M68" i="89" a="1"/>
  <c r="M68" i="89" s="1"/>
  <c r="I53" i="89"/>
  <c r="I52" i="89"/>
  <c r="I49" i="89" a="1"/>
  <c r="I49" i="89" s="1"/>
  <c r="G49" i="89" a="1"/>
  <c r="G49" i="89" s="1"/>
  <c r="D49" i="89" a="1"/>
  <c r="D49" i="89" s="1"/>
  <c r="E47" i="89" a="1"/>
  <c r="E47" i="89" s="1"/>
  <c r="E46" i="89" a="1"/>
  <c r="E46" i="89" s="1"/>
  <c r="D41" i="89" a="1"/>
  <c r="D41" i="89" s="1"/>
  <c r="D40" i="89" a="1"/>
  <c r="D40" i="89" s="1"/>
  <c r="R35" i="89" a="1"/>
  <c r="R35" i="89" s="1"/>
  <c r="P35" i="89" a="1"/>
  <c r="P35" i="89" s="1"/>
  <c r="M35" i="89" a="1"/>
  <c r="M35" i="89" s="1"/>
  <c r="N33" i="89" a="1"/>
  <c r="N33" i="89" s="1"/>
  <c r="V43" i="89" s="1"/>
  <c r="N32" i="89" a="1"/>
  <c r="N32" i="89" s="1"/>
  <c r="V44" i="89" s="1"/>
  <c r="M28" i="89" a="1"/>
  <c r="M28" i="89" s="1"/>
  <c r="M27" i="89" a="1"/>
  <c r="M27" i="89" s="1"/>
  <c r="R23" i="89" a="1"/>
  <c r="R23" i="89" s="1"/>
  <c r="P23" i="89" a="1"/>
  <c r="P23" i="89" s="1"/>
  <c r="M23" i="89" a="1"/>
  <c r="M23" i="89" s="1"/>
  <c r="N21" i="89" a="1"/>
  <c r="N21" i="89" s="1"/>
  <c r="S43" i="89" s="1"/>
  <c r="N20" i="89" a="1"/>
  <c r="N20" i="89" s="1"/>
  <c r="S44" i="89" s="1"/>
  <c r="M17" i="89" a="1"/>
  <c r="M17" i="89" s="1"/>
  <c r="M16" i="89" a="1"/>
  <c r="M16" i="89" s="1"/>
  <c r="I14" i="89" a="1"/>
  <c r="I14" i="89" s="1"/>
  <c r="I13" i="89" a="1"/>
  <c r="I13" i="89" s="1"/>
  <c r="G13" i="89" a="1"/>
  <c r="G13" i="89" s="1"/>
  <c r="D13" i="89" a="1"/>
  <c r="D13" i="89" s="1"/>
  <c r="R12" i="89" a="1"/>
  <c r="R12" i="89" s="1"/>
  <c r="P12" i="89" a="1"/>
  <c r="P12" i="89" s="1"/>
  <c r="M12" i="89" a="1"/>
  <c r="M12" i="89" s="1"/>
  <c r="E11" i="89" a="1"/>
  <c r="E11" i="89" s="1"/>
  <c r="N10" i="89" a="1"/>
  <c r="N10" i="89" s="1"/>
  <c r="R43" i="89" s="1"/>
  <c r="E10" i="89" a="1"/>
  <c r="E10" i="89" s="1"/>
  <c r="N9" i="89" a="1"/>
  <c r="N9" i="89" s="1"/>
  <c r="R44" i="89" s="1"/>
  <c r="M6" i="89" a="1"/>
  <c r="M6" i="89" s="1"/>
  <c r="D6" i="89" a="1"/>
  <c r="D6" i="89" s="1"/>
  <c r="M5" i="89" a="1"/>
  <c r="M5" i="89" s="1"/>
  <c r="D5" i="89" a="1"/>
  <c r="D5" i="89" s="1"/>
  <c r="G56" i="88"/>
  <c r="G55" i="88"/>
  <c r="G54" i="88"/>
  <c r="K44" i="88"/>
  <c r="K43" i="88"/>
  <c r="K42" i="88"/>
  <c r="W167" i="87" a="1"/>
  <c r="W167" i="87" s="1"/>
  <c r="U164" i="87" a="1"/>
  <c r="U164" i="87" s="1"/>
  <c r="U144" i="87"/>
  <c r="U160" i="87" s="1"/>
  <c r="U143" i="87"/>
  <c r="U159" i="87" s="1"/>
  <c r="U142" i="87"/>
  <c r="U158" i="87" s="1"/>
  <c r="U141" i="87"/>
  <c r="U157" i="87" s="1"/>
  <c r="U140" i="87"/>
  <c r="U156" i="87" s="1"/>
  <c r="U139" i="87"/>
  <c r="U155" i="87" s="1"/>
  <c r="U138" i="87"/>
  <c r="U154" i="87" s="1"/>
  <c r="U137" i="87"/>
  <c r="U153" i="87" s="1"/>
  <c r="U136" i="87"/>
  <c r="U152" i="87" s="1"/>
  <c r="U135" i="87"/>
  <c r="U151" i="87" s="1"/>
  <c r="U134" i="87"/>
  <c r="U150" i="87" s="1"/>
  <c r="U133" i="87"/>
  <c r="U149" i="87" s="1"/>
  <c r="F133" i="87" a="1"/>
  <c r="F133" i="87" s="1"/>
  <c r="D130" i="87" a="1"/>
  <c r="D130" i="87" s="1"/>
  <c r="U128" i="87"/>
  <c r="U127" i="87"/>
  <c r="U126" i="87"/>
  <c r="U125" i="87"/>
  <c r="U124" i="87"/>
  <c r="U123" i="87"/>
  <c r="U122" i="87"/>
  <c r="U121" i="87"/>
  <c r="U120" i="87"/>
  <c r="U119" i="87"/>
  <c r="U118" i="87"/>
  <c r="V117" i="87" a="1"/>
  <c r="V117" i="87" s="1"/>
  <c r="U117" i="87"/>
  <c r="E115" i="87" a="1"/>
  <c r="U112" i="87" a="1"/>
  <c r="U112" i="87" s="1"/>
  <c r="U108" i="87"/>
  <c r="U107" i="87"/>
  <c r="E107" i="87" a="1"/>
  <c r="E107" i="87" s="1"/>
  <c r="U106" i="87"/>
  <c r="U105" i="87"/>
  <c r="U104" i="87"/>
  <c r="U103" i="87"/>
  <c r="U102" i="87"/>
  <c r="I102" i="87" a="1"/>
  <c r="I102" i="87" s="1"/>
  <c r="U101" i="87"/>
  <c r="I101" i="87" a="1"/>
  <c r="I101" i="87" s="1"/>
  <c r="U100" i="87"/>
  <c r="I100" i="87" a="1"/>
  <c r="I100" i="87" s="1"/>
  <c r="G100" i="87" a="1"/>
  <c r="AF117" i="87" s="1"/>
  <c r="D100" i="87" a="1"/>
  <c r="D100" i="87" s="1"/>
  <c r="U99" i="87"/>
  <c r="U98" i="87"/>
  <c r="E98" i="87" a="1"/>
  <c r="E98" i="87" s="1"/>
  <c r="U97" i="87"/>
  <c r="E97" i="87" a="1"/>
  <c r="E97" i="87" s="1"/>
  <c r="D93" i="87" a="1"/>
  <c r="D93" i="87" s="1"/>
  <c r="U92" i="87" a="1"/>
  <c r="U92" i="87" s="1"/>
  <c r="D92" i="87" a="1"/>
  <c r="D92" i="87" s="1"/>
  <c r="U87" i="87"/>
  <c r="U86" i="87"/>
  <c r="U85" i="87"/>
  <c r="U84" i="87"/>
  <c r="U83" i="87"/>
  <c r="U82" i="87"/>
  <c r="U81" i="87"/>
  <c r="U80" i="87"/>
  <c r="I80" i="87" a="1"/>
  <c r="I80" i="87" s="1"/>
  <c r="G80" i="87" a="1"/>
  <c r="G80" i="87" s="1"/>
  <c r="D80" i="87" a="1"/>
  <c r="D80" i="87" s="1"/>
  <c r="U79" i="87"/>
  <c r="U78" i="87"/>
  <c r="E78" i="87" a="1"/>
  <c r="E78" i="87" s="1"/>
  <c r="U77" i="87"/>
  <c r="E77" i="87" a="1"/>
  <c r="E77" i="87" s="1"/>
  <c r="U76" i="87"/>
  <c r="D72" i="87" a="1"/>
  <c r="D72" i="87" s="1"/>
  <c r="U71" i="87"/>
  <c r="D71" i="87" a="1"/>
  <c r="D71" i="87" s="1"/>
  <c r="U70" i="87"/>
  <c r="U69" i="87"/>
  <c r="U68" i="87"/>
  <c r="U67" i="87"/>
  <c r="U66" i="87"/>
  <c r="U65" i="87"/>
  <c r="U64" i="87"/>
  <c r="U63" i="87"/>
  <c r="U62" i="87"/>
  <c r="U61" i="87"/>
  <c r="U60" i="87"/>
  <c r="D59" i="87"/>
  <c r="D58" i="87"/>
  <c r="D57" i="87"/>
  <c r="D56" i="87"/>
  <c r="U55" i="87"/>
  <c r="U54" i="87"/>
  <c r="U53" i="87"/>
  <c r="U52" i="87"/>
  <c r="U51" i="87"/>
  <c r="D51" i="87"/>
  <c r="U50" i="87"/>
  <c r="D50" i="87"/>
  <c r="U49" i="87"/>
  <c r="D49" i="87"/>
  <c r="U48" i="87"/>
  <c r="D48" i="87"/>
  <c r="U47" i="87"/>
  <c r="U46" i="87"/>
  <c r="U45" i="87"/>
  <c r="U44" i="87"/>
  <c r="I43" i="87" a="1"/>
  <c r="I43" i="87" s="1"/>
  <c r="I42" i="87" a="1"/>
  <c r="I42" i="87" s="1"/>
  <c r="I41" i="87" a="1"/>
  <c r="I41" i="87" s="1"/>
  <c r="G41" i="87" a="1"/>
  <c r="G41" i="87" s="1"/>
  <c r="D41" i="87" a="1"/>
  <c r="D41" i="87" s="1"/>
  <c r="U39" i="87"/>
  <c r="E39" i="87" a="1"/>
  <c r="E39" i="87" s="1"/>
  <c r="U38" i="87"/>
  <c r="E38" i="87" a="1"/>
  <c r="E38" i="87" s="1"/>
  <c r="U37" i="87"/>
  <c r="G37" i="87" a="1"/>
  <c r="G37" i="87" s="1"/>
  <c r="U36" i="87"/>
  <c r="U35" i="87"/>
  <c r="U34" i="87"/>
  <c r="D34" i="87" a="1"/>
  <c r="D34" i="87" s="1"/>
  <c r="U33" i="87"/>
  <c r="D33" i="87" a="1"/>
  <c r="D33" i="87" s="1"/>
  <c r="U32" i="87"/>
  <c r="U31" i="87"/>
  <c r="U30" i="87"/>
  <c r="U29" i="87"/>
  <c r="E29" i="87" a="1"/>
  <c r="E29" i="87" s="1"/>
  <c r="U28" i="87"/>
  <c r="E26" i="87" a="1"/>
  <c r="E26" i="87" s="1"/>
  <c r="E27" i="87" a="1"/>
  <c r="E27" i="87" s="1"/>
  <c r="F27" i="87" s="1" a="1"/>
  <c r="F27" i="87" s="1"/>
  <c r="J16" i="87"/>
  <c r="J15" i="87" s="1" a="1"/>
  <c r="J15" i="87" s="1"/>
  <c r="J13" i="87" a="1"/>
  <c r="J13" i="87" s="1"/>
  <c r="H13" i="87" a="1"/>
  <c r="H13" i="87" s="1"/>
  <c r="D13" i="87" a="1"/>
  <c r="D13" i="87" s="1"/>
  <c r="E11" i="87" a="1"/>
  <c r="E11" i="87" s="1"/>
  <c r="E10" i="87" a="1"/>
  <c r="E10" i="87" s="1"/>
  <c r="D6" i="87" a="1"/>
  <c r="D6" i="87" s="1"/>
  <c r="D5" i="87" a="1"/>
  <c r="D5" i="87" s="1"/>
  <c r="G185" i="86"/>
  <c r="F185" i="86"/>
  <c r="E185" i="86"/>
  <c r="D184" i="86"/>
  <c r="D182" i="86"/>
  <c r="D185" i="86" s="1"/>
  <c r="K181" i="86"/>
  <c r="M178" i="86" s="1"/>
  <c r="J181" i="86"/>
  <c r="M181" i="86" s="1"/>
  <c r="K180" i="86"/>
  <c r="J180" i="86"/>
  <c r="K179" i="86"/>
  <c r="J179" i="86"/>
  <c r="M179" i="86" s="1"/>
  <c r="K178" i="86"/>
  <c r="J178" i="86"/>
  <c r="L178" i="86" s="1"/>
  <c r="E178" i="86"/>
  <c r="E177" i="86"/>
  <c r="M171" i="86"/>
  <c r="L171" i="86"/>
  <c r="M170" i="86"/>
  <c r="L170" i="86"/>
  <c r="M169" i="86"/>
  <c r="L169" i="86"/>
  <c r="M168" i="86"/>
  <c r="L168" i="86"/>
  <c r="D168" i="86"/>
  <c r="D144" i="86"/>
  <c r="D143" i="86"/>
  <c r="D142" i="86"/>
  <c r="D141" i="86"/>
  <c r="D140" i="86"/>
  <c r="D139" i="86"/>
  <c r="D138" i="86"/>
  <c r="D137" i="86"/>
  <c r="D136" i="86"/>
  <c r="D135" i="86"/>
  <c r="D134" i="86"/>
  <c r="D133" i="86"/>
  <c r="D122" i="86"/>
  <c r="D121" i="86"/>
  <c r="D120" i="86"/>
  <c r="D119" i="86"/>
  <c r="D118" i="86"/>
  <c r="D117" i="86"/>
  <c r="D116" i="86"/>
  <c r="D115" i="86"/>
  <c r="D114" i="86"/>
  <c r="D113" i="86"/>
  <c r="D112" i="86"/>
  <c r="D111" i="86"/>
  <c r="D100" i="86"/>
  <c r="D99" i="86"/>
  <c r="D98" i="86"/>
  <c r="D97" i="86"/>
  <c r="D96" i="86"/>
  <c r="D95" i="86"/>
  <c r="D94" i="86"/>
  <c r="D93" i="86"/>
  <c r="D92" i="86"/>
  <c r="D91" i="86"/>
  <c r="D90" i="86"/>
  <c r="D89" i="86"/>
  <c r="D78" i="86"/>
  <c r="D77" i="86"/>
  <c r="D76" i="86"/>
  <c r="D75" i="86"/>
  <c r="D74" i="86"/>
  <c r="D73" i="86"/>
  <c r="D72" i="86"/>
  <c r="D71" i="86"/>
  <c r="D70" i="86"/>
  <c r="D69" i="86"/>
  <c r="D68" i="86"/>
  <c r="D67" i="86"/>
  <c r="D56" i="86"/>
  <c r="D55" i="86"/>
  <c r="D54" i="86"/>
  <c r="D53" i="86"/>
  <c r="D52" i="86"/>
  <c r="D51" i="86"/>
  <c r="D50" i="86"/>
  <c r="D49" i="86"/>
  <c r="D48" i="86"/>
  <c r="D47" i="86"/>
  <c r="D46" i="86"/>
  <c r="D45" i="86"/>
  <c r="D34" i="86"/>
  <c r="N34" i="86" s="1"/>
  <c r="D33" i="86"/>
  <c r="M33" i="86" s="1"/>
  <c r="D32" i="86"/>
  <c r="J32" i="86" s="1"/>
  <c r="D31" i="86"/>
  <c r="G31" i="86" s="1"/>
  <c r="D30" i="86"/>
  <c r="M30" i="86" s="1"/>
  <c r="D29" i="86"/>
  <c r="N29" i="86" s="1"/>
  <c r="D28" i="86"/>
  <c r="L28" i="86" s="1"/>
  <c r="D27" i="86"/>
  <c r="G27" i="86" s="1"/>
  <c r="D26" i="86"/>
  <c r="G26" i="86" s="1"/>
  <c r="D25" i="86"/>
  <c r="N25" i="86" s="1"/>
  <c r="D24" i="86"/>
  <c r="N24" i="86" s="1"/>
  <c r="D23" i="86"/>
  <c r="K23" i="86" s="1"/>
  <c r="E7" i="86"/>
  <c r="I483" i="85" a="1"/>
  <c r="I483" i="85" s="1"/>
  <c r="H483" i="85" a="1"/>
  <c r="H483" i="85" s="1"/>
  <c r="G483" i="85" a="1"/>
  <c r="G483" i="85" s="1"/>
  <c r="F483" i="85" a="1"/>
  <c r="F483" i="85" s="1"/>
  <c r="E483" i="85" a="1"/>
  <c r="E483" i="85" s="1"/>
  <c r="D483" i="85" a="1"/>
  <c r="D483" i="85" s="1"/>
  <c r="I482" i="85" a="1"/>
  <c r="I482" i="85" s="1"/>
  <c r="H482" i="85" a="1"/>
  <c r="H482" i="85" s="1"/>
  <c r="G482" i="85" a="1"/>
  <c r="G482" i="85" s="1"/>
  <c r="F482" i="85" a="1"/>
  <c r="F482" i="85" s="1"/>
  <c r="E482" i="85" a="1"/>
  <c r="E482" i="85" s="1"/>
  <c r="D482" i="85" a="1"/>
  <c r="D482" i="85" s="1"/>
  <c r="I481" i="85" a="1"/>
  <c r="I481" i="85" s="1"/>
  <c r="H481" i="85" a="1"/>
  <c r="H481" i="85" s="1"/>
  <c r="G481" i="85" a="1"/>
  <c r="G481" i="85" s="1"/>
  <c r="F481" i="85" a="1"/>
  <c r="F481" i="85" s="1"/>
  <c r="E481" i="85" a="1"/>
  <c r="E481" i="85" s="1"/>
  <c r="D481" i="85" a="1"/>
  <c r="D481" i="85" s="1"/>
  <c r="I480" i="85" a="1"/>
  <c r="I480" i="85" s="1"/>
  <c r="H480" i="85" a="1"/>
  <c r="H480" i="85" s="1"/>
  <c r="G480" i="85" a="1"/>
  <c r="G480" i="85" s="1"/>
  <c r="F480" i="85" a="1"/>
  <c r="F480" i="85" s="1"/>
  <c r="E480" i="85" a="1"/>
  <c r="E480" i="85" s="1"/>
  <c r="D480" i="85" a="1"/>
  <c r="D480" i="85" s="1"/>
  <c r="I479" i="85" a="1"/>
  <c r="I479" i="85" s="1"/>
  <c r="H479" i="85" a="1"/>
  <c r="H479" i="85" s="1"/>
  <c r="G479" i="85" a="1"/>
  <c r="G479" i="85" s="1"/>
  <c r="F479" i="85" a="1"/>
  <c r="F479" i="85" s="1"/>
  <c r="E479" i="85" a="1"/>
  <c r="E479" i="85" s="1"/>
  <c r="D479" i="85" a="1"/>
  <c r="D479" i="85" s="1"/>
  <c r="I478" i="85" a="1"/>
  <c r="I478" i="85" s="1"/>
  <c r="H478" i="85" a="1"/>
  <c r="H478" i="85" s="1"/>
  <c r="G478" i="85" a="1"/>
  <c r="G478" i="85" s="1"/>
  <c r="F478" i="85" a="1"/>
  <c r="F478" i="85" s="1"/>
  <c r="E478" i="85" a="1"/>
  <c r="E478" i="85" s="1"/>
  <c r="D478" i="85" a="1"/>
  <c r="D478" i="85" s="1"/>
  <c r="I477" i="85" a="1"/>
  <c r="I477" i="85" s="1"/>
  <c r="H477" i="85" a="1"/>
  <c r="H477" i="85" s="1"/>
  <c r="G477" i="85" a="1"/>
  <c r="G477" i="85" s="1"/>
  <c r="F477" i="85" a="1"/>
  <c r="F477" i="85" s="1"/>
  <c r="E477" i="85" a="1"/>
  <c r="E477" i="85" s="1"/>
  <c r="D477" i="85" a="1"/>
  <c r="D477" i="85" s="1"/>
  <c r="I476" i="85" a="1"/>
  <c r="I476" i="85" s="1"/>
  <c r="H476" i="85" a="1"/>
  <c r="H476" i="85" s="1"/>
  <c r="G476" i="85" a="1"/>
  <c r="G476" i="85" s="1"/>
  <c r="F476" i="85" a="1"/>
  <c r="F476" i="85" s="1"/>
  <c r="E476" i="85" a="1"/>
  <c r="E476" i="85" s="1"/>
  <c r="D476" i="85" a="1"/>
  <c r="D476" i="85" s="1"/>
  <c r="I475" i="85" a="1"/>
  <c r="I475" i="85" s="1"/>
  <c r="H475" i="85" a="1"/>
  <c r="H475" i="85" s="1"/>
  <c r="G475" i="85" a="1"/>
  <c r="G475" i="85" s="1"/>
  <c r="F475" i="85" a="1"/>
  <c r="F475" i="85" s="1"/>
  <c r="E475" i="85" a="1"/>
  <c r="E475" i="85" s="1"/>
  <c r="D475" i="85" a="1"/>
  <c r="D475" i="85" s="1"/>
  <c r="I474" i="85" a="1"/>
  <c r="I474" i="85" s="1"/>
  <c r="H474" i="85" a="1"/>
  <c r="H474" i="85" s="1"/>
  <c r="G474" i="85" a="1"/>
  <c r="G474" i="85" s="1"/>
  <c r="F474" i="85" a="1"/>
  <c r="F474" i="85" s="1"/>
  <c r="E474" i="85" a="1"/>
  <c r="E474" i="85" s="1"/>
  <c r="D474" i="85" a="1"/>
  <c r="D474" i="85" s="1"/>
  <c r="I473" i="85" a="1"/>
  <c r="I473" i="85" s="1"/>
  <c r="H473" i="85" a="1"/>
  <c r="H473" i="85" s="1"/>
  <c r="G473" i="85" a="1"/>
  <c r="G473" i="85" s="1"/>
  <c r="F473" i="85" a="1"/>
  <c r="F473" i="85" s="1"/>
  <c r="E473" i="85" a="1"/>
  <c r="E473" i="85" s="1"/>
  <c r="D473" i="85" a="1"/>
  <c r="D473" i="85" s="1"/>
  <c r="I472" i="85" a="1"/>
  <c r="I472" i="85" s="1"/>
  <c r="H472" i="85" a="1"/>
  <c r="H472" i="85" s="1"/>
  <c r="G472" i="85" a="1"/>
  <c r="G472" i="85" s="1"/>
  <c r="F472" i="85" a="1"/>
  <c r="F472" i="85" s="1"/>
  <c r="E472" i="85" a="1"/>
  <c r="E472" i="85" s="1"/>
  <c r="D472" i="85" a="1"/>
  <c r="D472" i="85" s="1"/>
  <c r="I471" i="85" a="1"/>
  <c r="I471" i="85" s="1"/>
  <c r="H471" i="85" a="1"/>
  <c r="H471" i="85" s="1"/>
  <c r="G471" i="85" a="1"/>
  <c r="G471" i="85" s="1"/>
  <c r="F471" i="85" a="1"/>
  <c r="F471" i="85" s="1"/>
  <c r="E471" i="85" a="1"/>
  <c r="E471" i="85" s="1"/>
  <c r="D471" i="85" a="1"/>
  <c r="D471" i="85" s="1"/>
  <c r="I470" i="85" a="1"/>
  <c r="I470" i="85" s="1"/>
  <c r="H470" i="85" a="1"/>
  <c r="H470" i="85" s="1"/>
  <c r="G470" i="85" a="1"/>
  <c r="G470" i="85" s="1"/>
  <c r="F470" i="85" a="1"/>
  <c r="F470" i="85" s="1"/>
  <c r="E470" i="85" a="1"/>
  <c r="E470" i="85" s="1"/>
  <c r="D470" i="85" a="1"/>
  <c r="D470" i="85" s="1"/>
  <c r="I469" i="85" a="1"/>
  <c r="I469" i="85" s="1"/>
  <c r="H469" i="85" a="1"/>
  <c r="H469" i="85" s="1"/>
  <c r="G469" i="85" a="1"/>
  <c r="G469" i="85" s="1"/>
  <c r="F469" i="85" a="1"/>
  <c r="F469" i="85" s="1"/>
  <c r="E469" i="85" a="1"/>
  <c r="E469" i="85" s="1"/>
  <c r="D469" i="85" a="1"/>
  <c r="D469" i="85" s="1"/>
  <c r="I468" i="85" a="1"/>
  <c r="I468" i="85" s="1"/>
  <c r="H468" i="85" a="1"/>
  <c r="H468" i="85" s="1"/>
  <c r="G468" i="85" a="1"/>
  <c r="G468" i="85" s="1"/>
  <c r="F468" i="85" a="1"/>
  <c r="F468" i="85" s="1"/>
  <c r="E468" i="85" a="1"/>
  <c r="E468" i="85" s="1"/>
  <c r="D468" i="85" a="1"/>
  <c r="D468" i="85" s="1"/>
  <c r="I467" i="85" a="1"/>
  <c r="I467" i="85" s="1"/>
  <c r="H467" i="85" a="1"/>
  <c r="H467" i="85" s="1"/>
  <c r="G467" i="85" a="1"/>
  <c r="G467" i="85" s="1"/>
  <c r="F467" i="85" a="1"/>
  <c r="F467" i="85" s="1"/>
  <c r="E467" i="85" a="1"/>
  <c r="E467" i="85" s="1"/>
  <c r="D467" i="85" a="1"/>
  <c r="D467" i="85" s="1"/>
  <c r="I466" i="85" a="1"/>
  <c r="I466" i="85" s="1"/>
  <c r="H466" i="85" a="1"/>
  <c r="H466" i="85" s="1"/>
  <c r="G466" i="85" a="1"/>
  <c r="G466" i="85" s="1"/>
  <c r="F466" i="85" a="1"/>
  <c r="F466" i="85" s="1"/>
  <c r="E466" i="85" a="1"/>
  <c r="E466" i="85" s="1"/>
  <c r="D466" i="85" a="1"/>
  <c r="D466" i="85" s="1"/>
  <c r="I465" i="85" a="1"/>
  <c r="I465" i="85" s="1"/>
  <c r="H465" i="85" a="1"/>
  <c r="H465" i="85" s="1"/>
  <c r="G465" i="85" a="1"/>
  <c r="G465" i="85" s="1"/>
  <c r="F465" i="85" a="1"/>
  <c r="F465" i="85" s="1"/>
  <c r="E465" i="85" a="1"/>
  <c r="E465" i="85" s="1"/>
  <c r="D465" i="85" a="1"/>
  <c r="D465" i="85" s="1"/>
  <c r="I464" i="85" a="1"/>
  <c r="I464" i="85" s="1"/>
  <c r="H464" i="85" a="1"/>
  <c r="H464" i="85" s="1"/>
  <c r="G464" i="85" a="1"/>
  <c r="G464" i="85" s="1"/>
  <c r="F464" i="85" a="1"/>
  <c r="F464" i="85" s="1"/>
  <c r="E464" i="85" a="1"/>
  <c r="E464" i="85" s="1"/>
  <c r="D464" i="85" a="1"/>
  <c r="D464" i="85" s="1"/>
  <c r="I463" i="85" a="1"/>
  <c r="I463" i="85" s="1"/>
  <c r="H463" i="85" a="1"/>
  <c r="H463" i="85" s="1"/>
  <c r="G463" i="85" a="1"/>
  <c r="G463" i="85" s="1"/>
  <c r="F463" i="85" a="1"/>
  <c r="F463" i="85" s="1"/>
  <c r="E463" i="85" a="1"/>
  <c r="E463" i="85" s="1"/>
  <c r="D463" i="85" a="1"/>
  <c r="D463" i="85" s="1"/>
  <c r="I462" i="85" a="1"/>
  <c r="I462" i="85" s="1"/>
  <c r="H462" i="85" a="1"/>
  <c r="H462" i="85" s="1"/>
  <c r="G462" i="85" a="1"/>
  <c r="G462" i="85" s="1"/>
  <c r="F462" i="85" a="1"/>
  <c r="F462" i="85" s="1"/>
  <c r="E462" i="85" a="1"/>
  <c r="E462" i="85" s="1"/>
  <c r="D462" i="85" a="1"/>
  <c r="D462" i="85" s="1"/>
  <c r="I461" i="85" a="1"/>
  <c r="I461" i="85" s="1"/>
  <c r="H461" i="85" a="1"/>
  <c r="H461" i="85" s="1"/>
  <c r="G461" i="85" a="1"/>
  <c r="G461" i="85" s="1"/>
  <c r="F461" i="85" a="1"/>
  <c r="F461" i="85" s="1"/>
  <c r="E461" i="85" a="1"/>
  <c r="E461" i="85" s="1"/>
  <c r="D461" i="85" a="1"/>
  <c r="D461" i="85" s="1"/>
  <c r="I460" i="85" a="1"/>
  <c r="I460" i="85" s="1"/>
  <c r="H460" i="85" a="1"/>
  <c r="H460" i="85" s="1"/>
  <c r="G460" i="85" a="1"/>
  <c r="G460" i="85" s="1"/>
  <c r="F460" i="85" a="1"/>
  <c r="F460" i="85" s="1"/>
  <c r="E460" i="85" a="1"/>
  <c r="E460" i="85" s="1"/>
  <c r="D460" i="85" a="1"/>
  <c r="D460" i="85" s="1"/>
  <c r="I459" i="85" a="1"/>
  <c r="I459" i="85" s="1"/>
  <c r="H459" i="85" a="1"/>
  <c r="H459" i="85" s="1"/>
  <c r="G459" i="85" a="1"/>
  <c r="G459" i="85" s="1"/>
  <c r="F459" i="85" a="1"/>
  <c r="F459" i="85" s="1"/>
  <c r="E459" i="85" a="1"/>
  <c r="E459" i="85" s="1"/>
  <c r="D459" i="85" a="1"/>
  <c r="D459" i="85" s="1"/>
  <c r="I458" i="85" a="1"/>
  <c r="I458" i="85" s="1"/>
  <c r="H458" i="85" a="1"/>
  <c r="H458" i="85" s="1"/>
  <c r="G458" i="85" a="1"/>
  <c r="G458" i="85" s="1"/>
  <c r="F458" i="85" a="1"/>
  <c r="F458" i="85" s="1"/>
  <c r="E458" i="85" a="1"/>
  <c r="E458" i="85" s="1"/>
  <c r="D458" i="85" a="1"/>
  <c r="D458" i="85" s="1"/>
  <c r="I457" i="85" a="1"/>
  <c r="I457" i="85" s="1"/>
  <c r="H457" i="85" a="1"/>
  <c r="H457" i="85" s="1"/>
  <c r="G457" i="85" a="1"/>
  <c r="G457" i="85" s="1"/>
  <c r="F457" i="85" a="1"/>
  <c r="F457" i="85" s="1"/>
  <c r="E457" i="85" a="1"/>
  <c r="E457" i="85" s="1"/>
  <c r="D457" i="85" a="1"/>
  <c r="D457" i="85" s="1"/>
  <c r="I456" i="85" a="1"/>
  <c r="I456" i="85" s="1"/>
  <c r="H456" i="85" a="1"/>
  <c r="H456" i="85" s="1"/>
  <c r="G456" i="85" a="1"/>
  <c r="G456" i="85" s="1"/>
  <c r="F456" i="85" a="1"/>
  <c r="F456" i="85" s="1"/>
  <c r="E456" i="85" a="1"/>
  <c r="E456" i="85" s="1"/>
  <c r="D456" i="85" a="1"/>
  <c r="D456" i="85" s="1"/>
  <c r="I455" i="85" a="1"/>
  <c r="I455" i="85" s="1"/>
  <c r="H455" i="85" a="1"/>
  <c r="H455" i="85" s="1"/>
  <c r="G455" i="85" a="1"/>
  <c r="G455" i="85" s="1"/>
  <c r="F455" i="85" a="1"/>
  <c r="F455" i="85" s="1"/>
  <c r="E455" i="85" a="1"/>
  <c r="E455" i="85" s="1"/>
  <c r="D455" i="85" a="1"/>
  <c r="D455" i="85" s="1"/>
  <c r="I454" i="85" a="1"/>
  <c r="I454" i="85" s="1"/>
  <c r="H454" i="85" a="1"/>
  <c r="H454" i="85" s="1"/>
  <c r="G454" i="85" a="1"/>
  <c r="G454" i="85" s="1"/>
  <c r="F454" i="85" a="1"/>
  <c r="F454" i="85" s="1"/>
  <c r="E454" i="85" a="1"/>
  <c r="E454" i="85" s="1"/>
  <c r="D454" i="85" a="1"/>
  <c r="D454" i="85" s="1"/>
  <c r="I453" i="85" a="1"/>
  <c r="I453" i="85" s="1"/>
  <c r="H453" i="85" a="1"/>
  <c r="H453" i="85" s="1"/>
  <c r="G453" i="85" a="1"/>
  <c r="G453" i="85" s="1"/>
  <c r="F453" i="85" a="1"/>
  <c r="F453" i="85" s="1"/>
  <c r="E453" i="85" a="1"/>
  <c r="E453" i="85" s="1"/>
  <c r="D453" i="85" a="1"/>
  <c r="D453" i="85" s="1"/>
  <c r="I452" i="85" a="1"/>
  <c r="I452" i="85" s="1"/>
  <c r="H452" i="85" a="1"/>
  <c r="H452" i="85" s="1"/>
  <c r="G452" i="85" a="1"/>
  <c r="G452" i="85" s="1"/>
  <c r="F452" i="85" a="1"/>
  <c r="F452" i="85" s="1"/>
  <c r="E452" i="85" a="1"/>
  <c r="E452" i="85" s="1"/>
  <c r="D452" i="85" a="1"/>
  <c r="D452" i="85" s="1"/>
  <c r="I451" i="85" a="1"/>
  <c r="I451" i="85" s="1"/>
  <c r="H451" i="85" a="1"/>
  <c r="H451" i="85" s="1"/>
  <c r="G451" i="85" a="1"/>
  <c r="G451" i="85" s="1"/>
  <c r="F451" i="85" a="1"/>
  <c r="F451" i="85" s="1"/>
  <c r="E451" i="85" a="1"/>
  <c r="E451" i="85" s="1"/>
  <c r="D451" i="85" a="1"/>
  <c r="D451" i="85" s="1"/>
  <c r="I450" i="85" a="1"/>
  <c r="I450" i="85" s="1"/>
  <c r="H450" i="85" a="1"/>
  <c r="H450" i="85" s="1"/>
  <c r="G450" i="85" a="1"/>
  <c r="G450" i="85" s="1"/>
  <c r="F450" i="85" a="1"/>
  <c r="F450" i="85" s="1"/>
  <c r="E450" i="85" a="1"/>
  <c r="E450" i="85" s="1"/>
  <c r="D450" i="85" a="1"/>
  <c r="D450" i="85" s="1"/>
  <c r="I449" i="85" a="1"/>
  <c r="I449" i="85" s="1"/>
  <c r="H449" i="85" a="1"/>
  <c r="H449" i="85" s="1"/>
  <c r="G449" i="85" a="1"/>
  <c r="G449" i="85" s="1"/>
  <c r="F449" i="85" a="1"/>
  <c r="F449" i="85" s="1"/>
  <c r="E449" i="85" a="1"/>
  <c r="E449" i="85" s="1"/>
  <c r="D449" i="85" a="1"/>
  <c r="D449" i="85" s="1"/>
  <c r="I448" i="85" a="1"/>
  <c r="I448" i="85" s="1"/>
  <c r="H448" i="85" a="1"/>
  <c r="H448" i="85" s="1"/>
  <c r="G448" i="85" a="1"/>
  <c r="G448" i="85" s="1"/>
  <c r="F448" i="85" a="1"/>
  <c r="F448" i="85" s="1"/>
  <c r="E448" i="85" a="1"/>
  <c r="E448" i="85" s="1"/>
  <c r="D448" i="85" a="1"/>
  <c r="D448" i="85" s="1"/>
  <c r="I447" i="85" a="1"/>
  <c r="I447" i="85" s="1"/>
  <c r="H447" i="85" a="1"/>
  <c r="H447" i="85" s="1"/>
  <c r="G447" i="85" a="1"/>
  <c r="G447" i="85" s="1"/>
  <c r="F447" i="85" a="1"/>
  <c r="F447" i="85" s="1"/>
  <c r="E447" i="85" a="1"/>
  <c r="E447" i="85" s="1"/>
  <c r="D447" i="85" a="1"/>
  <c r="D447" i="85" s="1"/>
  <c r="I446" i="85" a="1"/>
  <c r="I446" i="85" s="1"/>
  <c r="H446" i="85" a="1"/>
  <c r="H446" i="85" s="1"/>
  <c r="G446" i="85" a="1"/>
  <c r="G446" i="85" s="1"/>
  <c r="F446" i="85" a="1"/>
  <c r="F446" i="85" s="1"/>
  <c r="E446" i="85" a="1"/>
  <c r="E446" i="85" s="1"/>
  <c r="D446" i="85" a="1"/>
  <c r="D446" i="85" s="1"/>
  <c r="I445" i="85" a="1"/>
  <c r="I445" i="85" s="1"/>
  <c r="H445" i="85" a="1"/>
  <c r="H445" i="85" s="1"/>
  <c r="G445" i="85" a="1"/>
  <c r="G445" i="85" s="1"/>
  <c r="F445" i="85" a="1"/>
  <c r="F445" i="85" s="1"/>
  <c r="E445" i="85" a="1"/>
  <c r="E445" i="85" s="1"/>
  <c r="D445" i="85" a="1"/>
  <c r="D445" i="85" s="1"/>
  <c r="I444" i="85" a="1"/>
  <c r="I444" i="85" s="1"/>
  <c r="H444" i="85" a="1"/>
  <c r="H444" i="85" s="1"/>
  <c r="G444" i="85" a="1"/>
  <c r="G444" i="85" s="1"/>
  <c r="F444" i="85" a="1"/>
  <c r="F444" i="85" s="1"/>
  <c r="E444" i="85" a="1"/>
  <c r="E444" i="85" s="1"/>
  <c r="D444" i="85" a="1"/>
  <c r="D444" i="85" s="1"/>
  <c r="I443" i="85" a="1"/>
  <c r="I443" i="85" s="1"/>
  <c r="H443" i="85" a="1"/>
  <c r="H443" i="85" s="1"/>
  <c r="G443" i="85" a="1"/>
  <c r="G443" i="85" s="1"/>
  <c r="F443" i="85" a="1"/>
  <c r="F443" i="85" s="1"/>
  <c r="E443" i="85" a="1"/>
  <c r="E443" i="85" s="1"/>
  <c r="D443" i="85" a="1"/>
  <c r="D443" i="85" s="1"/>
  <c r="D440" i="85" a="1"/>
  <c r="D440" i="85" s="1"/>
  <c r="I15" i="84" s="1"/>
  <c r="D439" i="85" a="1"/>
  <c r="D439" i="85" s="1"/>
  <c r="D438" i="85" a="1"/>
  <c r="D438" i="85" s="1"/>
  <c r="D437" i="85" a="1"/>
  <c r="D437" i="85" s="1"/>
  <c r="D436" i="85" a="1"/>
  <c r="D436" i="85" s="1"/>
  <c r="D434" i="85" a="1"/>
  <c r="D434" i="85" s="1"/>
  <c r="J14" i="83" s="1"/>
  <c r="D433" i="85" a="1"/>
  <c r="D433" i="85" s="1"/>
  <c r="D432" i="85" a="1"/>
  <c r="D432" i="85" s="1"/>
  <c r="D431" i="85" a="1"/>
  <c r="D431" i="85" s="1"/>
  <c r="D430" i="85" a="1"/>
  <c r="D430" i="85" s="1"/>
  <c r="D428" i="85" a="1"/>
  <c r="D428" i="85" s="1"/>
  <c r="I155" i="81" s="1"/>
  <c r="D427" i="85" a="1"/>
  <c r="D427" i="85" s="1"/>
  <c r="D426" i="85" a="1"/>
  <c r="D426" i="85" s="1"/>
  <c r="D425" i="85" a="1"/>
  <c r="D425" i="85" s="1"/>
  <c r="D424" i="85" a="1"/>
  <c r="D424" i="85" s="1"/>
  <c r="D422" i="85" a="1"/>
  <c r="D422" i="85" s="1"/>
  <c r="I110" i="81" s="1"/>
  <c r="D421" i="85" a="1"/>
  <c r="D421" i="85" s="1"/>
  <c r="D420" i="85" a="1"/>
  <c r="D420" i="85" s="1"/>
  <c r="D419" i="85" a="1"/>
  <c r="D419" i="85" s="1"/>
  <c r="D418" i="85" a="1"/>
  <c r="D418" i="85" s="1"/>
  <c r="G415" i="85" a="1"/>
  <c r="G415" i="85" s="1"/>
  <c r="F415" i="85" a="1"/>
  <c r="F415" i="85" s="1"/>
  <c r="E415" i="85" a="1"/>
  <c r="E415" i="85" s="1"/>
  <c r="D415" i="85" a="1"/>
  <c r="D415" i="85" s="1"/>
  <c r="G414" i="85" a="1"/>
  <c r="G414" i="85" s="1"/>
  <c r="F414" i="85" a="1"/>
  <c r="F414" i="85" s="1"/>
  <c r="E414" i="85" a="1"/>
  <c r="E414" i="85" s="1"/>
  <c r="D414" i="85" a="1"/>
  <c r="D414" i="85" s="1"/>
  <c r="G413" i="85" a="1"/>
  <c r="G413" i="85" s="1"/>
  <c r="F413" i="85" a="1"/>
  <c r="F413" i="85" s="1"/>
  <c r="E413" i="85" a="1"/>
  <c r="E413" i="85" s="1"/>
  <c r="D413" i="85" a="1"/>
  <c r="D413" i="85" s="1"/>
  <c r="G412" i="85" a="1"/>
  <c r="G412" i="85" s="1"/>
  <c r="F412" i="85" a="1"/>
  <c r="F412" i="85" s="1"/>
  <c r="E412" i="85" a="1"/>
  <c r="E412" i="85" s="1"/>
  <c r="D412" i="85" a="1"/>
  <c r="D412" i="85" s="1"/>
  <c r="G411" i="85" a="1"/>
  <c r="G411" i="85" s="1"/>
  <c r="F411" i="85" a="1"/>
  <c r="F411" i="85" s="1"/>
  <c r="E411" i="85" a="1"/>
  <c r="E411" i="85" s="1"/>
  <c r="D411" i="85" a="1"/>
  <c r="D411" i="85" s="1"/>
  <c r="G410" i="85" a="1"/>
  <c r="G410" i="85" s="1"/>
  <c r="F410" i="85" a="1"/>
  <c r="F410" i="85" s="1"/>
  <c r="E410" i="85" a="1"/>
  <c r="E410" i="85" s="1"/>
  <c r="D410" i="85" a="1"/>
  <c r="D410" i="85" s="1"/>
  <c r="G409" i="85" a="1"/>
  <c r="G409" i="85" s="1"/>
  <c r="F409" i="85" a="1"/>
  <c r="F409" i="85" s="1"/>
  <c r="E409" i="85" a="1"/>
  <c r="E409" i="85" s="1"/>
  <c r="D409" i="85" a="1"/>
  <c r="D409" i="85" s="1"/>
  <c r="G408" i="85" a="1"/>
  <c r="G408" i="85" s="1"/>
  <c r="F408" i="85" a="1"/>
  <c r="F408" i="85" s="1"/>
  <c r="E408" i="85" a="1"/>
  <c r="E408" i="85" s="1"/>
  <c r="D408" i="85" a="1"/>
  <c r="D408" i="85" s="1"/>
  <c r="G407" i="85" a="1"/>
  <c r="G407" i="85" s="1"/>
  <c r="F407" i="85" a="1"/>
  <c r="F407" i="85" s="1"/>
  <c r="E407" i="85" a="1"/>
  <c r="E407" i="85" s="1"/>
  <c r="D407" i="85" a="1"/>
  <c r="D407" i="85" s="1"/>
  <c r="G406" i="85" a="1"/>
  <c r="G406" i="85" s="1"/>
  <c r="F406" i="85" a="1"/>
  <c r="F406" i="85" s="1"/>
  <c r="E406" i="85" a="1"/>
  <c r="E406" i="85" s="1"/>
  <c r="D406" i="85" a="1"/>
  <c r="D406" i="85" s="1"/>
  <c r="G405" i="85" a="1"/>
  <c r="G405" i="85" s="1"/>
  <c r="F405" i="85" a="1"/>
  <c r="F405" i="85" s="1"/>
  <c r="E405" i="85" a="1"/>
  <c r="E405" i="85" s="1"/>
  <c r="D405" i="85" a="1"/>
  <c r="D405" i="85" s="1"/>
  <c r="G404" i="85" a="1"/>
  <c r="G404" i="85" s="1"/>
  <c r="F404" i="85" a="1"/>
  <c r="F404" i="85" s="1"/>
  <c r="E404" i="85" a="1"/>
  <c r="E404" i="85" s="1"/>
  <c r="D404" i="85" a="1"/>
  <c r="D404" i="85" s="1"/>
  <c r="G403" i="85" a="1"/>
  <c r="G403" i="85" s="1"/>
  <c r="F403" i="85" a="1"/>
  <c r="F403" i="85" s="1"/>
  <c r="E403" i="85" a="1"/>
  <c r="E403" i="85" s="1"/>
  <c r="D403" i="85" a="1"/>
  <c r="D403" i="85" s="1"/>
  <c r="G402" i="85" a="1"/>
  <c r="G402" i="85" s="1"/>
  <c r="F402" i="85" a="1"/>
  <c r="F402" i="85" s="1"/>
  <c r="E402" i="85" a="1"/>
  <c r="E402" i="85" s="1"/>
  <c r="D402" i="85" a="1"/>
  <c r="D402" i="85" s="1"/>
  <c r="G401" i="85" a="1"/>
  <c r="G401" i="85" s="1"/>
  <c r="F401" i="85" a="1"/>
  <c r="F401" i="85" s="1"/>
  <c r="E401" i="85" a="1"/>
  <c r="E401" i="85" s="1"/>
  <c r="D401" i="85" a="1"/>
  <c r="D401" i="85" s="1"/>
  <c r="D399" i="85" a="1"/>
  <c r="D399" i="85" s="1"/>
  <c r="D398" i="85" a="1"/>
  <c r="D398" i="85" s="1"/>
  <c r="D397" i="85" a="1"/>
  <c r="D397" i="85" s="1"/>
  <c r="D396" i="85" a="1"/>
  <c r="D396" i="85" s="1"/>
  <c r="D395" i="85" a="1"/>
  <c r="D395" i="85" s="1"/>
  <c r="G392" i="85" a="1"/>
  <c r="G392" i="85" s="1"/>
  <c r="F392" i="85" a="1"/>
  <c r="F392" i="85" s="1"/>
  <c r="E392" i="85" a="1"/>
  <c r="E392" i="85" s="1"/>
  <c r="D392" i="85" a="1"/>
  <c r="D392" i="85" s="1"/>
  <c r="G391" i="85" a="1"/>
  <c r="G391" i="85" s="1"/>
  <c r="F391" i="85" a="1"/>
  <c r="F391" i="85" s="1"/>
  <c r="E391" i="85" a="1"/>
  <c r="E391" i="85" s="1"/>
  <c r="D391" i="85" a="1"/>
  <c r="D391" i="85" s="1"/>
  <c r="G390" i="85" a="1"/>
  <c r="G390" i="85" s="1"/>
  <c r="F390" i="85" a="1"/>
  <c r="F390" i="85" s="1"/>
  <c r="E390" i="85" a="1"/>
  <c r="E390" i="85" s="1"/>
  <c r="D390" i="85" a="1"/>
  <c r="D390" i="85" s="1"/>
  <c r="G389" i="85" a="1"/>
  <c r="G389" i="85" s="1"/>
  <c r="F389" i="85" a="1"/>
  <c r="F389" i="85" s="1"/>
  <c r="E389" i="85" a="1"/>
  <c r="E389" i="85" s="1"/>
  <c r="D389" i="85" a="1"/>
  <c r="D389" i="85" s="1"/>
  <c r="G388" i="85" a="1"/>
  <c r="G388" i="85" s="1"/>
  <c r="F388" i="85" a="1"/>
  <c r="F388" i="85" s="1"/>
  <c r="E388" i="85" a="1"/>
  <c r="E388" i="85" s="1"/>
  <c r="D388" i="85" a="1"/>
  <c r="D388" i="85" s="1"/>
  <c r="G387" i="85" a="1"/>
  <c r="G387" i="85" s="1"/>
  <c r="F387" i="85" a="1"/>
  <c r="F387" i="85" s="1"/>
  <c r="E387" i="85" a="1"/>
  <c r="E387" i="85" s="1"/>
  <c r="D387" i="85" a="1"/>
  <c r="D387" i="85" s="1"/>
  <c r="G386" i="85" a="1"/>
  <c r="G386" i="85" s="1"/>
  <c r="F386" i="85" a="1"/>
  <c r="F386" i="85" s="1"/>
  <c r="E386" i="85" a="1"/>
  <c r="E386" i="85" s="1"/>
  <c r="D386" i="85" a="1"/>
  <c r="D386" i="85" s="1"/>
  <c r="G385" i="85" a="1"/>
  <c r="G385" i="85" s="1"/>
  <c r="F385" i="85" a="1"/>
  <c r="F385" i="85" s="1"/>
  <c r="E385" i="85" a="1"/>
  <c r="E385" i="85" s="1"/>
  <c r="D385" i="85" a="1"/>
  <c r="D385" i="85" s="1"/>
  <c r="G384" i="85" a="1"/>
  <c r="G384" i="85" s="1"/>
  <c r="F384" i="85" a="1"/>
  <c r="F384" i="85" s="1"/>
  <c r="E384" i="85" a="1"/>
  <c r="E384" i="85" s="1"/>
  <c r="D384" i="85" a="1"/>
  <c r="D384" i="85" s="1"/>
  <c r="G383" i="85" a="1"/>
  <c r="G383" i="85" s="1"/>
  <c r="F383" i="85" a="1"/>
  <c r="F383" i="85" s="1"/>
  <c r="E383" i="85" a="1"/>
  <c r="E383" i="85" s="1"/>
  <c r="D383" i="85" a="1"/>
  <c r="D383" i="85" s="1"/>
  <c r="G382" i="85" a="1"/>
  <c r="G382" i="85" s="1"/>
  <c r="F382" i="85" a="1"/>
  <c r="F382" i="85" s="1"/>
  <c r="E382" i="85" a="1"/>
  <c r="E382" i="85" s="1"/>
  <c r="D382" i="85" a="1"/>
  <c r="D382" i="85" s="1"/>
  <c r="G381" i="85" a="1"/>
  <c r="G381" i="85" s="1"/>
  <c r="F381" i="85" a="1"/>
  <c r="F381" i="85" s="1"/>
  <c r="E381" i="85" a="1"/>
  <c r="E381" i="85" s="1"/>
  <c r="D381" i="85" a="1"/>
  <c r="D381" i="85" s="1"/>
  <c r="G380" i="85" a="1"/>
  <c r="G380" i="85" s="1"/>
  <c r="F380" i="85" a="1"/>
  <c r="F380" i="85" s="1"/>
  <c r="E380" i="85" a="1"/>
  <c r="E380" i="85" s="1"/>
  <c r="D380" i="85" a="1"/>
  <c r="D380" i="85" s="1"/>
  <c r="G379" i="85" a="1"/>
  <c r="G379" i="85" s="1"/>
  <c r="F379" i="85" a="1"/>
  <c r="F379" i="85" s="1"/>
  <c r="E379" i="85" a="1"/>
  <c r="E379" i="85" s="1"/>
  <c r="D379" i="85" a="1"/>
  <c r="D379" i="85" s="1"/>
  <c r="G378" i="85" a="1"/>
  <c r="G378" i="85" s="1"/>
  <c r="F378" i="85" a="1"/>
  <c r="F378" i="85" s="1"/>
  <c r="E378" i="85" a="1"/>
  <c r="E378" i="85" s="1"/>
  <c r="D378" i="85" a="1"/>
  <c r="D378" i="85" s="1"/>
  <c r="D376" i="85" a="1"/>
  <c r="D376" i="85" s="1"/>
  <c r="D375" i="85" a="1"/>
  <c r="D375" i="85" s="1"/>
  <c r="D374" i="85" a="1"/>
  <c r="D374" i="85" s="1"/>
  <c r="D373" i="85" a="1"/>
  <c r="D373" i="85" s="1"/>
  <c r="D372" i="85" a="1"/>
  <c r="D372" i="85" s="1"/>
  <c r="L358" i="85" a="1"/>
  <c r="L358" i="85" s="1"/>
  <c r="O369" i="85" s="1"/>
  <c r="K358" i="85" a="1"/>
  <c r="K358" i="85" s="1"/>
  <c r="N369" i="85" s="1"/>
  <c r="J358" i="85" a="1"/>
  <c r="J358" i="85" s="1"/>
  <c r="K369" i="85" s="1"/>
  <c r="I358" i="85" a="1"/>
  <c r="I358" i="85" s="1"/>
  <c r="H358" i="85" a="1"/>
  <c r="H358" i="85" s="1"/>
  <c r="H369" i="85" s="1"/>
  <c r="G358" i="85" a="1"/>
  <c r="G358" i="85" s="1"/>
  <c r="G369" i="85" s="1"/>
  <c r="F358" i="85" a="1"/>
  <c r="F358" i="85" s="1"/>
  <c r="F369" i="85" s="1"/>
  <c r="E358" i="85" a="1"/>
  <c r="E358" i="85" s="1"/>
  <c r="E369" i="85" s="1"/>
  <c r="D358" i="85" a="1"/>
  <c r="D358" i="85" s="1"/>
  <c r="D369" i="85" s="1"/>
  <c r="L357" i="85" a="1"/>
  <c r="L357" i="85" s="1"/>
  <c r="O368" i="85" s="1"/>
  <c r="K357" i="85" a="1"/>
  <c r="K357" i="85" s="1"/>
  <c r="N368" i="85" s="1"/>
  <c r="J357" i="85" a="1"/>
  <c r="J357" i="85" s="1"/>
  <c r="K368" i="85" s="1"/>
  <c r="I357" i="85" a="1"/>
  <c r="I357" i="85" s="1"/>
  <c r="I368" i="85" s="1"/>
  <c r="H357" i="85" a="1"/>
  <c r="H357" i="85" s="1"/>
  <c r="H368" i="85" s="1"/>
  <c r="G357" i="85" a="1"/>
  <c r="G357" i="85" s="1"/>
  <c r="G368" i="85" s="1"/>
  <c r="F357" i="85" a="1"/>
  <c r="F357" i="85" s="1"/>
  <c r="F368" i="85" s="1"/>
  <c r="E357" i="85" a="1"/>
  <c r="E357" i="85" s="1"/>
  <c r="E368" i="85" s="1"/>
  <c r="D357" i="85" a="1"/>
  <c r="D357" i="85" s="1"/>
  <c r="D368" i="85" s="1"/>
  <c r="L356" i="85" a="1"/>
  <c r="L356" i="85" s="1"/>
  <c r="O367" i="85" s="1"/>
  <c r="K356" i="85" a="1"/>
  <c r="K356" i="85" s="1"/>
  <c r="M367" i="85" s="1"/>
  <c r="J356" i="85" a="1"/>
  <c r="J356" i="85" s="1"/>
  <c r="K367" i="85" s="1"/>
  <c r="I356" i="85" a="1"/>
  <c r="I356" i="85" s="1"/>
  <c r="H356" i="85" a="1"/>
  <c r="H356" i="85" s="1"/>
  <c r="H367" i="85" s="1"/>
  <c r="G356" i="85" a="1"/>
  <c r="G356" i="85" s="1"/>
  <c r="G367" i="85" s="1"/>
  <c r="F356" i="85" a="1"/>
  <c r="F356" i="85" s="1"/>
  <c r="F367" i="85" s="1"/>
  <c r="E356" i="85" a="1"/>
  <c r="E356" i="85" s="1"/>
  <c r="E367" i="85" s="1"/>
  <c r="D356" i="85" a="1"/>
  <c r="D356" i="85" s="1"/>
  <c r="D367" i="85" s="1"/>
  <c r="L355" i="85" a="1"/>
  <c r="L355" i="85" s="1"/>
  <c r="O366" i="85" s="1"/>
  <c r="K355" i="85" a="1"/>
  <c r="K355" i="85" s="1"/>
  <c r="N366" i="85" s="1"/>
  <c r="J355" i="85" a="1"/>
  <c r="J355" i="85" s="1"/>
  <c r="K366" i="85" s="1"/>
  <c r="I355" i="85" a="1"/>
  <c r="I355" i="85" s="1"/>
  <c r="J366" i="85" s="1"/>
  <c r="H355" i="85" a="1"/>
  <c r="H355" i="85" s="1"/>
  <c r="H366" i="85" s="1"/>
  <c r="G355" i="85" a="1"/>
  <c r="G355" i="85" s="1"/>
  <c r="G366" i="85" s="1"/>
  <c r="F355" i="85" a="1"/>
  <c r="F355" i="85" s="1"/>
  <c r="F366" i="85" s="1"/>
  <c r="E355" i="85" a="1"/>
  <c r="E355" i="85" s="1"/>
  <c r="E366" i="85" s="1"/>
  <c r="D355" i="85" a="1"/>
  <c r="D355" i="85" s="1"/>
  <c r="D366" i="85" s="1"/>
  <c r="L354" i="85" a="1"/>
  <c r="L354" i="85" s="1"/>
  <c r="O365" i="85" s="1"/>
  <c r="K354" i="85" a="1"/>
  <c r="K354" i="85" s="1"/>
  <c r="J354" i="85" a="1"/>
  <c r="J354" i="85" s="1"/>
  <c r="K365" i="85" s="1"/>
  <c r="I354" i="85" a="1"/>
  <c r="I354" i="85" s="1"/>
  <c r="I365" i="85" s="1"/>
  <c r="H354" i="85" a="1"/>
  <c r="H354" i="85" s="1"/>
  <c r="H365" i="85" s="1"/>
  <c r="G354" i="85" a="1"/>
  <c r="G354" i="85" s="1"/>
  <c r="G365" i="85" s="1"/>
  <c r="F354" i="85" a="1"/>
  <c r="F354" i="85" s="1"/>
  <c r="F365" i="85" s="1"/>
  <c r="E354" i="85" a="1"/>
  <c r="E354" i="85" s="1"/>
  <c r="E365" i="85" s="1"/>
  <c r="D354" i="85" a="1"/>
  <c r="D354" i="85" s="1"/>
  <c r="D365" i="85" s="1"/>
  <c r="L353" i="85" a="1"/>
  <c r="L353" i="85" s="1"/>
  <c r="O364" i="85" s="1"/>
  <c r="K353" i="85" a="1"/>
  <c r="K353" i="85" s="1"/>
  <c r="M364" i="85" s="1"/>
  <c r="J353" i="85" a="1"/>
  <c r="J353" i="85" s="1"/>
  <c r="K364" i="85" s="1"/>
  <c r="I353" i="85" a="1"/>
  <c r="I353" i="85" s="1"/>
  <c r="I364" i="85" s="1"/>
  <c r="H353" i="85" a="1"/>
  <c r="H353" i="85" s="1"/>
  <c r="H364" i="85" s="1"/>
  <c r="G353" i="85" a="1"/>
  <c r="G353" i="85" s="1"/>
  <c r="G364" i="85" s="1"/>
  <c r="F353" i="85" a="1"/>
  <c r="F353" i="85" s="1"/>
  <c r="F364" i="85" s="1"/>
  <c r="E353" i="85" a="1"/>
  <c r="E353" i="85" s="1"/>
  <c r="E364" i="85" s="1"/>
  <c r="D353" i="85" a="1"/>
  <c r="D353" i="85" s="1"/>
  <c r="D364" i="85" s="1"/>
  <c r="L352" i="85" a="1"/>
  <c r="L352" i="85" s="1"/>
  <c r="O363" i="85" s="1"/>
  <c r="K352" i="85" a="1"/>
  <c r="K352" i="85" s="1"/>
  <c r="M363" i="85" s="1"/>
  <c r="J352" i="85" a="1"/>
  <c r="J352" i="85" s="1"/>
  <c r="K363" i="85" s="1"/>
  <c r="I352" i="85" a="1"/>
  <c r="I352" i="85" s="1"/>
  <c r="H352" i="85" a="1"/>
  <c r="H352" i="85" s="1"/>
  <c r="H363" i="85" s="1"/>
  <c r="G352" i="85" a="1"/>
  <c r="G352" i="85" s="1"/>
  <c r="G363" i="85" s="1"/>
  <c r="F352" i="85" a="1"/>
  <c r="F352" i="85" s="1"/>
  <c r="F363" i="85" s="1"/>
  <c r="E352" i="85" a="1"/>
  <c r="E352" i="85" s="1"/>
  <c r="E363" i="85" s="1"/>
  <c r="D352" i="85" a="1"/>
  <c r="D352" i="85" s="1"/>
  <c r="D363" i="85" s="1"/>
  <c r="L351" i="85" a="1"/>
  <c r="L351" i="85" s="1"/>
  <c r="O362" i="85" s="1"/>
  <c r="K351" i="85" a="1"/>
  <c r="K351" i="85" s="1"/>
  <c r="J351" i="85" a="1"/>
  <c r="J351" i="85" s="1"/>
  <c r="K362" i="85" s="1"/>
  <c r="I351" i="85" a="1"/>
  <c r="I351" i="85" s="1"/>
  <c r="I362" i="85" s="1"/>
  <c r="H351" i="85" a="1"/>
  <c r="H351" i="85" s="1"/>
  <c r="H362" i="85" s="1"/>
  <c r="G351" i="85" a="1"/>
  <c r="G351" i="85" s="1"/>
  <c r="G362" i="85" s="1"/>
  <c r="F351" i="85" a="1"/>
  <c r="F351" i="85" s="1"/>
  <c r="F362" i="85" s="1"/>
  <c r="E351" i="85" a="1"/>
  <c r="E351" i="85" s="1"/>
  <c r="E362" i="85" s="1"/>
  <c r="D351" i="85" a="1"/>
  <c r="D351" i="85" s="1"/>
  <c r="D362" i="85" s="1"/>
  <c r="D349" i="85" a="1"/>
  <c r="D349" i="85" s="1"/>
  <c r="D348" i="85" a="1"/>
  <c r="D348" i="85" s="1"/>
  <c r="D347" i="85" a="1"/>
  <c r="D347" i="85" s="1"/>
  <c r="D346" i="85" a="1"/>
  <c r="D346" i="85" s="1"/>
  <c r="D345" i="85" a="1"/>
  <c r="D345" i="85" s="1"/>
  <c r="G342" i="85" a="1"/>
  <c r="G342" i="85" s="1"/>
  <c r="F342" i="85" a="1"/>
  <c r="F342" i="85" s="1"/>
  <c r="E342" i="85" a="1"/>
  <c r="E342" i="85" s="1"/>
  <c r="D342" i="85" a="1"/>
  <c r="D342" i="85" s="1"/>
  <c r="G341" i="85" a="1"/>
  <c r="G341" i="85" s="1"/>
  <c r="L338" i="85" s="1"/>
  <c r="F341" i="85" a="1"/>
  <c r="F341" i="85" s="1"/>
  <c r="K338" i="85" s="1"/>
  <c r="E341" i="85" a="1"/>
  <c r="E341" i="85" s="1"/>
  <c r="D341" i="85" a="1"/>
  <c r="D341" i="85" s="1"/>
  <c r="I338" i="85" s="1"/>
  <c r="G340" i="85" a="1"/>
  <c r="G340" i="85" s="1"/>
  <c r="L337" i="85" s="1"/>
  <c r="F340" i="85" a="1"/>
  <c r="F340" i="85" s="1"/>
  <c r="K337" i="85" s="1"/>
  <c r="E340" i="85" a="1"/>
  <c r="E340" i="85" s="1"/>
  <c r="D340" i="85" a="1"/>
  <c r="D340" i="85" s="1"/>
  <c r="I337" i="85" s="1"/>
  <c r="G339" i="85" a="1"/>
  <c r="G339" i="85" s="1"/>
  <c r="F339" i="85" a="1"/>
  <c r="F339" i="85" s="1"/>
  <c r="E339" i="85" a="1"/>
  <c r="E339" i="85" s="1"/>
  <c r="D339" i="85" a="1"/>
  <c r="D339" i="85" s="1"/>
  <c r="G338" i="85" a="1"/>
  <c r="G338" i="85" s="1"/>
  <c r="F338" i="85" a="1"/>
  <c r="F338" i="85" s="1"/>
  <c r="E338" i="85" a="1"/>
  <c r="E338" i="85" s="1"/>
  <c r="D338" i="85" a="1"/>
  <c r="D338" i="85" s="1"/>
  <c r="G337" i="85" a="1"/>
  <c r="G337" i="85" s="1"/>
  <c r="F337" i="85" a="1"/>
  <c r="F337" i="85" s="1"/>
  <c r="E337" i="85" a="1"/>
  <c r="E337" i="85" s="1"/>
  <c r="D337" i="85" a="1"/>
  <c r="D337" i="85" s="1"/>
  <c r="G336" i="85" a="1"/>
  <c r="G336" i="85" s="1"/>
  <c r="L336" i="85" s="1"/>
  <c r="F336" i="85" a="1"/>
  <c r="F336" i="85" s="1"/>
  <c r="K336" i="85" s="1"/>
  <c r="E336" i="85" a="1"/>
  <c r="E336" i="85" s="1"/>
  <c r="D336" i="85" a="1"/>
  <c r="D336" i="85" s="1"/>
  <c r="I336" i="85" s="1"/>
  <c r="G335" i="85" a="1"/>
  <c r="G335" i="85" s="1"/>
  <c r="L335" i="85" s="1"/>
  <c r="F335" i="85" a="1"/>
  <c r="F335" i="85" s="1"/>
  <c r="K335" i="85" s="1"/>
  <c r="E335" i="85" a="1"/>
  <c r="E335" i="85" s="1"/>
  <c r="D335" i="85" a="1"/>
  <c r="D335" i="85" s="1"/>
  <c r="I335" i="85" s="1"/>
  <c r="D333" i="85" a="1"/>
  <c r="D333" i="85" s="1"/>
  <c r="D332" i="85" a="1"/>
  <c r="D332" i="85" s="1"/>
  <c r="D331" i="85" a="1"/>
  <c r="D331" i="85" s="1"/>
  <c r="I328" i="85" a="1"/>
  <c r="I328" i="85" s="1"/>
  <c r="H328" i="85" a="1"/>
  <c r="H328" i="85" s="1"/>
  <c r="G328" i="85" a="1"/>
  <c r="G328" i="85" s="1"/>
  <c r="F328" i="85" a="1"/>
  <c r="F328" i="85" s="1"/>
  <c r="E328" i="85" a="1"/>
  <c r="E328" i="85" s="1"/>
  <c r="D328" i="85" a="1"/>
  <c r="D328" i="85" s="1"/>
  <c r="I327" i="85" a="1"/>
  <c r="I327" i="85" s="1"/>
  <c r="H327" i="85" a="1"/>
  <c r="H327" i="85" s="1"/>
  <c r="G327" i="85" a="1"/>
  <c r="G327" i="85" s="1"/>
  <c r="F327" i="85" a="1"/>
  <c r="F327" i="85" s="1"/>
  <c r="E327" i="85" a="1"/>
  <c r="E327" i="85" s="1"/>
  <c r="D327" i="85" a="1"/>
  <c r="D327" i="85" s="1"/>
  <c r="I326" i="85" a="1"/>
  <c r="I326" i="85" s="1"/>
  <c r="H326" i="85" a="1"/>
  <c r="H326" i="85" s="1"/>
  <c r="G326" i="85" a="1"/>
  <c r="G326" i="85" s="1"/>
  <c r="F326" i="85" a="1"/>
  <c r="F326" i="85" s="1"/>
  <c r="E326" i="85" a="1"/>
  <c r="E326" i="85" s="1"/>
  <c r="D326" i="85" a="1"/>
  <c r="D326" i="85" s="1"/>
  <c r="I325" i="85" a="1"/>
  <c r="I325" i="85" s="1"/>
  <c r="H325" i="85" a="1"/>
  <c r="H325" i="85" s="1"/>
  <c r="G325" i="85" a="1"/>
  <c r="G325" i="85" s="1"/>
  <c r="F325" i="85" a="1"/>
  <c r="F325" i="85" s="1"/>
  <c r="E325" i="85" a="1"/>
  <c r="E325" i="85" s="1"/>
  <c r="D325" i="85" a="1"/>
  <c r="D325" i="85" s="1"/>
  <c r="I324" i="85" a="1"/>
  <c r="I324" i="85" s="1"/>
  <c r="H324" i="85" a="1"/>
  <c r="H324" i="85" s="1"/>
  <c r="G324" i="85" a="1"/>
  <c r="G324" i="85" s="1"/>
  <c r="F324" i="85" a="1"/>
  <c r="F324" i="85" s="1"/>
  <c r="E324" i="85" a="1"/>
  <c r="E324" i="85" s="1"/>
  <c r="D324" i="85" a="1"/>
  <c r="D324" i="85" s="1"/>
  <c r="I323" i="85" a="1"/>
  <c r="I323" i="85" s="1"/>
  <c r="H323" i="85" a="1"/>
  <c r="H323" i="85" s="1"/>
  <c r="G323" i="85" a="1"/>
  <c r="G323" i="85" s="1"/>
  <c r="F323" i="85" a="1"/>
  <c r="F323" i="85" s="1"/>
  <c r="E323" i="85" a="1"/>
  <c r="E323" i="85" s="1"/>
  <c r="D323" i="85" a="1"/>
  <c r="D323" i="85" s="1"/>
  <c r="I322" i="85" a="1"/>
  <c r="I322" i="85" s="1"/>
  <c r="H322" i="85" a="1"/>
  <c r="H322" i="85" s="1"/>
  <c r="G322" i="85" a="1"/>
  <c r="G322" i="85" s="1"/>
  <c r="F322" i="85" a="1"/>
  <c r="F322" i="85" s="1"/>
  <c r="E322" i="85" a="1"/>
  <c r="E322" i="85" s="1"/>
  <c r="D322" i="85" a="1"/>
  <c r="D322" i="85" s="1"/>
  <c r="I321" i="85" a="1"/>
  <c r="I321" i="85" s="1"/>
  <c r="H321" i="85" a="1"/>
  <c r="H321" i="85" s="1"/>
  <c r="G321" i="85" a="1"/>
  <c r="G321" i="85" s="1"/>
  <c r="F321" i="85" a="1"/>
  <c r="F321" i="85" s="1"/>
  <c r="E321" i="85" a="1"/>
  <c r="E321" i="85" s="1"/>
  <c r="D321" i="85" a="1"/>
  <c r="D321" i="85" s="1"/>
  <c r="I320" i="85" a="1"/>
  <c r="I320" i="85" s="1"/>
  <c r="H320" i="85" a="1"/>
  <c r="H320" i="85" s="1"/>
  <c r="G320" i="85" a="1"/>
  <c r="G320" i="85" s="1"/>
  <c r="F320" i="85" a="1"/>
  <c r="F320" i="85" s="1"/>
  <c r="E320" i="85" a="1"/>
  <c r="E320" i="85" s="1"/>
  <c r="D320" i="85" a="1"/>
  <c r="D320" i="85" s="1"/>
  <c r="I319" i="85" a="1"/>
  <c r="I319" i="85" s="1"/>
  <c r="H319" i="85" a="1"/>
  <c r="H319" i="85" s="1"/>
  <c r="G319" i="85" a="1"/>
  <c r="G319" i="85" s="1"/>
  <c r="F319" i="85" a="1"/>
  <c r="F319" i="85" s="1"/>
  <c r="E319" i="85" a="1"/>
  <c r="E319" i="85" s="1"/>
  <c r="D319" i="85" a="1"/>
  <c r="D319" i="85" s="1"/>
  <c r="I318" i="85" a="1"/>
  <c r="I318" i="85" s="1"/>
  <c r="H318" i="85" a="1"/>
  <c r="H318" i="85" s="1"/>
  <c r="G318" i="85" a="1"/>
  <c r="G318" i="85" s="1"/>
  <c r="F318" i="85" a="1"/>
  <c r="F318" i="85" s="1"/>
  <c r="E318" i="85" a="1"/>
  <c r="E318" i="85" s="1"/>
  <c r="D318" i="85" a="1"/>
  <c r="D318" i="85" s="1"/>
  <c r="I317" i="85" a="1"/>
  <c r="I317" i="85" s="1"/>
  <c r="H317" i="85" a="1"/>
  <c r="H317" i="85" s="1"/>
  <c r="G317" i="85" a="1"/>
  <c r="G317" i="85" s="1"/>
  <c r="F317" i="85" a="1"/>
  <c r="F317" i="85" s="1"/>
  <c r="E317" i="85" a="1"/>
  <c r="E317" i="85" s="1"/>
  <c r="D317" i="85" a="1"/>
  <c r="D317" i="85" s="1"/>
  <c r="I316" i="85" a="1"/>
  <c r="I316" i="85" s="1"/>
  <c r="H316" i="85" a="1"/>
  <c r="H316" i="85" s="1"/>
  <c r="G316" i="85" a="1"/>
  <c r="G316" i="85" s="1"/>
  <c r="F316" i="85" a="1"/>
  <c r="F316" i="85" s="1"/>
  <c r="E316" i="85" a="1"/>
  <c r="E316" i="85" s="1"/>
  <c r="D316" i="85" a="1"/>
  <c r="D316" i="85" s="1"/>
  <c r="I315" i="85" a="1"/>
  <c r="I315" i="85" s="1"/>
  <c r="H315" i="85" a="1"/>
  <c r="H315" i="85" s="1"/>
  <c r="G315" i="85" a="1"/>
  <c r="G315" i="85" s="1"/>
  <c r="F315" i="85" a="1"/>
  <c r="F315" i="85" s="1"/>
  <c r="E315" i="85" a="1"/>
  <c r="E315" i="85" s="1"/>
  <c r="D315" i="85" a="1"/>
  <c r="D315" i="85" s="1"/>
  <c r="I314" i="85" a="1"/>
  <c r="I314" i="85" s="1"/>
  <c r="H314" i="85" a="1"/>
  <c r="H314" i="85" s="1"/>
  <c r="G314" i="85" a="1"/>
  <c r="G314" i="85" s="1"/>
  <c r="F314" i="85" a="1"/>
  <c r="F314" i="85" s="1"/>
  <c r="E314" i="85" a="1"/>
  <c r="E314" i="85" s="1"/>
  <c r="D314" i="85" a="1"/>
  <c r="D314" i="85" s="1"/>
  <c r="D312" i="85" a="1"/>
  <c r="D312" i="85" s="1"/>
  <c r="D311" i="85" a="1"/>
  <c r="D311" i="85" s="1"/>
  <c r="D310" i="85" a="1"/>
  <c r="D310" i="85" s="1"/>
  <c r="D309" i="85" a="1"/>
  <c r="D309" i="85" s="1"/>
  <c r="D308" i="85" a="1"/>
  <c r="D308" i="85" s="1"/>
  <c r="I305" i="85" a="1"/>
  <c r="I305" i="85" s="1"/>
  <c r="H305" i="85" a="1"/>
  <c r="H305" i="85" s="1"/>
  <c r="G305" i="85" a="1"/>
  <c r="G305" i="85" s="1"/>
  <c r="F305" i="85" a="1"/>
  <c r="F305" i="85" s="1"/>
  <c r="E305" i="85" a="1"/>
  <c r="E305" i="85" s="1"/>
  <c r="D305" i="85" a="1"/>
  <c r="D305" i="85" s="1"/>
  <c r="I304" i="85" a="1"/>
  <c r="I304" i="85" s="1"/>
  <c r="H304" i="85" a="1"/>
  <c r="H304" i="85" s="1"/>
  <c r="G304" i="85" a="1"/>
  <c r="G304" i="85" s="1"/>
  <c r="F304" i="85" a="1"/>
  <c r="F304" i="85" s="1"/>
  <c r="E304" i="85" a="1"/>
  <c r="E304" i="85" s="1"/>
  <c r="D304" i="85" a="1"/>
  <c r="D304" i="85" s="1"/>
  <c r="I303" i="85" a="1"/>
  <c r="I303" i="85" s="1"/>
  <c r="H303" i="85" a="1"/>
  <c r="H303" i="85" s="1"/>
  <c r="G303" i="85" a="1"/>
  <c r="G303" i="85" s="1"/>
  <c r="F303" i="85" a="1"/>
  <c r="F303" i="85" s="1"/>
  <c r="E303" i="85" a="1"/>
  <c r="E303" i="85" s="1"/>
  <c r="D303" i="85" a="1"/>
  <c r="D303" i="85" s="1"/>
  <c r="I302" i="85" a="1"/>
  <c r="I302" i="85" s="1"/>
  <c r="H302" i="85" a="1"/>
  <c r="H302" i="85" s="1"/>
  <c r="G302" i="85" a="1"/>
  <c r="G302" i="85" s="1"/>
  <c r="F302" i="85" a="1"/>
  <c r="F302" i="85" s="1"/>
  <c r="E302" i="85" a="1"/>
  <c r="E302" i="85" s="1"/>
  <c r="D302" i="85" a="1"/>
  <c r="D302" i="85" s="1"/>
  <c r="I301" i="85" a="1"/>
  <c r="I301" i="85" s="1"/>
  <c r="H301" i="85" a="1"/>
  <c r="H301" i="85" s="1"/>
  <c r="G301" i="85" a="1"/>
  <c r="G301" i="85" s="1"/>
  <c r="F301" i="85" a="1"/>
  <c r="F301" i="85" s="1"/>
  <c r="E301" i="85" a="1"/>
  <c r="E301" i="85" s="1"/>
  <c r="D301" i="85" a="1"/>
  <c r="D301" i="85" s="1"/>
  <c r="I300" i="85" a="1"/>
  <c r="I300" i="85" s="1"/>
  <c r="H300" i="85" a="1"/>
  <c r="H300" i="85" s="1"/>
  <c r="G300" i="85" a="1"/>
  <c r="G300" i="85" s="1"/>
  <c r="F300" i="85" a="1"/>
  <c r="F300" i="85" s="1"/>
  <c r="E300" i="85" a="1"/>
  <c r="E300" i="85" s="1"/>
  <c r="D300" i="85" a="1"/>
  <c r="D300" i="85" s="1"/>
  <c r="I299" i="85" a="1"/>
  <c r="I299" i="85" s="1"/>
  <c r="H299" i="85" a="1"/>
  <c r="H299" i="85" s="1"/>
  <c r="G299" i="85" a="1"/>
  <c r="G299" i="85" s="1"/>
  <c r="F299" i="85" a="1"/>
  <c r="F299" i="85" s="1"/>
  <c r="E299" i="85" a="1"/>
  <c r="E299" i="85" s="1"/>
  <c r="D299" i="85" a="1"/>
  <c r="D299" i="85" s="1"/>
  <c r="I298" i="85" a="1"/>
  <c r="I298" i="85" s="1"/>
  <c r="H298" i="85" a="1"/>
  <c r="H298" i="85" s="1"/>
  <c r="G298" i="85" a="1"/>
  <c r="G298" i="85" s="1"/>
  <c r="F298" i="85" a="1"/>
  <c r="F298" i="85" s="1"/>
  <c r="E298" i="85" a="1"/>
  <c r="E298" i="85" s="1"/>
  <c r="D298" i="85" a="1"/>
  <c r="D298" i="85" s="1"/>
  <c r="I297" i="85" a="1"/>
  <c r="I297" i="85" s="1"/>
  <c r="H297" i="85" a="1"/>
  <c r="H297" i="85" s="1"/>
  <c r="G297" i="85" a="1"/>
  <c r="G297" i="85" s="1"/>
  <c r="F297" i="85" a="1"/>
  <c r="F297" i="85" s="1"/>
  <c r="E297" i="85" a="1"/>
  <c r="E297" i="85" s="1"/>
  <c r="D297" i="85" a="1"/>
  <c r="D297" i="85" s="1"/>
  <c r="I296" i="85" a="1"/>
  <c r="I296" i="85" s="1"/>
  <c r="H296" i="85" a="1"/>
  <c r="H296" i="85" s="1"/>
  <c r="G296" i="85" a="1"/>
  <c r="G296" i="85" s="1"/>
  <c r="F296" i="85" a="1"/>
  <c r="F296" i="85" s="1"/>
  <c r="E296" i="85" a="1"/>
  <c r="E296" i="85" s="1"/>
  <c r="D296" i="85" a="1"/>
  <c r="D296" i="85" s="1"/>
  <c r="I295" i="85" a="1"/>
  <c r="I295" i="85" s="1"/>
  <c r="H295" i="85" a="1"/>
  <c r="H295" i="85" s="1"/>
  <c r="G295" i="85" a="1"/>
  <c r="G295" i="85" s="1"/>
  <c r="F295" i="85" a="1"/>
  <c r="F295" i="85" s="1"/>
  <c r="E295" i="85" a="1"/>
  <c r="E295" i="85" s="1"/>
  <c r="D295" i="85" a="1"/>
  <c r="D295" i="85" s="1"/>
  <c r="I294" i="85" a="1"/>
  <c r="I294" i="85" s="1"/>
  <c r="H294" i="85" a="1"/>
  <c r="H294" i="85" s="1"/>
  <c r="G294" i="85" a="1"/>
  <c r="G294" i="85" s="1"/>
  <c r="F294" i="85" a="1"/>
  <c r="F294" i="85" s="1"/>
  <c r="E294" i="85" a="1"/>
  <c r="E294" i="85" s="1"/>
  <c r="D294" i="85" a="1"/>
  <c r="D294" i="85" s="1"/>
  <c r="I293" i="85" a="1"/>
  <c r="I293" i="85" s="1"/>
  <c r="H293" i="85" a="1"/>
  <c r="H293" i="85" s="1"/>
  <c r="G293" i="85" a="1"/>
  <c r="G293" i="85" s="1"/>
  <c r="F293" i="85" a="1"/>
  <c r="F293" i="85" s="1"/>
  <c r="E293" i="85" a="1"/>
  <c r="E293" i="85" s="1"/>
  <c r="D293" i="85" a="1"/>
  <c r="D293" i="85" s="1"/>
  <c r="I292" i="85" a="1"/>
  <c r="I292" i="85" s="1"/>
  <c r="H292" i="85" a="1"/>
  <c r="H292" i="85" s="1"/>
  <c r="G292" i="85" a="1"/>
  <c r="G292" i="85" s="1"/>
  <c r="F292" i="85" a="1"/>
  <c r="F292" i="85" s="1"/>
  <c r="E292" i="85" a="1"/>
  <c r="E292" i="85" s="1"/>
  <c r="D292" i="85" a="1"/>
  <c r="D292" i="85" s="1"/>
  <c r="I291" i="85" a="1"/>
  <c r="I291" i="85" s="1"/>
  <c r="H291" i="85" a="1"/>
  <c r="H291" i="85" s="1"/>
  <c r="G291" i="85" a="1"/>
  <c r="G291" i="85" s="1"/>
  <c r="F291" i="85" a="1"/>
  <c r="F291" i="85" s="1"/>
  <c r="E291" i="85" a="1"/>
  <c r="E291" i="85" s="1"/>
  <c r="D291" i="85" a="1"/>
  <c r="D291" i="85" s="1"/>
  <c r="D289" i="85" a="1"/>
  <c r="D289" i="85" s="1"/>
  <c r="D288" i="85" a="1"/>
  <c r="D288" i="85" s="1"/>
  <c r="D287" i="85" a="1"/>
  <c r="D287" i="85" s="1"/>
  <c r="D286" i="85" a="1"/>
  <c r="D286" i="85" s="1"/>
  <c r="D285" i="85" a="1"/>
  <c r="D285" i="85" s="1"/>
  <c r="P217" i="85" a="1"/>
  <c r="P217" i="85" s="1"/>
  <c r="P282" i="85" s="1"/>
  <c r="O217" i="85" a="1"/>
  <c r="O217" i="85" s="1"/>
  <c r="O282" i="85" s="1"/>
  <c r="N217" i="85" a="1"/>
  <c r="N217" i="85" s="1"/>
  <c r="N282" i="85" s="1"/>
  <c r="M217" i="85" a="1"/>
  <c r="M217" i="85" s="1"/>
  <c r="M282" i="85" s="1"/>
  <c r="L217" i="85" a="1"/>
  <c r="L217" i="85" s="1"/>
  <c r="L282" i="85" s="1"/>
  <c r="K217" i="85" a="1"/>
  <c r="K217" i="85" s="1"/>
  <c r="K282" i="85" s="1"/>
  <c r="J217" i="85" a="1"/>
  <c r="J217" i="85" s="1"/>
  <c r="J282" i="85" s="1"/>
  <c r="I217" i="85" a="1"/>
  <c r="I217" i="85" s="1"/>
  <c r="I282" i="85" s="1"/>
  <c r="H217" i="85" a="1"/>
  <c r="H217" i="85" s="1"/>
  <c r="H282" i="85" s="1"/>
  <c r="G217" i="85" a="1"/>
  <c r="G217" i="85" s="1"/>
  <c r="G282" i="85" s="1"/>
  <c r="F217" i="85" a="1"/>
  <c r="F217" i="85" s="1"/>
  <c r="F282" i="85" s="1"/>
  <c r="E217" i="85" a="1"/>
  <c r="E217" i="85" s="1"/>
  <c r="E282" i="85" s="1"/>
  <c r="D217" i="85" a="1"/>
  <c r="D217" i="85" s="1"/>
  <c r="P216" i="85" a="1"/>
  <c r="P216" i="85" s="1"/>
  <c r="P281" i="85" s="1"/>
  <c r="O216" i="85" a="1"/>
  <c r="O216" i="85" s="1"/>
  <c r="O281" i="85" s="1"/>
  <c r="N216" i="85" a="1"/>
  <c r="N216" i="85" s="1"/>
  <c r="N281" i="85" s="1"/>
  <c r="M216" i="85" a="1"/>
  <c r="M216" i="85" s="1"/>
  <c r="M281" i="85" s="1"/>
  <c r="L216" i="85" a="1"/>
  <c r="L216" i="85" s="1"/>
  <c r="L281" i="85" s="1"/>
  <c r="K216" i="85" a="1"/>
  <c r="K216" i="85" s="1"/>
  <c r="K281" i="85" s="1"/>
  <c r="J216" i="85" a="1"/>
  <c r="J216" i="85" s="1"/>
  <c r="J281" i="85" s="1"/>
  <c r="I216" i="85" a="1"/>
  <c r="I216" i="85" s="1"/>
  <c r="I281" i="85" s="1"/>
  <c r="H216" i="85" a="1"/>
  <c r="H216" i="85" s="1"/>
  <c r="H281" i="85" s="1"/>
  <c r="G216" i="85" a="1"/>
  <c r="G216" i="85" s="1"/>
  <c r="G281" i="85" s="1"/>
  <c r="F216" i="85" a="1"/>
  <c r="F216" i="85" s="1"/>
  <c r="F281" i="85" s="1"/>
  <c r="E216" i="85" a="1"/>
  <c r="E216" i="85" s="1"/>
  <c r="E281" i="85" s="1"/>
  <c r="D216" i="85" a="1"/>
  <c r="D216" i="85" s="1"/>
  <c r="P215" i="85" a="1"/>
  <c r="P215" i="85" s="1"/>
  <c r="P280" i="85" s="1"/>
  <c r="O215" i="85" a="1"/>
  <c r="O215" i="85" s="1"/>
  <c r="O280" i="85" s="1"/>
  <c r="N215" i="85" a="1"/>
  <c r="N215" i="85" s="1"/>
  <c r="N280" i="85" s="1"/>
  <c r="M215" i="85" a="1"/>
  <c r="M215" i="85" s="1"/>
  <c r="M280" i="85" s="1"/>
  <c r="L215" i="85" a="1"/>
  <c r="L215" i="85" s="1"/>
  <c r="L280" i="85" s="1"/>
  <c r="K215" i="85" a="1"/>
  <c r="K215" i="85" s="1"/>
  <c r="K280" i="85" s="1"/>
  <c r="J215" i="85" a="1"/>
  <c r="J215" i="85" s="1"/>
  <c r="J280" i="85" s="1"/>
  <c r="I215" i="85" a="1"/>
  <c r="I215" i="85" s="1"/>
  <c r="I280" i="85" s="1"/>
  <c r="H215" i="85" a="1"/>
  <c r="H215" i="85" s="1"/>
  <c r="H280" i="85" s="1"/>
  <c r="G215" i="85" a="1"/>
  <c r="G215" i="85" s="1"/>
  <c r="G280" i="85" s="1"/>
  <c r="F215" i="85" a="1"/>
  <c r="F215" i="85" s="1"/>
  <c r="F280" i="85" s="1"/>
  <c r="E215" i="85" a="1"/>
  <c r="E215" i="85" s="1"/>
  <c r="E280" i="85" s="1"/>
  <c r="D215" i="85" a="1"/>
  <c r="D215" i="85" s="1"/>
  <c r="P214" i="85" a="1"/>
  <c r="P214" i="85" s="1"/>
  <c r="P279" i="85" s="1"/>
  <c r="O214" i="85" a="1"/>
  <c r="O214" i="85" s="1"/>
  <c r="O279" i="85" s="1"/>
  <c r="N214" i="85" a="1"/>
  <c r="N214" i="85" s="1"/>
  <c r="N279" i="85" s="1"/>
  <c r="M214" i="85" a="1"/>
  <c r="M214" i="85" s="1"/>
  <c r="M279" i="85" s="1"/>
  <c r="L214" i="85" a="1"/>
  <c r="L214" i="85" s="1"/>
  <c r="L279" i="85" s="1"/>
  <c r="K214" i="85" a="1"/>
  <c r="K214" i="85" s="1"/>
  <c r="K279" i="85" s="1"/>
  <c r="J214" i="85" a="1"/>
  <c r="J214" i="85" s="1"/>
  <c r="J279" i="85" s="1"/>
  <c r="I214" i="85" a="1"/>
  <c r="I214" i="85" s="1"/>
  <c r="I279" i="85" s="1"/>
  <c r="H214" i="85" a="1"/>
  <c r="H214" i="85" s="1"/>
  <c r="H279" i="85" s="1"/>
  <c r="G214" i="85" a="1"/>
  <c r="G214" i="85" s="1"/>
  <c r="G279" i="85" s="1"/>
  <c r="F214" i="85" a="1"/>
  <c r="F214" i="85" s="1"/>
  <c r="F279" i="85" s="1"/>
  <c r="E214" i="85" a="1"/>
  <c r="E214" i="85" s="1"/>
  <c r="E279" i="85" s="1"/>
  <c r="D214" i="85" a="1"/>
  <c r="D214" i="85" s="1"/>
  <c r="P213" i="85" a="1"/>
  <c r="P213" i="85" s="1"/>
  <c r="P278" i="85" s="1"/>
  <c r="O213" i="85" a="1"/>
  <c r="O213" i="85" s="1"/>
  <c r="O278" i="85" s="1"/>
  <c r="N213" i="85" a="1"/>
  <c r="N213" i="85" s="1"/>
  <c r="N278" i="85" s="1"/>
  <c r="M213" i="85" a="1"/>
  <c r="M213" i="85" s="1"/>
  <c r="M278" i="85" s="1"/>
  <c r="L213" i="85" a="1"/>
  <c r="L213" i="85" s="1"/>
  <c r="L278" i="85" s="1"/>
  <c r="K213" i="85" a="1"/>
  <c r="K213" i="85" s="1"/>
  <c r="K278" i="85" s="1"/>
  <c r="J213" i="85" a="1"/>
  <c r="J213" i="85" s="1"/>
  <c r="J278" i="85" s="1"/>
  <c r="I213" i="85" a="1"/>
  <c r="I213" i="85" s="1"/>
  <c r="I278" i="85" s="1"/>
  <c r="H213" i="85" a="1"/>
  <c r="H213" i="85" s="1"/>
  <c r="H278" i="85" s="1"/>
  <c r="G213" i="85" a="1"/>
  <c r="G213" i="85" s="1"/>
  <c r="G278" i="85" s="1"/>
  <c r="F213" i="85" a="1"/>
  <c r="F213" i="85" s="1"/>
  <c r="F278" i="85" s="1"/>
  <c r="E213" i="85" a="1"/>
  <c r="E213" i="85" s="1"/>
  <c r="E278" i="85" s="1"/>
  <c r="D213" i="85" a="1"/>
  <c r="D213" i="85" s="1"/>
  <c r="P212" i="85" a="1"/>
  <c r="P212" i="85" s="1"/>
  <c r="P277" i="85" s="1"/>
  <c r="O212" i="85" a="1"/>
  <c r="O212" i="85" s="1"/>
  <c r="O277" i="85" s="1"/>
  <c r="N212" i="85" a="1"/>
  <c r="N212" i="85" s="1"/>
  <c r="N277" i="85" s="1"/>
  <c r="M212" i="85" a="1"/>
  <c r="M212" i="85" s="1"/>
  <c r="M277" i="85" s="1"/>
  <c r="L212" i="85" a="1"/>
  <c r="L212" i="85" s="1"/>
  <c r="L277" i="85" s="1"/>
  <c r="K212" i="85" a="1"/>
  <c r="K212" i="85" s="1"/>
  <c r="K277" i="85" s="1"/>
  <c r="J212" i="85" a="1"/>
  <c r="J212" i="85" s="1"/>
  <c r="J277" i="85" s="1"/>
  <c r="I212" i="85" a="1"/>
  <c r="I212" i="85" s="1"/>
  <c r="I277" i="85" s="1"/>
  <c r="H212" i="85" a="1"/>
  <c r="H212" i="85" s="1"/>
  <c r="H277" i="85" s="1"/>
  <c r="G212" i="85" a="1"/>
  <c r="G212" i="85" s="1"/>
  <c r="G277" i="85" s="1"/>
  <c r="F212" i="85" a="1"/>
  <c r="F212" i="85" s="1"/>
  <c r="F277" i="85" s="1"/>
  <c r="E212" i="85" a="1"/>
  <c r="E212" i="85" s="1"/>
  <c r="E277" i="85" s="1"/>
  <c r="D212" i="85" a="1"/>
  <c r="D212" i="85" s="1"/>
  <c r="P211" i="85" a="1"/>
  <c r="P211" i="85" s="1"/>
  <c r="P276" i="85" s="1"/>
  <c r="O211" i="85" a="1"/>
  <c r="O211" i="85" s="1"/>
  <c r="O276" i="85" s="1"/>
  <c r="N211" i="85" a="1"/>
  <c r="N211" i="85" s="1"/>
  <c r="N276" i="85" s="1"/>
  <c r="M211" i="85" a="1"/>
  <c r="M211" i="85" s="1"/>
  <c r="M276" i="85" s="1"/>
  <c r="L211" i="85" a="1"/>
  <c r="L211" i="85" s="1"/>
  <c r="L276" i="85" s="1"/>
  <c r="K211" i="85" a="1"/>
  <c r="K211" i="85" s="1"/>
  <c r="K276" i="85" s="1"/>
  <c r="J211" i="85" a="1"/>
  <c r="J211" i="85" s="1"/>
  <c r="J276" i="85" s="1"/>
  <c r="I211" i="85" a="1"/>
  <c r="I211" i="85" s="1"/>
  <c r="I276" i="85" s="1"/>
  <c r="H211" i="85" a="1"/>
  <c r="H211" i="85" s="1"/>
  <c r="H276" i="85" s="1"/>
  <c r="G211" i="85" a="1"/>
  <c r="G211" i="85" s="1"/>
  <c r="G276" i="85" s="1"/>
  <c r="F211" i="85" a="1"/>
  <c r="F211" i="85" s="1"/>
  <c r="F276" i="85" s="1"/>
  <c r="E211" i="85" a="1"/>
  <c r="E211" i="85" s="1"/>
  <c r="E276" i="85" s="1"/>
  <c r="D211" i="85" a="1"/>
  <c r="D211" i="85" s="1"/>
  <c r="P210" i="85" a="1"/>
  <c r="P210" i="85" s="1"/>
  <c r="P275" i="85" s="1"/>
  <c r="O210" i="85" a="1"/>
  <c r="O210" i="85" s="1"/>
  <c r="O275" i="85" s="1"/>
  <c r="N210" i="85" a="1"/>
  <c r="N210" i="85" s="1"/>
  <c r="N275" i="85" s="1"/>
  <c r="M210" i="85" a="1"/>
  <c r="M210" i="85" s="1"/>
  <c r="M275" i="85" s="1"/>
  <c r="L210" i="85" a="1"/>
  <c r="L210" i="85" s="1"/>
  <c r="L275" i="85" s="1"/>
  <c r="K210" i="85" a="1"/>
  <c r="K210" i="85" s="1"/>
  <c r="K275" i="85" s="1"/>
  <c r="J210" i="85" a="1"/>
  <c r="J210" i="85" s="1"/>
  <c r="J275" i="85" s="1"/>
  <c r="I210" i="85" a="1"/>
  <c r="I210" i="85" s="1"/>
  <c r="I275" i="85" s="1"/>
  <c r="H210" i="85" a="1"/>
  <c r="H210" i="85" s="1"/>
  <c r="H275" i="85" s="1"/>
  <c r="G210" i="85" a="1"/>
  <c r="G210" i="85" s="1"/>
  <c r="G275" i="85" s="1"/>
  <c r="F210" i="85" a="1"/>
  <c r="F210" i="85" s="1"/>
  <c r="F275" i="85" s="1"/>
  <c r="E210" i="85" a="1"/>
  <c r="E210" i="85" s="1"/>
  <c r="E275" i="85" s="1"/>
  <c r="D210" i="85" a="1"/>
  <c r="D210" i="85" s="1"/>
  <c r="P209" i="85" a="1"/>
  <c r="P209" i="85" s="1"/>
  <c r="P274" i="85" s="1"/>
  <c r="O209" i="85" a="1"/>
  <c r="O209" i="85" s="1"/>
  <c r="O274" i="85" s="1"/>
  <c r="N209" i="85" a="1"/>
  <c r="N209" i="85" s="1"/>
  <c r="N274" i="85" s="1"/>
  <c r="M209" i="85" a="1"/>
  <c r="M209" i="85" s="1"/>
  <c r="M274" i="85" s="1"/>
  <c r="L209" i="85" a="1"/>
  <c r="L209" i="85" s="1"/>
  <c r="L274" i="85" s="1"/>
  <c r="K209" i="85" a="1"/>
  <c r="K209" i="85" s="1"/>
  <c r="K274" i="85" s="1"/>
  <c r="J209" i="85" a="1"/>
  <c r="J209" i="85" s="1"/>
  <c r="J274" i="85" s="1"/>
  <c r="I209" i="85" a="1"/>
  <c r="I209" i="85" s="1"/>
  <c r="I274" i="85" s="1"/>
  <c r="H209" i="85" a="1"/>
  <c r="H209" i="85" s="1"/>
  <c r="H274" i="85" s="1"/>
  <c r="G209" i="85" a="1"/>
  <c r="G209" i="85" s="1"/>
  <c r="G274" i="85" s="1"/>
  <c r="F209" i="85" a="1"/>
  <c r="F209" i="85" s="1"/>
  <c r="F274" i="85" s="1"/>
  <c r="E209" i="85" a="1"/>
  <c r="E209" i="85" s="1"/>
  <c r="E274" i="85" s="1"/>
  <c r="D209" i="85" a="1"/>
  <c r="D209" i="85" s="1"/>
  <c r="P208" i="85" a="1"/>
  <c r="P208" i="85" s="1"/>
  <c r="P273" i="85" s="1"/>
  <c r="O208" i="85" a="1"/>
  <c r="O208" i="85" s="1"/>
  <c r="O273" i="85" s="1"/>
  <c r="N208" i="85" a="1"/>
  <c r="N208" i="85" s="1"/>
  <c r="N273" i="85" s="1"/>
  <c r="M208" i="85" a="1"/>
  <c r="M208" i="85" s="1"/>
  <c r="M273" i="85" s="1"/>
  <c r="L208" i="85" a="1"/>
  <c r="L208" i="85" s="1"/>
  <c r="L273" i="85" s="1"/>
  <c r="K208" i="85" a="1"/>
  <c r="K208" i="85" s="1"/>
  <c r="K273" i="85" s="1"/>
  <c r="J208" i="85" a="1"/>
  <c r="J208" i="85" s="1"/>
  <c r="J273" i="85" s="1"/>
  <c r="I208" i="85" a="1"/>
  <c r="I208" i="85" s="1"/>
  <c r="I273" i="85" s="1"/>
  <c r="H208" i="85" a="1"/>
  <c r="H208" i="85" s="1"/>
  <c r="H273" i="85" s="1"/>
  <c r="G208" i="85" a="1"/>
  <c r="G208" i="85" s="1"/>
  <c r="G273" i="85" s="1"/>
  <c r="F208" i="85" a="1"/>
  <c r="F208" i="85" s="1"/>
  <c r="F273" i="85" s="1"/>
  <c r="E208" i="85" a="1"/>
  <c r="E208" i="85" s="1"/>
  <c r="E273" i="85" s="1"/>
  <c r="D208" i="85" a="1"/>
  <c r="D208" i="85" s="1"/>
  <c r="P207" i="85" a="1"/>
  <c r="P207" i="85" s="1"/>
  <c r="P272" i="85" s="1"/>
  <c r="O207" i="85" a="1"/>
  <c r="O207" i="85" s="1"/>
  <c r="O272" i="85" s="1"/>
  <c r="N207" i="85" a="1"/>
  <c r="N207" i="85" s="1"/>
  <c r="N272" i="85" s="1"/>
  <c r="M207" i="85" a="1"/>
  <c r="M207" i="85" s="1"/>
  <c r="M272" i="85" s="1"/>
  <c r="L207" i="85" a="1"/>
  <c r="L207" i="85" s="1"/>
  <c r="L272" i="85" s="1"/>
  <c r="K207" i="85" a="1"/>
  <c r="K207" i="85" s="1"/>
  <c r="K272" i="85" s="1"/>
  <c r="J207" i="85" a="1"/>
  <c r="J207" i="85" s="1"/>
  <c r="J272" i="85" s="1"/>
  <c r="I207" i="85" a="1"/>
  <c r="I207" i="85" s="1"/>
  <c r="I272" i="85" s="1"/>
  <c r="H207" i="85" a="1"/>
  <c r="H207" i="85" s="1"/>
  <c r="H272" i="85" s="1"/>
  <c r="G207" i="85" a="1"/>
  <c r="G207" i="85" s="1"/>
  <c r="G272" i="85" s="1"/>
  <c r="F207" i="85" a="1"/>
  <c r="F207" i="85" s="1"/>
  <c r="F272" i="85" s="1"/>
  <c r="E207" i="85" a="1"/>
  <c r="E207" i="85" s="1"/>
  <c r="E272" i="85" s="1"/>
  <c r="D207" i="85" a="1"/>
  <c r="D207" i="85" s="1"/>
  <c r="P206" i="85" a="1"/>
  <c r="P206" i="85" s="1"/>
  <c r="P271" i="85" s="1"/>
  <c r="O206" i="85" a="1"/>
  <c r="O206" i="85" s="1"/>
  <c r="O271" i="85" s="1"/>
  <c r="N206" i="85" a="1"/>
  <c r="N206" i="85" s="1"/>
  <c r="N271" i="85" s="1"/>
  <c r="M206" i="85" a="1"/>
  <c r="M206" i="85" s="1"/>
  <c r="M271" i="85" s="1"/>
  <c r="L206" i="85" a="1"/>
  <c r="L206" i="85" s="1"/>
  <c r="L271" i="85" s="1"/>
  <c r="K206" i="85" a="1"/>
  <c r="K206" i="85" s="1"/>
  <c r="K271" i="85" s="1"/>
  <c r="J206" i="85" a="1"/>
  <c r="J206" i="85" s="1"/>
  <c r="J271" i="85" s="1"/>
  <c r="I206" i="85" a="1"/>
  <c r="I206" i="85" s="1"/>
  <c r="I271" i="85" s="1"/>
  <c r="H206" i="85" a="1"/>
  <c r="H206" i="85" s="1"/>
  <c r="H271" i="85" s="1"/>
  <c r="G206" i="85" a="1"/>
  <c r="G206" i="85" s="1"/>
  <c r="G271" i="85" s="1"/>
  <c r="F206" i="85" a="1"/>
  <c r="F206" i="85" s="1"/>
  <c r="F271" i="85" s="1"/>
  <c r="E206" i="85" a="1"/>
  <c r="E206" i="85" s="1"/>
  <c r="E271" i="85" s="1"/>
  <c r="D206" i="85" a="1"/>
  <c r="D206" i="85" s="1"/>
  <c r="P205" i="85" a="1"/>
  <c r="P205" i="85" s="1"/>
  <c r="P270" i="85" s="1"/>
  <c r="O205" i="85" a="1"/>
  <c r="O205" i="85" s="1"/>
  <c r="O270" i="85" s="1"/>
  <c r="N205" i="85" a="1"/>
  <c r="N205" i="85" s="1"/>
  <c r="N270" i="85" s="1"/>
  <c r="M205" i="85" a="1"/>
  <c r="M205" i="85" s="1"/>
  <c r="M270" i="85" s="1"/>
  <c r="L205" i="85" a="1"/>
  <c r="L205" i="85" s="1"/>
  <c r="L270" i="85" s="1"/>
  <c r="K205" i="85" a="1"/>
  <c r="K205" i="85" s="1"/>
  <c r="K270" i="85" s="1"/>
  <c r="J205" i="85" a="1"/>
  <c r="J205" i="85" s="1"/>
  <c r="J270" i="85" s="1"/>
  <c r="I205" i="85" a="1"/>
  <c r="I205" i="85" s="1"/>
  <c r="I270" i="85" s="1"/>
  <c r="H205" i="85" a="1"/>
  <c r="H205" i="85" s="1"/>
  <c r="H270" i="85" s="1"/>
  <c r="G205" i="85" a="1"/>
  <c r="G205" i="85" s="1"/>
  <c r="G270" i="85" s="1"/>
  <c r="F205" i="85" a="1"/>
  <c r="F205" i="85" s="1"/>
  <c r="F270" i="85" s="1"/>
  <c r="E205" i="85" a="1"/>
  <c r="E205" i="85" s="1"/>
  <c r="E270" i="85" s="1"/>
  <c r="D205" i="85" a="1"/>
  <c r="D205" i="85" s="1"/>
  <c r="P204" i="85" a="1"/>
  <c r="P204" i="85" s="1"/>
  <c r="P269" i="85" s="1"/>
  <c r="O204" i="85" a="1"/>
  <c r="O204" i="85" s="1"/>
  <c r="O269" i="85" s="1"/>
  <c r="N204" i="85" a="1"/>
  <c r="N204" i="85" s="1"/>
  <c r="N269" i="85" s="1"/>
  <c r="M204" i="85" a="1"/>
  <c r="M204" i="85" s="1"/>
  <c r="M269" i="85" s="1"/>
  <c r="L204" i="85" a="1"/>
  <c r="L204" i="85" s="1"/>
  <c r="L269" i="85" s="1"/>
  <c r="K204" i="85" a="1"/>
  <c r="K204" i="85" s="1"/>
  <c r="K269" i="85" s="1"/>
  <c r="J204" i="85" a="1"/>
  <c r="J204" i="85" s="1"/>
  <c r="J269" i="85" s="1"/>
  <c r="I204" i="85" a="1"/>
  <c r="I204" i="85" s="1"/>
  <c r="I269" i="85" s="1"/>
  <c r="H204" i="85" a="1"/>
  <c r="H204" i="85" s="1"/>
  <c r="H269" i="85" s="1"/>
  <c r="G204" i="85" a="1"/>
  <c r="G204" i="85" s="1"/>
  <c r="G269" i="85" s="1"/>
  <c r="F204" i="85" a="1"/>
  <c r="F204" i="85" s="1"/>
  <c r="F269" i="85" s="1"/>
  <c r="E204" i="85" a="1"/>
  <c r="E204" i="85" s="1"/>
  <c r="E269" i="85" s="1"/>
  <c r="D204" i="85" a="1"/>
  <c r="D204" i="85" s="1"/>
  <c r="P203" i="85" a="1"/>
  <c r="P203" i="85" s="1"/>
  <c r="P268" i="85" s="1"/>
  <c r="O203" i="85" a="1"/>
  <c r="O203" i="85" s="1"/>
  <c r="O268" i="85" s="1"/>
  <c r="N203" i="85" a="1"/>
  <c r="N203" i="85" s="1"/>
  <c r="N268" i="85" s="1"/>
  <c r="M203" i="85" a="1"/>
  <c r="M203" i="85" s="1"/>
  <c r="M268" i="85" s="1"/>
  <c r="L203" i="85" a="1"/>
  <c r="L203" i="85" s="1"/>
  <c r="L268" i="85" s="1"/>
  <c r="K203" i="85" a="1"/>
  <c r="K203" i="85" s="1"/>
  <c r="K268" i="85" s="1"/>
  <c r="J203" i="85" a="1"/>
  <c r="J203" i="85" s="1"/>
  <c r="J268" i="85" s="1"/>
  <c r="I203" i="85" a="1"/>
  <c r="I203" i="85" s="1"/>
  <c r="I268" i="85" s="1"/>
  <c r="H203" i="85" a="1"/>
  <c r="H203" i="85" s="1"/>
  <c r="H268" i="85" s="1"/>
  <c r="G203" i="85" a="1"/>
  <c r="G203" i="85" s="1"/>
  <c r="G268" i="85" s="1"/>
  <c r="F203" i="85" a="1"/>
  <c r="F203" i="85" s="1"/>
  <c r="F268" i="85" s="1"/>
  <c r="E203" i="85" a="1"/>
  <c r="E203" i="85" s="1"/>
  <c r="E268" i="85" s="1"/>
  <c r="D203" i="85" a="1"/>
  <c r="D203" i="85" s="1"/>
  <c r="P202" i="85" a="1"/>
  <c r="P202" i="85" s="1"/>
  <c r="P267" i="85" s="1"/>
  <c r="O202" i="85" a="1"/>
  <c r="O202" i="85" s="1"/>
  <c r="O267" i="85" s="1"/>
  <c r="N202" i="85" a="1"/>
  <c r="N202" i="85" s="1"/>
  <c r="N267" i="85" s="1"/>
  <c r="M202" i="85" a="1"/>
  <c r="M202" i="85" s="1"/>
  <c r="M267" i="85" s="1"/>
  <c r="L202" i="85" a="1"/>
  <c r="L202" i="85" s="1"/>
  <c r="L267" i="85" s="1"/>
  <c r="K202" i="85" a="1"/>
  <c r="K202" i="85" s="1"/>
  <c r="K267" i="85" s="1"/>
  <c r="J202" i="85" a="1"/>
  <c r="J202" i="85" s="1"/>
  <c r="J267" i="85" s="1"/>
  <c r="I202" i="85" a="1"/>
  <c r="I202" i="85" s="1"/>
  <c r="I267" i="85" s="1"/>
  <c r="H202" i="85" a="1"/>
  <c r="H202" i="85" s="1"/>
  <c r="H267" i="85" s="1"/>
  <c r="G202" i="85" a="1"/>
  <c r="G202" i="85" s="1"/>
  <c r="G267" i="85" s="1"/>
  <c r="F202" i="85" a="1"/>
  <c r="F202" i="85" s="1"/>
  <c r="F267" i="85" s="1"/>
  <c r="E202" i="85" a="1"/>
  <c r="E202" i="85" s="1"/>
  <c r="E267" i="85" s="1"/>
  <c r="D202" i="85" a="1"/>
  <c r="D202" i="85" s="1"/>
  <c r="P201" i="85" a="1"/>
  <c r="P201" i="85" s="1"/>
  <c r="P266" i="85" s="1"/>
  <c r="O201" i="85" a="1"/>
  <c r="O201" i="85" s="1"/>
  <c r="O266" i="85" s="1"/>
  <c r="N201" i="85" a="1"/>
  <c r="N201" i="85" s="1"/>
  <c r="N266" i="85" s="1"/>
  <c r="M201" i="85" a="1"/>
  <c r="M201" i="85" s="1"/>
  <c r="M266" i="85" s="1"/>
  <c r="L201" i="85" a="1"/>
  <c r="L201" i="85" s="1"/>
  <c r="L266" i="85" s="1"/>
  <c r="K201" i="85" a="1"/>
  <c r="K201" i="85" s="1"/>
  <c r="K266" i="85" s="1"/>
  <c r="J201" i="85" a="1"/>
  <c r="J201" i="85" s="1"/>
  <c r="J266" i="85" s="1"/>
  <c r="I201" i="85" a="1"/>
  <c r="I201" i="85" s="1"/>
  <c r="I266" i="85" s="1"/>
  <c r="H201" i="85" a="1"/>
  <c r="H201" i="85" s="1"/>
  <c r="H266" i="85" s="1"/>
  <c r="G201" i="85" a="1"/>
  <c r="G201" i="85" s="1"/>
  <c r="G266" i="85" s="1"/>
  <c r="F201" i="85" a="1"/>
  <c r="F201" i="85" s="1"/>
  <c r="F266" i="85" s="1"/>
  <c r="E201" i="85" a="1"/>
  <c r="E201" i="85" s="1"/>
  <c r="E266" i="85" s="1"/>
  <c r="D201" i="85" a="1"/>
  <c r="D201" i="85" s="1"/>
  <c r="P200" i="85" a="1"/>
  <c r="P200" i="85" s="1"/>
  <c r="P265" i="85" s="1"/>
  <c r="O200" i="85" a="1"/>
  <c r="O200" i="85" s="1"/>
  <c r="O265" i="85" s="1"/>
  <c r="N200" i="85" a="1"/>
  <c r="N200" i="85" s="1"/>
  <c r="N265" i="85" s="1"/>
  <c r="M200" i="85" a="1"/>
  <c r="M200" i="85" s="1"/>
  <c r="M265" i="85" s="1"/>
  <c r="L200" i="85" a="1"/>
  <c r="L200" i="85" s="1"/>
  <c r="L265" i="85" s="1"/>
  <c r="K200" i="85" a="1"/>
  <c r="K200" i="85" s="1"/>
  <c r="K265" i="85" s="1"/>
  <c r="J200" i="85" a="1"/>
  <c r="J200" i="85" s="1"/>
  <c r="J265" i="85" s="1"/>
  <c r="I200" i="85" a="1"/>
  <c r="I200" i="85" s="1"/>
  <c r="I265" i="85" s="1"/>
  <c r="H200" i="85" a="1"/>
  <c r="H200" i="85" s="1"/>
  <c r="H265" i="85" s="1"/>
  <c r="G200" i="85" a="1"/>
  <c r="G200" i="85" s="1"/>
  <c r="G265" i="85" s="1"/>
  <c r="F200" i="85" a="1"/>
  <c r="F200" i="85" s="1"/>
  <c r="F265" i="85" s="1"/>
  <c r="E200" i="85" a="1"/>
  <c r="E200" i="85" s="1"/>
  <c r="E265" i="85" s="1"/>
  <c r="D200" i="85" a="1"/>
  <c r="D200" i="85" s="1"/>
  <c r="P199" i="85" a="1"/>
  <c r="P199" i="85" s="1"/>
  <c r="P264" i="85" s="1"/>
  <c r="O199" i="85" a="1"/>
  <c r="O199" i="85" s="1"/>
  <c r="O264" i="85" s="1"/>
  <c r="N199" i="85" a="1"/>
  <c r="N199" i="85" s="1"/>
  <c r="N264" i="85" s="1"/>
  <c r="M199" i="85" a="1"/>
  <c r="M199" i="85" s="1"/>
  <c r="M264" i="85" s="1"/>
  <c r="L199" i="85" a="1"/>
  <c r="L199" i="85" s="1"/>
  <c r="L264" i="85" s="1"/>
  <c r="K199" i="85" a="1"/>
  <c r="K199" i="85" s="1"/>
  <c r="K264" i="85" s="1"/>
  <c r="J199" i="85" a="1"/>
  <c r="J199" i="85" s="1"/>
  <c r="J264" i="85" s="1"/>
  <c r="I199" i="85" a="1"/>
  <c r="I199" i="85" s="1"/>
  <c r="I264" i="85" s="1"/>
  <c r="H199" i="85" a="1"/>
  <c r="H199" i="85" s="1"/>
  <c r="H264" i="85" s="1"/>
  <c r="G199" i="85" a="1"/>
  <c r="G199" i="85" s="1"/>
  <c r="G264" i="85" s="1"/>
  <c r="F199" i="85" a="1"/>
  <c r="F199" i="85" s="1"/>
  <c r="F264" i="85" s="1"/>
  <c r="E199" i="85" a="1"/>
  <c r="E199" i="85" s="1"/>
  <c r="E264" i="85" s="1"/>
  <c r="D199" i="85" a="1"/>
  <c r="D199" i="85" s="1"/>
  <c r="P198" i="85" a="1"/>
  <c r="P198" i="85" s="1"/>
  <c r="P263" i="85" s="1"/>
  <c r="O198" i="85" a="1"/>
  <c r="O198" i="85" s="1"/>
  <c r="O263" i="85" s="1"/>
  <c r="N198" i="85" a="1"/>
  <c r="N198" i="85" s="1"/>
  <c r="N263" i="85" s="1"/>
  <c r="M198" i="85" a="1"/>
  <c r="M198" i="85" s="1"/>
  <c r="M263" i="85" s="1"/>
  <c r="L198" i="85" a="1"/>
  <c r="L198" i="85" s="1"/>
  <c r="L263" i="85" s="1"/>
  <c r="K198" i="85" a="1"/>
  <c r="K198" i="85" s="1"/>
  <c r="K263" i="85" s="1"/>
  <c r="J198" i="85" a="1"/>
  <c r="J198" i="85" s="1"/>
  <c r="J263" i="85" s="1"/>
  <c r="I198" i="85" a="1"/>
  <c r="I198" i="85" s="1"/>
  <c r="I263" i="85" s="1"/>
  <c r="H198" i="85" a="1"/>
  <c r="H198" i="85" s="1"/>
  <c r="H263" i="85" s="1"/>
  <c r="G198" i="85" a="1"/>
  <c r="G198" i="85" s="1"/>
  <c r="G263" i="85" s="1"/>
  <c r="F198" i="85" a="1"/>
  <c r="F198" i="85" s="1"/>
  <c r="F263" i="85" s="1"/>
  <c r="E198" i="85" a="1"/>
  <c r="E198" i="85" s="1"/>
  <c r="E263" i="85" s="1"/>
  <c r="D198" i="85" a="1"/>
  <c r="D198" i="85" s="1"/>
  <c r="P197" i="85" a="1"/>
  <c r="P197" i="85" s="1"/>
  <c r="P262" i="85" s="1"/>
  <c r="O197" i="85" a="1"/>
  <c r="O197" i="85" s="1"/>
  <c r="O262" i="85" s="1"/>
  <c r="N197" i="85" a="1"/>
  <c r="N197" i="85" s="1"/>
  <c r="N262" i="85" s="1"/>
  <c r="M197" i="85" a="1"/>
  <c r="M197" i="85" s="1"/>
  <c r="M262" i="85" s="1"/>
  <c r="L197" i="85" a="1"/>
  <c r="L197" i="85" s="1"/>
  <c r="L262" i="85" s="1"/>
  <c r="K197" i="85" a="1"/>
  <c r="K197" i="85" s="1"/>
  <c r="K262" i="85" s="1"/>
  <c r="J197" i="85" a="1"/>
  <c r="J197" i="85" s="1"/>
  <c r="J262" i="85" s="1"/>
  <c r="I197" i="85" a="1"/>
  <c r="I197" i="85" s="1"/>
  <c r="I262" i="85" s="1"/>
  <c r="H197" i="85" a="1"/>
  <c r="H197" i="85" s="1"/>
  <c r="H262" i="85" s="1"/>
  <c r="G197" i="85" a="1"/>
  <c r="G197" i="85" s="1"/>
  <c r="G262" i="85" s="1"/>
  <c r="F197" i="85" a="1"/>
  <c r="F197" i="85" s="1"/>
  <c r="F262" i="85" s="1"/>
  <c r="E197" i="85" a="1"/>
  <c r="E197" i="85" s="1"/>
  <c r="E262" i="85" s="1"/>
  <c r="D197" i="85" a="1"/>
  <c r="D197" i="85" s="1"/>
  <c r="P196" i="85" a="1"/>
  <c r="P196" i="85" s="1"/>
  <c r="P261" i="85" s="1"/>
  <c r="O196" i="85" a="1"/>
  <c r="O196" i="85" s="1"/>
  <c r="O261" i="85" s="1"/>
  <c r="N196" i="85" a="1"/>
  <c r="N196" i="85" s="1"/>
  <c r="N261" i="85" s="1"/>
  <c r="M196" i="85" a="1"/>
  <c r="M196" i="85" s="1"/>
  <c r="M261" i="85" s="1"/>
  <c r="L196" i="85" a="1"/>
  <c r="L196" i="85" s="1"/>
  <c r="L261" i="85" s="1"/>
  <c r="K196" i="85" a="1"/>
  <c r="K196" i="85" s="1"/>
  <c r="K261" i="85" s="1"/>
  <c r="J196" i="85" a="1"/>
  <c r="J196" i="85" s="1"/>
  <c r="J261" i="85" s="1"/>
  <c r="I196" i="85" a="1"/>
  <c r="I196" i="85" s="1"/>
  <c r="I261" i="85" s="1"/>
  <c r="H196" i="85" a="1"/>
  <c r="H196" i="85" s="1"/>
  <c r="H261" i="85" s="1"/>
  <c r="G196" i="85" a="1"/>
  <c r="G196" i="85" s="1"/>
  <c r="G261" i="85" s="1"/>
  <c r="F196" i="85" a="1"/>
  <c r="F196" i="85" s="1"/>
  <c r="F261" i="85" s="1"/>
  <c r="E196" i="85" a="1"/>
  <c r="E196" i="85" s="1"/>
  <c r="E261" i="85" s="1"/>
  <c r="D196" i="85" a="1"/>
  <c r="D196" i="85" s="1"/>
  <c r="P195" i="85" a="1"/>
  <c r="P195" i="85" s="1"/>
  <c r="P260" i="85" s="1"/>
  <c r="O195" i="85" a="1"/>
  <c r="O195" i="85" s="1"/>
  <c r="O260" i="85" s="1"/>
  <c r="N195" i="85" a="1"/>
  <c r="N195" i="85" s="1"/>
  <c r="N260" i="85" s="1"/>
  <c r="M195" i="85" a="1"/>
  <c r="M195" i="85" s="1"/>
  <c r="M260" i="85" s="1"/>
  <c r="L195" i="85" a="1"/>
  <c r="L195" i="85" s="1"/>
  <c r="L260" i="85" s="1"/>
  <c r="K195" i="85" a="1"/>
  <c r="K195" i="85" s="1"/>
  <c r="K260" i="85" s="1"/>
  <c r="J195" i="85" a="1"/>
  <c r="J195" i="85" s="1"/>
  <c r="J260" i="85" s="1"/>
  <c r="I195" i="85" a="1"/>
  <c r="I195" i="85" s="1"/>
  <c r="I260" i="85" s="1"/>
  <c r="H195" i="85" a="1"/>
  <c r="H195" i="85" s="1"/>
  <c r="H260" i="85" s="1"/>
  <c r="G195" i="85" a="1"/>
  <c r="G195" i="85" s="1"/>
  <c r="G260" i="85" s="1"/>
  <c r="F195" i="85" a="1"/>
  <c r="F195" i="85" s="1"/>
  <c r="F260" i="85" s="1"/>
  <c r="E195" i="85" a="1"/>
  <c r="E195" i="85" s="1"/>
  <c r="E260" i="85" s="1"/>
  <c r="D195" i="85" a="1"/>
  <c r="D195" i="85" s="1"/>
  <c r="P194" i="85" a="1"/>
  <c r="P194" i="85" s="1"/>
  <c r="P259" i="85" s="1"/>
  <c r="O194" i="85" a="1"/>
  <c r="O194" i="85" s="1"/>
  <c r="O259" i="85" s="1"/>
  <c r="N194" i="85" a="1"/>
  <c r="N194" i="85" s="1"/>
  <c r="N259" i="85" s="1"/>
  <c r="M194" i="85" a="1"/>
  <c r="M194" i="85" s="1"/>
  <c r="M259" i="85" s="1"/>
  <c r="L194" i="85" a="1"/>
  <c r="L194" i="85" s="1"/>
  <c r="L259" i="85" s="1"/>
  <c r="K194" i="85" a="1"/>
  <c r="K194" i="85" s="1"/>
  <c r="K259" i="85" s="1"/>
  <c r="J194" i="85" a="1"/>
  <c r="J194" i="85" s="1"/>
  <c r="J259" i="85" s="1"/>
  <c r="I194" i="85" a="1"/>
  <c r="I194" i="85" s="1"/>
  <c r="I259" i="85" s="1"/>
  <c r="H194" i="85" a="1"/>
  <c r="H194" i="85" s="1"/>
  <c r="H259" i="85" s="1"/>
  <c r="G194" i="85" a="1"/>
  <c r="G194" i="85" s="1"/>
  <c r="G259" i="85" s="1"/>
  <c r="F194" i="85" a="1"/>
  <c r="F194" i="85" s="1"/>
  <c r="F259" i="85" s="1"/>
  <c r="E194" i="85" a="1"/>
  <c r="E194" i="85" s="1"/>
  <c r="E259" i="85" s="1"/>
  <c r="D194" i="85" a="1"/>
  <c r="D194" i="85" s="1"/>
  <c r="P193" i="85" a="1"/>
  <c r="P193" i="85" s="1"/>
  <c r="P258" i="85" s="1"/>
  <c r="O193" i="85" a="1"/>
  <c r="O193" i="85" s="1"/>
  <c r="O258" i="85" s="1"/>
  <c r="N193" i="85" a="1"/>
  <c r="N193" i="85" s="1"/>
  <c r="N258" i="85" s="1"/>
  <c r="M193" i="85" a="1"/>
  <c r="M193" i="85" s="1"/>
  <c r="M258" i="85" s="1"/>
  <c r="L193" i="85" a="1"/>
  <c r="L193" i="85" s="1"/>
  <c r="L258" i="85" s="1"/>
  <c r="K193" i="85" a="1"/>
  <c r="K193" i="85" s="1"/>
  <c r="K258" i="85" s="1"/>
  <c r="J193" i="85" a="1"/>
  <c r="J193" i="85" s="1"/>
  <c r="J258" i="85" s="1"/>
  <c r="I193" i="85" a="1"/>
  <c r="I193" i="85" s="1"/>
  <c r="I258" i="85" s="1"/>
  <c r="H193" i="85" a="1"/>
  <c r="H193" i="85" s="1"/>
  <c r="H258" i="85" s="1"/>
  <c r="G193" i="85" a="1"/>
  <c r="G193" i="85" s="1"/>
  <c r="G258" i="85" s="1"/>
  <c r="F193" i="85" a="1"/>
  <c r="F193" i="85" s="1"/>
  <c r="F258" i="85" s="1"/>
  <c r="E193" i="85" a="1"/>
  <c r="E193" i="85" s="1"/>
  <c r="E258" i="85" s="1"/>
  <c r="D193" i="85" a="1"/>
  <c r="D193" i="85" s="1"/>
  <c r="P192" i="85" a="1"/>
  <c r="P192" i="85" s="1"/>
  <c r="P257" i="85" s="1"/>
  <c r="O192" i="85" a="1"/>
  <c r="O192" i="85" s="1"/>
  <c r="O257" i="85" s="1"/>
  <c r="N192" i="85" a="1"/>
  <c r="N192" i="85" s="1"/>
  <c r="N257" i="85" s="1"/>
  <c r="M192" i="85" a="1"/>
  <c r="M192" i="85" s="1"/>
  <c r="M257" i="85" s="1"/>
  <c r="L192" i="85" a="1"/>
  <c r="L192" i="85" s="1"/>
  <c r="L257" i="85" s="1"/>
  <c r="K192" i="85" a="1"/>
  <c r="K192" i="85" s="1"/>
  <c r="K257" i="85" s="1"/>
  <c r="J192" i="85" a="1"/>
  <c r="J192" i="85" s="1"/>
  <c r="J257" i="85" s="1"/>
  <c r="I192" i="85" a="1"/>
  <c r="I192" i="85" s="1"/>
  <c r="I257" i="85" s="1"/>
  <c r="H192" i="85" a="1"/>
  <c r="H192" i="85" s="1"/>
  <c r="H257" i="85" s="1"/>
  <c r="G192" i="85" a="1"/>
  <c r="G192" i="85" s="1"/>
  <c r="G257" i="85" s="1"/>
  <c r="F192" i="85" a="1"/>
  <c r="F192" i="85" s="1"/>
  <c r="F257" i="85" s="1"/>
  <c r="E192" i="85" a="1"/>
  <c r="E192" i="85" s="1"/>
  <c r="E257" i="85" s="1"/>
  <c r="D192" i="85" a="1"/>
  <c r="D192" i="85" s="1"/>
  <c r="P191" i="85" a="1"/>
  <c r="P191" i="85" s="1"/>
  <c r="P256" i="85" s="1"/>
  <c r="O191" i="85" a="1"/>
  <c r="O191" i="85" s="1"/>
  <c r="O256" i="85" s="1"/>
  <c r="N191" i="85" a="1"/>
  <c r="N191" i="85" s="1"/>
  <c r="N256" i="85" s="1"/>
  <c r="M191" i="85" a="1"/>
  <c r="M191" i="85" s="1"/>
  <c r="M256" i="85" s="1"/>
  <c r="L191" i="85" a="1"/>
  <c r="L191" i="85" s="1"/>
  <c r="L256" i="85" s="1"/>
  <c r="K191" i="85" a="1"/>
  <c r="K191" i="85" s="1"/>
  <c r="K256" i="85" s="1"/>
  <c r="J191" i="85" a="1"/>
  <c r="J191" i="85" s="1"/>
  <c r="J256" i="85" s="1"/>
  <c r="I191" i="85" a="1"/>
  <c r="I191" i="85" s="1"/>
  <c r="I256" i="85" s="1"/>
  <c r="H191" i="85" a="1"/>
  <c r="H191" i="85" s="1"/>
  <c r="H256" i="85" s="1"/>
  <c r="G191" i="85" a="1"/>
  <c r="G191" i="85" s="1"/>
  <c r="G256" i="85" s="1"/>
  <c r="F191" i="85" a="1"/>
  <c r="F191" i="85" s="1"/>
  <c r="F256" i="85" s="1"/>
  <c r="E191" i="85" a="1"/>
  <c r="E191" i="85" s="1"/>
  <c r="E256" i="85" s="1"/>
  <c r="D191" i="85" a="1"/>
  <c r="D191" i="85" s="1"/>
  <c r="P190" i="85" a="1"/>
  <c r="P190" i="85" s="1"/>
  <c r="P255" i="85" s="1"/>
  <c r="O190" i="85" a="1"/>
  <c r="O190" i="85" s="1"/>
  <c r="O255" i="85" s="1"/>
  <c r="N190" i="85" a="1"/>
  <c r="N190" i="85" s="1"/>
  <c r="N255" i="85" s="1"/>
  <c r="M190" i="85" a="1"/>
  <c r="M190" i="85" s="1"/>
  <c r="M255" i="85" s="1"/>
  <c r="L190" i="85" a="1"/>
  <c r="L190" i="85" s="1"/>
  <c r="L255" i="85" s="1"/>
  <c r="K190" i="85" a="1"/>
  <c r="K190" i="85" s="1"/>
  <c r="K255" i="85" s="1"/>
  <c r="J190" i="85" a="1"/>
  <c r="J190" i="85" s="1"/>
  <c r="J255" i="85" s="1"/>
  <c r="I190" i="85" a="1"/>
  <c r="I190" i="85" s="1"/>
  <c r="I255" i="85" s="1"/>
  <c r="H190" i="85" a="1"/>
  <c r="H190" i="85" s="1"/>
  <c r="H255" i="85" s="1"/>
  <c r="G190" i="85" a="1"/>
  <c r="G190" i="85" s="1"/>
  <c r="G255" i="85" s="1"/>
  <c r="F190" i="85" a="1"/>
  <c r="F190" i="85" s="1"/>
  <c r="F255" i="85" s="1"/>
  <c r="E190" i="85" a="1"/>
  <c r="E190" i="85" s="1"/>
  <c r="E255" i="85" s="1"/>
  <c r="D190" i="85" a="1"/>
  <c r="D190" i="85" s="1"/>
  <c r="D188" i="85" a="1"/>
  <c r="D188" i="85" s="1"/>
  <c r="D187" i="85" a="1"/>
  <c r="D187" i="85" s="1"/>
  <c r="D186" i="85" a="1"/>
  <c r="D186" i="85" s="1"/>
  <c r="D185" i="85" a="1"/>
  <c r="D185" i="85" s="1"/>
  <c r="M182" i="85" a="1"/>
  <c r="M182" i="85" s="1"/>
  <c r="L182" i="85" a="1"/>
  <c r="L182" i="85" s="1"/>
  <c r="M254" i="85" s="1"/>
  <c r="K182" i="85" a="1"/>
  <c r="K182" i="85" s="1"/>
  <c r="J182" i="85" a="1"/>
  <c r="J182" i="85" s="1"/>
  <c r="J254" i="85" s="1"/>
  <c r="I182" i="85" a="1"/>
  <c r="I182" i="85" s="1"/>
  <c r="I254" i="85" s="1"/>
  <c r="H182" i="85" a="1"/>
  <c r="H182" i="85" s="1"/>
  <c r="H254" i="85" s="1"/>
  <c r="G182" i="85" a="1"/>
  <c r="G182" i="85" s="1"/>
  <c r="G254" i="85" s="1"/>
  <c r="F182" i="85" a="1"/>
  <c r="F182" i="85" s="1"/>
  <c r="F254" i="85" s="1"/>
  <c r="E182" i="85" a="1"/>
  <c r="E182" i="85" s="1"/>
  <c r="E254" i="85" s="1"/>
  <c r="D182" i="85" a="1"/>
  <c r="D182" i="85" s="1"/>
  <c r="M181" i="85" a="1"/>
  <c r="M181" i="85" s="1"/>
  <c r="L181" i="85" a="1"/>
  <c r="L181" i="85" s="1"/>
  <c r="M253" i="85" s="1"/>
  <c r="K181" i="85" a="1"/>
  <c r="K181" i="85" s="1"/>
  <c r="J181" i="85" a="1"/>
  <c r="J181" i="85" s="1"/>
  <c r="J253" i="85" s="1"/>
  <c r="I181" i="85" a="1"/>
  <c r="I181" i="85" s="1"/>
  <c r="I253" i="85" s="1"/>
  <c r="H181" i="85" a="1"/>
  <c r="H181" i="85" s="1"/>
  <c r="H253" i="85" s="1"/>
  <c r="G181" i="85" a="1"/>
  <c r="G181" i="85" s="1"/>
  <c r="G253" i="85" s="1"/>
  <c r="F181" i="85" a="1"/>
  <c r="F181" i="85" s="1"/>
  <c r="F253" i="85" s="1"/>
  <c r="E181" i="85" a="1"/>
  <c r="E181" i="85" s="1"/>
  <c r="E253" i="85" s="1"/>
  <c r="D181" i="85" a="1"/>
  <c r="D181" i="85" s="1"/>
  <c r="M180" i="85" a="1"/>
  <c r="M180" i="85" s="1"/>
  <c r="L180" i="85" a="1"/>
  <c r="L180" i="85" s="1"/>
  <c r="M252" i="85" s="1"/>
  <c r="K180" i="85" a="1"/>
  <c r="K180" i="85" s="1"/>
  <c r="J180" i="85" a="1"/>
  <c r="J180" i="85" s="1"/>
  <c r="J252" i="85" s="1"/>
  <c r="I180" i="85" a="1"/>
  <c r="I180" i="85" s="1"/>
  <c r="I252" i="85" s="1"/>
  <c r="H180" i="85" a="1"/>
  <c r="H180" i="85" s="1"/>
  <c r="H252" i="85" s="1"/>
  <c r="G180" i="85" a="1"/>
  <c r="G180" i="85" s="1"/>
  <c r="G252" i="85" s="1"/>
  <c r="F180" i="85" a="1"/>
  <c r="F180" i="85" s="1"/>
  <c r="F252" i="85" s="1"/>
  <c r="E180" i="85" a="1"/>
  <c r="E180" i="85" s="1"/>
  <c r="E252" i="85" s="1"/>
  <c r="D180" i="85" a="1"/>
  <c r="D180" i="85" s="1"/>
  <c r="M179" i="85" a="1"/>
  <c r="M179" i="85" s="1"/>
  <c r="L179" i="85" a="1"/>
  <c r="L179" i="85" s="1"/>
  <c r="M251" i="85" s="1"/>
  <c r="K179" i="85" a="1"/>
  <c r="K179" i="85" s="1"/>
  <c r="J179" i="85" a="1"/>
  <c r="J179" i="85" s="1"/>
  <c r="J251" i="85" s="1"/>
  <c r="I179" i="85" a="1"/>
  <c r="I179" i="85" s="1"/>
  <c r="I251" i="85" s="1"/>
  <c r="H179" i="85" a="1"/>
  <c r="H179" i="85" s="1"/>
  <c r="H251" i="85" s="1"/>
  <c r="G179" i="85" a="1"/>
  <c r="G179" i="85" s="1"/>
  <c r="G251" i="85" s="1"/>
  <c r="F179" i="85" a="1"/>
  <c r="F179" i="85" s="1"/>
  <c r="F251" i="85" s="1"/>
  <c r="E179" i="85" a="1"/>
  <c r="E179" i="85" s="1"/>
  <c r="E251" i="85" s="1"/>
  <c r="D179" i="85" a="1"/>
  <c r="D179" i="85" s="1"/>
  <c r="M178" i="85" a="1"/>
  <c r="M178" i="85" s="1"/>
  <c r="L178" i="85" a="1"/>
  <c r="L178" i="85" s="1"/>
  <c r="M250" i="85" s="1"/>
  <c r="K178" i="85" a="1"/>
  <c r="K178" i="85" s="1"/>
  <c r="J178" i="85" a="1"/>
  <c r="J178" i="85" s="1"/>
  <c r="J250" i="85" s="1"/>
  <c r="I178" i="85" a="1"/>
  <c r="I178" i="85" s="1"/>
  <c r="I250" i="85" s="1"/>
  <c r="H178" i="85" a="1"/>
  <c r="H178" i="85" s="1"/>
  <c r="H250" i="85" s="1"/>
  <c r="G178" i="85" a="1"/>
  <c r="G178" i="85" s="1"/>
  <c r="G250" i="85" s="1"/>
  <c r="F178" i="85" a="1"/>
  <c r="F178" i="85" s="1"/>
  <c r="F250" i="85" s="1"/>
  <c r="E178" i="85" a="1"/>
  <c r="E178" i="85" s="1"/>
  <c r="E250" i="85" s="1"/>
  <c r="D178" i="85" a="1"/>
  <c r="D178" i="85" s="1"/>
  <c r="M177" i="85" a="1"/>
  <c r="M177" i="85" s="1"/>
  <c r="L177" i="85" a="1"/>
  <c r="L177" i="85" s="1"/>
  <c r="M249" i="85" s="1"/>
  <c r="K177" i="85" a="1"/>
  <c r="K177" i="85" s="1"/>
  <c r="J177" i="85" a="1"/>
  <c r="J177" i="85" s="1"/>
  <c r="J249" i="85" s="1"/>
  <c r="I177" i="85" a="1"/>
  <c r="I177" i="85" s="1"/>
  <c r="I249" i="85" s="1"/>
  <c r="H177" i="85" a="1"/>
  <c r="H177" i="85" s="1"/>
  <c r="H249" i="85" s="1"/>
  <c r="G177" i="85" a="1"/>
  <c r="G177" i="85" s="1"/>
  <c r="G249" i="85" s="1"/>
  <c r="F177" i="85" a="1"/>
  <c r="F177" i="85" s="1"/>
  <c r="F249" i="85" s="1"/>
  <c r="E177" i="85" a="1"/>
  <c r="E177" i="85" s="1"/>
  <c r="E249" i="85" s="1"/>
  <c r="D177" i="85" a="1"/>
  <c r="D177" i="85" s="1"/>
  <c r="M176" i="85" a="1"/>
  <c r="M176" i="85" s="1"/>
  <c r="L176" i="85" a="1"/>
  <c r="L176" i="85" s="1"/>
  <c r="M248" i="85" s="1"/>
  <c r="K176" i="85" a="1"/>
  <c r="K176" i="85" s="1"/>
  <c r="J176" i="85" a="1"/>
  <c r="J176" i="85" s="1"/>
  <c r="J248" i="85" s="1"/>
  <c r="I176" i="85" a="1"/>
  <c r="I176" i="85" s="1"/>
  <c r="I248" i="85" s="1"/>
  <c r="H176" i="85" a="1"/>
  <c r="H176" i="85" s="1"/>
  <c r="H248" i="85" s="1"/>
  <c r="G176" i="85" a="1"/>
  <c r="G176" i="85" s="1"/>
  <c r="G248" i="85" s="1"/>
  <c r="F176" i="85" a="1"/>
  <c r="F176" i="85" s="1"/>
  <c r="F248" i="85" s="1"/>
  <c r="E176" i="85" a="1"/>
  <c r="E176" i="85" s="1"/>
  <c r="E248" i="85" s="1"/>
  <c r="D176" i="85" a="1"/>
  <c r="D176" i="85" s="1"/>
  <c r="M175" i="85" a="1"/>
  <c r="M175" i="85" s="1"/>
  <c r="L175" i="85" a="1"/>
  <c r="L175" i="85" s="1"/>
  <c r="M247" i="85" s="1"/>
  <c r="K175" i="85" a="1"/>
  <c r="K175" i="85" s="1"/>
  <c r="J175" i="85" a="1"/>
  <c r="J175" i="85" s="1"/>
  <c r="J247" i="85" s="1"/>
  <c r="I175" i="85" a="1"/>
  <c r="I175" i="85" s="1"/>
  <c r="I247" i="85" s="1"/>
  <c r="H175" i="85" a="1"/>
  <c r="H175" i="85" s="1"/>
  <c r="H247" i="85" s="1"/>
  <c r="G175" i="85" a="1"/>
  <c r="G175" i="85" s="1"/>
  <c r="G247" i="85" s="1"/>
  <c r="F175" i="85" a="1"/>
  <c r="F175" i="85" s="1"/>
  <c r="F247" i="85" s="1"/>
  <c r="E175" i="85" a="1"/>
  <c r="E175" i="85" s="1"/>
  <c r="E247" i="85" s="1"/>
  <c r="D175" i="85" a="1"/>
  <c r="D175" i="85" s="1"/>
  <c r="M174" i="85" a="1"/>
  <c r="M174" i="85" s="1"/>
  <c r="L174" i="85" a="1"/>
  <c r="L174" i="85" s="1"/>
  <c r="M246" i="85" s="1"/>
  <c r="K174" i="85" a="1"/>
  <c r="K174" i="85" s="1"/>
  <c r="J174" i="85" a="1"/>
  <c r="J174" i="85" s="1"/>
  <c r="J246" i="85" s="1"/>
  <c r="I174" i="85" a="1"/>
  <c r="I174" i="85" s="1"/>
  <c r="I246" i="85" s="1"/>
  <c r="H174" i="85" a="1"/>
  <c r="H174" i="85" s="1"/>
  <c r="H246" i="85" s="1"/>
  <c r="G174" i="85" a="1"/>
  <c r="G174" i="85" s="1"/>
  <c r="G246" i="85" s="1"/>
  <c r="F174" i="85" a="1"/>
  <c r="F174" i="85" s="1"/>
  <c r="F246" i="85" s="1"/>
  <c r="E174" i="85" a="1"/>
  <c r="E174" i="85" s="1"/>
  <c r="E246" i="85" s="1"/>
  <c r="D174" i="85" a="1"/>
  <c r="D174" i="85" s="1"/>
  <c r="M173" i="85" a="1"/>
  <c r="M173" i="85" s="1"/>
  <c r="L173" i="85" a="1"/>
  <c r="L173" i="85" s="1"/>
  <c r="M245" i="85" s="1"/>
  <c r="K173" i="85" a="1"/>
  <c r="K173" i="85" s="1"/>
  <c r="J173" i="85" a="1"/>
  <c r="J173" i="85" s="1"/>
  <c r="J245" i="85" s="1"/>
  <c r="I173" i="85" a="1"/>
  <c r="I173" i="85" s="1"/>
  <c r="I245" i="85" s="1"/>
  <c r="H173" i="85" a="1"/>
  <c r="H173" i="85" s="1"/>
  <c r="H245" i="85" s="1"/>
  <c r="G173" i="85" a="1"/>
  <c r="G173" i="85" s="1"/>
  <c r="G245" i="85" s="1"/>
  <c r="F173" i="85" a="1"/>
  <c r="F173" i="85" s="1"/>
  <c r="F245" i="85" s="1"/>
  <c r="E173" i="85" a="1"/>
  <c r="E173" i="85" s="1"/>
  <c r="E245" i="85" s="1"/>
  <c r="D173" i="85" a="1"/>
  <c r="D173" i="85" s="1"/>
  <c r="M172" i="85" a="1"/>
  <c r="M172" i="85" s="1"/>
  <c r="L172" i="85" a="1"/>
  <c r="L172" i="85" s="1"/>
  <c r="M244" i="85" s="1"/>
  <c r="K172" i="85" a="1"/>
  <c r="K172" i="85" s="1"/>
  <c r="J172" i="85" a="1"/>
  <c r="J172" i="85" s="1"/>
  <c r="J244" i="85" s="1"/>
  <c r="I172" i="85" a="1"/>
  <c r="I172" i="85" s="1"/>
  <c r="I244" i="85" s="1"/>
  <c r="H172" i="85" a="1"/>
  <c r="H172" i="85" s="1"/>
  <c r="H244" i="85" s="1"/>
  <c r="G172" i="85" a="1"/>
  <c r="G172" i="85" s="1"/>
  <c r="G244" i="85" s="1"/>
  <c r="F172" i="85" a="1"/>
  <c r="F172" i="85" s="1"/>
  <c r="F244" i="85" s="1"/>
  <c r="E172" i="85" a="1"/>
  <c r="E172" i="85" s="1"/>
  <c r="E244" i="85" s="1"/>
  <c r="D172" i="85" a="1"/>
  <c r="D172" i="85" s="1"/>
  <c r="M171" i="85" a="1"/>
  <c r="M171" i="85" s="1"/>
  <c r="L171" i="85" a="1"/>
  <c r="L171" i="85" s="1"/>
  <c r="M243" i="85" s="1"/>
  <c r="K171" i="85" a="1"/>
  <c r="K171" i="85" s="1"/>
  <c r="J171" i="85" a="1"/>
  <c r="J171" i="85" s="1"/>
  <c r="J243" i="85" s="1"/>
  <c r="I171" i="85" a="1"/>
  <c r="I171" i="85" s="1"/>
  <c r="I243" i="85" s="1"/>
  <c r="H171" i="85" a="1"/>
  <c r="H171" i="85" s="1"/>
  <c r="H243" i="85" s="1"/>
  <c r="G171" i="85" a="1"/>
  <c r="G171" i="85" s="1"/>
  <c r="G243" i="85" s="1"/>
  <c r="F171" i="85" a="1"/>
  <c r="F171" i="85" s="1"/>
  <c r="F243" i="85" s="1"/>
  <c r="E171" i="85" a="1"/>
  <c r="E171" i="85" s="1"/>
  <c r="E243" i="85" s="1"/>
  <c r="D171" i="85" a="1"/>
  <c r="D171" i="85" s="1"/>
  <c r="M170" i="85" a="1"/>
  <c r="M170" i="85" s="1"/>
  <c r="L170" i="85" a="1"/>
  <c r="L170" i="85" s="1"/>
  <c r="M242" i="85" s="1"/>
  <c r="K170" i="85" a="1"/>
  <c r="K170" i="85" s="1"/>
  <c r="J170" i="85" a="1"/>
  <c r="J170" i="85" s="1"/>
  <c r="J242" i="85" s="1"/>
  <c r="I170" i="85" a="1"/>
  <c r="I170" i="85" s="1"/>
  <c r="I242" i="85" s="1"/>
  <c r="H170" i="85" a="1"/>
  <c r="H170" i="85" s="1"/>
  <c r="H242" i="85" s="1"/>
  <c r="G170" i="85" a="1"/>
  <c r="G170" i="85" s="1"/>
  <c r="G242" i="85" s="1"/>
  <c r="F170" i="85" a="1"/>
  <c r="F170" i="85" s="1"/>
  <c r="F242" i="85" s="1"/>
  <c r="E170" i="85" a="1"/>
  <c r="E170" i="85" s="1"/>
  <c r="D170" i="85" a="1"/>
  <c r="D170" i="85" s="1"/>
  <c r="M169" i="85" a="1"/>
  <c r="M169" i="85" s="1"/>
  <c r="L169" i="85" a="1"/>
  <c r="L169" i="85" s="1"/>
  <c r="M241" i="85" s="1"/>
  <c r="K169" i="85" a="1"/>
  <c r="K169" i="85" s="1"/>
  <c r="J169" i="85" a="1"/>
  <c r="J169" i="85" s="1"/>
  <c r="J241" i="85" s="1"/>
  <c r="I169" i="85" a="1"/>
  <c r="I169" i="85" s="1"/>
  <c r="I241" i="85" s="1"/>
  <c r="H169" i="85" a="1"/>
  <c r="H169" i="85" s="1"/>
  <c r="H241" i="85" s="1"/>
  <c r="G169" i="85" a="1"/>
  <c r="G169" i="85" s="1"/>
  <c r="G241" i="85" s="1"/>
  <c r="F169" i="85" a="1"/>
  <c r="F169" i="85" s="1"/>
  <c r="F241" i="85" s="1"/>
  <c r="E169" i="85" a="1"/>
  <c r="E169" i="85" s="1"/>
  <c r="D169" i="85" a="1"/>
  <c r="D169" i="85" s="1"/>
  <c r="M168" i="85" a="1"/>
  <c r="M168" i="85" s="1"/>
  <c r="L168" i="85" a="1"/>
  <c r="L168" i="85" s="1"/>
  <c r="M240" i="85" s="1"/>
  <c r="K168" i="85" a="1"/>
  <c r="K168" i="85" s="1"/>
  <c r="J168" i="85" a="1"/>
  <c r="J168" i="85" s="1"/>
  <c r="J240" i="85" s="1"/>
  <c r="I168" i="85" a="1"/>
  <c r="I168" i="85" s="1"/>
  <c r="I240" i="85" s="1"/>
  <c r="H168" i="85" a="1"/>
  <c r="H168" i="85" s="1"/>
  <c r="H240" i="85" s="1"/>
  <c r="G168" i="85" a="1"/>
  <c r="G168" i="85" s="1"/>
  <c r="G240" i="85" s="1"/>
  <c r="F168" i="85" a="1"/>
  <c r="F168" i="85" s="1"/>
  <c r="F240" i="85" s="1"/>
  <c r="E168" i="85" a="1"/>
  <c r="E168" i="85" s="1"/>
  <c r="D168" i="85" a="1"/>
  <c r="D168" i="85" s="1"/>
  <c r="M167" i="85" a="1"/>
  <c r="M167" i="85" s="1"/>
  <c r="L167" i="85" a="1"/>
  <c r="L167" i="85" s="1"/>
  <c r="M239" i="85" s="1"/>
  <c r="K167" i="85" a="1"/>
  <c r="K167" i="85" s="1"/>
  <c r="J167" i="85" a="1"/>
  <c r="J167" i="85" s="1"/>
  <c r="J239" i="85" s="1"/>
  <c r="I167" i="85" a="1"/>
  <c r="I167" i="85" s="1"/>
  <c r="I239" i="85" s="1"/>
  <c r="H167" i="85" a="1"/>
  <c r="H167" i="85" s="1"/>
  <c r="H239" i="85" s="1"/>
  <c r="G167" i="85" a="1"/>
  <c r="G167" i="85" s="1"/>
  <c r="G239" i="85" s="1"/>
  <c r="F167" i="85" a="1"/>
  <c r="F167" i="85" s="1"/>
  <c r="F239" i="85" s="1"/>
  <c r="E167" i="85" a="1"/>
  <c r="E167" i="85" s="1"/>
  <c r="D167" i="85" a="1"/>
  <c r="D167" i="85" s="1"/>
  <c r="M166" i="85" a="1"/>
  <c r="M166" i="85" s="1"/>
  <c r="L166" i="85" a="1"/>
  <c r="L166" i="85" s="1"/>
  <c r="M238" i="85" s="1"/>
  <c r="K166" i="85" a="1"/>
  <c r="K166" i="85" s="1"/>
  <c r="J166" i="85" a="1"/>
  <c r="J166" i="85" s="1"/>
  <c r="J238" i="85" s="1"/>
  <c r="I166" i="85" a="1"/>
  <c r="I166" i="85" s="1"/>
  <c r="I238" i="85" s="1"/>
  <c r="H166" i="85" a="1"/>
  <c r="H166" i="85" s="1"/>
  <c r="H238" i="85" s="1"/>
  <c r="G166" i="85" a="1"/>
  <c r="G166" i="85" s="1"/>
  <c r="G238" i="85" s="1"/>
  <c r="F166" i="85" a="1"/>
  <c r="F166" i="85" s="1"/>
  <c r="F238" i="85" s="1"/>
  <c r="E166" i="85" a="1"/>
  <c r="E166" i="85" s="1"/>
  <c r="D166" i="85" a="1"/>
  <c r="D166" i="85" s="1"/>
  <c r="M165" i="85" a="1"/>
  <c r="M165" i="85" s="1"/>
  <c r="L165" i="85" a="1"/>
  <c r="L165" i="85" s="1"/>
  <c r="M237" i="85" s="1"/>
  <c r="K165" i="85" a="1"/>
  <c r="K165" i="85" s="1"/>
  <c r="J165" i="85" a="1"/>
  <c r="J165" i="85" s="1"/>
  <c r="J237" i="85" s="1"/>
  <c r="I165" i="85" a="1"/>
  <c r="I165" i="85" s="1"/>
  <c r="I237" i="85" s="1"/>
  <c r="H165" i="85" a="1"/>
  <c r="H165" i="85" s="1"/>
  <c r="H237" i="85" s="1"/>
  <c r="G165" i="85" a="1"/>
  <c r="G165" i="85" s="1"/>
  <c r="G237" i="85" s="1"/>
  <c r="F165" i="85" a="1"/>
  <c r="F165" i="85" s="1"/>
  <c r="F237" i="85" s="1"/>
  <c r="E165" i="85" a="1"/>
  <c r="E165" i="85" s="1"/>
  <c r="D165" i="85" a="1"/>
  <c r="D165" i="85" s="1"/>
  <c r="M164" i="85" a="1"/>
  <c r="M164" i="85" s="1"/>
  <c r="L164" i="85" a="1"/>
  <c r="L164" i="85" s="1"/>
  <c r="M236" i="85" s="1"/>
  <c r="K164" i="85" a="1"/>
  <c r="K164" i="85" s="1"/>
  <c r="J164" i="85" a="1"/>
  <c r="J164" i="85" s="1"/>
  <c r="J236" i="85" s="1"/>
  <c r="I164" i="85" a="1"/>
  <c r="I164" i="85" s="1"/>
  <c r="I236" i="85" s="1"/>
  <c r="H164" i="85" a="1"/>
  <c r="H164" i="85" s="1"/>
  <c r="H236" i="85" s="1"/>
  <c r="G164" i="85" a="1"/>
  <c r="G164" i="85" s="1"/>
  <c r="G236" i="85" s="1"/>
  <c r="F164" i="85" a="1"/>
  <c r="F164" i="85" s="1"/>
  <c r="F236" i="85" s="1"/>
  <c r="E164" i="85" a="1"/>
  <c r="E164" i="85" s="1"/>
  <c r="D164" i="85" a="1"/>
  <c r="D164" i="85" s="1"/>
  <c r="M163" i="85" a="1"/>
  <c r="M163" i="85" s="1"/>
  <c r="L163" i="85" a="1"/>
  <c r="L163" i="85" s="1"/>
  <c r="M235" i="85" s="1"/>
  <c r="K163" i="85" a="1"/>
  <c r="K163" i="85" s="1"/>
  <c r="J163" i="85" a="1"/>
  <c r="J163" i="85" s="1"/>
  <c r="J235" i="85" s="1"/>
  <c r="I163" i="85" a="1"/>
  <c r="I163" i="85" s="1"/>
  <c r="I235" i="85" s="1"/>
  <c r="H163" i="85" a="1"/>
  <c r="H163" i="85" s="1"/>
  <c r="H235" i="85" s="1"/>
  <c r="G163" i="85" a="1"/>
  <c r="G163" i="85" s="1"/>
  <c r="G235" i="85" s="1"/>
  <c r="F163" i="85" a="1"/>
  <c r="F163" i="85" s="1"/>
  <c r="F235" i="85" s="1"/>
  <c r="E163" i="85" a="1"/>
  <c r="E163" i="85" s="1"/>
  <c r="D163" i="85" a="1"/>
  <c r="D163" i="85" s="1"/>
  <c r="M162" i="85" a="1"/>
  <c r="M162" i="85" s="1"/>
  <c r="L162" i="85" a="1"/>
  <c r="L162" i="85" s="1"/>
  <c r="M234" i="85" s="1"/>
  <c r="K162" i="85" a="1"/>
  <c r="K162" i="85" s="1"/>
  <c r="J162" i="85" a="1"/>
  <c r="J162" i="85" s="1"/>
  <c r="J234" i="85" s="1"/>
  <c r="I162" i="85" a="1"/>
  <c r="I162" i="85" s="1"/>
  <c r="I234" i="85" s="1"/>
  <c r="H162" i="85" a="1"/>
  <c r="H162" i="85" s="1"/>
  <c r="H234" i="85" s="1"/>
  <c r="G162" i="85" a="1"/>
  <c r="G162" i="85" s="1"/>
  <c r="G234" i="85" s="1"/>
  <c r="F162" i="85" a="1"/>
  <c r="F162" i="85" s="1"/>
  <c r="F234" i="85" s="1"/>
  <c r="E162" i="85" a="1"/>
  <c r="E162" i="85" s="1"/>
  <c r="D162" i="85" a="1"/>
  <c r="D162" i="85" s="1"/>
  <c r="M161" i="85" a="1"/>
  <c r="M161" i="85" s="1"/>
  <c r="L161" i="85" a="1"/>
  <c r="L161" i="85" s="1"/>
  <c r="M233" i="85" s="1"/>
  <c r="K161" i="85" a="1"/>
  <c r="K161" i="85" s="1"/>
  <c r="J161" i="85" a="1"/>
  <c r="J161" i="85" s="1"/>
  <c r="J233" i="85" s="1"/>
  <c r="I161" i="85" a="1"/>
  <c r="I161" i="85" s="1"/>
  <c r="I233" i="85" s="1"/>
  <c r="H161" i="85" a="1"/>
  <c r="H161" i="85" s="1"/>
  <c r="H233" i="85" s="1"/>
  <c r="G161" i="85" a="1"/>
  <c r="G161" i="85" s="1"/>
  <c r="G233" i="85" s="1"/>
  <c r="F161" i="85" a="1"/>
  <c r="F161" i="85" s="1"/>
  <c r="F233" i="85" s="1"/>
  <c r="E161" i="85" a="1"/>
  <c r="E161" i="85" s="1"/>
  <c r="D161" i="85" a="1"/>
  <c r="D161" i="85" s="1"/>
  <c r="M160" i="85" a="1"/>
  <c r="M160" i="85" s="1"/>
  <c r="L160" i="85" a="1"/>
  <c r="L160" i="85" s="1"/>
  <c r="M232" i="85" s="1"/>
  <c r="K160" i="85" a="1"/>
  <c r="K160" i="85" s="1"/>
  <c r="J160" i="85" a="1"/>
  <c r="J160" i="85" s="1"/>
  <c r="J232" i="85" s="1"/>
  <c r="I160" i="85" a="1"/>
  <c r="I160" i="85" s="1"/>
  <c r="I232" i="85" s="1"/>
  <c r="H160" i="85" a="1"/>
  <c r="H160" i="85" s="1"/>
  <c r="H232" i="85" s="1"/>
  <c r="G160" i="85" a="1"/>
  <c r="G160" i="85" s="1"/>
  <c r="G232" i="85" s="1"/>
  <c r="F160" i="85" a="1"/>
  <c r="F160" i="85" s="1"/>
  <c r="F232" i="85" s="1"/>
  <c r="E160" i="85" a="1"/>
  <c r="E160" i="85" s="1"/>
  <c r="D160" i="85" a="1"/>
  <c r="D160" i="85" s="1"/>
  <c r="M159" i="85" a="1"/>
  <c r="M159" i="85" s="1"/>
  <c r="L159" i="85" a="1"/>
  <c r="L159" i="85" s="1"/>
  <c r="M231" i="85" s="1"/>
  <c r="K159" i="85" a="1"/>
  <c r="K159" i="85" s="1"/>
  <c r="J159" i="85" a="1"/>
  <c r="J159" i="85" s="1"/>
  <c r="J231" i="85" s="1"/>
  <c r="I159" i="85" a="1"/>
  <c r="I159" i="85" s="1"/>
  <c r="I231" i="85" s="1"/>
  <c r="H159" i="85" a="1"/>
  <c r="H159" i="85" s="1"/>
  <c r="H231" i="85" s="1"/>
  <c r="G159" i="85" a="1"/>
  <c r="G159" i="85" s="1"/>
  <c r="G231" i="85" s="1"/>
  <c r="F159" i="85" a="1"/>
  <c r="F159" i="85" s="1"/>
  <c r="F231" i="85" s="1"/>
  <c r="E159" i="85" a="1"/>
  <c r="E159" i="85" s="1"/>
  <c r="D159" i="85" a="1"/>
  <c r="D159" i="85" s="1"/>
  <c r="M158" i="85" a="1"/>
  <c r="M158" i="85" s="1"/>
  <c r="L158" i="85" a="1"/>
  <c r="L158" i="85" s="1"/>
  <c r="K158" i="85" a="1"/>
  <c r="K158" i="85" s="1"/>
  <c r="J158" i="85" a="1"/>
  <c r="J158" i="85" s="1"/>
  <c r="I158" i="85" a="1"/>
  <c r="I158" i="85" s="1"/>
  <c r="H158" i="85" a="1"/>
  <c r="H158" i="85" s="1"/>
  <c r="G158" i="85" a="1"/>
  <c r="G158" i="85" s="1"/>
  <c r="F158" i="85" a="1"/>
  <c r="F158" i="85" s="1"/>
  <c r="E158" i="85" a="1"/>
  <c r="E158" i="85" s="1"/>
  <c r="D158" i="85" a="1"/>
  <c r="D158" i="85" s="1"/>
  <c r="M157" i="85" a="1"/>
  <c r="M157" i="85" s="1"/>
  <c r="L157" i="85" a="1"/>
  <c r="L157" i="85" s="1"/>
  <c r="K157" i="85" a="1"/>
  <c r="K157" i="85" s="1"/>
  <c r="J157" i="85" a="1"/>
  <c r="J157" i="85" s="1"/>
  <c r="I157" i="85" a="1"/>
  <c r="I157" i="85" s="1"/>
  <c r="H157" i="85" a="1"/>
  <c r="H157" i="85" s="1"/>
  <c r="G157" i="85" a="1"/>
  <c r="G157" i="85" s="1"/>
  <c r="F157" i="85" a="1"/>
  <c r="F157" i="85" s="1"/>
  <c r="E157" i="85" a="1"/>
  <c r="E157" i="85" s="1"/>
  <c r="D157" i="85" a="1"/>
  <c r="D157" i="85" s="1"/>
  <c r="M156" i="85" a="1"/>
  <c r="M156" i="85" s="1"/>
  <c r="L156" i="85" a="1"/>
  <c r="L156" i="85" s="1"/>
  <c r="K156" i="85" a="1"/>
  <c r="K156" i="85" s="1"/>
  <c r="J156" i="85" a="1"/>
  <c r="J156" i="85" s="1"/>
  <c r="I156" i="85" a="1"/>
  <c r="I156" i="85" s="1"/>
  <c r="H156" i="85" a="1"/>
  <c r="H156" i="85" s="1"/>
  <c r="G156" i="85" a="1"/>
  <c r="G156" i="85" s="1"/>
  <c r="F156" i="85" a="1"/>
  <c r="F156" i="85" s="1"/>
  <c r="E156" i="85" a="1"/>
  <c r="E156" i="85" s="1"/>
  <c r="D156" i="85" a="1"/>
  <c r="D156" i="85" s="1"/>
  <c r="M155" i="85" a="1"/>
  <c r="M155" i="85" s="1"/>
  <c r="L155" i="85" a="1"/>
  <c r="L155" i="85" s="1"/>
  <c r="K155" i="85" a="1"/>
  <c r="K155" i="85" s="1"/>
  <c r="J155" i="85" a="1"/>
  <c r="J155" i="85" s="1"/>
  <c r="I155" i="85" a="1"/>
  <c r="I155" i="85" s="1"/>
  <c r="H155" i="85" a="1"/>
  <c r="H155" i="85" s="1"/>
  <c r="G155" i="85" a="1"/>
  <c r="G155" i="85" s="1"/>
  <c r="F155" i="85" a="1"/>
  <c r="F155" i="85" s="1"/>
  <c r="E155" i="85" a="1"/>
  <c r="E155" i="85" s="1"/>
  <c r="D155" i="85" a="1"/>
  <c r="D155" i="85" s="1"/>
  <c r="D153" i="85" a="1"/>
  <c r="D153" i="85" s="1"/>
  <c r="D152" i="85" a="1"/>
  <c r="D152" i="85" s="1"/>
  <c r="D151" i="85" a="1"/>
  <c r="D151" i="85" s="1"/>
  <c r="D150" i="85" a="1"/>
  <c r="D150" i="85" s="1"/>
  <c r="P81" i="85" a="1"/>
  <c r="P81" i="85" s="1"/>
  <c r="P145" i="85" s="1"/>
  <c r="O81" i="85" a="1"/>
  <c r="O81" i="85" s="1"/>
  <c r="O145" i="85" s="1"/>
  <c r="N81" i="85" a="1"/>
  <c r="N81" i="85" s="1"/>
  <c r="N145" i="85" s="1"/>
  <c r="M81" i="85" a="1"/>
  <c r="M81" i="85" s="1"/>
  <c r="M145" i="85" s="1"/>
  <c r="L81" i="85" a="1"/>
  <c r="L81" i="85" s="1"/>
  <c r="L145" i="85" s="1"/>
  <c r="K81" i="85" a="1"/>
  <c r="K81" i="85" s="1"/>
  <c r="K145" i="85" s="1"/>
  <c r="J81" i="85" a="1"/>
  <c r="J81" i="85" s="1"/>
  <c r="J145" i="85" s="1"/>
  <c r="I81" i="85" a="1"/>
  <c r="I81" i="85" s="1"/>
  <c r="I145" i="85" s="1"/>
  <c r="H81" i="85" a="1"/>
  <c r="H81" i="85" s="1"/>
  <c r="H145" i="85" s="1"/>
  <c r="G81" i="85" a="1"/>
  <c r="G81" i="85" s="1"/>
  <c r="G145" i="85" s="1"/>
  <c r="F81" i="85" a="1"/>
  <c r="F81" i="85" s="1"/>
  <c r="F145" i="85" s="1"/>
  <c r="F149" i="85" s="1"/>
  <c r="E81" i="85" a="1"/>
  <c r="E81" i="85" s="1"/>
  <c r="E145" i="85" s="1"/>
  <c r="D81" i="85" a="1"/>
  <c r="D81" i="85" s="1"/>
  <c r="P80" i="85" a="1"/>
  <c r="P80" i="85" s="1"/>
  <c r="P144" i="85" s="1"/>
  <c r="O80" i="85" a="1"/>
  <c r="O80" i="85" s="1"/>
  <c r="O144" i="85" s="1"/>
  <c r="N80" i="85" a="1"/>
  <c r="N80" i="85" s="1"/>
  <c r="N144" i="85" s="1"/>
  <c r="M80" i="85" a="1"/>
  <c r="M80" i="85" s="1"/>
  <c r="M144" i="85" s="1"/>
  <c r="L80" i="85" a="1"/>
  <c r="L80" i="85" s="1"/>
  <c r="L144" i="85" s="1"/>
  <c r="K80" i="85" a="1"/>
  <c r="K80" i="85" s="1"/>
  <c r="K144" i="85" s="1"/>
  <c r="J80" i="85" a="1"/>
  <c r="J80" i="85" s="1"/>
  <c r="J144" i="85" s="1"/>
  <c r="I80" i="85" a="1"/>
  <c r="I80" i="85" s="1"/>
  <c r="I144" i="85" s="1"/>
  <c r="H80" i="85" a="1"/>
  <c r="H80" i="85" s="1"/>
  <c r="H144" i="85" s="1"/>
  <c r="G80" i="85" a="1"/>
  <c r="G80" i="85" s="1"/>
  <c r="G144" i="85" s="1"/>
  <c r="F80" i="85" a="1"/>
  <c r="F80" i="85" s="1"/>
  <c r="F144" i="85" s="1"/>
  <c r="F148" i="85" s="1"/>
  <c r="E80" i="85" a="1"/>
  <c r="E80" i="85" s="1"/>
  <c r="E144" i="85" s="1"/>
  <c r="D80" i="85" a="1"/>
  <c r="D80" i="85" s="1"/>
  <c r="P79" i="85" a="1"/>
  <c r="P79" i="85" s="1"/>
  <c r="P143" i="85" s="1"/>
  <c r="O79" i="85" a="1"/>
  <c r="O79" i="85" s="1"/>
  <c r="O143" i="85" s="1"/>
  <c r="N79" i="85" a="1"/>
  <c r="N79" i="85" s="1"/>
  <c r="N143" i="85" s="1"/>
  <c r="M79" i="85" a="1"/>
  <c r="M79" i="85" s="1"/>
  <c r="M143" i="85" s="1"/>
  <c r="L79" i="85" a="1"/>
  <c r="L79" i="85" s="1"/>
  <c r="L143" i="85" s="1"/>
  <c r="K79" i="85" a="1"/>
  <c r="K79" i="85" s="1"/>
  <c r="K143" i="85" s="1"/>
  <c r="J79" i="85" a="1"/>
  <c r="J79" i="85" s="1"/>
  <c r="J143" i="85" s="1"/>
  <c r="I79" i="85" a="1"/>
  <c r="I79" i="85" s="1"/>
  <c r="I143" i="85" s="1"/>
  <c r="H79" i="85" a="1"/>
  <c r="H79" i="85" s="1"/>
  <c r="H143" i="85" s="1"/>
  <c r="G79" i="85" a="1"/>
  <c r="G79" i="85" s="1"/>
  <c r="G143" i="85" s="1"/>
  <c r="F79" i="85" a="1"/>
  <c r="F79" i="85" s="1"/>
  <c r="F143" i="85" s="1"/>
  <c r="F147" i="85" s="1"/>
  <c r="E79" i="85" a="1"/>
  <c r="E79" i="85" s="1"/>
  <c r="E143" i="85" s="1"/>
  <c r="D79" i="85" a="1"/>
  <c r="D79" i="85" s="1"/>
  <c r="P78" i="85" a="1"/>
  <c r="P78" i="85" s="1"/>
  <c r="P142" i="85" s="1"/>
  <c r="O78" i="85" a="1"/>
  <c r="O78" i="85" s="1"/>
  <c r="O142" i="85" s="1"/>
  <c r="N78" i="85" a="1"/>
  <c r="N78" i="85" s="1"/>
  <c r="N142" i="85" s="1"/>
  <c r="M78" i="85" a="1"/>
  <c r="M78" i="85" s="1"/>
  <c r="M142" i="85" s="1"/>
  <c r="L78" i="85" a="1"/>
  <c r="L78" i="85" s="1"/>
  <c r="L142" i="85" s="1"/>
  <c r="K78" i="85" a="1"/>
  <c r="K78" i="85" s="1"/>
  <c r="K142" i="85" s="1"/>
  <c r="J78" i="85" a="1"/>
  <c r="J78" i="85" s="1"/>
  <c r="J142" i="85" s="1"/>
  <c r="I78" i="85" a="1"/>
  <c r="I78" i="85" s="1"/>
  <c r="I142" i="85" s="1"/>
  <c r="H78" i="85" a="1"/>
  <c r="H78" i="85" s="1"/>
  <c r="H142" i="85" s="1"/>
  <c r="G78" i="85" a="1"/>
  <c r="G78" i="85" s="1"/>
  <c r="G142" i="85" s="1"/>
  <c r="F78" i="85" a="1"/>
  <c r="F78" i="85" s="1"/>
  <c r="F142" i="85" s="1"/>
  <c r="F146" i="85" s="1"/>
  <c r="E78" i="85" a="1"/>
  <c r="E78" i="85" s="1"/>
  <c r="E142" i="85" s="1"/>
  <c r="D78" i="85" a="1"/>
  <c r="D78" i="85" s="1"/>
  <c r="P77" i="85" a="1"/>
  <c r="P77" i="85" s="1"/>
  <c r="P141" i="85" s="1"/>
  <c r="O77" i="85" a="1"/>
  <c r="O77" i="85" s="1"/>
  <c r="O141" i="85" s="1"/>
  <c r="N77" i="85" a="1"/>
  <c r="N77" i="85" s="1"/>
  <c r="N141" i="85" s="1"/>
  <c r="M77" i="85" a="1"/>
  <c r="M77" i="85" s="1"/>
  <c r="M141" i="85" s="1"/>
  <c r="L77" i="85" a="1"/>
  <c r="L77" i="85" s="1"/>
  <c r="L141" i="85" s="1"/>
  <c r="K77" i="85" a="1"/>
  <c r="K77" i="85" s="1"/>
  <c r="K141" i="85" s="1"/>
  <c r="J77" i="85" a="1"/>
  <c r="J77" i="85" s="1"/>
  <c r="J141" i="85" s="1"/>
  <c r="I77" i="85" a="1"/>
  <c r="I77" i="85" s="1"/>
  <c r="I141" i="85" s="1"/>
  <c r="H77" i="85" a="1"/>
  <c r="H77" i="85" s="1"/>
  <c r="H141" i="85" s="1"/>
  <c r="G77" i="85" a="1"/>
  <c r="G77" i="85" s="1"/>
  <c r="G141" i="85" s="1"/>
  <c r="F77" i="85" a="1"/>
  <c r="F77" i="85" s="1"/>
  <c r="F141" i="85" s="1"/>
  <c r="E77" i="85" a="1"/>
  <c r="E77" i="85" s="1"/>
  <c r="E141" i="85" s="1"/>
  <c r="D77" i="85" a="1"/>
  <c r="D77" i="85" s="1"/>
  <c r="P76" i="85" a="1"/>
  <c r="P76" i="85" s="1"/>
  <c r="P140" i="85" s="1"/>
  <c r="O76" i="85" a="1"/>
  <c r="O76" i="85" s="1"/>
  <c r="O140" i="85" s="1"/>
  <c r="N76" i="85" a="1"/>
  <c r="N76" i="85" s="1"/>
  <c r="N140" i="85" s="1"/>
  <c r="M76" i="85" a="1"/>
  <c r="M76" i="85" s="1"/>
  <c r="M140" i="85" s="1"/>
  <c r="L76" i="85" a="1"/>
  <c r="L76" i="85" s="1"/>
  <c r="L140" i="85" s="1"/>
  <c r="K76" i="85" a="1"/>
  <c r="K76" i="85" s="1"/>
  <c r="K140" i="85" s="1"/>
  <c r="J76" i="85" a="1"/>
  <c r="J76" i="85" s="1"/>
  <c r="J140" i="85" s="1"/>
  <c r="I76" i="85" a="1"/>
  <c r="I76" i="85" s="1"/>
  <c r="I140" i="85" s="1"/>
  <c r="H76" i="85" a="1"/>
  <c r="H76" i="85" s="1"/>
  <c r="H140" i="85" s="1"/>
  <c r="G76" i="85" a="1"/>
  <c r="G76" i="85" s="1"/>
  <c r="G140" i="85" s="1"/>
  <c r="F76" i="85" a="1"/>
  <c r="F76" i="85" s="1"/>
  <c r="F140" i="85" s="1"/>
  <c r="E76" i="85" a="1"/>
  <c r="E76" i="85" s="1"/>
  <c r="E140" i="85" s="1"/>
  <c r="D76" i="85" a="1"/>
  <c r="D76" i="85" s="1"/>
  <c r="P75" i="85" a="1"/>
  <c r="P75" i="85" s="1"/>
  <c r="P139" i="85" s="1"/>
  <c r="O75" i="85" a="1"/>
  <c r="O75" i="85" s="1"/>
  <c r="O139" i="85" s="1"/>
  <c r="N75" i="85" a="1"/>
  <c r="N75" i="85" s="1"/>
  <c r="N139" i="85" s="1"/>
  <c r="M75" i="85" a="1"/>
  <c r="M75" i="85" s="1"/>
  <c r="M139" i="85" s="1"/>
  <c r="L75" i="85" a="1"/>
  <c r="L75" i="85" s="1"/>
  <c r="L139" i="85" s="1"/>
  <c r="K75" i="85" a="1"/>
  <c r="K75" i="85" s="1"/>
  <c r="K139" i="85" s="1"/>
  <c r="J75" i="85" a="1"/>
  <c r="J75" i="85" s="1"/>
  <c r="J139" i="85" s="1"/>
  <c r="I75" i="85" a="1"/>
  <c r="I75" i="85" s="1"/>
  <c r="I139" i="85" s="1"/>
  <c r="H75" i="85" a="1"/>
  <c r="H75" i="85" s="1"/>
  <c r="H139" i="85" s="1"/>
  <c r="G75" i="85" a="1"/>
  <c r="G75" i="85" s="1"/>
  <c r="G139" i="85" s="1"/>
  <c r="F75" i="85" a="1"/>
  <c r="F75" i="85" s="1"/>
  <c r="F139" i="85" s="1"/>
  <c r="E75" i="85" a="1"/>
  <c r="E75" i="85" s="1"/>
  <c r="E139" i="85" s="1"/>
  <c r="D75" i="85" a="1"/>
  <c r="D75" i="85" s="1"/>
  <c r="P74" i="85" a="1"/>
  <c r="P74" i="85" s="1"/>
  <c r="P138" i="85" s="1"/>
  <c r="O74" i="85" a="1"/>
  <c r="O74" i="85" s="1"/>
  <c r="O138" i="85" s="1"/>
  <c r="N74" i="85" a="1"/>
  <c r="N74" i="85" s="1"/>
  <c r="N138" i="85" s="1"/>
  <c r="M74" i="85" a="1"/>
  <c r="M74" i="85" s="1"/>
  <c r="M138" i="85" s="1"/>
  <c r="L74" i="85" a="1"/>
  <c r="L74" i="85" s="1"/>
  <c r="L138" i="85" s="1"/>
  <c r="K74" i="85" a="1"/>
  <c r="K74" i="85" s="1"/>
  <c r="K138" i="85" s="1"/>
  <c r="J74" i="85" a="1"/>
  <c r="J74" i="85" s="1"/>
  <c r="J138" i="85" s="1"/>
  <c r="I74" i="85" a="1"/>
  <c r="I74" i="85" s="1"/>
  <c r="I138" i="85" s="1"/>
  <c r="H74" i="85" a="1"/>
  <c r="H74" i="85" s="1"/>
  <c r="H138" i="85" s="1"/>
  <c r="G74" i="85" a="1"/>
  <c r="G74" i="85" s="1"/>
  <c r="G138" i="85" s="1"/>
  <c r="F74" i="85" a="1"/>
  <c r="F74" i="85" s="1"/>
  <c r="F138" i="85" s="1"/>
  <c r="E74" i="85" a="1"/>
  <c r="E74" i="85" s="1"/>
  <c r="E138" i="85" s="1"/>
  <c r="D74" i="85" a="1"/>
  <c r="D74" i="85" s="1"/>
  <c r="P73" i="85" a="1"/>
  <c r="P73" i="85" s="1"/>
  <c r="P137" i="85" s="1"/>
  <c r="O73" i="85" a="1"/>
  <c r="O73" i="85" s="1"/>
  <c r="O137" i="85" s="1"/>
  <c r="N73" i="85" a="1"/>
  <c r="N73" i="85" s="1"/>
  <c r="N137" i="85" s="1"/>
  <c r="M73" i="85" a="1"/>
  <c r="M73" i="85" s="1"/>
  <c r="M137" i="85" s="1"/>
  <c r="L73" i="85" a="1"/>
  <c r="L73" i="85" s="1"/>
  <c r="L137" i="85" s="1"/>
  <c r="K73" i="85" a="1"/>
  <c r="K73" i="85" s="1"/>
  <c r="K137" i="85" s="1"/>
  <c r="J73" i="85" a="1"/>
  <c r="J73" i="85" s="1"/>
  <c r="J137" i="85" s="1"/>
  <c r="I73" i="85" a="1"/>
  <c r="I73" i="85" s="1"/>
  <c r="I137" i="85" s="1"/>
  <c r="H73" i="85" a="1"/>
  <c r="H73" i="85" s="1"/>
  <c r="H137" i="85" s="1"/>
  <c r="G73" i="85" a="1"/>
  <c r="G73" i="85" s="1"/>
  <c r="G137" i="85" s="1"/>
  <c r="F73" i="85" a="1"/>
  <c r="F73" i="85" s="1"/>
  <c r="F137" i="85" s="1"/>
  <c r="E73" i="85" a="1"/>
  <c r="E73" i="85" s="1"/>
  <c r="E137" i="85" s="1"/>
  <c r="D73" i="85" a="1"/>
  <c r="D73" i="85" s="1"/>
  <c r="P72" i="85" a="1"/>
  <c r="P72" i="85" s="1"/>
  <c r="P136" i="85" s="1"/>
  <c r="O72" i="85" a="1"/>
  <c r="O72" i="85" s="1"/>
  <c r="O136" i="85" s="1"/>
  <c r="N72" i="85" a="1"/>
  <c r="N72" i="85" s="1"/>
  <c r="N136" i="85" s="1"/>
  <c r="M72" i="85" a="1"/>
  <c r="M72" i="85" s="1"/>
  <c r="M136" i="85" s="1"/>
  <c r="L72" i="85" a="1"/>
  <c r="L72" i="85" s="1"/>
  <c r="L136" i="85" s="1"/>
  <c r="K72" i="85" a="1"/>
  <c r="K72" i="85" s="1"/>
  <c r="K136" i="85" s="1"/>
  <c r="J72" i="85" a="1"/>
  <c r="J72" i="85" s="1"/>
  <c r="J136" i="85" s="1"/>
  <c r="I72" i="85" a="1"/>
  <c r="I72" i="85" s="1"/>
  <c r="I136" i="85" s="1"/>
  <c r="H72" i="85" a="1"/>
  <c r="H72" i="85" s="1"/>
  <c r="H136" i="85" s="1"/>
  <c r="G72" i="85" a="1"/>
  <c r="G72" i="85" s="1"/>
  <c r="G136" i="85" s="1"/>
  <c r="F72" i="85" a="1"/>
  <c r="F72" i="85" s="1"/>
  <c r="F136" i="85" s="1"/>
  <c r="E72" i="85" a="1"/>
  <c r="E72" i="85" s="1"/>
  <c r="E136" i="85" s="1"/>
  <c r="D72" i="85" a="1"/>
  <c r="D72" i="85" s="1"/>
  <c r="P71" i="85" a="1"/>
  <c r="P71" i="85" s="1"/>
  <c r="P135" i="85" s="1"/>
  <c r="O71" i="85" a="1"/>
  <c r="O71" i="85" s="1"/>
  <c r="O135" i="85" s="1"/>
  <c r="N71" i="85" a="1"/>
  <c r="N71" i="85" s="1"/>
  <c r="N135" i="85" s="1"/>
  <c r="M71" i="85" a="1"/>
  <c r="M71" i="85" s="1"/>
  <c r="M135" i="85" s="1"/>
  <c r="L71" i="85" a="1"/>
  <c r="L71" i="85" s="1"/>
  <c r="L135" i="85" s="1"/>
  <c r="K71" i="85" a="1"/>
  <c r="K71" i="85" s="1"/>
  <c r="K135" i="85" s="1"/>
  <c r="J71" i="85" a="1"/>
  <c r="J71" i="85" s="1"/>
  <c r="J135" i="85" s="1"/>
  <c r="I71" i="85" a="1"/>
  <c r="I71" i="85" s="1"/>
  <c r="I135" i="85" s="1"/>
  <c r="H71" i="85" a="1"/>
  <c r="H71" i="85" s="1"/>
  <c r="H135" i="85" s="1"/>
  <c r="G71" i="85" a="1"/>
  <c r="G71" i="85" s="1"/>
  <c r="G135" i="85" s="1"/>
  <c r="F71" i="85" a="1"/>
  <c r="F71" i="85" s="1"/>
  <c r="F135" i="85" s="1"/>
  <c r="E71" i="85" a="1"/>
  <c r="E71" i="85" s="1"/>
  <c r="E135" i="85" s="1"/>
  <c r="D71" i="85" a="1"/>
  <c r="D71" i="85" s="1"/>
  <c r="P70" i="85" a="1"/>
  <c r="P70" i="85" s="1"/>
  <c r="P134" i="85" s="1"/>
  <c r="O70" i="85" a="1"/>
  <c r="O70" i="85" s="1"/>
  <c r="O134" i="85" s="1"/>
  <c r="N70" i="85" a="1"/>
  <c r="N70" i="85" s="1"/>
  <c r="N134" i="85" s="1"/>
  <c r="M70" i="85" a="1"/>
  <c r="M70" i="85" s="1"/>
  <c r="M134" i="85" s="1"/>
  <c r="L70" i="85" a="1"/>
  <c r="L70" i="85" s="1"/>
  <c r="L134" i="85" s="1"/>
  <c r="K70" i="85" a="1"/>
  <c r="K70" i="85" s="1"/>
  <c r="K134" i="85" s="1"/>
  <c r="J70" i="85" a="1"/>
  <c r="J70" i="85" s="1"/>
  <c r="J134" i="85" s="1"/>
  <c r="I70" i="85" a="1"/>
  <c r="I70" i="85" s="1"/>
  <c r="I134" i="85" s="1"/>
  <c r="H70" i="85" a="1"/>
  <c r="H70" i="85" s="1"/>
  <c r="H134" i="85" s="1"/>
  <c r="G70" i="85" a="1"/>
  <c r="G70" i="85" s="1"/>
  <c r="G134" i="85" s="1"/>
  <c r="F70" i="85" a="1"/>
  <c r="F70" i="85" s="1"/>
  <c r="F134" i="85" s="1"/>
  <c r="E70" i="85" a="1"/>
  <c r="E70" i="85" s="1"/>
  <c r="E134" i="85" s="1"/>
  <c r="D70" i="85" a="1"/>
  <c r="D70" i="85" s="1"/>
  <c r="P69" i="85" a="1"/>
  <c r="P69" i="85" s="1"/>
  <c r="P133" i="85" s="1"/>
  <c r="O69" i="85" a="1"/>
  <c r="O69" i="85" s="1"/>
  <c r="O133" i="85" s="1"/>
  <c r="N69" i="85" a="1"/>
  <c r="N69" i="85" s="1"/>
  <c r="N133" i="85" s="1"/>
  <c r="M69" i="85" a="1"/>
  <c r="M69" i="85" s="1"/>
  <c r="M133" i="85" s="1"/>
  <c r="L69" i="85" a="1"/>
  <c r="L69" i="85" s="1"/>
  <c r="L133" i="85" s="1"/>
  <c r="K69" i="85" a="1"/>
  <c r="K69" i="85" s="1"/>
  <c r="K133" i="85" s="1"/>
  <c r="J69" i="85" a="1"/>
  <c r="J69" i="85" s="1"/>
  <c r="J133" i="85" s="1"/>
  <c r="I69" i="85" a="1"/>
  <c r="I69" i="85" s="1"/>
  <c r="I133" i="85" s="1"/>
  <c r="H69" i="85" a="1"/>
  <c r="H69" i="85" s="1"/>
  <c r="H133" i="85" s="1"/>
  <c r="G69" i="85" a="1"/>
  <c r="G69" i="85" s="1"/>
  <c r="G133" i="85" s="1"/>
  <c r="F69" i="85" a="1"/>
  <c r="F69" i="85" s="1"/>
  <c r="F133" i="85" s="1"/>
  <c r="E69" i="85" a="1"/>
  <c r="E69" i="85" s="1"/>
  <c r="E133" i="85" s="1"/>
  <c r="D69" i="85" a="1"/>
  <c r="D69" i="85" s="1"/>
  <c r="P68" i="85" a="1"/>
  <c r="P68" i="85" s="1"/>
  <c r="P132" i="85" s="1"/>
  <c r="O68" i="85" a="1"/>
  <c r="O68" i="85" s="1"/>
  <c r="O132" i="85" s="1"/>
  <c r="N68" i="85" a="1"/>
  <c r="N68" i="85" s="1"/>
  <c r="N132" i="85" s="1"/>
  <c r="M68" i="85" a="1"/>
  <c r="M68" i="85" s="1"/>
  <c r="M132" i="85" s="1"/>
  <c r="L68" i="85" a="1"/>
  <c r="L68" i="85" s="1"/>
  <c r="L132" i="85" s="1"/>
  <c r="K68" i="85" a="1"/>
  <c r="K68" i="85" s="1"/>
  <c r="K132" i="85" s="1"/>
  <c r="J68" i="85" a="1"/>
  <c r="J68" i="85" s="1"/>
  <c r="J132" i="85" s="1"/>
  <c r="I68" i="85" a="1"/>
  <c r="I68" i="85" s="1"/>
  <c r="I132" i="85" s="1"/>
  <c r="H68" i="85" a="1"/>
  <c r="H68" i="85" s="1"/>
  <c r="H132" i="85" s="1"/>
  <c r="G68" i="85" a="1"/>
  <c r="G68" i="85" s="1"/>
  <c r="G132" i="85" s="1"/>
  <c r="F68" i="85" a="1"/>
  <c r="F68" i="85" s="1"/>
  <c r="F132" i="85" s="1"/>
  <c r="E68" i="85" a="1"/>
  <c r="E68" i="85" s="1"/>
  <c r="E132" i="85" s="1"/>
  <c r="D68" i="85" a="1"/>
  <c r="D68" i="85" s="1"/>
  <c r="P67" i="85" a="1"/>
  <c r="P67" i="85" s="1"/>
  <c r="P131" i="85" s="1"/>
  <c r="O67" i="85" a="1"/>
  <c r="O67" i="85" s="1"/>
  <c r="O131" i="85" s="1"/>
  <c r="N67" i="85" a="1"/>
  <c r="N67" i="85" s="1"/>
  <c r="N131" i="85" s="1"/>
  <c r="M67" i="85" a="1"/>
  <c r="M67" i="85" s="1"/>
  <c r="M131" i="85" s="1"/>
  <c r="L67" i="85" a="1"/>
  <c r="L67" i="85" s="1"/>
  <c r="L131" i="85" s="1"/>
  <c r="K67" i="85" a="1"/>
  <c r="K67" i="85" s="1"/>
  <c r="K131" i="85" s="1"/>
  <c r="J67" i="85" a="1"/>
  <c r="J67" i="85" s="1"/>
  <c r="J131" i="85" s="1"/>
  <c r="I67" i="85" a="1"/>
  <c r="I67" i="85" s="1"/>
  <c r="I131" i="85" s="1"/>
  <c r="H67" i="85" a="1"/>
  <c r="H67" i="85" s="1"/>
  <c r="H131" i="85" s="1"/>
  <c r="G67" i="85" a="1"/>
  <c r="G67" i="85" s="1"/>
  <c r="G131" i="85" s="1"/>
  <c r="F67" i="85" a="1"/>
  <c r="F67" i="85" s="1"/>
  <c r="F131" i="85" s="1"/>
  <c r="E67" i="85" a="1"/>
  <c r="E67" i="85" s="1"/>
  <c r="E131" i="85" s="1"/>
  <c r="D67" i="85" a="1"/>
  <c r="D67" i="85" s="1"/>
  <c r="P66" i="85" a="1"/>
  <c r="P66" i="85" s="1"/>
  <c r="P130" i="85" s="1"/>
  <c r="O66" i="85" a="1"/>
  <c r="O66" i="85" s="1"/>
  <c r="O130" i="85" s="1"/>
  <c r="N66" i="85" a="1"/>
  <c r="N66" i="85" s="1"/>
  <c r="N130" i="85" s="1"/>
  <c r="M66" i="85" a="1"/>
  <c r="M66" i="85" s="1"/>
  <c r="M130" i="85" s="1"/>
  <c r="L66" i="85" a="1"/>
  <c r="L66" i="85" s="1"/>
  <c r="L130" i="85" s="1"/>
  <c r="K66" i="85" a="1"/>
  <c r="K66" i="85" s="1"/>
  <c r="K130" i="85" s="1"/>
  <c r="J66" i="85" a="1"/>
  <c r="J66" i="85" s="1"/>
  <c r="J130" i="85" s="1"/>
  <c r="I66" i="85" a="1"/>
  <c r="I66" i="85" s="1"/>
  <c r="I130" i="85" s="1"/>
  <c r="H66" i="85" a="1"/>
  <c r="H66" i="85" s="1"/>
  <c r="H130" i="85" s="1"/>
  <c r="G66" i="85" a="1"/>
  <c r="G66" i="85" s="1"/>
  <c r="G130" i="85" s="1"/>
  <c r="F66" i="85" a="1"/>
  <c r="F66" i="85" s="1"/>
  <c r="F130" i="85" s="1"/>
  <c r="E66" i="85" a="1"/>
  <c r="E66" i="85" s="1"/>
  <c r="E130" i="85" s="1"/>
  <c r="D66" i="85" a="1"/>
  <c r="D66" i="85" s="1"/>
  <c r="P65" i="85" a="1"/>
  <c r="P65" i="85" s="1"/>
  <c r="P129" i="85" s="1"/>
  <c r="O65" i="85" a="1"/>
  <c r="O65" i="85" s="1"/>
  <c r="O129" i="85" s="1"/>
  <c r="N65" i="85" a="1"/>
  <c r="N65" i="85" s="1"/>
  <c r="N129" i="85" s="1"/>
  <c r="M65" i="85" a="1"/>
  <c r="M65" i="85" s="1"/>
  <c r="M129" i="85" s="1"/>
  <c r="L65" i="85" a="1"/>
  <c r="L65" i="85" s="1"/>
  <c r="L129" i="85" s="1"/>
  <c r="K65" i="85" a="1"/>
  <c r="K65" i="85" s="1"/>
  <c r="K129" i="85" s="1"/>
  <c r="J65" i="85" a="1"/>
  <c r="J65" i="85" s="1"/>
  <c r="J129" i="85" s="1"/>
  <c r="I65" i="85" a="1"/>
  <c r="I65" i="85" s="1"/>
  <c r="I129" i="85" s="1"/>
  <c r="H65" i="85" a="1"/>
  <c r="H65" i="85" s="1"/>
  <c r="H129" i="85" s="1"/>
  <c r="G65" i="85" a="1"/>
  <c r="G65" i="85" s="1"/>
  <c r="G129" i="85" s="1"/>
  <c r="F65" i="85" a="1"/>
  <c r="F65" i="85" s="1"/>
  <c r="F129" i="85" s="1"/>
  <c r="E65" i="85" a="1"/>
  <c r="E65" i="85" s="1"/>
  <c r="E129" i="85" s="1"/>
  <c r="D65" i="85" a="1"/>
  <c r="D65" i="85" s="1"/>
  <c r="P64" i="85" a="1"/>
  <c r="P64" i="85" s="1"/>
  <c r="P128" i="85" s="1"/>
  <c r="O64" i="85" a="1"/>
  <c r="O64" i="85" s="1"/>
  <c r="O128" i="85" s="1"/>
  <c r="N64" i="85" a="1"/>
  <c r="N64" i="85" s="1"/>
  <c r="N128" i="85" s="1"/>
  <c r="M64" i="85" a="1"/>
  <c r="M64" i="85" s="1"/>
  <c r="M128" i="85" s="1"/>
  <c r="L64" i="85" a="1"/>
  <c r="L64" i="85" s="1"/>
  <c r="L128" i="85" s="1"/>
  <c r="K64" i="85" a="1"/>
  <c r="K64" i="85" s="1"/>
  <c r="K128" i="85" s="1"/>
  <c r="J64" i="85" a="1"/>
  <c r="J64" i="85" s="1"/>
  <c r="J128" i="85" s="1"/>
  <c r="I64" i="85" a="1"/>
  <c r="I64" i="85" s="1"/>
  <c r="I128" i="85" s="1"/>
  <c r="H64" i="85" a="1"/>
  <c r="H64" i="85" s="1"/>
  <c r="H128" i="85" s="1"/>
  <c r="G64" i="85" a="1"/>
  <c r="G64" i="85" s="1"/>
  <c r="G128" i="85" s="1"/>
  <c r="F64" i="85" a="1"/>
  <c r="F64" i="85" s="1"/>
  <c r="F128" i="85" s="1"/>
  <c r="E64" i="85" a="1"/>
  <c r="E64" i="85" s="1"/>
  <c r="E128" i="85" s="1"/>
  <c r="D64" i="85" a="1"/>
  <c r="D64" i="85" s="1"/>
  <c r="P63" i="85" a="1"/>
  <c r="P63" i="85" s="1"/>
  <c r="P127" i="85" s="1"/>
  <c r="O63" i="85" a="1"/>
  <c r="O63" i="85" s="1"/>
  <c r="O127" i="85" s="1"/>
  <c r="N63" i="85" a="1"/>
  <c r="N63" i="85" s="1"/>
  <c r="N127" i="85" s="1"/>
  <c r="M63" i="85" a="1"/>
  <c r="M63" i="85" s="1"/>
  <c r="M127" i="85" s="1"/>
  <c r="L63" i="85" a="1"/>
  <c r="L63" i="85" s="1"/>
  <c r="L127" i="85" s="1"/>
  <c r="K63" i="85" a="1"/>
  <c r="K63" i="85" s="1"/>
  <c r="K127" i="85" s="1"/>
  <c r="J63" i="85" a="1"/>
  <c r="J63" i="85" s="1"/>
  <c r="J127" i="85" s="1"/>
  <c r="I63" i="85" a="1"/>
  <c r="I63" i="85" s="1"/>
  <c r="I127" i="85" s="1"/>
  <c r="H63" i="85" a="1"/>
  <c r="H63" i="85" s="1"/>
  <c r="H127" i="85" s="1"/>
  <c r="G63" i="85" a="1"/>
  <c r="G63" i="85" s="1"/>
  <c r="G127" i="85" s="1"/>
  <c r="F63" i="85" a="1"/>
  <c r="F63" i="85" s="1"/>
  <c r="F127" i="85" s="1"/>
  <c r="E63" i="85" a="1"/>
  <c r="E63" i="85" s="1"/>
  <c r="E127" i="85" s="1"/>
  <c r="D63" i="85" a="1"/>
  <c r="D63" i="85" s="1"/>
  <c r="P62" i="85" a="1"/>
  <c r="P62" i="85" s="1"/>
  <c r="P126" i="85" s="1"/>
  <c r="O62" i="85" a="1"/>
  <c r="O62" i="85" s="1"/>
  <c r="O126" i="85" s="1"/>
  <c r="N62" i="85" a="1"/>
  <c r="N62" i="85" s="1"/>
  <c r="N126" i="85" s="1"/>
  <c r="M62" i="85" a="1"/>
  <c r="M62" i="85" s="1"/>
  <c r="M126" i="85" s="1"/>
  <c r="L62" i="85" a="1"/>
  <c r="L62" i="85" s="1"/>
  <c r="L126" i="85" s="1"/>
  <c r="K62" i="85" a="1"/>
  <c r="K62" i="85" s="1"/>
  <c r="K126" i="85" s="1"/>
  <c r="J62" i="85" a="1"/>
  <c r="J62" i="85" s="1"/>
  <c r="J126" i="85" s="1"/>
  <c r="I62" i="85" a="1"/>
  <c r="I62" i="85" s="1"/>
  <c r="I126" i="85" s="1"/>
  <c r="H62" i="85" a="1"/>
  <c r="H62" i="85" s="1"/>
  <c r="H126" i="85" s="1"/>
  <c r="G62" i="85" a="1"/>
  <c r="G62" i="85" s="1"/>
  <c r="G126" i="85" s="1"/>
  <c r="F62" i="85" a="1"/>
  <c r="F62" i="85" s="1"/>
  <c r="F126" i="85" s="1"/>
  <c r="E62" i="85" a="1"/>
  <c r="E62" i="85" s="1"/>
  <c r="E126" i="85" s="1"/>
  <c r="D62" i="85" a="1"/>
  <c r="D62" i="85" s="1"/>
  <c r="P61" i="85" a="1"/>
  <c r="P61" i="85" s="1"/>
  <c r="P125" i="85" s="1"/>
  <c r="O61" i="85" a="1"/>
  <c r="O61" i="85" s="1"/>
  <c r="O125" i="85" s="1"/>
  <c r="N61" i="85" a="1"/>
  <c r="N61" i="85" s="1"/>
  <c r="N125" i="85" s="1"/>
  <c r="M61" i="85" a="1"/>
  <c r="M61" i="85" s="1"/>
  <c r="M125" i="85" s="1"/>
  <c r="L61" i="85" a="1"/>
  <c r="L61" i="85" s="1"/>
  <c r="L125" i="85" s="1"/>
  <c r="K61" i="85" a="1"/>
  <c r="K61" i="85" s="1"/>
  <c r="K125" i="85" s="1"/>
  <c r="J61" i="85" a="1"/>
  <c r="J61" i="85" s="1"/>
  <c r="J125" i="85" s="1"/>
  <c r="I61" i="85" a="1"/>
  <c r="I61" i="85" s="1"/>
  <c r="I125" i="85" s="1"/>
  <c r="H61" i="85" a="1"/>
  <c r="H61" i="85" s="1"/>
  <c r="H125" i="85" s="1"/>
  <c r="G61" i="85" a="1"/>
  <c r="G61" i="85" s="1"/>
  <c r="G125" i="85" s="1"/>
  <c r="F61" i="85" a="1"/>
  <c r="F61" i="85" s="1"/>
  <c r="F125" i="85" s="1"/>
  <c r="E61" i="85" a="1"/>
  <c r="E61" i="85" s="1"/>
  <c r="E125" i="85" s="1"/>
  <c r="D61" i="85" a="1"/>
  <c r="D61" i="85" s="1"/>
  <c r="P60" i="85" a="1"/>
  <c r="P60" i="85" s="1"/>
  <c r="P124" i="85" s="1"/>
  <c r="O60" i="85" a="1"/>
  <c r="O60" i="85" s="1"/>
  <c r="O124" i="85" s="1"/>
  <c r="N60" i="85" a="1"/>
  <c r="N60" i="85" s="1"/>
  <c r="N124" i="85" s="1"/>
  <c r="M60" i="85" a="1"/>
  <c r="M60" i="85" s="1"/>
  <c r="M124" i="85" s="1"/>
  <c r="L60" i="85" a="1"/>
  <c r="L60" i="85" s="1"/>
  <c r="L124" i="85" s="1"/>
  <c r="K60" i="85" a="1"/>
  <c r="K60" i="85" s="1"/>
  <c r="K124" i="85" s="1"/>
  <c r="J60" i="85" a="1"/>
  <c r="J60" i="85" s="1"/>
  <c r="J124" i="85" s="1"/>
  <c r="I60" i="85" a="1"/>
  <c r="I60" i="85" s="1"/>
  <c r="I124" i="85" s="1"/>
  <c r="H60" i="85" a="1"/>
  <c r="H60" i="85" s="1"/>
  <c r="H124" i="85" s="1"/>
  <c r="G60" i="85" a="1"/>
  <c r="G60" i="85" s="1"/>
  <c r="G124" i="85" s="1"/>
  <c r="F60" i="85" a="1"/>
  <c r="F60" i="85" s="1"/>
  <c r="F124" i="85" s="1"/>
  <c r="E60" i="85" a="1"/>
  <c r="E60" i="85" s="1"/>
  <c r="E124" i="85" s="1"/>
  <c r="D60" i="85" a="1"/>
  <c r="D60" i="85" s="1"/>
  <c r="P59" i="85" a="1"/>
  <c r="P59" i="85" s="1"/>
  <c r="P123" i="85" s="1"/>
  <c r="O59" i="85" a="1"/>
  <c r="O59" i="85" s="1"/>
  <c r="O123" i="85" s="1"/>
  <c r="N59" i="85" a="1"/>
  <c r="N59" i="85" s="1"/>
  <c r="N123" i="85" s="1"/>
  <c r="M59" i="85" a="1"/>
  <c r="M59" i="85" s="1"/>
  <c r="M123" i="85" s="1"/>
  <c r="L59" i="85" a="1"/>
  <c r="L59" i="85" s="1"/>
  <c r="L123" i="85" s="1"/>
  <c r="K59" i="85" a="1"/>
  <c r="K59" i="85" s="1"/>
  <c r="K123" i="85" s="1"/>
  <c r="J59" i="85" a="1"/>
  <c r="J59" i="85" s="1"/>
  <c r="J123" i="85" s="1"/>
  <c r="I59" i="85" a="1"/>
  <c r="I59" i="85" s="1"/>
  <c r="I123" i="85" s="1"/>
  <c r="H59" i="85" a="1"/>
  <c r="H59" i="85" s="1"/>
  <c r="H123" i="85" s="1"/>
  <c r="G59" i="85" a="1"/>
  <c r="G59" i="85" s="1"/>
  <c r="G123" i="85" s="1"/>
  <c r="F59" i="85" a="1"/>
  <c r="F59" i="85" s="1"/>
  <c r="F123" i="85" s="1"/>
  <c r="E59" i="85" a="1"/>
  <c r="E59" i="85" s="1"/>
  <c r="E123" i="85" s="1"/>
  <c r="D59" i="85" a="1"/>
  <c r="D59" i="85" s="1"/>
  <c r="P58" i="85" a="1"/>
  <c r="P58" i="85" s="1"/>
  <c r="P122" i="85" s="1"/>
  <c r="O58" i="85" a="1"/>
  <c r="O58" i="85" s="1"/>
  <c r="O122" i="85" s="1"/>
  <c r="N58" i="85" a="1"/>
  <c r="N58" i="85" s="1"/>
  <c r="N122" i="85" s="1"/>
  <c r="M58" i="85" a="1"/>
  <c r="M58" i="85" s="1"/>
  <c r="M122" i="85" s="1"/>
  <c r="L58" i="85" a="1"/>
  <c r="L58" i="85" s="1"/>
  <c r="L122" i="85" s="1"/>
  <c r="K58" i="85" a="1"/>
  <c r="K58" i="85" s="1"/>
  <c r="K122" i="85" s="1"/>
  <c r="J58" i="85" a="1"/>
  <c r="J58" i="85" s="1"/>
  <c r="J122" i="85" s="1"/>
  <c r="I58" i="85" a="1"/>
  <c r="I58" i="85" s="1"/>
  <c r="I122" i="85" s="1"/>
  <c r="H58" i="85" a="1"/>
  <c r="H58" i="85" s="1"/>
  <c r="H122" i="85" s="1"/>
  <c r="G58" i="85" a="1"/>
  <c r="G58" i="85" s="1"/>
  <c r="G122" i="85" s="1"/>
  <c r="F58" i="85" a="1"/>
  <c r="F58" i="85" s="1"/>
  <c r="F122" i="85" s="1"/>
  <c r="E58" i="85" a="1"/>
  <c r="E58" i="85" s="1"/>
  <c r="E122" i="85" s="1"/>
  <c r="D58" i="85" a="1"/>
  <c r="D58" i="85" s="1"/>
  <c r="P57" i="85" a="1"/>
  <c r="P57" i="85" s="1"/>
  <c r="P121" i="85" s="1"/>
  <c r="O57" i="85" a="1"/>
  <c r="O57" i="85" s="1"/>
  <c r="O121" i="85" s="1"/>
  <c r="N57" i="85" a="1"/>
  <c r="N57" i="85" s="1"/>
  <c r="N121" i="85" s="1"/>
  <c r="M57" i="85" a="1"/>
  <c r="M57" i="85" s="1"/>
  <c r="M121" i="85" s="1"/>
  <c r="L57" i="85" a="1"/>
  <c r="L57" i="85" s="1"/>
  <c r="L121" i="85" s="1"/>
  <c r="K57" i="85" a="1"/>
  <c r="K57" i="85" s="1"/>
  <c r="K121" i="85" s="1"/>
  <c r="J57" i="85" a="1"/>
  <c r="J57" i="85" s="1"/>
  <c r="J121" i="85" s="1"/>
  <c r="I57" i="85" a="1"/>
  <c r="I57" i="85" s="1"/>
  <c r="I121" i="85" s="1"/>
  <c r="H57" i="85" a="1"/>
  <c r="H57" i="85" s="1"/>
  <c r="H121" i="85" s="1"/>
  <c r="G57" i="85" a="1"/>
  <c r="G57" i="85" s="1"/>
  <c r="G121" i="85" s="1"/>
  <c r="F57" i="85" a="1"/>
  <c r="F57" i="85" s="1"/>
  <c r="F121" i="85" s="1"/>
  <c r="E57" i="85" a="1"/>
  <c r="E57" i="85" s="1"/>
  <c r="E121" i="85" s="1"/>
  <c r="D57" i="85" a="1"/>
  <c r="D57" i="85" s="1"/>
  <c r="P56" i="85" a="1"/>
  <c r="P56" i="85" s="1"/>
  <c r="P120" i="85" s="1"/>
  <c r="O56" i="85" a="1"/>
  <c r="O56" i="85" s="1"/>
  <c r="O120" i="85" s="1"/>
  <c r="N56" i="85" a="1"/>
  <c r="N56" i="85" s="1"/>
  <c r="N120" i="85" s="1"/>
  <c r="M56" i="85" a="1"/>
  <c r="M56" i="85" s="1"/>
  <c r="M120" i="85" s="1"/>
  <c r="L56" i="85" a="1"/>
  <c r="L56" i="85" s="1"/>
  <c r="L120" i="85" s="1"/>
  <c r="K56" i="85" a="1"/>
  <c r="K56" i="85" s="1"/>
  <c r="K120" i="85" s="1"/>
  <c r="J56" i="85" a="1"/>
  <c r="J56" i="85" s="1"/>
  <c r="J120" i="85" s="1"/>
  <c r="I56" i="85" a="1"/>
  <c r="I56" i="85" s="1"/>
  <c r="I120" i="85" s="1"/>
  <c r="H56" i="85" a="1"/>
  <c r="H56" i="85" s="1"/>
  <c r="H120" i="85" s="1"/>
  <c r="G56" i="85" a="1"/>
  <c r="G56" i="85" s="1"/>
  <c r="G120" i="85" s="1"/>
  <c r="F56" i="85" a="1"/>
  <c r="F56" i="85" s="1"/>
  <c r="F120" i="85" s="1"/>
  <c r="E56" i="85" a="1"/>
  <c r="E56" i="85" s="1"/>
  <c r="E120" i="85" s="1"/>
  <c r="D56" i="85" a="1"/>
  <c r="D56" i="85" s="1"/>
  <c r="P55" i="85" a="1"/>
  <c r="P55" i="85" s="1"/>
  <c r="P119" i="85" s="1"/>
  <c r="O55" i="85" a="1"/>
  <c r="O55" i="85" s="1"/>
  <c r="O119" i="85" s="1"/>
  <c r="N55" i="85" a="1"/>
  <c r="N55" i="85" s="1"/>
  <c r="N119" i="85" s="1"/>
  <c r="M55" i="85" a="1"/>
  <c r="M55" i="85" s="1"/>
  <c r="M119" i="85" s="1"/>
  <c r="L55" i="85" a="1"/>
  <c r="L55" i="85" s="1"/>
  <c r="L119" i="85" s="1"/>
  <c r="K55" i="85" a="1"/>
  <c r="K55" i="85" s="1"/>
  <c r="K119" i="85" s="1"/>
  <c r="J55" i="85" a="1"/>
  <c r="J55" i="85" s="1"/>
  <c r="J119" i="85" s="1"/>
  <c r="I55" i="85" a="1"/>
  <c r="I55" i="85" s="1"/>
  <c r="I119" i="85" s="1"/>
  <c r="H55" i="85" a="1"/>
  <c r="H55" i="85" s="1"/>
  <c r="H119" i="85" s="1"/>
  <c r="G55" i="85" a="1"/>
  <c r="G55" i="85" s="1"/>
  <c r="G119" i="85" s="1"/>
  <c r="F55" i="85" a="1"/>
  <c r="F55" i="85" s="1"/>
  <c r="F119" i="85" s="1"/>
  <c r="E55" i="85" a="1"/>
  <c r="E55" i="85" s="1"/>
  <c r="E119" i="85" s="1"/>
  <c r="D55" i="85" a="1"/>
  <c r="D55" i="85" s="1"/>
  <c r="P54" i="85" a="1"/>
  <c r="P54" i="85" s="1"/>
  <c r="P118" i="85" s="1"/>
  <c r="O54" i="85" a="1"/>
  <c r="O54" i="85" s="1"/>
  <c r="O118" i="85" s="1"/>
  <c r="N54" i="85" a="1"/>
  <c r="N54" i="85" s="1"/>
  <c r="N118" i="85" s="1"/>
  <c r="M54" i="85" a="1"/>
  <c r="M54" i="85" s="1"/>
  <c r="M118" i="85" s="1"/>
  <c r="L54" i="85" a="1"/>
  <c r="L54" i="85" s="1"/>
  <c r="L118" i="85" s="1"/>
  <c r="K54" i="85" a="1"/>
  <c r="K54" i="85" s="1"/>
  <c r="K118" i="85" s="1"/>
  <c r="J54" i="85" a="1"/>
  <c r="J54" i="85" s="1"/>
  <c r="J118" i="85" s="1"/>
  <c r="I54" i="85" a="1"/>
  <c r="I54" i="85" s="1"/>
  <c r="I118" i="85" s="1"/>
  <c r="H54" i="85" a="1"/>
  <c r="H54" i="85" s="1"/>
  <c r="H118" i="85" s="1"/>
  <c r="G54" i="85" a="1"/>
  <c r="G54" i="85" s="1"/>
  <c r="G118" i="85" s="1"/>
  <c r="F54" i="85" a="1"/>
  <c r="F54" i="85" s="1"/>
  <c r="F118" i="85" s="1"/>
  <c r="E54" i="85" a="1"/>
  <c r="E54" i="85" s="1"/>
  <c r="E118" i="85" s="1"/>
  <c r="D54" i="85" a="1"/>
  <c r="D54" i="85" s="1"/>
  <c r="D52" i="85" a="1"/>
  <c r="D52" i="85" s="1"/>
  <c r="D51" i="85" a="1"/>
  <c r="D51" i="85" s="1"/>
  <c r="D50" i="85" a="1"/>
  <c r="D50" i="85" s="1"/>
  <c r="D49" i="85" a="1"/>
  <c r="D49" i="85" s="1"/>
  <c r="M46" i="85" a="1"/>
  <c r="M46" i="85" s="1"/>
  <c r="P117" i="85" s="1"/>
  <c r="L46" i="85" a="1"/>
  <c r="L46" i="85" s="1"/>
  <c r="M117" i="85" s="1"/>
  <c r="K46" i="85" a="1"/>
  <c r="K46" i="85" s="1"/>
  <c r="J46" i="85" a="1"/>
  <c r="J46" i="85" s="1"/>
  <c r="J117" i="85" s="1"/>
  <c r="I46" i="85" a="1"/>
  <c r="I46" i="85" s="1"/>
  <c r="I117" i="85" s="1"/>
  <c r="H46" i="85" a="1"/>
  <c r="H46" i="85" s="1"/>
  <c r="H117" i="85" s="1"/>
  <c r="G46" i="85" a="1"/>
  <c r="G46" i="85" s="1"/>
  <c r="G117" i="85" s="1"/>
  <c r="F46" i="85" a="1"/>
  <c r="F46" i="85" s="1"/>
  <c r="F117" i="85" s="1"/>
  <c r="E46" i="85" a="1"/>
  <c r="E46" i="85" s="1"/>
  <c r="E117" i="85" s="1"/>
  <c r="D46" i="85" a="1"/>
  <c r="D46" i="85" s="1"/>
  <c r="M45" i="85" a="1"/>
  <c r="M45" i="85" s="1"/>
  <c r="L45" i="85" a="1"/>
  <c r="L45" i="85" s="1"/>
  <c r="M116" i="85" s="1"/>
  <c r="K45" i="85" a="1"/>
  <c r="K45" i="85" s="1"/>
  <c r="L116" i="85" s="1"/>
  <c r="J45" i="85" a="1"/>
  <c r="J45" i="85" s="1"/>
  <c r="J116" i="85" s="1"/>
  <c r="I45" i="85" a="1"/>
  <c r="I45" i="85" s="1"/>
  <c r="I116" i="85" s="1"/>
  <c r="H45" i="85" a="1"/>
  <c r="H45" i="85" s="1"/>
  <c r="H116" i="85" s="1"/>
  <c r="G45" i="85" a="1"/>
  <c r="G45" i="85" s="1"/>
  <c r="G116" i="85" s="1"/>
  <c r="F45" i="85" a="1"/>
  <c r="F45" i="85" s="1"/>
  <c r="F116" i="85" s="1"/>
  <c r="E45" i="85" a="1"/>
  <c r="E45" i="85" s="1"/>
  <c r="E116" i="85" s="1"/>
  <c r="D45" i="85" a="1"/>
  <c r="D45" i="85" s="1"/>
  <c r="M44" i="85" a="1"/>
  <c r="M44" i="85" s="1"/>
  <c r="P115" i="85" s="1"/>
  <c r="L44" i="85" a="1"/>
  <c r="L44" i="85" s="1"/>
  <c r="M115" i="85" s="1"/>
  <c r="K44" i="85" a="1"/>
  <c r="K44" i="85" s="1"/>
  <c r="J44" i="85" a="1"/>
  <c r="J44" i="85" s="1"/>
  <c r="J115" i="85" s="1"/>
  <c r="I44" i="85" a="1"/>
  <c r="I44" i="85" s="1"/>
  <c r="I115" i="85" s="1"/>
  <c r="H44" i="85" a="1"/>
  <c r="H44" i="85" s="1"/>
  <c r="H115" i="85" s="1"/>
  <c r="G44" i="85" a="1"/>
  <c r="G44" i="85" s="1"/>
  <c r="G115" i="85" s="1"/>
  <c r="F44" i="85" a="1"/>
  <c r="F44" i="85" s="1"/>
  <c r="F115" i="85" s="1"/>
  <c r="E44" i="85" a="1"/>
  <c r="E44" i="85" s="1"/>
  <c r="E115" i="85" s="1"/>
  <c r="D44" i="85" a="1"/>
  <c r="D44" i="85" s="1"/>
  <c r="M43" i="85" a="1"/>
  <c r="M43" i="85" s="1"/>
  <c r="N114" i="85" s="1"/>
  <c r="L43" i="85" a="1"/>
  <c r="L43" i="85" s="1"/>
  <c r="M114" i="85" s="1"/>
  <c r="K43" i="85" a="1"/>
  <c r="K43" i="85" s="1"/>
  <c r="J43" i="85" a="1"/>
  <c r="J43" i="85" s="1"/>
  <c r="J114" i="85" s="1"/>
  <c r="I43" i="85" a="1"/>
  <c r="I43" i="85" s="1"/>
  <c r="I114" i="85" s="1"/>
  <c r="H43" i="85" a="1"/>
  <c r="H43" i="85" s="1"/>
  <c r="H114" i="85" s="1"/>
  <c r="G43" i="85" a="1"/>
  <c r="G43" i="85" s="1"/>
  <c r="G114" i="85" s="1"/>
  <c r="F43" i="85" a="1"/>
  <c r="F43" i="85" s="1"/>
  <c r="F114" i="85" s="1"/>
  <c r="E43" i="85" a="1"/>
  <c r="E43" i="85" s="1"/>
  <c r="E114" i="85" s="1"/>
  <c r="D43" i="85" a="1"/>
  <c r="D43" i="85" s="1"/>
  <c r="M42" i="85" a="1"/>
  <c r="M42" i="85" s="1"/>
  <c r="P113" i="85" s="1"/>
  <c r="L42" i="85" a="1"/>
  <c r="L42" i="85" s="1"/>
  <c r="M113" i="85" s="1"/>
  <c r="K42" i="85" a="1"/>
  <c r="K42" i="85" s="1"/>
  <c r="J42" i="85" a="1"/>
  <c r="J42" i="85" s="1"/>
  <c r="J113" i="85" s="1"/>
  <c r="I42" i="85" a="1"/>
  <c r="I42" i="85" s="1"/>
  <c r="I113" i="85" s="1"/>
  <c r="H42" i="85" a="1"/>
  <c r="H42" i="85" s="1"/>
  <c r="H113" i="85" s="1"/>
  <c r="G42" i="85" a="1"/>
  <c r="G42" i="85" s="1"/>
  <c r="G113" i="85" s="1"/>
  <c r="F42" i="85" a="1"/>
  <c r="F42" i="85" s="1"/>
  <c r="F113" i="85" s="1"/>
  <c r="E42" i="85" a="1"/>
  <c r="E42" i="85" s="1"/>
  <c r="E113" i="85" s="1"/>
  <c r="D42" i="85" a="1"/>
  <c r="D42" i="85" s="1"/>
  <c r="M41" i="85" a="1"/>
  <c r="M41" i="85" s="1"/>
  <c r="L41" i="85" a="1"/>
  <c r="L41" i="85" s="1"/>
  <c r="M112" i="85" s="1"/>
  <c r="K41" i="85" a="1"/>
  <c r="K41" i="85" s="1"/>
  <c r="J41" i="85" a="1"/>
  <c r="J41" i="85" s="1"/>
  <c r="J112" i="85" s="1"/>
  <c r="I41" i="85" a="1"/>
  <c r="I41" i="85" s="1"/>
  <c r="I112" i="85" s="1"/>
  <c r="H41" i="85" a="1"/>
  <c r="H41" i="85" s="1"/>
  <c r="H112" i="85" s="1"/>
  <c r="G41" i="85" a="1"/>
  <c r="G41" i="85" s="1"/>
  <c r="G112" i="85" s="1"/>
  <c r="F41" i="85" a="1"/>
  <c r="F41" i="85" s="1"/>
  <c r="F112" i="85" s="1"/>
  <c r="E41" i="85" a="1"/>
  <c r="E41" i="85" s="1"/>
  <c r="E112" i="85" s="1"/>
  <c r="D41" i="85" a="1"/>
  <c r="D41" i="85" s="1"/>
  <c r="M40" i="85" a="1"/>
  <c r="M40" i="85" s="1"/>
  <c r="L40" i="85" a="1"/>
  <c r="L40" i="85" s="1"/>
  <c r="M111" i="85" s="1"/>
  <c r="K40" i="85" a="1"/>
  <c r="K40" i="85" s="1"/>
  <c r="L111" i="85" s="1"/>
  <c r="J40" i="85" a="1"/>
  <c r="J40" i="85" s="1"/>
  <c r="J111" i="85" s="1"/>
  <c r="I40" i="85" a="1"/>
  <c r="I40" i="85" s="1"/>
  <c r="I111" i="85" s="1"/>
  <c r="H40" i="85" a="1"/>
  <c r="H40" i="85" s="1"/>
  <c r="H111" i="85" s="1"/>
  <c r="G40" i="85" a="1"/>
  <c r="G40" i="85" s="1"/>
  <c r="G111" i="85" s="1"/>
  <c r="F40" i="85" a="1"/>
  <c r="F40" i="85" s="1"/>
  <c r="F111" i="85" s="1"/>
  <c r="E40" i="85" a="1"/>
  <c r="E40" i="85" s="1"/>
  <c r="E111" i="85" s="1"/>
  <c r="D40" i="85" a="1"/>
  <c r="D40" i="85" s="1"/>
  <c r="M39" i="85" a="1"/>
  <c r="M39" i="85" s="1"/>
  <c r="L39" i="85" a="1"/>
  <c r="L39" i="85" s="1"/>
  <c r="M110" i="85" s="1"/>
  <c r="K39" i="85" a="1"/>
  <c r="K39" i="85" s="1"/>
  <c r="J39" i="85" a="1"/>
  <c r="J39" i="85" s="1"/>
  <c r="J110" i="85" s="1"/>
  <c r="I39" i="85" a="1"/>
  <c r="I39" i="85" s="1"/>
  <c r="I110" i="85" s="1"/>
  <c r="H39" i="85" a="1"/>
  <c r="H39" i="85" s="1"/>
  <c r="H110" i="85" s="1"/>
  <c r="G39" i="85" a="1"/>
  <c r="G39" i="85" s="1"/>
  <c r="G110" i="85" s="1"/>
  <c r="F39" i="85" a="1"/>
  <c r="F39" i="85" s="1"/>
  <c r="F110" i="85" s="1"/>
  <c r="E39" i="85" a="1"/>
  <c r="E39" i="85" s="1"/>
  <c r="E110" i="85" s="1"/>
  <c r="D39" i="85" a="1"/>
  <c r="D39" i="85" s="1"/>
  <c r="M38" i="85" a="1"/>
  <c r="M38" i="85" s="1"/>
  <c r="L38" i="85" a="1"/>
  <c r="L38" i="85" s="1"/>
  <c r="M109" i="85" s="1"/>
  <c r="K38" i="85" a="1"/>
  <c r="K38" i="85" s="1"/>
  <c r="J38" i="85" a="1"/>
  <c r="J38" i="85" s="1"/>
  <c r="J109" i="85" s="1"/>
  <c r="I38" i="85" a="1"/>
  <c r="I38" i="85" s="1"/>
  <c r="I109" i="85" s="1"/>
  <c r="H38" i="85" a="1"/>
  <c r="H38" i="85" s="1"/>
  <c r="H109" i="85" s="1"/>
  <c r="G38" i="85" a="1"/>
  <c r="G38" i="85" s="1"/>
  <c r="G109" i="85" s="1"/>
  <c r="F38" i="85" a="1"/>
  <c r="F38" i="85" s="1"/>
  <c r="F109" i="85" s="1"/>
  <c r="E38" i="85" a="1"/>
  <c r="E38" i="85" s="1"/>
  <c r="E109" i="85" s="1"/>
  <c r="D38" i="85" a="1"/>
  <c r="D38" i="85" s="1"/>
  <c r="M37" i="85" a="1"/>
  <c r="M37" i="85" s="1"/>
  <c r="P108" i="85" s="1"/>
  <c r="L37" i="85" a="1"/>
  <c r="L37" i="85" s="1"/>
  <c r="M108" i="85" s="1"/>
  <c r="K37" i="85" a="1"/>
  <c r="K37" i="85" s="1"/>
  <c r="J37" i="85" a="1"/>
  <c r="J37" i="85" s="1"/>
  <c r="J108" i="85" s="1"/>
  <c r="I37" i="85" a="1"/>
  <c r="I37" i="85" s="1"/>
  <c r="I108" i="85" s="1"/>
  <c r="H37" i="85" a="1"/>
  <c r="H37" i="85" s="1"/>
  <c r="H108" i="85" s="1"/>
  <c r="G37" i="85" a="1"/>
  <c r="G37" i="85" s="1"/>
  <c r="G108" i="85" s="1"/>
  <c r="F37" i="85" a="1"/>
  <c r="F37" i="85" s="1"/>
  <c r="F108" i="85" s="1"/>
  <c r="E37" i="85" a="1"/>
  <c r="E37" i="85" s="1"/>
  <c r="E108" i="85" s="1"/>
  <c r="D37" i="85" a="1"/>
  <c r="D37" i="85" s="1"/>
  <c r="M36" i="85" a="1"/>
  <c r="M36" i="85" s="1"/>
  <c r="L36" i="85" a="1"/>
  <c r="L36" i="85" s="1"/>
  <c r="M107" i="85" s="1"/>
  <c r="K36" i="85" a="1"/>
  <c r="K36" i="85" s="1"/>
  <c r="J36" i="85" a="1"/>
  <c r="J36" i="85" s="1"/>
  <c r="J107" i="85" s="1"/>
  <c r="I36" i="85" a="1"/>
  <c r="I36" i="85" s="1"/>
  <c r="I107" i="85" s="1"/>
  <c r="H36" i="85" a="1"/>
  <c r="H36" i="85" s="1"/>
  <c r="H107" i="85" s="1"/>
  <c r="G36" i="85" a="1"/>
  <c r="G36" i="85" s="1"/>
  <c r="G107" i="85" s="1"/>
  <c r="F36" i="85" a="1"/>
  <c r="F36" i="85" s="1"/>
  <c r="F107" i="85" s="1"/>
  <c r="E36" i="85" a="1"/>
  <c r="E36" i="85" s="1"/>
  <c r="E107" i="85" s="1"/>
  <c r="D36" i="85" a="1"/>
  <c r="D36" i="85" s="1"/>
  <c r="M35" i="85" a="1"/>
  <c r="M35" i="85" s="1"/>
  <c r="L35" i="85" a="1"/>
  <c r="L35" i="85" s="1"/>
  <c r="M106" i="85" s="1"/>
  <c r="K35" i="85" a="1"/>
  <c r="K35" i="85" s="1"/>
  <c r="J35" i="85" a="1"/>
  <c r="J35" i="85" s="1"/>
  <c r="J106" i="85" s="1"/>
  <c r="I35" i="85" a="1"/>
  <c r="I35" i="85" s="1"/>
  <c r="I106" i="85" s="1"/>
  <c r="H35" i="85" a="1"/>
  <c r="H35" i="85" s="1"/>
  <c r="H106" i="85" s="1"/>
  <c r="G35" i="85" a="1"/>
  <c r="G35" i="85" s="1"/>
  <c r="G106" i="85" s="1"/>
  <c r="F35" i="85" a="1"/>
  <c r="F35" i="85" s="1"/>
  <c r="E35" i="85" a="1"/>
  <c r="E35" i="85" s="1"/>
  <c r="E106" i="85" s="1"/>
  <c r="D35" i="85" a="1"/>
  <c r="D35" i="85" s="1"/>
  <c r="M34" i="85" a="1"/>
  <c r="M34" i="85" s="1"/>
  <c r="L34" i="85" a="1"/>
  <c r="L34" i="85" s="1"/>
  <c r="M105" i="85" s="1"/>
  <c r="K34" i="85" a="1"/>
  <c r="K34" i="85" s="1"/>
  <c r="J34" i="85" a="1"/>
  <c r="J34" i="85" s="1"/>
  <c r="J105" i="85" s="1"/>
  <c r="I34" i="85" a="1"/>
  <c r="I34" i="85" s="1"/>
  <c r="I105" i="85" s="1"/>
  <c r="H34" i="85" a="1"/>
  <c r="H34" i="85" s="1"/>
  <c r="H105" i="85" s="1"/>
  <c r="G34" i="85" a="1"/>
  <c r="G34" i="85" s="1"/>
  <c r="G105" i="85" s="1"/>
  <c r="F34" i="85" a="1"/>
  <c r="F34" i="85" s="1"/>
  <c r="E34" i="85" a="1"/>
  <c r="E34" i="85" s="1"/>
  <c r="D34" i="85" a="1"/>
  <c r="D34" i="85" s="1"/>
  <c r="M33" i="85" a="1"/>
  <c r="M33" i="85" s="1"/>
  <c r="L33" i="85" a="1"/>
  <c r="L33" i="85" s="1"/>
  <c r="M104" i="85" s="1"/>
  <c r="K33" i="85" a="1"/>
  <c r="K33" i="85" s="1"/>
  <c r="L104" i="85" s="1"/>
  <c r="J33" i="85" a="1"/>
  <c r="J33" i="85" s="1"/>
  <c r="J104" i="85" s="1"/>
  <c r="I33" i="85" a="1"/>
  <c r="I33" i="85" s="1"/>
  <c r="I104" i="85" s="1"/>
  <c r="H33" i="85" a="1"/>
  <c r="H33" i="85" s="1"/>
  <c r="H104" i="85" s="1"/>
  <c r="G33" i="85" a="1"/>
  <c r="G33" i="85" s="1"/>
  <c r="G104" i="85" s="1"/>
  <c r="F33" i="85" a="1"/>
  <c r="F33" i="85" s="1"/>
  <c r="E33" i="85" a="1"/>
  <c r="E33" i="85" s="1"/>
  <c r="D33" i="85" a="1"/>
  <c r="D33" i="85" s="1"/>
  <c r="M32" i="85" a="1"/>
  <c r="M32" i="85" s="1"/>
  <c r="L32" i="85" a="1"/>
  <c r="L32" i="85" s="1"/>
  <c r="M103" i="85" s="1"/>
  <c r="K32" i="85" a="1"/>
  <c r="K32" i="85" s="1"/>
  <c r="J32" i="85" a="1"/>
  <c r="J32" i="85" s="1"/>
  <c r="J103" i="85" s="1"/>
  <c r="I32" i="85" a="1"/>
  <c r="I32" i="85" s="1"/>
  <c r="I103" i="85" s="1"/>
  <c r="H32" i="85" a="1"/>
  <c r="H32" i="85" s="1"/>
  <c r="H103" i="85" s="1"/>
  <c r="G32" i="85" a="1"/>
  <c r="G32" i="85" s="1"/>
  <c r="G103" i="85" s="1"/>
  <c r="F32" i="85" a="1"/>
  <c r="F32" i="85" s="1"/>
  <c r="E32" i="85" a="1"/>
  <c r="E32" i="85" s="1"/>
  <c r="D32" i="85" a="1"/>
  <c r="D32" i="85" s="1"/>
  <c r="M31" i="85" a="1"/>
  <c r="M31" i="85" s="1"/>
  <c r="L31" i="85" a="1"/>
  <c r="L31" i="85" s="1"/>
  <c r="M102" i="85" s="1"/>
  <c r="K31" i="85" a="1"/>
  <c r="K31" i="85" s="1"/>
  <c r="J31" i="85" a="1"/>
  <c r="J31" i="85" s="1"/>
  <c r="J102" i="85" s="1"/>
  <c r="I31" i="85" a="1"/>
  <c r="I31" i="85" s="1"/>
  <c r="I102" i="85" s="1"/>
  <c r="H31" i="85" a="1"/>
  <c r="H31" i="85" s="1"/>
  <c r="H102" i="85" s="1"/>
  <c r="G31" i="85" a="1"/>
  <c r="G31" i="85" s="1"/>
  <c r="G102" i="85" s="1"/>
  <c r="F31" i="85" a="1"/>
  <c r="F31" i="85" s="1"/>
  <c r="F98" i="85" s="1"/>
  <c r="E31" i="85" a="1"/>
  <c r="E31" i="85" s="1"/>
  <c r="D31" i="85" a="1"/>
  <c r="D31" i="85" s="1"/>
  <c r="M30" i="85" a="1"/>
  <c r="M30" i="85" s="1"/>
  <c r="O101" i="85" s="1"/>
  <c r="L30" i="85" a="1"/>
  <c r="L30" i="85" s="1"/>
  <c r="M101" i="85" s="1"/>
  <c r="K30" i="85" a="1"/>
  <c r="K30" i="85" s="1"/>
  <c r="J30" i="85" a="1"/>
  <c r="J30" i="85" s="1"/>
  <c r="J101" i="85" s="1"/>
  <c r="I30" i="85" a="1"/>
  <c r="I30" i="85" s="1"/>
  <c r="I101" i="85" s="1"/>
  <c r="H30" i="85" a="1"/>
  <c r="H30" i="85" s="1"/>
  <c r="H101" i="85" s="1"/>
  <c r="G30" i="85" a="1"/>
  <c r="G30" i="85" s="1"/>
  <c r="G101" i="85" s="1"/>
  <c r="F30" i="85" a="1"/>
  <c r="F30" i="85" s="1"/>
  <c r="E30" i="85" a="1"/>
  <c r="E30" i="85" s="1"/>
  <c r="D30" i="85" a="1"/>
  <c r="D30" i="85" s="1"/>
  <c r="M29" i="85" a="1"/>
  <c r="M29" i="85" s="1"/>
  <c r="L29" i="85" a="1"/>
  <c r="L29" i="85" s="1"/>
  <c r="M100" i="85" s="1"/>
  <c r="K29" i="85" a="1"/>
  <c r="K29" i="85" s="1"/>
  <c r="J29" i="85" a="1"/>
  <c r="J29" i="85" s="1"/>
  <c r="J100" i="85" s="1"/>
  <c r="I29" i="85" a="1"/>
  <c r="I29" i="85" s="1"/>
  <c r="I100" i="85" s="1"/>
  <c r="H29" i="85" a="1"/>
  <c r="H29" i="85" s="1"/>
  <c r="H100" i="85" s="1"/>
  <c r="G29" i="85" a="1"/>
  <c r="G29" i="85" s="1"/>
  <c r="G100" i="85" s="1"/>
  <c r="F29" i="85" a="1"/>
  <c r="F29" i="85" s="1"/>
  <c r="E29" i="85" a="1"/>
  <c r="E29" i="85" s="1"/>
  <c r="D29" i="85" a="1"/>
  <c r="D29" i="85" s="1"/>
  <c r="M28" i="85" a="1"/>
  <c r="M28" i="85" s="1"/>
  <c r="L28" i="85" a="1"/>
  <c r="L28" i="85" s="1"/>
  <c r="M99" i="85" s="1"/>
  <c r="K28" i="85" a="1"/>
  <c r="K28" i="85" s="1"/>
  <c r="J28" i="85" a="1"/>
  <c r="J28" i="85" s="1"/>
  <c r="J99" i="85" s="1"/>
  <c r="I28" i="85" a="1"/>
  <c r="I28" i="85" s="1"/>
  <c r="I99" i="85" s="1"/>
  <c r="H28" i="85" a="1"/>
  <c r="H28" i="85" s="1"/>
  <c r="H99" i="85" s="1"/>
  <c r="G28" i="85" a="1"/>
  <c r="G28" i="85" s="1"/>
  <c r="G99" i="85" s="1"/>
  <c r="F28" i="85" a="1"/>
  <c r="F28" i="85" s="1"/>
  <c r="E28" i="85" a="1"/>
  <c r="E28" i="85" s="1"/>
  <c r="D28" i="85" a="1"/>
  <c r="D28" i="85" s="1"/>
  <c r="M27" i="85" a="1"/>
  <c r="M27" i="85" s="1"/>
  <c r="L27" i="85" a="1"/>
  <c r="L27" i="85" s="1"/>
  <c r="M98" i="85" s="1"/>
  <c r="K27" i="85" a="1"/>
  <c r="K27" i="85" s="1"/>
  <c r="J27" i="85" a="1"/>
  <c r="J27" i="85" s="1"/>
  <c r="J98" i="85" s="1"/>
  <c r="I27" i="85" a="1"/>
  <c r="I27" i="85" s="1"/>
  <c r="I98" i="85" s="1"/>
  <c r="H27" i="85" a="1"/>
  <c r="H27" i="85" s="1"/>
  <c r="H98" i="85" s="1"/>
  <c r="G27" i="85" a="1"/>
  <c r="G27" i="85" s="1"/>
  <c r="G98" i="85" s="1"/>
  <c r="F27" i="85" a="1"/>
  <c r="F27" i="85" s="1"/>
  <c r="F94" i="85" s="1"/>
  <c r="E27" i="85" a="1"/>
  <c r="E27" i="85" s="1"/>
  <c r="D27" i="85" a="1"/>
  <c r="D27" i="85" s="1"/>
  <c r="M26" i="85" a="1"/>
  <c r="M26" i="85" s="1"/>
  <c r="L26" i="85" a="1"/>
  <c r="L26" i="85" s="1"/>
  <c r="M97" i="85" s="1"/>
  <c r="K26" i="85" a="1"/>
  <c r="K26" i="85" s="1"/>
  <c r="L97" i="85" s="1"/>
  <c r="J26" i="85" a="1"/>
  <c r="J26" i="85" s="1"/>
  <c r="J97" i="85" s="1"/>
  <c r="I26" i="85" a="1"/>
  <c r="I26" i="85" s="1"/>
  <c r="I97" i="85" s="1"/>
  <c r="H26" i="85" a="1"/>
  <c r="H26" i="85" s="1"/>
  <c r="H97" i="85" s="1"/>
  <c r="G26" i="85" a="1"/>
  <c r="G26" i="85" s="1"/>
  <c r="G97" i="85" s="1"/>
  <c r="F26" i="85" a="1"/>
  <c r="F26" i="85" s="1"/>
  <c r="E26" i="85" a="1"/>
  <c r="E26" i="85" s="1"/>
  <c r="D26" i="85" a="1"/>
  <c r="D26" i="85" s="1"/>
  <c r="M25" i="85" a="1"/>
  <c r="M25" i="85" s="1"/>
  <c r="L25" i="85" a="1"/>
  <c r="L25" i="85" s="1"/>
  <c r="M96" i="85" s="1"/>
  <c r="K25" i="85" a="1"/>
  <c r="K25" i="85" s="1"/>
  <c r="J25" i="85" a="1"/>
  <c r="J25" i="85" s="1"/>
  <c r="J96" i="85" s="1"/>
  <c r="I25" i="85" a="1"/>
  <c r="I25" i="85" s="1"/>
  <c r="I96" i="85" s="1"/>
  <c r="H25" i="85" a="1"/>
  <c r="H25" i="85" s="1"/>
  <c r="H96" i="85" s="1"/>
  <c r="G25" i="85" a="1"/>
  <c r="G25" i="85" s="1"/>
  <c r="G96" i="85" s="1"/>
  <c r="F25" i="85" a="1"/>
  <c r="F25" i="85" s="1"/>
  <c r="E25" i="85" a="1"/>
  <c r="E25" i="85" s="1"/>
  <c r="D25" i="85" a="1"/>
  <c r="D25" i="85" s="1"/>
  <c r="M24" i="85" a="1"/>
  <c r="M24" i="85" s="1"/>
  <c r="L24" i="85" a="1"/>
  <c r="L24" i="85" s="1"/>
  <c r="M95" i="85" s="1"/>
  <c r="K24" i="85" a="1"/>
  <c r="K24" i="85" s="1"/>
  <c r="J24" i="85" a="1"/>
  <c r="J24" i="85" s="1"/>
  <c r="J95" i="85" s="1"/>
  <c r="I24" i="85" a="1"/>
  <c r="I24" i="85" s="1"/>
  <c r="I95" i="85" s="1"/>
  <c r="H24" i="85" a="1"/>
  <c r="H24" i="85" s="1"/>
  <c r="H95" i="85" s="1"/>
  <c r="G24" i="85" a="1"/>
  <c r="G24" i="85" s="1"/>
  <c r="G95" i="85" s="1"/>
  <c r="F24" i="85" a="1"/>
  <c r="F24" i="85" s="1"/>
  <c r="E24" i="85" a="1"/>
  <c r="E24" i="85" s="1"/>
  <c r="D24" i="85" a="1"/>
  <c r="D24" i="85" s="1"/>
  <c r="M23" i="85" a="1"/>
  <c r="M23" i="85" s="1"/>
  <c r="L23" i="85" a="1"/>
  <c r="L23" i="85" s="1"/>
  <c r="M94" i="85" s="1"/>
  <c r="K23" i="85" a="1"/>
  <c r="K23" i="85" s="1"/>
  <c r="J23" i="85" a="1"/>
  <c r="J23" i="85" s="1"/>
  <c r="J94" i="85" s="1"/>
  <c r="I23" i="85" a="1"/>
  <c r="I23" i="85" s="1"/>
  <c r="I94" i="85" s="1"/>
  <c r="H23" i="85" a="1"/>
  <c r="H23" i="85" s="1"/>
  <c r="H94" i="85" s="1"/>
  <c r="G23" i="85" a="1"/>
  <c r="G23" i="85" s="1"/>
  <c r="G94" i="85" s="1"/>
  <c r="F23" i="85" a="1"/>
  <c r="F23" i="85" s="1"/>
  <c r="F90" i="85" s="1"/>
  <c r="E23" i="85" a="1"/>
  <c r="E23" i="85" s="1"/>
  <c r="D23" i="85" a="1"/>
  <c r="D23" i="85" s="1"/>
  <c r="M22" i="85" a="1"/>
  <c r="M22" i="85" s="1"/>
  <c r="L22" i="85" a="1"/>
  <c r="L22" i="85" s="1"/>
  <c r="K22" i="85" a="1"/>
  <c r="K22" i="85" s="1"/>
  <c r="J22" i="85" a="1"/>
  <c r="J22" i="85" s="1"/>
  <c r="J89" i="85" s="1"/>
  <c r="I22" i="85" a="1"/>
  <c r="I22" i="85" s="1"/>
  <c r="H22" i="85" a="1"/>
  <c r="H22" i="85" s="1"/>
  <c r="G22" i="85" a="1"/>
  <c r="G22" i="85" s="1"/>
  <c r="F22" i="85" a="1"/>
  <c r="F22" i="85" s="1"/>
  <c r="E22" i="85" a="1"/>
  <c r="E22" i="85" s="1"/>
  <c r="D22" i="85" a="1"/>
  <c r="D22" i="85" s="1"/>
  <c r="M21" i="85" a="1"/>
  <c r="M21" i="85" s="1"/>
  <c r="L21" i="85" a="1"/>
  <c r="L21" i="85" s="1"/>
  <c r="K21" i="85" a="1"/>
  <c r="K21" i="85" s="1"/>
  <c r="J21" i="85" a="1"/>
  <c r="J21" i="85" s="1"/>
  <c r="I21" i="85" a="1"/>
  <c r="I21" i="85" s="1"/>
  <c r="H21" i="85" a="1"/>
  <c r="H21" i="85" s="1"/>
  <c r="G21" i="85" a="1"/>
  <c r="G21" i="85" s="1"/>
  <c r="F21" i="85" a="1"/>
  <c r="F21" i="85" s="1"/>
  <c r="E21" i="85" a="1"/>
  <c r="E21" i="85" s="1"/>
  <c r="D21" i="85" a="1"/>
  <c r="D21" i="85" s="1"/>
  <c r="M20" i="85" a="1"/>
  <c r="M20" i="85" s="1"/>
  <c r="P87" i="85" s="1"/>
  <c r="L20" i="85" a="1"/>
  <c r="L20" i="85" s="1"/>
  <c r="K20" i="85" a="1"/>
  <c r="K20" i="85" s="1"/>
  <c r="J20" i="85" a="1"/>
  <c r="J20" i="85" s="1"/>
  <c r="J91" i="85" s="1"/>
  <c r="I20" i="85" a="1"/>
  <c r="I20" i="85" s="1"/>
  <c r="H20" i="85" a="1"/>
  <c r="H20" i="85" s="1"/>
  <c r="G20" i="85" a="1"/>
  <c r="G20" i="85" s="1"/>
  <c r="F20" i="85" a="1"/>
  <c r="F20" i="85" s="1"/>
  <c r="E20" i="85" a="1"/>
  <c r="E20" i="85" s="1"/>
  <c r="D20" i="85" a="1"/>
  <c r="D20" i="85" s="1"/>
  <c r="M19" i="85" a="1"/>
  <c r="M19" i="85" s="1"/>
  <c r="L19" i="85" a="1"/>
  <c r="L19" i="85" s="1"/>
  <c r="K19" i="85" a="1"/>
  <c r="K19" i="85" s="1"/>
  <c r="J19" i="85" a="1"/>
  <c r="J19" i="85" s="1"/>
  <c r="I19" i="85" a="1"/>
  <c r="I19" i="85" s="1"/>
  <c r="I90" i="85" s="1"/>
  <c r="H19" i="85" a="1"/>
  <c r="H19" i="85" s="1"/>
  <c r="G19" i="85" a="1"/>
  <c r="G19" i="85" s="1"/>
  <c r="G90" i="85" s="1"/>
  <c r="F19" i="85" a="1"/>
  <c r="F19" i="85" s="1"/>
  <c r="F86" i="85" s="1"/>
  <c r="E19" i="85" a="1"/>
  <c r="E19" i="85" s="1"/>
  <c r="D19" i="85" a="1"/>
  <c r="D19" i="85" s="1"/>
  <c r="D17" i="85" a="1"/>
  <c r="D17" i="85" s="1"/>
  <c r="D16" i="85" a="1"/>
  <c r="D16" i="85" s="1"/>
  <c r="D15" i="85" a="1"/>
  <c r="D15" i="85" s="1"/>
  <c r="D14" i="85" a="1"/>
  <c r="D14" i="85" s="1"/>
  <c r="O41" i="84" a="1"/>
  <c r="O41" i="84" s="1"/>
  <c r="F41" i="84" a="1"/>
  <c r="F41" i="84" s="1"/>
  <c r="M38" i="84" a="1"/>
  <c r="M38" i="84" s="1"/>
  <c r="D38" i="84" a="1"/>
  <c r="D38" i="84" s="1"/>
  <c r="P32" i="84" a="1"/>
  <c r="P32" i="84" s="1"/>
  <c r="M32" i="84" a="1"/>
  <c r="M32" i="84" s="1"/>
  <c r="G32" i="84" a="1"/>
  <c r="G32" i="84" s="1"/>
  <c r="D32" i="84" a="1"/>
  <c r="D32" i="84" s="1"/>
  <c r="E30" i="84" a="1"/>
  <c r="E30" i="84" s="1"/>
  <c r="E29" i="84" a="1"/>
  <c r="E29" i="84" s="1"/>
  <c r="D25" i="84" a="1"/>
  <c r="D25" i="84" s="1"/>
  <c r="D24" i="84" a="1"/>
  <c r="D24" i="84" s="1"/>
  <c r="I18" i="84"/>
  <c r="I17" i="84"/>
  <c r="I16" i="84"/>
  <c r="P13" i="84" a="1"/>
  <c r="P13" i="84" s="1"/>
  <c r="M13" i="84" a="1"/>
  <c r="M13" i="84" s="1"/>
  <c r="G13" i="84" a="1"/>
  <c r="G13" i="84" s="1"/>
  <c r="D13" i="84" a="1"/>
  <c r="D13" i="84" s="1"/>
  <c r="E11" i="84" a="1"/>
  <c r="E11" i="84" s="1"/>
  <c r="E10" i="84" a="1"/>
  <c r="E10" i="84" s="1"/>
  <c r="D6" i="84" a="1"/>
  <c r="D6" i="84" s="1"/>
  <c r="D5" i="84" a="1"/>
  <c r="D5" i="84" s="1"/>
  <c r="P40" i="83" a="1"/>
  <c r="P40" i="83" s="1"/>
  <c r="F40" i="83" a="1"/>
  <c r="F40" i="83" s="1"/>
  <c r="N37" i="83" a="1"/>
  <c r="N37" i="83" s="1"/>
  <c r="D37" i="83" a="1"/>
  <c r="D37" i="83" s="1"/>
  <c r="I32" i="83"/>
  <c r="I31" i="83"/>
  <c r="Q28" i="83" a="1"/>
  <c r="Q28" i="83" s="1"/>
  <c r="N28" i="83" a="1"/>
  <c r="N28" i="83" s="1"/>
  <c r="G28" i="83" a="1"/>
  <c r="G28" i="83" s="1"/>
  <c r="D28" i="83" a="1"/>
  <c r="D28" i="83" s="1"/>
  <c r="E26" i="83" a="1"/>
  <c r="E26" i="83" s="1"/>
  <c r="E25" i="83" a="1"/>
  <c r="E25" i="83" s="1"/>
  <c r="D21" i="83" a="1"/>
  <c r="D21" i="83" s="1"/>
  <c r="D20" i="83" a="1"/>
  <c r="D20" i="83" s="1"/>
  <c r="P16" i="83"/>
  <c r="R13" i="83" a="1"/>
  <c r="R13" i="83" s="1"/>
  <c r="N13" i="83" a="1"/>
  <c r="N13" i="83" s="1"/>
  <c r="H13" i="83" a="1"/>
  <c r="H13" i="83" s="1"/>
  <c r="D13" i="83" a="1"/>
  <c r="D13" i="83" s="1"/>
  <c r="E11" i="83" a="1"/>
  <c r="E11" i="83" s="1"/>
  <c r="F16" i="83" s="1"/>
  <c r="E10" i="83" a="1"/>
  <c r="E10" i="83" s="1"/>
  <c r="D6" i="83" a="1"/>
  <c r="D6" i="83" s="1"/>
  <c r="D5" i="83" a="1"/>
  <c r="D5" i="83" s="1"/>
  <c r="W272" i="82" a="1"/>
  <c r="W272" i="82" s="1"/>
  <c r="U269" i="82" a="1"/>
  <c r="U269" i="82" s="1"/>
  <c r="U265" i="82" a="1"/>
  <c r="U265" i="82" s="1"/>
  <c r="U259" i="82"/>
  <c r="U258" i="82"/>
  <c r="U257" i="82"/>
  <c r="U256" i="82"/>
  <c r="U255" i="82"/>
  <c r="U254" i="82"/>
  <c r="U253" i="82"/>
  <c r="U252" i="82"/>
  <c r="U251" i="82"/>
  <c r="U250" i="82"/>
  <c r="U249" i="82"/>
  <c r="U248" i="82"/>
  <c r="U243" i="82"/>
  <c r="U242" i="82"/>
  <c r="U241" i="82"/>
  <c r="U240" i="82"/>
  <c r="U239" i="82"/>
  <c r="U238" i="82"/>
  <c r="U237" i="82"/>
  <c r="U236" i="82"/>
  <c r="U235" i="82"/>
  <c r="U234" i="82"/>
  <c r="F234" i="82" a="1"/>
  <c r="F234" i="82" s="1"/>
  <c r="U233" i="82"/>
  <c r="U232" i="82"/>
  <c r="D231" i="82" a="1"/>
  <c r="D231" i="82" s="1"/>
  <c r="U227" i="82"/>
  <c r="U226" i="82"/>
  <c r="U225" i="82"/>
  <c r="U224" i="82"/>
  <c r="H224" i="82"/>
  <c r="D224" i="82" a="1"/>
  <c r="D224" i="82" s="1"/>
  <c r="U223" i="82"/>
  <c r="U222" i="82"/>
  <c r="E222" i="82" a="1"/>
  <c r="E222" i="82" s="1"/>
  <c r="U221" i="82"/>
  <c r="E221" i="82" a="1"/>
  <c r="E221" i="82" s="1"/>
  <c r="U220" i="82"/>
  <c r="U219" i="82"/>
  <c r="U218" i="82"/>
  <c r="U217" i="82"/>
  <c r="D217" i="82" a="1"/>
  <c r="D217" i="82" s="1"/>
  <c r="V216" i="82" a="1"/>
  <c r="V216" i="82" s="1"/>
  <c r="U216" i="82"/>
  <c r="D216" i="82" a="1"/>
  <c r="D216" i="82" s="1"/>
  <c r="U211" i="82" a="1"/>
  <c r="U211" i="82" s="1"/>
  <c r="U207" i="82"/>
  <c r="U206" i="82"/>
  <c r="U205" i="82"/>
  <c r="U204" i="82"/>
  <c r="U203" i="82"/>
  <c r="U202" i="82"/>
  <c r="U201" i="82"/>
  <c r="U200" i="82"/>
  <c r="U199" i="82"/>
  <c r="E199" i="82" a="1"/>
  <c r="E199" i="82" s="1"/>
  <c r="U198" i="82"/>
  <c r="U197" i="82"/>
  <c r="U196" i="82"/>
  <c r="U191" i="82"/>
  <c r="E191" i="82" a="1"/>
  <c r="U190" i="82"/>
  <c r="U189" i="82"/>
  <c r="U188" i="82"/>
  <c r="U187" i="82"/>
  <c r="U186" i="82"/>
  <c r="I186" i="82" a="1"/>
  <c r="I186" i="82" s="1"/>
  <c r="U185" i="82"/>
  <c r="I185" i="82" a="1"/>
  <c r="I185" i="82" s="1"/>
  <c r="U184" i="82"/>
  <c r="I184" i="82" a="1"/>
  <c r="I184" i="82" s="1"/>
  <c r="G184" i="82" a="1"/>
  <c r="G184" i="82" s="1"/>
  <c r="D184" i="82" a="1"/>
  <c r="D184" i="82" s="1"/>
  <c r="U183" i="82"/>
  <c r="U182" i="82"/>
  <c r="E182" i="82" a="1"/>
  <c r="E182" i="82" s="1"/>
  <c r="AF249" i="82" s="1"/>
  <c r="U181" i="82"/>
  <c r="E181" i="82" a="1"/>
  <c r="E181" i="82" s="1"/>
  <c r="U180" i="82"/>
  <c r="D177" i="82" a="1"/>
  <c r="D177" i="82" s="1"/>
  <c r="D176" i="82" a="1"/>
  <c r="D176" i="82" s="1"/>
  <c r="U175" i="82"/>
  <c r="U174" i="82"/>
  <c r="U173" i="82"/>
  <c r="U172" i="82"/>
  <c r="U171" i="82"/>
  <c r="U170" i="82"/>
  <c r="U169" i="82"/>
  <c r="U168" i="82"/>
  <c r="U167" i="82"/>
  <c r="U166" i="82"/>
  <c r="U165" i="82"/>
  <c r="U164" i="82"/>
  <c r="E164" i="82" a="1"/>
  <c r="E164" i="82" s="1"/>
  <c r="E163" i="82" a="1"/>
  <c r="E163" i="82" s="1"/>
  <c r="E162" i="82" a="1"/>
  <c r="E162" i="82" s="1"/>
  <c r="E161" i="82"/>
  <c r="U151" i="82" a="1"/>
  <c r="U151" i="82" s="1"/>
  <c r="E161" i="82" a="1"/>
  <c r="U147" i="82"/>
  <c r="I147" i="82"/>
  <c r="U146" i="82"/>
  <c r="I146" i="82" a="1"/>
  <c r="I146" i="82" s="1"/>
  <c r="U145" i="82"/>
  <c r="I145" i="82" a="1"/>
  <c r="I145" i="82" s="1"/>
  <c r="U144" i="82"/>
  <c r="I144" i="82" a="1"/>
  <c r="I144" i="82" s="1"/>
  <c r="U143" i="82"/>
  <c r="I143" i="82" a="1"/>
  <c r="I143" i="82" s="1"/>
  <c r="U142" i="82"/>
  <c r="I142" i="82" a="1"/>
  <c r="I142" i="82" s="1"/>
  <c r="G142" i="82" a="1"/>
  <c r="G142" i="82" s="1"/>
  <c r="D142" i="82" a="1"/>
  <c r="D142" i="82" s="1"/>
  <c r="U141" i="82"/>
  <c r="U140" i="82"/>
  <c r="E140" i="82" a="1"/>
  <c r="E140" i="82" s="1"/>
  <c r="AF206" i="82" s="1"/>
  <c r="U139" i="82"/>
  <c r="E139" i="82" a="1"/>
  <c r="E139" i="82" s="1"/>
  <c r="U138" i="82"/>
  <c r="U137" i="82"/>
  <c r="U136" i="82"/>
  <c r="D135" i="82" a="1"/>
  <c r="D135" i="82" s="1"/>
  <c r="D134" i="82" a="1"/>
  <c r="D134" i="82" s="1"/>
  <c r="U131" i="82"/>
  <c r="U130" i="82"/>
  <c r="U129" i="82"/>
  <c r="U128" i="82"/>
  <c r="U127" i="82"/>
  <c r="U126" i="82"/>
  <c r="U125" i="82"/>
  <c r="U124" i="82"/>
  <c r="U123" i="82"/>
  <c r="U122" i="82"/>
  <c r="D122" i="82"/>
  <c r="U121" i="82"/>
  <c r="D121" i="82"/>
  <c r="U120" i="82"/>
  <c r="D120" i="82"/>
  <c r="D119" i="82"/>
  <c r="U115" i="82" a="1"/>
  <c r="U115" i="82" s="1"/>
  <c r="I114" i="82" a="1"/>
  <c r="I114" i="82" s="1"/>
  <c r="I113" i="82" a="1"/>
  <c r="I113" i="82" s="1"/>
  <c r="I112" i="82" a="1"/>
  <c r="I112" i="82" s="1"/>
  <c r="U111" i="82"/>
  <c r="I111" i="82" a="1"/>
  <c r="I111" i="82" s="1"/>
  <c r="G111" i="82" a="1"/>
  <c r="G111" i="82" s="1"/>
  <c r="D111" i="82" a="1"/>
  <c r="D111" i="82" s="1"/>
  <c r="U110" i="82"/>
  <c r="U109" i="82"/>
  <c r="E109" i="82" a="1"/>
  <c r="E109" i="82" s="1"/>
  <c r="AF144" i="82" s="1"/>
  <c r="U108" i="82"/>
  <c r="E108" i="82" a="1"/>
  <c r="E108" i="82" s="1"/>
  <c r="U107" i="82"/>
  <c r="U106" i="82"/>
  <c r="U105" i="82"/>
  <c r="U104" i="82"/>
  <c r="U103" i="82"/>
  <c r="D103" i="82" a="1"/>
  <c r="D103" i="82" s="1"/>
  <c r="U102" i="82"/>
  <c r="D102" i="82" a="1"/>
  <c r="D102" i="82" s="1"/>
  <c r="U101" i="82"/>
  <c r="U100" i="82"/>
  <c r="D98" i="82"/>
  <c r="D97" i="82"/>
  <c r="D96" i="82"/>
  <c r="D95" i="82"/>
  <c r="U87" i="82" a="1"/>
  <c r="U87" i="82" s="1"/>
  <c r="U83" i="82"/>
  <c r="U82" i="82"/>
  <c r="I82" i="82"/>
  <c r="U81" i="82"/>
  <c r="U80" i="82"/>
  <c r="U79" i="82"/>
  <c r="I79" i="82" a="1"/>
  <c r="I79" i="82" s="1"/>
  <c r="U78" i="82"/>
  <c r="I78" i="82" a="1"/>
  <c r="I78" i="82" s="1"/>
  <c r="G78" i="82" a="1"/>
  <c r="G78" i="82" s="1"/>
  <c r="D78" i="82" a="1"/>
  <c r="D78" i="82" s="1"/>
  <c r="U77" i="82"/>
  <c r="U76" i="82"/>
  <c r="E76" i="82" a="1"/>
  <c r="E76" i="82" s="1"/>
  <c r="U75" i="82"/>
  <c r="E75" i="82" a="1"/>
  <c r="E75" i="82" s="1"/>
  <c r="U74" i="82"/>
  <c r="U73" i="82"/>
  <c r="U72" i="82"/>
  <c r="D70" i="82" a="1"/>
  <c r="D70" i="82" s="1"/>
  <c r="D69" i="82" a="1"/>
  <c r="D69" i="82" s="1"/>
  <c r="U67" i="82"/>
  <c r="U66" i="82"/>
  <c r="U65" i="82"/>
  <c r="U64" i="82"/>
  <c r="U63" i="82"/>
  <c r="U62" i="82"/>
  <c r="U61" i="82"/>
  <c r="U60" i="82"/>
  <c r="U59" i="82"/>
  <c r="U58" i="82"/>
  <c r="U57" i="82"/>
  <c r="U56" i="82"/>
  <c r="U51" i="82" a="1"/>
  <c r="U51" i="82" s="1"/>
  <c r="I49" i="82" a="1"/>
  <c r="I49" i="82" s="1"/>
  <c r="I48" i="82" a="1"/>
  <c r="I48" i="82" s="1"/>
  <c r="G48" i="82" a="1"/>
  <c r="G48" i="82" s="1"/>
  <c r="D48" i="82" a="1"/>
  <c r="D48" i="82" s="1"/>
  <c r="U47" i="82"/>
  <c r="U46" i="82"/>
  <c r="E46" i="82" a="1"/>
  <c r="E46" i="82" s="1"/>
  <c r="U45" i="82"/>
  <c r="E45" i="82" a="1"/>
  <c r="E45" i="82" s="1"/>
  <c r="U44" i="82"/>
  <c r="U43" i="82"/>
  <c r="U42" i="82"/>
  <c r="U41" i="82"/>
  <c r="D41" i="82" a="1"/>
  <c r="D41" i="82" s="1"/>
  <c r="U40" i="82"/>
  <c r="D40" i="82" a="1"/>
  <c r="D40" i="82" s="1"/>
  <c r="U39" i="82"/>
  <c r="U38" i="82"/>
  <c r="U37" i="82"/>
  <c r="U36" i="82"/>
  <c r="D36" i="82"/>
  <c r="D35" i="82"/>
  <c r="D34" i="82"/>
  <c r="D33" i="82"/>
  <c r="U31" i="82"/>
  <c r="U30" i="82"/>
  <c r="U29" i="82"/>
  <c r="U28" i="82"/>
  <c r="U27" i="82"/>
  <c r="U26" i="82"/>
  <c r="U25" i="82"/>
  <c r="U24" i="82"/>
  <c r="U23" i="82"/>
  <c r="D23" i="82"/>
  <c r="U22" i="82"/>
  <c r="D22" i="82"/>
  <c r="U21" i="82"/>
  <c r="D21" i="82"/>
  <c r="U20" i="82"/>
  <c r="D20" i="82"/>
  <c r="H15" i="82"/>
  <c r="H14" i="82" a="1"/>
  <c r="H14" i="82" s="1"/>
  <c r="H13" i="82" a="1"/>
  <c r="H13" i="82" s="1"/>
  <c r="F13" i="82" a="1"/>
  <c r="F13" i="82" s="1"/>
  <c r="D13" i="82" a="1"/>
  <c r="D13" i="82" s="1"/>
  <c r="E11" i="82" a="1"/>
  <c r="E11" i="82" s="1"/>
  <c r="AF39" i="82" s="1"/>
  <c r="E10" i="82" a="1"/>
  <c r="E10" i="82" s="1"/>
  <c r="D6" i="82" a="1"/>
  <c r="D6" i="82" s="1"/>
  <c r="D5" i="82" a="1"/>
  <c r="D5" i="82" s="1"/>
  <c r="Y281" i="81" a="1"/>
  <c r="Y281" i="81" s="1"/>
  <c r="W278" i="81" a="1"/>
  <c r="W278" i="81" s="1"/>
  <c r="F249" i="81" a="1"/>
  <c r="F249" i="81" s="1"/>
  <c r="W246" i="81"/>
  <c r="X274" i="81" s="1"/>
  <c r="D246" i="81" a="1"/>
  <c r="D246" i="81" s="1"/>
  <c r="W245" i="81"/>
  <c r="W244" i="81"/>
  <c r="W243" i="81"/>
  <c r="W242" i="81"/>
  <c r="X258" i="81" s="1"/>
  <c r="W241" i="81"/>
  <c r="X269" i="81" s="1"/>
  <c r="W240" i="81"/>
  <c r="X268" i="81" s="1"/>
  <c r="W239" i="81"/>
  <c r="X255" i="81" s="1"/>
  <c r="W238" i="81"/>
  <c r="W237" i="81"/>
  <c r="W236" i="81"/>
  <c r="X252" i="81" s="1"/>
  <c r="W235" i="81"/>
  <c r="W230" i="81"/>
  <c r="W229" i="81"/>
  <c r="W228" i="81"/>
  <c r="W227" i="81"/>
  <c r="E227" i="81" a="1"/>
  <c r="E227" i="81" s="1"/>
  <c r="W226" i="81"/>
  <c r="W225" i="81"/>
  <c r="W224" i="81"/>
  <c r="W223" i="81"/>
  <c r="W222" i="81"/>
  <c r="W221" i="81"/>
  <c r="W220" i="81"/>
  <c r="X219" i="81" a="1"/>
  <c r="W219" i="81"/>
  <c r="E219" i="81" a="1"/>
  <c r="E219" i="81" s="1"/>
  <c r="I214" i="81" a="1"/>
  <c r="I214" i="81" s="1"/>
  <c r="I213" i="81" a="1"/>
  <c r="I213" i="81" s="1"/>
  <c r="I212" i="81" a="1"/>
  <c r="I212" i="81" s="1"/>
  <c r="G212" i="81" a="1"/>
  <c r="G212" i="81" s="1"/>
  <c r="D212" i="81" a="1"/>
  <c r="D212" i="81" s="1"/>
  <c r="E210" i="81" a="1"/>
  <c r="E210" i="81" s="1"/>
  <c r="AI260" i="81" s="1"/>
  <c r="E209" i="81" a="1"/>
  <c r="E209" i="81" s="1"/>
  <c r="D205" i="81" a="1"/>
  <c r="D205" i="81" s="1"/>
  <c r="D204" i="81" a="1"/>
  <c r="D204" i="81" s="1"/>
  <c r="I160" i="81"/>
  <c r="AB159" i="81"/>
  <c r="I159" i="81"/>
  <c r="I158" i="81"/>
  <c r="I157" i="81" a="1"/>
  <c r="I157" i="81" s="1"/>
  <c r="I156" i="81" a="1"/>
  <c r="I156" i="81" s="1"/>
  <c r="Z154" i="81" a="1"/>
  <c r="Z154" i="81" s="1"/>
  <c r="W154" i="81" a="1"/>
  <c r="W154" i="81" s="1"/>
  <c r="I154" i="81" a="1"/>
  <c r="I154" i="81" s="1"/>
  <c r="G154" i="81" a="1"/>
  <c r="G154" i="81" s="1"/>
  <c r="D154" i="81" a="1"/>
  <c r="D154" i="81" s="1"/>
  <c r="E152" i="81" a="1"/>
  <c r="E152" i="81" s="1"/>
  <c r="AI197" i="81" s="1"/>
  <c r="E151" i="81" a="1"/>
  <c r="E151" i="81" s="1"/>
  <c r="D147" i="81" a="1"/>
  <c r="D147" i="81" s="1"/>
  <c r="D146" i="81" a="1"/>
  <c r="D146" i="81" s="1"/>
  <c r="W126" i="81"/>
  <c r="W142" i="81" s="1"/>
  <c r="W125" i="81"/>
  <c r="W141" i="81" s="1"/>
  <c r="W124" i="81"/>
  <c r="W140" i="81" s="1"/>
  <c r="X186" i="81" s="1"/>
  <c r="W123" i="81"/>
  <c r="W139" i="81" s="1"/>
  <c r="W122" i="81"/>
  <c r="W138" i="81" s="1"/>
  <c r="X196" i="81" s="1"/>
  <c r="W121" i="81"/>
  <c r="W137" i="81" s="1"/>
  <c r="X195" i="81" s="1"/>
  <c r="W120" i="81"/>
  <c r="W136" i="81" s="1"/>
  <c r="W119" i="81"/>
  <c r="W135" i="81" s="1"/>
  <c r="X193" i="81" s="1"/>
  <c r="W118" i="81"/>
  <c r="W134" i="81" s="1"/>
  <c r="W117" i="81"/>
  <c r="W133" i="81" s="1"/>
  <c r="W116" i="81"/>
  <c r="W132" i="81" s="1"/>
  <c r="X178" i="81" s="1"/>
  <c r="W115" i="81"/>
  <c r="W131" i="81" s="1"/>
  <c r="X177" i="81" s="1"/>
  <c r="I109" i="81" a="1"/>
  <c r="I109" i="81" s="1"/>
  <c r="I108" i="81" a="1"/>
  <c r="I108" i="81" s="1"/>
  <c r="G108" i="81" a="1"/>
  <c r="G108" i="81" s="1"/>
  <c r="D108" i="81" a="1"/>
  <c r="D108" i="81" s="1"/>
  <c r="E106" i="81" a="1"/>
  <c r="E106" i="81" s="1"/>
  <c r="E105" i="81" a="1"/>
  <c r="E105" i="81" s="1"/>
  <c r="D100" i="81" a="1"/>
  <c r="D100" i="81" s="1"/>
  <c r="D99" i="81" a="1"/>
  <c r="D99" i="81" s="1"/>
  <c r="W87" i="81"/>
  <c r="W86" i="81"/>
  <c r="W85" i="81"/>
  <c r="W84" i="81"/>
  <c r="W83" i="81"/>
  <c r="W82" i="81"/>
  <c r="W81" i="81"/>
  <c r="W80" i="81"/>
  <c r="W79" i="81"/>
  <c r="W78" i="81"/>
  <c r="W77" i="81"/>
  <c r="W76" i="81"/>
  <c r="W71" i="81"/>
  <c r="D71" i="81"/>
  <c r="W70" i="81"/>
  <c r="D70" i="81"/>
  <c r="W69" i="81"/>
  <c r="D69" i="81"/>
  <c r="W68" i="81"/>
  <c r="D68" i="81"/>
  <c r="W67" i="81"/>
  <c r="W66" i="81"/>
  <c r="W65" i="81"/>
  <c r="W64" i="81"/>
  <c r="W63" i="81"/>
  <c r="W62" i="81"/>
  <c r="W61" i="81"/>
  <c r="W60" i="81"/>
  <c r="W55" i="81"/>
  <c r="D55" i="81"/>
  <c r="W54" i="81"/>
  <c r="D54" i="81"/>
  <c r="W53" i="81"/>
  <c r="D53" i="81"/>
  <c r="W52" i="81"/>
  <c r="D52" i="81"/>
  <c r="W51" i="81"/>
  <c r="W50" i="81"/>
  <c r="W49" i="81"/>
  <c r="W48" i="81"/>
  <c r="W47" i="81"/>
  <c r="I47" i="81" a="1"/>
  <c r="I47" i="81" s="1"/>
  <c r="W46" i="81"/>
  <c r="I46" i="81" a="1"/>
  <c r="I46" i="81" s="1"/>
  <c r="W45" i="81"/>
  <c r="I45" i="81" a="1"/>
  <c r="I45" i="81" s="1"/>
  <c r="G45" i="81" a="1"/>
  <c r="G45" i="81" s="1"/>
  <c r="D45" i="81" a="1"/>
  <c r="D45" i="81" s="1"/>
  <c r="W44" i="81"/>
  <c r="E43" i="81" a="1"/>
  <c r="E43" i="81" s="1"/>
  <c r="E42" i="81" a="1"/>
  <c r="E42" i="81" s="1"/>
  <c r="W39" i="81"/>
  <c r="W38" i="81"/>
  <c r="D38" i="81" a="1"/>
  <c r="D38" i="81" s="1"/>
  <c r="W37" i="81"/>
  <c r="D37" i="81" a="1"/>
  <c r="D37" i="81" s="1"/>
  <c r="W36" i="81"/>
  <c r="W35" i="81"/>
  <c r="W34" i="81"/>
  <c r="W33" i="81"/>
  <c r="H33" i="81"/>
  <c r="W32" i="81"/>
  <c r="G32" i="81"/>
  <c r="W31" i="81"/>
  <c r="W30" i="81"/>
  <c r="W29" i="81"/>
  <c r="W28" i="81"/>
  <c r="J16" i="81"/>
  <c r="J13" i="81" a="1"/>
  <c r="J13" i="81" s="1"/>
  <c r="H13" i="81" a="1"/>
  <c r="H13" i="81" s="1"/>
  <c r="D13" i="81" a="1"/>
  <c r="D13" i="81" s="1"/>
  <c r="E11" i="81" a="1"/>
  <c r="E11" i="81" s="1"/>
  <c r="E10" i="81" a="1"/>
  <c r="E10" i="81" s="1"/>
  <c r="D6" i="81" a="1"/>
  <c r="D6" i="81" s="1"/>
  <c r="D5" i="81" a="1"/>
  <c r="D5" i="81" s="1"/>
  <c r="G185" i="80"/>
  <c r="F185" i="80"/>
  <c r="E185" i="80"/>
  <c r="D182" i="80"/>
  <c r="K181" i="80"/>
  <c r="J181" i="80"/>
  <c r="K180" i="80"/>
  <c r="L180" i="80" s="1"/>
  <c r="J180" i="80"/>
  <c r="K179" i="80"/>
  <c r="J179" i="80"/>
  <c r="K178" i="80"/>
  <c r="J178" i="80"/>
  <c r="E178" i="80"/>
  <c r="D184" i="80" s="1"/>
  <c r="E177" i="80"/>
  <c r="D183" i="80" s="1"/>
  <c r="M171" i="80"/>
  <c r="L171" i="80"/>
  <c r="M170" i="80"/>
  <c r="L170" i="80"/>
  <c r="M169" i="80"/>
  <c r="L169" i="80"/>
  <c r="M168" i="80"/>
  <c r="L168" i="80"/>
  <c r="D168" i="80"/>
  <c r="D144" i="80"/>
  <c r="D143" i="80"/>
  <c r="D142" i="80"/>
  <c r="D141" i="80"/>
  <c r="D140" i="80"/>
  <c r="D139" i="80"/>
  <c r="D138" i="80"/>
  <c r="D137" i="80"/>
  <c r="D136" i="80"/>
  <c r="D135" i="80"/>
  <c r="D134" i="80"/>
  <c r="D133" i="80"/>
  <c r="D122" i="80"/>
  <c r="D121" i="80"/>
  <c r="D120" i="80"/>
  <c r="D119" i="80"/>
  <c r="D118" i="80"/>
  <c r="D117" i="80"/>
  <c r="D116" i="80"/>
  <c r="D115" i="80"/>
  <c r="D114" i="80"/>
  <c r="D113" i="80"/>
  <c r="D112" i="80"/>
  <c r="D111" i="80"/>
  <c r="D100" i="80"/>
  <c r="D99" i="80"/>
  <c r="D98" i="80"/>
  <c r="D97" i="80"/>
  <c r="D96" i="80"/>
  <c r="D95" i="80"/>
  <c r="D94" i="80"/>
  <c r="D93" i="80"/>
  <c r="D92" i="80"/>
  <c r="D91" i="80"/>
  <c r="D90" i="80"/>
  <c r="D89" i="80"/>
  <c r="D78" i="80"/>
  <c r="D77" i="80"/>
  <c r="D76" i="80"/>
  <c r="D75" i="80"/>
  <c r="D74" i="80"/>
  <c r="D73" i="80"/>
  <c r="D72" i="80"/>
  <c r="D71" i="80"/>
  <c r="D70" i="80"/>
  <c r="D69" i="80"/>
  <c r="D68" i="80"/>
  <c r="D67" i="80"/>
  <c r="D56" i="80"/>
  <c r="D55" i="80"/>
  <c r="D54" i="80"/>
  <c r="D53" i="80"/>
  <c r="D52" i="80"/>
  <c r="D51" i="80"/>
  <c r="D50" i="80"/>
  <c r="D49" i="80"/>
  <c r="D48" i="80"/>
  <c r="D47" i="80"/>
  <c r="D46" i="80"/>
  <c r="D45" i="80"/>
  <c r="D34" i="80"/>
  <c r="N34" i="80" s="1"/>
  <c r="D33" i="80"/>
  <c r="M33" i="80" s="1"/>
  <c r="D32" i="80"/>
  <c r="J32" i="80" s="1"/>
  <c r="D31" i="80"/>
  <c r="G31" i="80" s="1"/>
  <c r="D30" i="80"/>
  <c r="E30" i="80" s="1"/>
  <c r="D29" i="80"/>
  <c r="N29" i="80" s="1"/>
  <c r="D28" i="80"/>
  <c r="L28" i="80" s="1"/>
  <c r="D27" i="80"/>
  <c r="I27" i="80" s="1"/>
  <c r="D26" i="80"/>
  <c r="F26" i="80" s="1"/>
  <c r="D25" i="80"/>
  <c r="N25" i="80" s="1"/>
  <c r="D24" i="80"/>
  <c r="N24" i="80" s="1"/>
  <c r="D23" i="80"/>
  <c r="L23" i="80" s="1"/>
  <c r="E7" i="80"/>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5" s="1"/>
  <c r="E188" i="79" a="1"/>
  <c r="E188" i="79" s="1"/>
  <c r="D188" i="79" a="1"/>
  <c r="D188" i="79" s="1"/>
  <c r="H187" i="79" a="1"/>
  <c r="H187" i="79" s="1"/>
  <c r="G187" i="79" a="1"/>
  <c r="G187" i="79" s="1"/>
  <c r="F187" i="79" a="1"/>
  <c r="F187" i="79" s="1"/>
  <c r="D8" i="85"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G131" i="87"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J13" i="78"/>
  <c r="J12" i="78"/>
  <c r="J11" i="78"/>
  <c r="J10" i="78"/>
  <c r="J9" i="78"/>
  <c r="J8" i="78"/>
  <c r="J24" i="78"/>
  <c r="J23" i="78"/>
  <c r="J22" i="78"/>
  <c r="J21" i="78"/>
  <c r="J20" i="78"/>
  <c r="J19" i="78"/>
  <c r="J41" i="78"/>
  <c r="J40" i="78"/>
  <c r="J39" i="78"/>
  <c r="J38" i="78"/>
  <c r="J37" i="78"/>
  <c r="J36" i="78"/>
  <c r="J35" i="78"/>
  <c r="J34" i="78"/>
  <c r="J33" i="78"/>
  <c r="J32" i="78"/>
  <c r="J31" i="78"/>
  <c r="J30" i="78"/>
  <c r="J51" i="78"/>
  <c r="J50" i="78"/>
  <c r="J49" i="78"/>
  <c r="J48" i="78"/>
  <c r="J47" i="78"/>
  <c r="J60" i="78"/>
  <c r="J59" i="78"/>
  <c r="J58" i="78"/>
  <c r="J57" i="78"/>
  <c r="O42" i="117"/>
  <c r="E174" i="116" a="1"/>
  <c r="E7" i="101" a="1"/>
  <c r="E38" i="91" a="1"/>
  <c r="E178" i="82" a="1"/>
  <c r="E594" i="116" a="1"/>
  <c r="E42" i="89" a="1"/>
  <c r="E7" i="116" a="1"/>
  <c r="E79" i="117"/>
  <c r="E508" i="116"/>
  <c r="L7" i="100" a="1"/>
  <c r="E43" i="90" a="1"/>
  <c r="E136" i="82" a="1"/>
  <c r="E385" i="116" a="1"/>
  <c r="E42" i="82" a="1"/>
  <c r="E42" i="117"/>
  <c r="E151" i="116" a="1"/>
  <c r="E7" i="100" a="1"/>
  <c r="E7" i="90" a="1"/>
  <c r="E104" i="82" a="1"/>
  <c r="E8" i="97"/>
  <c r="E561" i="116" a="1"/>
  <c r="E25" i="97"/>
  <c r="E7" i="117"/>
  <c r="E355" i="116" a="1"/>
  <c r="E118" i="93" a="1"/>
  <c r="E7" i="82" a="1"/>
  <c r="E43" i="93" a="1"/>
  <c r="E7" i="108" a="1"/>
  <c r="E7" i="91" a="1"/>
  <c r="E7" i="89" a="1"/>
  <c r="N70" i="89" a="1"/>
  <c r="E35" i="87" a="1"/>
  <c r="E30" i="108" a="1"/>
  <c r="O61" i="117" a="1"/>
  <c r="E206" i="81" a="1"/>
  <c r="E27" i="107"/>
  <c r="E258" i="116" a="1"/>
  <c r="E7" i="92" a="1"/>
  <c r="E290" i="116" a="1"/>
  <c r="E523" i="116"/>
  <c r="E94" i="87" a="1"/>
  <c r="E148" i="81" a="1"/>
  <c r="O27" i="107"/>
  <c r="E7" i="104" a="1"/>
  <c r="E540" i="116"/>
  <c r="L8" i="101" a="1"/>
  <c r="E100" i="116" a="1"/>
  <c r="E7" i="94" a="1"/>
  <c r="E26" i="84"/>
  <c r="E203" i="116" a="1"/>
  <c r="E49" i="94" a="1"/>
  <c r="E7" i="84" a="1"/>
  <c r="E418" i="116" a="1"/>
  <c r="E83" i="94"/>
  <c r="E22" i="83"/>
  <c r="O79" i="117"/>
  <c r="E73" i="87" a="1"/>
  <c r="E7" i="107" a="1"/>
  <c r="O26" i="117" a="1"/>
  <c r="E323" i="116" a="1"/>
  <c r="E90" i="93" a="1"/>
  <c r="E7" i="83" a="1"/>
  <c r="E188" i="116" a="1"/>
  <c r="E218" i="82"/>
  <c r="E26" i="117" a="1"/>
  <c r="E101" i="81" a="1"/>
  <c r="E61" i="117" a="1"/>
  <c r="E39" i="81" a="1"/>
  <c r="E99" i="104" a="1"/>
  <c r="O7" i="117"/>
  <c r="E7" i="93" a="1"/>
  <c r="N111" i="80" l="1"/>
  <c r="L181" i="80"/>
  <c r="N115" i="80"/>
  <c r="E139" i="80"/>
  <c r="X92" i="82"/>
  <c r="Z22" i="81"/>
  <c r="E73" i="94"/>
  <c r="E110" i="93"/>
  <c r="J37" i="101"/>
  <c r="H37" i="101"/>
  <c r="K37" i="101"/>
  <c r="I37" i="101"/>
  <c r="G37" i="101"/>
  <c r="J39" i="101"/>
  <c r="I39" i="101"/>
  <c r="H39" i="101"/>
  <c r="G39" i="101"/>
  <c r="M36" i="100" a="1"/>
  <c r="M36" i="100" s="1"/>
  <c r="L36" i="100" a="1"/>
  <c r="L36" i="100" s="1"/>
  <c r="M134" i="80"/>
  <c r="D164" i="79"/>
  <c r="J15" i="108"/>
  <c r="D170" i="79"/>
  <c r="I33" i="84"/>
  <c r="J37" i="108"/>
  <c r="G116" i="80"/>
  <c r="I140" i="80"/>
  <c r="M180" i="86"/>
  <c r="D59" i="93" a="1"/>
  <c r="D59" i="93" s="1"/>
  <c r="M25" i="101" a="1"/>
  <c r="M25" i="101" s="1"/>
  <c r="L25" i="101" a="1"/>
  <c r="L25" i="101" s="1"/>
  <c r="L137" i="86"/>
  <c r="W23" i="81"/>
  <c r="U93" i="82"/>
  <c r="V33" i="87" a="1"/>
  <c r="V33" i="87" s="1"/>
  <c r="W33" i="87" s="1" a="1"/>
  <c r="W33" i="87" s="1"/>
  <c r="M40" i="101" a="1"/>
  <c r="M40" i="101" s="1"/>
  <c r="N134" i="86"/>
  <c r="V34" i="87" a="1"/>
  <c r="V34" i="87" s="1"/>
  <c r="W34" i="87" s="1" a="1"/>
  <c r="W34" i="87" s="1"/>
  <c r="L144" i="80"/>
  <c r="N144" i="80"/>
  <c r="H128" i="80"/>
  <c r="K107" i="80"/>
  <c r="M144" i="80"/>
  <c r="F128" i="80"/>
  <c r="J107" i="80"/>
  <c r="N134" i="80"/>
  <c r="E128" i="80"/>
  <c r="H107" i="80"/>
  <c r="L133" i="80"/>
  <c r="F127" i="80"/>
  <c r="G107" i="80"/>
  <c r="K133" i="80"/>
  <c r="E127" i="80"/>
  <c r="H106" i="80"/>
  <c r="N130" i="80"/>
  <c r="E122" i="80"/>
  <c r="G106" i="80"/>
  <c r="F86" i="80"/>
  <c r="M130" i="80"/>
  <c r="L120" i="80"/>
  <c r="F106" i="80"/>
  <c r="N129" i="80"/>
  <c r="K120" i="80"/>
  <c r="N105" i="80"/>
  <c r="M129" i="80"/>
  <c r="H116" i="80"/>
  <c r="M105" i="80"/>
  <c r="L129" i="80"/>
  <c r="F112" i="80"/>
  <c r="J129" i="80"/>
  <c r="N108" i="80"/>
  <c r="I129" i="80"/>
  <c r="L108" i="80"/>
  <c r="J128" i="80"/>
  <c r="K108" i="80"/>
  <c r="E153" i="80"/>
  <c r="E166" i="81" s="1"/>
  <c r="I128" i="80"/>
  <c r="L107" i="80"/>
  <c r="L70" i="80"/>
  <c r="L180" i="86"/>
  <c r="U21" i="88" a="1"/>
  <c r="U21" i="88" s="1"/>
  <c r="M34" i="100" a="1"/>
  <c r="M34" i="100" s="1"/>
  <c r="L34" i="100" a="1"/>
  <c r="L34" i="100" s="1"/>
  <c r="M28" i="100" a="1"/>
  <c r="M28" i="100" s="1"/>
  <c r="M33" i="100" a="1"/>
  <c r="M33" i="100" s="1"/>
  <c r="M37" i="100" a="1"/>
  <c r="M37" i="100" s="1"/>
  <c r="L37" i="100" a="1"/>
  <c r="L37" i="100" s="1"/>
  <c r="L36" i="101" a="1"/>
  <c r="L36" i="101" s="1"/>
  <c r="M36" i="101" a="1"/>
  <c r="M36" i="101" s="1"/>
  <c r="T14" i="107"/>
  <c r="E20" i="106"/>
  <c r="L181" i="86"/>
  <c r="L26" i="101" a="1"/>
  <c r="L26" i="101" s="1"/>
  <c r="M26" i="101" a="1"/>
  <c r="M26" i="101" s="1"/>
  <c r="M29" i="100" a="1"/>
  <c r="M29" i="100" s="1"/>
  <c r="J127" i="104" a="1"/>
  <c r="J127" i="104" s="1"/>
  <c r="M33" i="101" a="1"/>
  <c r="M33" i="101" s="1"/>
  <c r="L33" i="101" a="1"/>
  <c r="L33" i="101" s="1"/>
  <c r="M30" i="101" a="1"/>
  <c r="M30" i="101" s="1"/>
  <c r="L30" i="101" a="1"/>
  <c r="L30" i="101" s="1"/>
  <c r="N135" i="86"/>
  <c r="I176" i="118"/>
  <c r="H196" i="118"/>
  <c r="L35" i="100" a="1"/>
  <c r="L35" i="100" s="1"/>
  <c r="M35" i="100" a="1"/>
  <c r="M35" i="100" s="1"/>
  <c r="N135" i="80"/>
  <c r="V189" i="82" a="1"/>
  <c r="V189" i="82" s="1"/>
  <c r="AC189" i="82" s="1" a="1"/>
  <c r="AC189" i="82" s="1"/>
  <c r="M26" i="100" a="1"/>
  <c r="M26" i="100" s="1"/>
  <c r="M30" i="100" a="1"/>
  <c r="M30" i="100" s="1"/>
  <c r="I97" i="93"/>
  <c r="I33" i="117"/>
  <c r="J113" i="86"/>
  <c r="V180" i="82" a="1"/>
  <c r="V180" i="82" s="1"/>
  <c r="AC180" i="82" s="1" a="1"/>
  <c r="AC180" i="82" s="1"/>
  <c r="H195" i="118"/>
  <c r="I175" i="118"/>
  <c r="H116" i="86"/>
  <c r="D185" i="80"/>
  <c r="W22" i="81"/>
  <c r="U92" i="82"/>
  <c r="V106" i="82" s="1" a="1"/>
  <c r="V106" i="82" s="1"/>
  <c r="W106" i="82" s="1" a="1"/>
  <c r="W106" i="82" s="1"/>
  <c r="AA106" i="82" s="1" a="1"/>
  <c r="AA106" i="82" s="1"/>
  <c r="L164" i="82" a="1"/>
  <c r="L164" i="82" s="1"/>
  <c r="E107" i="93"/>
  <c r="F107" i="93" s="1" a="1"/>
  <c r="F107" i="93" s="1"/>
  <c r="E139" i="93" s="1"/>
  <c r="E70" i="94"/>
  <c r="H194" i="118"/>
  <c r="I174" i="118"/>
  <c r="L38" i="100" a="1"/>
  <c r="L38" i="100" s="1"/>
  <c r="M38" i="100" a="1"/>
  <c r="M38" i="100" s="1"/>
  <c r="M31" i="101" a="1"/>
  <c r="M31" i="101" s="1"/>
  <c r="I23" i="116" a="1"/>
  <c r="I23" i="116" s="1"/>
  <c r="E76" i="116" a="1"/>
  <c r="E76" i="116" s="1"/>
  <c r="E58" i="116" a="1"/>
  <c r="E58" i="116" s="1"/>
  <c r="J63" i="116" s="1" a="1"/>
  <c r="J63" i="116" s="1"/>
  <c r="E39" i="116" a="1"/>
  <c r="E39" i="116" s="1"/>
  <c r="G48" i="116" s="1" a="1"/>
  <c r="G48" i="116" s="1"/>
  <c r="I32" i="116" a="1"/>
  <c r="I32" i="116" s="1"/>
  <c r="I29" i="116" a="1"/>
  <c r="I29" i="116" s="1"/>
  <c r="I27" i="116" a="1"/>
  <c r="I27" i="116" s="1"/>
  <c r="I25" i="116" a="1"/>
  <c r="I25" i="116" s="1"/>
  <c r="I31" i="116" a="1"/>
  <c r="I31" i="116" s="1"/>
  <c r="I30" i="116" a="1"/>
  <c r="I30" i="116" s="1"/>
  <c r="I28" i="116" a="1"/>
  <c r="I28" i="116" s="1"/>
  <c r="I26" i="116" a="1"/>
  <c r="I26" i="116" s="1"/>
  <c r="I24" i="116" a="1"/>
  <c r="I24" i="116" s="1"/>
  <c r="N111" i="86"/>
  <c r="N114" i="86"/>
  <c r="V37" i="87" a="1"/>
  <c r="V37" i="87" s="1"/>
  <c r="I100" i="80"/>
  <c r="M28" i="82"/>
  <c r="F139" i="86"/>
  <c r="G195" i="118"/>
  <c r="G194" i="118"/>
  <c r="G197" i="118"/>
  <c r="G196" i="118"/>
  <c r="D183" i="86"/>
  <c r="V22" i="87"/>
  <c r="U22" i="87"/>
  <c r="E106" i="93"/>
  <c r="E69" i="94"/>
  <c r="K137" i="80"/>
  <c r="V92" i="82"/>
  <c r="X22" i="81"/>
  <c r="G139" i="86"/>
  <c r="M27" i="101" a="1"/>
  <c r="M27" i="101" s="1"/>
  <c r="L27" i="101" a="1"/>
  <c r="L27" i="101" s="1"/>
  <c r="V36" i="87" a="1"/>
  <c r="V36" i="87" s="1"/>
  <c r="N138" i="86"/>
  <c r="N115" i="86"/>
  <c r="V28" i="87" a="1"/>
  <c r="V28" i="87" s="1"/>
  <c r="W28" i="87" s="1" a="1"/>
  <c r="W28" i="87" s="1"/>
  <c r="AC28" i="87" s="1" a="1"/>
  <c r="AC28" i="87" s="1"/>
  <c r="E105" i="93"/>
  <c r="E68" i="94"/>
  <c r="I15" i="94"/>
  <c r="I69" i="117"/>
  <c r="J140" i="86"/>
  <c r="I113" i="80"/>
  <c r="E108" i="93"/>
  <c r="F108" i="93" s="1" a="1"/>
  <c r="F108" i="93" s="1"/>
  <c r="E140" i="93" s="1"/>
  <c r="E71" i="94"/>
  <c r="M114" i="80"/>
  <c r="N138" i="80"/>
  <c r="W92" i="82"/>
  <c r="Y22" i="81"/>
  <c r="I81" i="82" a="1"/>
  <c r="I81" i="82" s="1"/>
  <c r="E72" i="94"/>
  <c r="E109" i="93"/>
  <c r="F109" i="93" s="1" a="1"/>
  <c r="F109" i="93" s="1"/>
  <c r="E141" i="93" s="1"/>
  <c r="M34" i="101" a="1"/>
  <c r="M34" i="101" s="1"/>
  <c r="L34" i="101" a="1"/>
  <c r="L34" i="101" s="1"/>
  <c r="L27" i="100" a="1"/>
  <c r="L27" i="100" s="1"/>
  <c r="N27" i="100" s="1" a="1"/>
  <c r="N27" i="100" s="1"/>
  <c r="D7" i="113"/>
  <c r="D162" i="116" s="1"/>
  <c r="F162" i="116" s="1" a="1"/>
  <c r="F162" i="116" s="1"/>
  <c r="D164" i="116"/>
  <c r="F164" i="116" s="1" a="1"/>
  <c r="F164" i="116" s="1"/>
  <c r="F466" i="116" a="1"/>
  <c r="F466" i="116" s="1"/>
  <c r="I107" i="86"/>
  <c r="M117" i="86"/>
  <c r="G129" i="86"/>
  <c r="L12" i="88" a="1"/>
  <c r="L12" i="88" s="1"/>
  <c r="H13" i="88"/>
  <c r="Y13" i="88"/>
  <c r="U14" i="88" a="1"/>
  <c r="U14" i="88" s="1"/>
  <c r="R15" i="88" a="1"/>
  <c r="R15" i="88" s="1"/>
  <c r="O16" i="88" a="1"/>
  <c r="O16" i="88" s="1"/>
  <c r="L17" i="88" a="1"/>
  <c r="L17" i="88" s="1"/>
  <c r="H18" i="88"/>
  <c r="Z18" i="88"/>
  <c r="U20" i="88" a="1"/>
  <c r="U20" i="88" s="1"/>
  <c r="W21" i="88" a="1"/>
  <c r="W21" i="88" s="1"/>
  <c r="X270" i="82"/>
  <c r="E74" i="94"/>
  <c r="J28" i="100" a="1"/>
  <c r="J28" i="100" s="1"/>
  <c r="K31" i="100" a="1"/>
  <c r="K31" i="100" s="1"/>
  <c r="J34" i="100" a="1"/>
  <c r="J34" i="100" s="1"/>
  <c r="J37" i="100" a="1"/>
  <c r="J37" i="100" s="1"/>
  <c r="L37" i="101" a="1"/>
  <c r="L37" i="101" s="1"/>
  <c r="AB122" i="116" a="1"/>
  <c r="AB122" i="116" s="1"/>
  <c r="D163" i="116"/>
  <c r="F163" i="116" s="1" a="1"/>
  <c r="F163" i="116" s="1"/>
  <c r="I15" i="97" a="1"/>
  <c r="I15" i="97" s="1"/>
  <c r="J26" i="101"/>
  <c r="H26" i="101"/>
  <c r="E38" i="101"/>
  <c r="E31" i="101"/>
  <c r="M28" i="101" a="1"/>
  <c r="M28" i="101" s="1"/>
  <c r="L28" i="101" a="1"/>
  <c r="L28" i="101" s="1"/>
  <c r="I530" i="116" a="1"/>
  <c r="I530" i="116" s="1"/>
  <c r="K107" i="86"/>
  <c r="G119" i="86"/>
  <c r="E130" i="86"/>
  <c r="M12" i="88" a="1"/>
  <c r="M12" i="88" s="1"/>
  <c r="J13" i="88" a="1"/>
  <c r="J13" i="88" s="1"/>
  <c r="Z13" i="88"/>
  <c r="S15" i="88" a="1"/>
  <c r="S15" i="88" s="1"/>
  <c r="P16" i="88" a="1"/>
  <c r="P16" i="88" s="1"/>
  <c r="M17" i="88" a="1"/>
  <c r="M17" i="88" s="1"/>
  <c r="K18" i="88" a="1"/>
  <c r="K18" i="88" s="1"/>
  <c r="F19" i="88"/>
  <c r="Y19" i="88"/>
  <c r="P26" i="88"/>
  <c r="G149" i="93"/>
  <c r="E26" i="100"/>
  <c r="G32" i="100" a="1"/>
  <c r="G32" i="100" s="1"/>
  <c r="E430" i="116"/>
  <c r="G430" i="116" s="1" a="1"/>
  <c r="G430" i="116" s="1"/>
  <c r="G439" i="116" a="1"/>
  <c r="G439" i="116" s="1"/>
  <c r="J439" i="116" s="1" a="1"/>
  <c r="J439" i="116" s="1"/>
  <c r="G438" i="116" a="1"/>
  <c r="G438" i="116" s="1"/>
  <c r="G437" i="116" a="1"/>
  <c r="G437" i="116" s="1"/>
  <c r="G436" i="116" a="1"/>
  <c r="G436" i="116" s="1"/>
  <c r="J436" i="116" s="1" a="1"/>
  <c r="J436" i="116" s="1"/>
  <c r="G434" i="116" a="1"/>
  <c r="G434" i="116" s="1"/>
  <c r="H434" i="116" s="1" a="1"/>
  <c r="H434" i="116" s="1"/>
  <c r="G433" i="116" a="1"/>
  <c r="G433" i="116" s="1"/>
  <c r="G431" i="116" a="1"/>
  <c r="G431" i="116" s="1"/>
  <c r="L35" i="101" a="1"/>
  <c r="L35" i="101" s="1"/>
  <c r="J87" i="117"/>
  <c r="K90" i="118"/>
  <c r="M89" i="118" s="1"/>
  <c r="P126" i="116" a="1"/>
  <c r="P126" i="116" s="1"/>
  <c r="X122" i="116" a="1"/>
  <c r="X122" i="116" s="1"/>
  <c r="AB125" i="116" a="1"/>
  <c r="AB125" i="116" s="1"/>
  <c r="T122" i="116" a="1"/>
  <c r="T122" i="116" s="1"/>
  <c r="X119" i="116" a="1"/>
  <c r="X119" i="116" s="1"/>
  <c r="AB128" i="116" a="1"/>
  <c r="AB128" i="116" s="1"/>
  <c r="X125" i="116" a="1"/>
  <c r="X125" i="116" s="1"/>
  <c r="P122" i="116" a="1"/>
  <c r="P122" i="116" s="1"/>
  <c r="X128" i="116" a="1"/>
  <c r="X128" i="116" s="1"/>
  <c r="T125" i="116" a="1"/>
  <c r="T125" i="116" s="1"/>
  <c r="AB121" i="116" a="1"/>
  <c r="AB121" i="116" s="1"/>
  <c r="T128" i="116" a="1"/>
  <c r="T128" i="116" s="1"/>
  <c r="P125" i="116" a="1"/>
  <c r="P125" i="116" s="1"/>
  <c r="X121" i="116" a="1"/>
  <c r="X121" i="116" s="1"/>
  <c r="AB127" i="116" a="1"/>
  <c r="AB127" i="116" s="1"/>
  <c r="X124" i="116" a="1"/>
  <c r="X124" i="116" s="1"/>
  <c r="P121" i="116" a="1"/>
  <c r="P121" i="116" s="1"/>
  <c r="X127" i="116" a="1"/>
  <c r="X127" i="116" s="1"/>
  <c r="T124" i="116" a="1"/>
  <c r="T124" i="116" s="1"/>
  <c r="AB120" i="116" a="1"/>
  <c r="AB120" i="116" s="1"/>
  <c r="P127" i="116" a="1"/>
  <c r="P127" i="116" s="1"/>
  <c r="AB123" i="116" a="1"/>
  <c r="AB123" i="116" s="1"/>
  <c r="T120" i="116" a="1"/>
  <c r="T120" i="116" s="1"/>
  <c r="P119" i="116" a="1"/>
  <c r="P119" i="116" s="1"/>
  <c r="X126" i="116" a="1"/>
  <c r="X126" i="116" s="1"/>
  <c r="T123" i="116" a="1"/>
  <c r="T123" i="116" s="1"/>
  <c r="AB119" i="116" a="1"/>
  <c r="AB119" i="116" s="1"/>
  <c r="D47" i="113"/>
  <c r="D479" i="116" s="1"/>
  <c r="F479" i="116" s="1" a="1"/>
  <c r="F479" i="116" s="1"/>
  <c r="G479" i="116" s="1" a="1"/>
  <c r="G479" i="116" s="1"/>
  <c r="F481" i="116" a="1"/>
  <c r="F481" i="116" s="1"/>
  <c r="M64" i="86"/>
  <c r="L107" i="86"/>
  <c r="H119" i="86"/>
  <c r="F130" i="86"/>
  <c r="N12" i="88" a="1"/>
  <c r="N12" i="88" s="1"/>
  <c r="K13" i="88" a="1"/>
  <c r="K13" i="88" s="1"/>
  <c r="F14" i="88"/>
  <c r="W14" i="88" a="1"/>
  <c r="W14" i="88" s="1"/>
  <c r="T15" i="88" a="1"/>
  <c r="T15" i="88" s="1"/>
  <c r="Q16" i="88" a="1"/>
  <c r="Q16" i="88" s="1"/>
  <c r="O17" i="88" a="1"/>
  <c r="O17" i="88" s="1"/>
  <c r="L18" i="88" a="1"/>
  <c r="L18" i="88" s="1"/>
  <c r="H19" i="88"/>
  <c r="Z19" i="88"/>
  <c r="W20" i="88" a="1"/>
  <c r="W20" i="88" s="1"/>
  <c r="P27" i="88"/>
  <c r="G38" i="83"/>
  <c r="D19" i="93" a="1"/>
  <c r="D23" i="94" a="1"/>
  <c r="D23" i="94" s="1"/>
  <c r="E75" i="94"/>
  <c r="G29" i="100" a="1"/>
  <c r="G29" i="100" s="1"/>
  <c r="H32" i="100" a="1"/>
  <c r="H32" i="100" s="1"/>
  <c r="G35" i="100" a="1"/>
  <c r="G35" i="100" s="1"/>
  <c r="G38" i="100" a="1"/>
  <c r="G38" i="100" s="1"/>
  <c r="G26" i="101"/>
  <c r="H35" i="101"/>
  <c r="X123" i="116" a="1"/>
  <c r="X123" i="116" s="1"/>
  <c r="H197" i="118"/>
  <c r="E32" i="101"/>
  <c r="E25" i="101"/>
  <c r="M25" i="100" a="1"/>
  <c r="M25" i="100" s="1"/>
  <c r="L25" i="100" a="1"/>
  <c r="L25" i="100" s="1"/>
  <c r="R16" i="112"/>
  <c r="M107" i="86"/>
  <c r="G127" i="86"/>
  <c r="H130" i="86"/>
  <c r="O12" i="88" a="1"/>
  <c r="O12" i="88" s="1"/>
  <c r="L13" i="88" a="1"/>
  <c r="L13" i="88" s="1"/>
  <c r="H14" i="88"/>
  <c r="Y14" i="88"/>
  <c r="U15" i="88" a="1"/>
  <c r="U15" i="88" s="1"/>
  <c r="S16" i="88" a="1"/>
  <c r="S16" i="88" s="1"/>
  <c r="P17" i="88" a="1"/>
  <c r="P17" i="88" s="1"/>
  <c r="M18" i="88" a="1"/>
  <c r="M18" i="88" s="1"/>
  <c r="J19" i="88" a="1"/>
  <c r="J19" i="88" s="1"/>
  <c r="F20" i="88"/>
  <c r="Y20" i="88"/>
  <c r="P29" i="88"/>
  <c r="G39" i="84"/>
  <c r="G97" i="94"/>
  <c r="H26" i="100" a="1"/>
  <c r="H26" i="100" s="1"/>
  <c r="I29" i="100" a="1"/>
  <c r="I29" i="100" s="1"/>
  <c r="J32" i="100" a="1"/>
  <c r="J32" i="100" s="1"/>
  <c r="I35" i="100" a="1"/>
  <c r="I35" i="100" s="1"/>
  <c r="I38" i="100" a="1"/>
  <c r="I38" i="100" s="1"/>
  <c r="I26" i="101"/>
  <c r="I35" i="101"/>
  <c r="P124" i="116" a="1"/>
  <c r="P124" i="116" s="1"/>
  <c r="P237" i="116"/>
  <c r="AA239" i="116" a="1"/>
  <c r="AA239" i="116" s="1"/>
  <c r="AA238" i="116" a="1"/>
  <c r="AA238" i="116" s="1"/>
  <c r="AA244" i="116" a="1"/>
  <c r="AA244" i="116" s="1"/>
  <c r="AA240" i="116" a="1"/>
  <c r="AA240" i="116" s="1"/>
  <c r="H25" i="108"/>
  <c r="D12" i="113" a="1"/>
  <c r="D270" i="116" a="1"/>
  <c r="N107" i="86"/>
  <c r="H127" i="86"/>
  <c r="I130" i="86"/>
  <c r="P12" i="88" a="1"/>
  <c r="P12" i="88" s="1"/>
  <c r="M13" i="88" a="1"/>
  <c r="M13" i="88" s="1"/>
  <c r="J14" i="88" a="1"/>
  <c r="J14" i="88" s="1"/>
  <c r="Z14" i="88"/>
  <c r="W15" i="88" a="1"/>
  <c r="W15" i="88" s="1"/>
  <c r="T16" i="88" a="1"/>
  <c r="T16" i="88" s="1"/>
  <c r="Q17" i="88" a="1"/>
  <c r="Q17" i="88" s="1"/>
  <c r="N18" i="88" a="1"/>
  <c r="N18" i="88" s="1"/>
  <c r="K19" i="88" a="1"/>
  <c r="K19" i="88" s="1"/>
  <c r="H20" i="88"/>
  <c r="Z20" i="88"/>
  <c r="P31" i="88"/>
  <c r="P39" i="84"/>
  <c r="J15" i="107" a="1"/>
  <c r="J15" i="107" s="1"/>
  <c r="J26" i="100" a="1"/>
  <c r="J26" i="100" s="1"/>
  <c r="K29" i="100" a="1"/>
  <c r="K29" i="100" s="1"/>
  <c r="K35" i="100" a="1"/>
  <c r="K35" i="100" s="1"/>
  <c r="K26" i="101"/>
  <c r="L29" i="101" a="1"/>
  <c r="L29" i="101" s="1"/>
  <c r="T119" i="116" a="1"/>
  <c r="T119" i="116" s="1"/>
  <c r="AB124" i="116" a="1"/>
  <c r="AB124" i="116" s="1"/>
  <c r="G432" i="116" a="1"/>
  <c r="G432" i="116" s="1"/>
  <c r="H432" i="116" s="1" a="1"/>
  <c r="H432" i="116" s="1"/>
  <c r="G576" i="116"/>
  <c r="I34" i="101"/>
  <c r="G34" i="101"/>
  <c r="E29" i="101"/>
  <c r="E36" i="101"/>
  <c r="E105" i="86"/>
  <c r="L108" i="86"/>
  <c r="J127" i="86"/>
  <c r="J130" i="86"/>
  <c r="Q12" i="88" a="1"/>
  <c r="Q12" i="88" s="1"/>
  <c r="N13" i="88" a="1"/>
  <c r="N13" i="88" s="1"/>
  <c r="K14" i="88" a="1"/>
  <c r="K14" i="88" s="1"/>
  <c r="H15" i="88"/>
  <c r="Y15" i="88"/>
  <c r="U16" i="88" a="1"/>
  <c r="U16" i="88" s="1"/>
  <c r="R17" i="88" a="1"/>
  <c r="R17" i="88" s="1"/>
  <c r="O18" i="88" a="1"/>
  <c r="O18" i="88" s="1"/>
  <c r="L19" i="88" a="1"/>
  <c r="L19" i="88" s="1"/>
  <c r="J20" i="88" a="1"/>
  <c r="J20" i="88" s="1"/>
  <c r="F21" i="88"/>
  <c r="P33" i="88"/>
  <c r="E30" i="101"/>
  <c r="L32" i="101" a="1"/>
  <c r="L32" i="101" s="1"/>
  <c r="M35" i="101" a="1"/>
  <c r="M35" i="101" s="1"/>
  <c r="T126" i="116" a="1"/>
  <c r="T126" i="116" s="1"/>
  <c r="G435" i="116" a="1"/>
  <c r="G435" i="116" s="1"/>
  <c r="J40" i="101"/>
  <c r="H40" i="101"/>
  <c r="J177" i="104" a="1"/>
  <c r="J177" i="104" s="1"/>
  <c r="J168" i="104" a="1"/>
  <c r="J168" i="104" s="1"/>
  <c r="J118" i="104" a="1"/>
  <c r="J118" i="104" s="1"/>
  <c r="J167" i="104" a="1"/>
  <c r="J167" i="104" s="1"/>
  <c r="J134" i="104" a="1"/>
  <c r="J134" i="104" s="1"/>
  <c r="D59" i="104" a="1"/>
  <c r="J117" i="104" a="1"/>
  <c r="J117" i="104" s="1"/>
  <c r="J166" i="104" a="1"/>
  <c r="J166" i="104" s="1"/>
  <c r="J159" i="104" a="1"/>
  <c r="J159" i="104" s="1"/>
  <c r="J133" i="104" a="1"/>
  <c r="J133" i="104" s="1"/>
  <c r="J175" i="104" a="1"/>
  <c r="J175" i="104" s="1"/>
  <c r="J116" i="104" a="1"/>
  <c r="J116" i="104" s="1"/>
  <c r="J185" i="104" a="1"/>
  <c r="J185" i="104" s="1"/>
  <c r="J158" i="104" a="1"/>
  <c r="J158" i="104" s="1"/>
  <c r="J164" i="104" a="1"/>
  <c r="J164" i="104" s="1"/>
  <c r="J157" i="104" a="1"/>
  <c r="J157" i="104" s="1"/>
  <c r="D116" i="104" a="1"/>
  <c r="D116" i="104" s="1"/>
  <c r="J173" i="104" a="1"/>
  <c r="J173" i="104" s="1"/>
  <c r="J138" i="104" a="1"/>
  <c r="J138" i="104" s="1"/>
  <c r="J121" i="104" a="1"/>
  <c r="J121" i="104" s="1"/>
  <c r="D157" i="104" a="1"/>
  <c r="D157" i="104" s="1"/>
  <c r="J120" i="104" a="1"/>
  <c r="J120" i="104" s="1"/>
  <c r="J179" i="104" a="1"/>
  <c r="J179" i="104" s="1"/>
  <c r="J126" i="104" a="1"/>
  <c r="J126" i="104" s="1"/>
  <c r="E302" i="116" a="1"/>
  <c r="E302" i="116" s="1"/>
  <c r="E301" i="116" a="1"/>
  <c r="E301" i="116" s="1"/>
  <c r="E300" i="116" a="1"/>
  <c r="E300" i="116" s="1"/>
  <c r="F105" i="86"/>
  <c r="M108" i="86"/>
  <c r="K127" i="86"/>
  <c r="K130" i="86"/>
  <c r="R12" i="88" a="1"/>
  <c r="R12" i="88" s="1"/>
  <c r="O13" i="88" a="1"/>
  <c r="O13" i="88" s="1"/>
  <c r="M14" i="88" a="1"/>
  <c r="M14" i="88" s="1"/>
  <c r="J15" i="88" a="1"/>
  <c r="J15" i="88" s="1"/>
  <c r="Z15" i="88"/>
  <c r="S17" i="88" a="1"/>
  <c r="S17" i="88" s="1"/>
  <c r="P18" i="88" a="1"/>
  <c r="P18" i="88" s="1"/>
  <c r="M19" i="88" a="1"/>
  <c r="M19" i="88" s="1"/>
  <c r="K20" i="88" a="1"/>
  <c r="K20" i="88" s="1"/>
  <c r="H21" i="88"/>
  <c r="P34" i="88"/>
  <c r="D60" i="89" a="1"/>
  <c r="D60" i="89" s="1"/>
  <c r="E33" i="100"/>
  <c r="E27" i="101"/>
  <c r="E33" i="101"/>
  <c r="J39" i="100" a="1"/>
  <c r="J39" i="100" s="1"/>
  <c r="J36" i="100" a="1"/>
  <c r="J36" i="100" s="1"/>
  <c r="J33" i="100" a="1"/>
  <c r="J33" i="100" s="1"/>
  <c r="J30" i="100" a="1"/>
  <c r="J30" i="100" s="1"/>
  <c r="I27" i="100" a="1"/>
  <c r="I27" i="100" s="1"/>
  <c r="I39" i="100" a="1"/>
  <c r="I39" i="100" s="1"/>
  <c r="I36" i="100" a="1"/>
  <c r="I36" i="100" s="1"/>
  <c r="I33" i="100" a="1"/>
  <c r="I33" i="100" s="1"/>
  <c r="I30" i="100" a="1"/>
  <c r="I30" i="100" s="1"/>
  <c r="H27" i="100" a="1"/>
  <c r="H27" i="100" s="1"/>
  <c r="H39" i="100" a="1"/>
  <c r="H39" i="100" s="1"/>
  <c r="H36" i="100" a="1"/>
  <c r="H36" i="100" s="1"/>
  <c r="H33" i="100" a="1"/>
  <c r="H33" i="100" s="1"/>
  <c r="H30" i="100" a="1"/>
  <c r="H30" i="100" s="1"/>
  <c r="G27" i="100" a="1"/>
  <c r="G27" i="100" s="1"/>
  <c r="K25" i="100" a="1"/>
  <c r="K25" i="100" s="1"/>
  <c r="G39" i="100" a="1"/>
  <c r="G39" i="100" s="1"/>
  <c r="K37" i="100" a="1"/>
  <c r="K37" i="100" s="1"/>
  <c r="G36" i="100" a="1"/>
  <c r="G36" i="100" s="1"/>
  <c r="K34" i="100" a="1"/>
  <c r="K34" i="100" s="1"/>
  <c r="G33" i="100" a="1"/>
  <c r="G33" i="100" s="1"/>
  <c r="G30" i="100" a="1"/>
  <c r="G30" i="100" s="1"/>
  <c r="K28" i="100" a="1"/>
  <c r="K28" i="100" s="1"/>
  <c r="G37" i="100" a="1"/>
  <c r="G37" i="100" s="1"/>
  <c r="G34" i="100" a="1"/>
  <c r="G34" i="100" s="1"/>
  <c r="H31" i="100" a="1"/>
  <c r="H31" i="100" s="1"/>
  <c r="G28" i="100" a="1"/>
  <c r="G28" i="100" s="1"/>
  <c r="K26" i="100" a="1"/>
  <c r="K26" i="100" s="1"/>
  <c r="J38" i="100" a="1"/>
  <c r="J38" i="100" s="1"/>
  <c r="E37" i="100"/>
  <c r="H37" i="100" s="1" a="1"/>
  <c r="H37" i="100" s="1"/>
  <c r="J35" i="100" a="1"/>
  <c r="J35" i="100" s="1"/>
  <c r="K32" i="100" a="1"/>
  <c r="K32" i="100" s="1"/>
  <c r="J29" i="100" a="1"/>
  <c r="J29" i="100" s="1"/>
  <c r="I26" i="100" a="1"/>
  <c r="I26" i="100" s="1"/>
  <c r="H38" i="100" a="1"/>
  <c r="H38" i="100" s="1"/>
  <c r="H35" i="100" a="1"/>
  <c r="H35" i="100" s="1"/>
  <c r="I32" i="100" a="1"/>
  <c r="I32" i="100" s="1"/>
  <c r="H29" i="100" a="1"/>
  <c r="H29" i="100" s="1"/>
  <c r="G26" i="100" a="1"/>
  <c r="G26" i="100" s="1"/>
  <c r="I17" i="105"/>
  <c r="E59" i="104" a="1"/>
  <c r="E116" i="104" a="1"/>
  <c r="E116" i="104" s="1"/>
  <c r="E21" i="104" a="1"/>
  <c r="N105" i="86"/>
  <c r="E111" i="86"/>
  <c r="L127" i="86"/>
  <c r="I136" i="86"/>
  <c r="S12" i="88" a="1"/>
  <c r="S12" i="88" s="1"/>
  <c r="Q13" i="88" a="1"/>
  <c r="Q13" i="88" s="1"/>
  <c r="N14" i="88" a="1"/>
  <c r="N14" i="88" s="1"/>
  <c r="K15" i="88" a="1"/>
  <c r="K15" i="88" s="1"/>
  <c r="F16" i="88"/>
  <c r="W16" i="88" a="1"/>
  <c r="W16" i="88" s="1"/>
  <c r="T17" i="88" a="1"/>
  <c r="T17" i="88" s="1"/>
  <c r="Q18" i="88" a="1"/>
  <c r="Q18" i="88" s="1"/>
  <c r="N19" i="88" a="1"/>
  <c r="N19" i="88" s="1"/>
  <c r="L20" i="88" a="1"/>
  <c r="L20" i="88" s="1"/>
  <c r="M21" i="88" a="1"/>
  <c r="M21" i="88" s="1"/>
  <c r="G83" i="89"/>
  <c r="AB126" i="116" a="1"/>
  <c r="AB126" i="116" s="1"/>
  <c r="G448" i="116" a="1"/>
  <c r="G448" i="116" s="1"/>
  <c r="G376" i="116" a="1"/>
  <c r="G376" i="116" s="1"/>
  <c r="G375" i="116" a="1"/>
  <c r="G375" i="116" s="1"/>
  <c r="H375" i="116" s="1" a="1"/>
  <c r="H375" i="116" s="1"/>
  <c r="G374" i="116" a="1"/>
  <c r="G374" i="116" s="1"/>
  <c r="G373" i="116" a="1"/>
  <c r="G373" i="116" s="1"/>
  <c r="H373" i="116" s="1" a="1"/>
  <c r="H373" i="116" s="1"/>
  <c r="G372" i="116" a="1"/>
  <c r="G372" i="116" s="1"/>
  <c r="G370" i="116" a="1"/>
  <c r="G370" i="116" s="1"/>
  <c r="J370" i="116" s="1" a="1"/>
  <c r="J370" i="116" s="1"/>
  <c r="G369" i="116" a="1"/>
  <c r="G369" i="116" s="1"/>
  <c r="G367" i="116" a="1"/>
  <c r="G367" i="116" s="1"/>
  <c r="E106" i="86"/>
  <c r="G112" i="86"/>
  <c r="M127" i="86"/>
  <c r="J136" i="86"/>
  <c r="U12" i="88" a="1"/>
  <c r="U12" i="88" s="1"/>
  <c r="R13" i="88" a="1"/>
  <c r="R13" i="88" s="1"/>
  <c r="O14" i="88" a="1"/>
  <c r="O14" i="88" s="1"/>
  <c r="L15" i="88" a="1"/>
  <c r="L15" i="88" s="1"/>
  <c r="H16" i="88"/>
  <c r="Y16" i="88"/>
  <c r="U17" i="88" a="1"/>
  <c r="U17" i="88" s="1"/>
  <c r="R18" i="88" a="1"/>
  <c r="R18" i="88" s="1"/>
  <c r="O19" i="88" a="1"/>
  <c r="O19" i="88" s="1"/>
  <c r="M20" i="88" a="1"/>
  <c r="M20" i="88" s="1"/>
  <c r="N21" i="88" a="1"/>
  <c r="N21" i="88" s="1"/>
  <c r="Z279" i="81"/>
  <c r="J27" i="100" a="1"/>
  <c r="J27" i="100" s="1"/>
  <c r="K30" i="100" a="1"/>
  <c r="K30" i="100" s="1"/>
  <c r="K33" i="100" a="1"/>
  <c r="K33" i="100" s="1"/>
  <c r="K36" i="100" a="1"/>
  <c r="K36" i="100" s="1"/>
  <c r="K39" i="100" a="1"/>
  <c r="K39" i="100" s="1"/>
  <c r="T127" i="116" a="1"/>
  <c r="T127" i="116" s="1"/>
  <c r="H63" i="86"/>
  <c r="G106" i="86"/>
  <c r="H112" i="86"/>
  <c r="K128" i="86"/>
  <c r="M137" i="86"/>
  <c r="S13" i="88" a="1"/>
  <c r="S13" i="88" s="1"/>
  <c r="P14" i="88" a="1"/>
  <c r="P14" i="88" s="1"/>
  <c r="M15" i="88" a="1"/>
  <c r="M15" i="88" s="1"/>
  <c r="J16" i="88" a="1"/>
  <c r="J16" i="88" s="1"/>
  <c r="Z16" i="88"/>
  <c r="S18" i="88" a="1"/>
  <c r="S18" i="88" s="1"/>
  <c r="P19" i="88" a="1"/>
  <c r="P19" i="88" s="1"/>
  <c r="N20" i="88" a="1"/>
  <c r="N20" i="88" s="1"/>
  <c r="P21" i="88" a="1"/>
  <c r="P21" i="88" s="1"/>
  <c r="Q51" i="108"/>
  <c r="K27" i="100" a="1"/>
  <c r="K27" i="100" s="1"/>
  <c r="P128" i="116" a="1"/>
  <c r="P128" i="116" s="1"/>
  <c r="G449" i="116" a="1"/>
  <c r="G449" i="116" s="1"/>
  <c r="H449" i="116" s="1" a="1"/>
  <c r="H449" i="116" s="1"/>
  <c r="E157" i="104" a="1"/>
  <c r="E157" i="104" s="1"/>
  <c r="E119" i="80"/>
  <c r="L178" i="80"/>
  <c r="X172" i="81"/>
  <c r="R12" i="112"/>
  <c r="O19" i="112"/>
  <c r="H106" i="86"/>
  <c r="I112" i="86"/>
  <c r="L128" i="86"/>
  <c r="N137" i="86"/>
  <c r="F12" i="88"/>
  <c r="W12" i="88" a="1"/>
  <c r="W12" i="88" s="1"/>
  <c r="T13" i="88" a="1"/>
  <c r="T13" i="88" s="1"/>
  <c r="Q14" i="88" a="1"/>
  <c r="Q14" i="88" s="1"/>
  <c r="N15" i="88" a="1"/>
  <c r="N15" i="88" s="1"/>
  <c r="K16" i="88" a="1"/>
  <c r="K16" i="88" s="1"/>
  <c r="F17" i="88"/>
  <c r="W17" i="88" a="1"/>
  <c r="W17" i="88" s="1"/>
  <c r="T18" i="88" a="1"/>
  <c r="T18" i="88" s="1"/>
  <c r="Q19" i="88" a="1"/>
  <c r="Q19" i="88" s="1"/>
  <c r="O20" i="88" a="1"/>
  <c r="O20" i="88" s="1"/>
  <c r="R21" i="88" a="1"/>
  <c r="R21" i="88" s="1"/>
  <c r="P111" i="89"/>
  <c r="M27" i="100" a="1"/>
  <c r="M27" i="100" s="1"/>
  <c r="E28" i="101"/>
  <c r="G40" i="101"/>
  <c r="G451" i="116" a="1"/>
  <c r="G451" i="116" s="1"/>
  <c r="J162" i="104" a="1"/>
  <c r="J162" i="104" s="1"/>
  <c r="Q43" i="107"/>
  <c r="G43" i="107"/>
  <c r="Q38" i="83"/>
  <c r="G247" i="81"/>
  <c r="X165" i="87"/>
  <c r="O576" i="116"/>
  <c r="G51" i="108"/>
  <c r="G82" i="93"/>
  <c r="E172" i="81"/>
  <c r="I51" i="89"/>
  <c r="J35" i="107"/>
  <c r="M180" i="80"/>
  <c r="V107" i="82" a="1"/>
  <c r="V107" i="82" s="1"/>
  <c r="P25" i="88"/>
  <c r="P32" i="88"/>
  <c r="P30" i="88"/>
  <c r="D58" i="90" a="1"/>
  <c r="D58" i="90" s="1"/>
  <c r="D19" i="89" a="1"/>
  <c r="P28" i="88"/>
  <c r="G183" i="118"/>
  <c r="G35" i="101"/>
  <c r="J35" i="101"/>
  <c r="R19" i="112"/>
  <c r="I49" i="117"/>
  <c r="I106" i="86"/>
  <c r="F115" i="86"/>
  <c r="N128" i="86"/>
  <c r="E138" i="86"/>
  <c r="H12" i="88"/>
  <c r="Y12" i="88"/>
  <c r="U13" i="88" a="1"/>
  <c r="U13" i="88" s="1"/>
  <c r="R14" i="88" a="1"/>
  <c r="R14" i="88" s="1"/>
  <c r="O15" i="88" a="1"/>
  <c r="O15" i="88" s="1"/>
  <c r="L16" i="88" a="1"/>
  <c r="L16" i="88" s="1"/>
  <c r="H17" i="88"/>
  <c r="Y17" i="88"/>
  <c r="U18" i="88" a="1"/>
  <c r="U18" i="88" s="1"/>
  <c r="R19" i="88" a="1"/>
  <c r="R19" i="88" s="1"/>
  <c r="Q20" i="88" a="1"/>
  <c r="Q20" i="88" s="1"/>
  <c r="T21" i="88" a="1"/>
  <c r="T21" i="88" s="1"/>
  <c r="F164" i="82" a="1"/>
  <c r="F164" i="82" s="1"/>
  <c r="D19" i="90" a="1"/>
  <c r="G53" i="91"/>
  <c r="E25" i="100"/>
  <c r="G31" i="100" a="1"/>
  <c r="G31" i="100" s="1"/>
  <c r="I40" i="101"/>
  <c r="P120" i="116" a="1"/>
  <c r="P120" i="116" s="1"/>
  <c r="W245" i="116" a="1"/>
  <c r="W245" i="116" s="1"/>
  <c r="D21" i="104" a="1"/>
  <c r="J163" i="104" a="1"/>
  <c r="J163" i="104" s="1"/>
  <c r="N122" i="80"/>
  <c r="J120" i="86"/>
  <c r="M31" i="100" a="1"/>
  <c r="M31" i="100" s="1"/>
  <c r="J18" i="107" a="1"/>
  <c r="J18" i="107" s="1"/>
  <c r="J14" i="107" a="1"/>
  <c r="J14" i="107" s="1"/>
  <c r="J106" i="86"/>
  <c r="G115" i="86"/>
  <c r="E129" i="86"/>
  <c r="J12" i="88" a="1"/>
  <c r="J12" i="88" s="1"/>
  <c r="Z12" i="88"/>
  <c r="S14" i="88" a="1"/>
  <c r="S14" i="88" s="1"/>
  <c r="P15" i="88" a="1"/>
  <c r="P15" i="88" s="1"/>
  <c r="M16" i="88" a="1"/>
  <c r="M16" i="88" s="1"/>
  <c r="J17" i="88" a="1"/>
  <c r="J17" i="88" s="1"/>
  <c r="Z17" i="88"/>
  <c r="S19" i="88" a="1"/>
  <c r="S19" i="88" s="1"/>
  <c r="R20" i="88" a="1"/>
  <c r="R20" i="88" s="1"/>
  <c r="I19" i="99"/>
  <c r="G25" i="100" a="1"/>
  <c r="G25" i="100" s="1"/>
  <c r="H28" i="100" a="1"/>
  <c r="H28" i="100" s="1"/>
  <c r="I31" i="100" a="1"/>
  <c r="I31" i="100" s="1"/>
  <c r="H34" i="100" a="1"/>
  <c r="H34" i="100" s="1"/>
  <c r="H34" i="101"/>
  <c r="X120" i="116" a="1"/>
  <c r="X120" i="116" s="1"/>
  <c r="AC237" i="116"/>
  <c r="AE245" i="116" a="1"/>
  <c r="AE245" i="116" s="1"/>
  <c r="AE238" i="116" a="1"/>
  <c r="AE238" i="116" s="1"/>
  <c r="S246" i="116" a="1"/>
  <c r="S246" i="116" s="1"/>
  <c r="G368" i="116" a="1"/>
  <c r="G368" i="116" s="1"/>
  <c r="N95" i="80"/>
  <c r="G143" i="80"/>
  <c r="H163" i="82" a="1"/>
  <c r="H163" i="82" s="1"/>
  <c r="J14" i="87" a="1"/>
  <c r="J14" i="87" s="1"/>
  <c r="H164" i="82" a="1"/>
  <c r="H164" i="82" s="1"/>
  <c r="L163" i="82" a="1"/>
  <c r="L163" i="82" s="1"/>
  <c r="E153" i="86"/>
  <c r="N118" i="86"/>
  <c r="N142" i="86"/>
  <c r="V29" i="87" a="1"/>
  <c r="V29" i="87" s="1"/>
  <c r="W29" i="87" s="1" a="1"/>
  <c r="W29" i="87" s="1"/>
  <c r="J15" i="81" a="1"/>
  <c r="J15" i="81" s="1"/>
  <c r="V108" i="82" a="1"/>
  <c r="V108" i="82" s="1"/>
  <c r="G177" i="118"/>
  <c r="G176" i="118"/>
  <c r="G175" i="118"/>
  <c r="AE244" i="116" s="1" a="1"/>
  <c r="AE244" i="116" s="1"/>
  <c r="G174" i="118"/>
  <c r="L21" i="88" a="1"/>
  <c r="L21" i="88" s="1"/>
  <c r="P20" i="88" a="1"/>
  <c r="P20" i="88" s="1"/>
  <c r="T19" i="88" a="1"/>
  <c r="T19" i="88" s="1"/>
  <c r="Y18" i="88"/>
  <c r="J18" i="88" a="1"/>
  <c r="J18" i="88" s="1"/>
  <c r="N17" i="88" a="1"/>
  <c r="N17" i="88" s="1"/>
  <c r="R16" i="88" a="1"/>
  <c r="R16" i="88" s="1"/>
  <c r="F15" i="88"/>
  <c r="L14" i="88" a="1"/>
  <c r="L14" i="88" s="1"/>
  <c r="P13" i="88" a="1"/>
  <c r="P13" i="88" s="1"/>
  <c r="T12" i="88" a="1"/>
  <c r="T12" i="88" s="1"/>
  <c r="Z21" i="88"/>
  <c r="K21" i="88" a="1"/>
  <c r="K21" i="88" s="1"/>
  <c r="Y21" i="88"/>
  <c r="J21" i="88" a="1"/>
  <c r="J21" i="88" s="1"/>
  <c r="S21" i="88" a="1"/>
  <c r="S21" i="88" s="1"/>
  <c r="Q21" i="88" a="1"/>
  <c r="Q21" i="88" s="1"/>
  <c r="O21" i="88" a="1"/>
  <c r="O21" i="88" s="1"/>
  <c r="S20" i="88" a="1"/>
  <c r="S20" i="88" s="1"/>
  <c r="W19" i="88" a="1"/>
  <c r="W19" i="88" s="1"/>
  <c r="M39" i="101" a="1"/>
  <c r="M39" i="101" s="1"/>
  <c r="H107" i="86"/>
  <c r="I115" i="86"/>
  <c r="F129" i="86"/>
  <c r="K12" i="88" a="1"/>
  <c r="K12" i="88" s="1"/>
  <c r="F13" i="88"/>
  <c r="W13" i="88" a="1"/>
  <c r="W13" i="88" s="1"/>
  <c r="T14" i="88" a="1"/>
  <c r="T14" i="88" s="1"/>
  <c r="Q15" i="88" a="1"/>
  <c r="Q15" i="88" s="1"/>
  <c r="N16" i="88" a="1"/>
  <c r="N16" i="88" s="1"/>
  <c r="K17" i="88" a="1"/>
  <c r="K17" i="88" s="1"/>
  <c r="F18" i="88"/>
  <c r="W18" i="88" a="1"/>
  <c r="W18" i="88" s="1"/>
  <c r="U19" i="88" a="1"/>
  <c r="U19" i="88" s="1"/>
  <c r="T20" i="88" a="1"/>
  <c r="T20" i="88" s="1"/>
  <c r="G232" i="82"/>
  <c r="H25" i="100" a="1"/>
  <c r="H25" i="100" s="1"/>
  <c r="I28" i="100" a="1"/>
  <c r="I28" i="100" s="1"/>
  <c r="J31" i="100" a="1"/>
  <c r="J31" i="100" s="1"/>
  <c r="I34" i="100" a="1"/>
  <c r="I34" i="100" s="1"/>
  <c r="J34" i="101"/>
  <c r="T121" i="116" a="1"/>
  <c r="T121" i="116" s="1"/>
  <c r="G371" i="116" a="1"/>
  <c r="G371" i="116" s="1"/>
  <c r="I21" i="99"/>
  <c r="S238" i="116" a="1"/>
  <c r="S238" i="116" s="1"/>
  <c r="G450" i="116" a="1"/>
  <c r="G450" i="116" s="1"/>
  <c r="G452" i="116" a="1"/>
  <c r="G452" i="116" s="1"/>
  <c r="G453" i="116" a="1"/>
  <c r="G453" i="116" s="1"/>
  <c r="W246" i="116" a="1"/>
  <c r="W246" i="116" s="1"/>
  <c r="G455" i="116" a="1"/>
  <c r="G455" i="116" s="1"/>
  <c r="S243" i="116" a="1"/>
  <c r="S243" i="116" s="1"/>
  <c r="AA246" i="116" a="1"/>
  <c r="AA246" i="116" s="1"/>
  <c r="G456" i="116" a="1"/>
  <c r="G456" i="116" s="1"/>
  <c r="W243" i="116" a="1"/>
  <c r="W243" i="116" s="1"/>
  <c r="G457" i="116" a="1"/>
  <c r="G457" i="116" s="1"/>
  <c r="I18" i="99"/>
  <c r="S240" i="116" a="1"/>
  <c r="S240" i="116" s="1"/>
  <c r="F112" i="86"/>
  <c r="H136" i="86"/>
  <c r="G84" i="86"/>
  <c r="F106" i="86"/>
  <c r="J107" i="86"/>
  <c r="N108" i="86"/>
  <c r="H115" i="86"/>
  <c r="I127" i="86"/>
  <c r="M128" i="86"/>
  <c r="G130" i="86"/>
  <c r="K136" i="86"/>
  <c r="L117" i="86"/>
  <c r="N141" i="86"/>
  <c r="M97" i="86"/>
  <c r="G105" i="86"/>
  <c r="K106" i="86"/>
  <c r="E108" i="86"/>
  <c r="J112" i="86"/>
  <c r="I119" i="86"/>
  <c r="N127" i="86"/>
  <c r="H129" i="86"/>
  <c r="L130" i="86"/>
  <c r="H139" i="86"/>
  <c r="M84" i="86"/>
  <c r="H105" i="86"/>
  <c r="L106" i="86"/>
  <c r="F108" i="86"/>
  <c r="K112" i="86"/>
  <c r="K120" i="86"/>
  <c r="E128" i="86"/>
  <c r="I129" i="86"/>
  <c r="M130" i="86"/>
  <c r="I139" i="86"/>
  <c r="F119" i="86"/>
  <c r="H143" i="86"/>
  <c r="I105" i="86"/>
  <c r="M106" i="86"/>
  <c r="G108" i="86"/>
  <c r="K113" i="86"/>
  <c r="E122" i="86"/>
  <c r="F128" i="86"/>
  <c r="J129" i="86"/>
  <c r="N130" i="86"/>
  <c r="E142" i="86"/>
  <c r="L144" i="86"/>
  <c r="E91" i="86"/>
  <c r="J105" i="86"/>
  <c r="N106" i="86"/>
  <c r="H108" i="86"/>
  <c r="L113" i="86"/>
  <c r="F122" i="86"/>
  <c r="G128" i="86"/>
  <c r="K129" i="86"/>
  <c r="K133" i="86"/>
  <c r="I143" i="86"/>
  <c r="N121" i="86"/>
  <c r="K105" i="86"/>
  <c r="E107" i="86"/>
  <c r="I108" i="86"/>
  <c r="M113" i="86"/>
  <c r="G122" i="86"/>
  <c r="H128" i="86"/>
  <c r="L129" i="86"/>
  <c r="L133" i="86"/>
  <c r="M144" i="86"/>
  <c r="N122" i="86"/>
  <c r="M77" i="86"/>
  <c r="L105" i="86"/>
  <c r="F107" i="86"/>
  <c r="J108" i="86"/>
  <c r="N113" i="86"/>
  <c r="E127" i="86"/>
  <c r="I128" i="86"/>
  <c r="M129" i="86"/>
  <c r="M133" i="86"/>
  <c r="E152" i="86"/>
  <c r="J133" i="86"/>
  <c r="G63" i="86"/>
  <c r="M105" i="86"/>
  <c r="G107" i="86"/>
  <c r="K108" i="86"/>
  <c r="E115" i="86"/>
  <c r="F127" i="86"/>
  <c r="J128" i="86"/>
  <c r="N129" i="86"/>
  <c r="E135" i="86"/>
  <c r="E112" i="80"/>
  <c r="G136" i="80"/>
  <c r="E106" i="80"/>
  <c r="I107" i="80"/>
  <c r="M108" i="80"/>
  <c r="N121" i="80"/>
  <c r="G128" i="80"/>
  <c r="K129" i="80"/>
  <c r="J133" i="80"/>
  <c r="E152" i="80"/>
  <c r="E165" i="81" s="1"/>
  <c r="E105" i="80"/>
  <c r="I106" i="80"/>
  <c r="M107" i="80"/>
  <c r="I116" i="80"/>
  <c r="G127" i="80"/>
  <c r="K128" i="80"/>
  <c r="E130" i="80"/>
  <c r="F139" i="80"/>
  <c r="G69" i="80"/>
  <c r="K117" i="80"/>
  <c r="M141" i="80"/>
  <c r="F105" i="80"/>
  <c r="J106" i="80"/>
  <c r="N107" i="80"/>
  <c r="L117" i="80"/>
  <c r="H127" i="80"/>
  <c r="L128" i="80"/>
  <c r="F130" i="80"/>
  <c r="J140" i="80"/>
  <c r="N118" i="80"/>
  <c r="N142" i="80"/>
  <c r="G105" i="80"/>
  <c r="K106" i="80"/>
  <c r="E108" i="80"/>
  <c r="M117" i="80"/>
  <c r="I127" i="80"/>
  <c r="M128" i="80"/>
  <c r="G130" i="80"/>
  <c r="K140" i="80"/>
  <c r="H105" i="80"/>
  <c r="L106" i="80"/>
  <c r="F108" i="80"/>
  <c r="N117" i="80"/>
  <c r="J127" i="80"/>
  <c r="N128" i="80"/>
  <c r="H130" i="80"/>
  <c r="N141" i="80"/>
  <c r="I120" i="80"/>
  <c r="K144" i="80"/>
  <c r="I105" i="80"/>
  <c r="M106" i="80"/>
  <c r="G108" i="80"/>
  <c r="F119" i="80"/>
  <c r="K127" i="80"/>
  <c r="E129" i="80"/>
  <c r="I130" i="80"/>
  <c r="E142" i="80"/>
  <c r="M121" i="80"/>
  <c r="L86" i="80"/>
  <c r="J105" i="80"/>
  <c r="N106" i="80"/>
  <c r="H108" i="80"/>
  <c r="G119" i="80"/>
  <c r="L127" i="80"/>
  <c r="F129" i="80"/>
  <c r="J130" i="80"/>
  <c r="H143" i="80"/>
  <c r="K105" i="80"/>
  <c r="E107" i="80"/>
  <c r="I108" i="80"/>
  <c r="H119" i="80"/>
  <c r="M127" i="80"/>
  <c r="G129" i="80"/>
  <c r="K130" i="80"/>
  <c r="I143" i="80"/>
  <c r="I133" i="80"/>
  <c r="L105" i="80"/>
  <c r="F107" i="80"/>
  <c r="J108" i="80"/>
  <c r="J120" i="80"/>
  <c r="N127" i="80"/>
  <c r="H129" i="80"/>
  <c r="L130" i="80"/>
  <c r="K40" i="101" a="1"/>
  <c r="K40" i="101" s="1"/>
  <c r="D28" i="82"/>
  <c r="E28" i="82"/>
  <c r="F28" i="82"/>
  <c r="G28" i="82"/>
  <c r="I28" i="82"/>
  <c r="J28" i="82"/>
  <c r="K140" i="86"/>
  <c r="I116" i="86"/>
  <c r="J116" i="86"/>
  <c r="N117" i="86"/>
  <c r="L120" i="86"/>
  <c r="F135" i="86"/>
  <c r="L140" i="86"/>
  <c r="F142" i="86"/>
  <c r="J143" i="86"/>
  <c r="N144" i="86"/>
  <c r="G68" i="86"/>
  <c r="K116" i="86"/>
  <c r="E118" i="86"/>
  <c r="M120" i="86"/>
  <c r="G135" i="86"/>
  <c r="M140" i="86"/>
  <c r="G142" i="86"/>
  <c r="K143" i="86"/>
  <c r="F111" i="86"/>
  <c r="L116" i="86"/>
  <c r="F118" i="86"/>
  <c r="J119" i="86"/>
  <c r="N120" i="86"/>
  <c r="H122" i="86"/>
  <c r="N133" i="86"/>
  <c r="H135" i="86"/>
  <c r="L136" i="86"/>
  <c r="F138" i="86"/>
  <c r="J139" i="86"/>
  <c r="N140" i="86"/>
  <c r="H142" i="86"/>
  <c r="L143" i="86"/>
  <c r="G111" i="86"/>
  <c r="E114" i="86"/>
  <c r="M116" i="86"/>
  <c r="G118" i="86"/>
  <c r="K119" i="86"/>
  <c r="E121" i="86"/>
  <c r="I122" i="86"/>
  <c r="E134" i="86"/>
  <c r="I135" i="86"/>
  <c r="M136" i="86"/>
  <c r="G138" i="86"/>
  <c r="K139" i="86"/>
  <c r="E141" i="86"/>
  <c r="I142" i="86"/>
  <c r="M143" i="86"/>
  <c r="F94" i="86"/>
  <c r="H111" i="86"/>
  <c r="L112" i="86"/>
  <c r="F114" i="86"/>
  <c r="J115" i="86"/>
  <c r="N116" i="86"/>
  <c r="H118" i="86"/>
  <c r="L119" i="86"/>
  <c r="F121" i="86"/>
  <c r="J122" i="86"/>
  <c r="F134" i="86"/>
  <c r="J135" i="86"/>
  <c r="N136" i="86"/>
  <c r="H138" i="86"/>
  <c r="L139" i="86"/>
  <c r="F141" i="86"/>
  <c r="J142" i="86"/>
  <c r="N143" i="86"/>
  <c r="E90" i="86"/>
  <c r="I111" i="86"/>
  <c r="M112" i="86"/>
  <c r="G114" i="86"/>
  <c r="K115" i="86"/>
  <c r="E117" i="86"/>
  <c r="I118" i="86"/>
  <c r="M119" i="86"/>
  <c r="G121" i="86"/>
  <c r="K122" i="86"/>
  <c r="G134" i="86"/>
  <c r="K135" i="86"/>
  <c r="E137" i="86"/>
  <c r="I138" i="86"/>
  <c r="M139" i="86"/>
  <c r="G141" i="86"/>
  <c r="K142" i="86"/>
  <c r="E144" i="86"/>
  <c r="J111" i="86"/>
  <c r="N112" i="86"/>
  <c r="H114" i="86"/>
  <c r="L115" i="86"/>
  <c r="F117" i="86"/>
  <c r="J118" i="86"/>
  <c r="N119" i="86"/>
  <c r="H121" i="86"/>
  <c r="L122" i="86"/>
  <c r="H134" i="86"/>
  <c r="L135" i="86"/>
  <c r="F137" i="86"/>
  <c r="J138" i="86"/>
  <c r="N139" i="86"/>
  <c r="H141" i="86"/>
  <c r="L142" i="86"/>
  <c r="F144" i="86"/>
  <c r="G97" i="86"/>
  <c r="K111" i="86"/>
  <c r="E113" i="86"/>
  <c r="I114" i="86"/>
  <c r="M115" i="86"/>
  <c r="G117" i="86"/>
  <c r="K118" i="86"/>
  <c r="E120" i="86"/>
  <c r="I121" i="86"/>
  <c r="M122" i="86"/>
  <c r="E133" i="86"/>
  <c r="I134" i="86"/>
  <c r="M135" i="86"/>
  <c r="G137" i="86"/>
  <c r="K138" i="86"/>
  <c r="E140" i="86"/>
  <c r="I141" i="86"/>
  <c r="M142" i="86"/>
  <c r="G144" i="86"/>
  <c r="L71" i="86"/>
  <c r="J94" i="86"/>
  <c r="L111" i="86"/>
  <c r="F113" i="86"/>
  <c r="J114" i="86"/>
  <c r="H117" i="86"/>
  <c r="L118" i="86"/>
  <c r="F120" i="86"/>
  <c r="J121" i="86"/>
  <c r="F133" i="86"/>
  <c r="J134" i="86"/>
  <c r="H137" i="86"/>
  <c r="L138" i="86"/>
  <c r="F140" i="86"/>
  <c r="J141" i="86"/>
  <c r="H144" i="86"/>
  <c r="G93" i="86"/>
  <c r="K94" i="86"/>
  <c r="M111" i="86"/>
  <c r="G113" i="86"/>
  <c r="K114" i="86"/>
  <c r="E116" i="86"/>
  <c r="I117" i="86"/>
  <c r="M118" i="86"/>
  <c r="G120" i="86"/>
  <c r="K121" i="86"/>
  <c r="G133" i="86"/>
  <c r="K134" i="86"/>
  <c r="E136" i="86"/>
  <c r="I137" i="86"/>
  <c r="M138" i="86"/>
  <c r="G140" i="86"/>
  <c r="K141" i="86"/>
  <c r="E143" i="86"/>
  <c r="I144" i="86"/>
  <c r="F89" i="86"/>
  <c r="H113" i="86"/>
  <c r="L114" i="86"/>
  <c r="F116" i="86"/>
  <c r="J117" i="86"/>
  <c r="H120" i="86"/>
  <c r="L121" i="86"/>
  <c r="H133" i="86"/>
  <c r="L134" i="86"/>
  <c r="F136" i="86"/>
  <c r="J137" i="86"/>
  <c r="H140" i="86"/>
  <c r="L141" i="86"/>
  <c r="F143" i="86"/>
  <c r="J144" i="86"/>
  <c r="G89" i="86"/>
  <c r="K90" i="86"/>
  <c r="M94" i="86"/>
  <c r="E112" i="86"/>
  <c r="I113" i="86"/>
  <c r="M114" i="86"/>
  <c r="G116" i="86"/>
  <c r="K117" i="86"/>
  <c r="E119" i="86"/>
  <c r="I120" i="86"/>
  <c r="M121" i="86"/>
  <c r="I133" i="86"/>
  <c r="M134" i="86"/>
  <c r="G136" i="86"/>
  <c r="K137" i="86"/>
  <c r="E139" i="86"/>
  <c r="I140" i="86"/>
  <c r="M141" i="86"/>
  <c r="G143" i="86"/>
  <c r="K144" i="86"/>
  <c r="N114" i="80"/>
  <c r="H136" i="80"/>
  <c r="K113" i="80"/>
  <c r="E135" i="80"/>
  <c r="L137" i="80"/>
  <c r="J116" i="80"/>
  <c r="F122" i="80"/>
  <c r="F135" i="80"/>
  <c r="J136" i="80"/>
  <c r="N137" i="80"/>
  <c r="H139" i="80"/>
  <c r="L140" i="80"/>
  <c r="F142" i="80"/>
  <c r="J143" i="80"/>
  <c r="G139" i="80"/>
  <c r="F115" i="80"/>
  <c r="K89" i="80"/>
  <c r="E91" i="80"/>
  <c r="G95" i="80"/>
  <c r="E111" i="80"/>
  <c r="I112" i="80"/>
  <c r="M113" i="80"/>
  <c r="G115" i="80"/>
  <c r="K116" i="80"/>
  <c r="E118" i="80"/>
  <c r="I119" i="80"/>
  <c r="M120" i="80"/>
  <c r="G122" i="80"/>
  <c r="M133" i="80"/>
  <c r="G135" i="80"/>
  <c r="K136" i="80"/>
  <c r="E138" i="80"/>
  <c r="I139" i="80"/>
  <c r="M140" i="80"/>
  <c r="G142" i="80"/>
  <c r="K143" i="80"/>
  <c r="E115" i="80"/>
  <c r="H112" i="80"/>
  <c r="H95" i="80"/>
  <c r="F111" i="80"/>
  <c r="J112" i="80"/>
  <c r="N113" i="80"/>
  <c r="H115" i="80"/>
  <c r="L116" i="80"/>
  <c r="F118" i="80"/>
  <c r="J119" i="80"/>
  <c r="N120" i="80"/>
  <c r="H122" i="80"/>
  <c r="N133" i="80"/>
  <c r="H135" i="80"/>
  <c r="L136" i="80"/>
  <c r="F138" i="80"/>
  <c r="J139" i="80"/>
  <c r="N140" i="80"/>
  <c r="H142" i="80"/>
  <c r="L143" i="80"/>
  <c r="G78" i="80"/>
  <c r="I95" i="80"/>
  <c r="M96" i="80"/>
  <c r="K99" i="80"/>
  <c r="G111" i="80"/>
  <c r="K112" i="80"/>
  <c r="E114" i="80"/>
  <c r="I115" i="80"/>
  <c r="M116" i="80"/>
  <c r="G118" i="80"/>
  <c r="K119" i="80"/>
  <c r="E121" i="80"/>
  <c r="I122" i="80"/>
  <c r="E134" i="80"/>
  <c r="I135" i="80"/>
  <c r="M136" i="80"/>
  <c r="G138" i="80"/>
  <c r="K139" i="80"/>
  <c r="E141" i="80"/>
  <c r="I142" i="80"/>
  <c r="M143" i="80"/>
  <c r="M137" i="80"/>
  <c r="N76" i="80"/>
  <c r="H91" i="80"/>
  <c r="H111" i="80"/>
  <c r="L112" i="80"/>
  <c r="F114" i="80"/>
  <c r="J115" i="80"/>
  <c r="N116" i="80"/>
  <c r="H118" i="80"/>
  <c r="L119" i="80"/>
  <c r="F121" i="80"/>
  <c r="J122" i="80"/>
  <c r="F134" i="80"/>
  <c r="J135" i="80"/>
  <c r="N136" i="80"/>
  <c r="H138" i="80"/>
  <c r="L139" i="80"/>
  <c r="F141" i="80"/>
  <c r="J142" i="80"/>
  <c r="N143" i="80"/>
  <c r="L113" i="80"/>
  <c r="G67" i="80"/>
  <c r="I71" i="80"/>
  <c r="M92" i="80"/>
  <c r="I98" i="80"/>
  <c r="M99" i="80"/>
  <c r="I111" i="80"/>
  <c r="M112" i="80"/>
  <c r="G114" i="80"/>
  <c r="K115" i="80"/>
  <c r="E117" i="80"/>
  <c r="I118" i="80"/>
  <c r="M119" i="80"/>
  <c r="G121" i="80"/>
  <c r="K122" i="80"/>
  <c r="G134" i="80"/>
  <c r="K135" i="80"/>
  <c r="E137" i="80"/>
  <c r="I138" i="80"/>
  <c r="M139" i="80"/>
  <c r="G141" i="80"/>
  <c r="K142" i="80"/>
  <c r="E144" i="80"/>
  <c r="J113" i="80"/>
  <c r="F90" i="80"/>
  <c r="J91" i="80"/>
  <c r="H94" i="80"/>
  <c r="J111" i="80"/>
  <c r="N112" i="80"/>
  <c r="H114" i="80"/>
  <c r="L115" i="80"/>
  <c r="F117" i="80"/>
  <c r="J118" i="80"/>
  <c r="N119" i="80"/>
  <c r="H121" i="80"/>
  <c r="L122" i="80"/>
  <c r="H134" i="80"/>
  <c r="L135" i="80"/>
  <c r="F137" i="80"/>
  <c r="J138" i="80"/>
  <c r="N139" i="80"/>
  <c r="H141" i="80"/>
  <c r="L142" i="80"/>
  <c r="F144" i="80"/>
  <c r="G112" i="80"/>
  <c r="M95" i="80"/>
  <c r="K111" i="80"/>
  <c r="E113" i="80"/>
  <c r="I114" i="80"/>
  <c r="M115" i="80"/>
  <c r="G117" i="80"/>
  <c r="K118" i="80"/>
  <c r="E120" i="80"/>
  <c r="I121" i="80"/>
  <c r="M122" i="80"/>
  <c r="E133" i="80"/>
  <c r="I134" i="80"/>
  <c r="M135" i="80"/>
  <c r="G137" i="80"/>
  <c r="K138" i="80"/>
  <c r="E140" i="80"/>
  <c r="I141" i="80"/>
  <c r="M142" i="80"/>
  <c r="G144" i="80"/>
  <c r="I136" i="80"/>
  <c r="J94" i="80"/>
  <c r="H97" i="80"/>
  <c r="L98" i="80"/>
  <c r="F100" i="80"/>
  <c r="L111" i="80"/>
  <c r="F113" i="80"/>
  <c r="J114" i="80"/>
  <c r="H117" i="80"/>
  <c r="L118" i="80"/>
  <c r="F120" i="80"/>
  <c r="J121" i="80"/>
  <c r="F133" i="80"/>
  <c r="J134" i="80"/>
  <c r="H137" i="80"/>
  <c r="L138" i="80"/>
  <c r="F140" i="80"/>
  <c r="J141" i="80"/>
  <c r="H144" i="80"/>
  <c r="M91" i="80"/>
  <c r="G93" i="80"/>
  <c r="K94" i="80"/>
  <c r="E96" i="80"/>
  <c r="M111" i="80"/>
  <c r="G113" i="80"/>
  <c r="K114" i="80"/>
  <c r="E116" i="80"/>
  <c r="I117" i="80"/>
  <c r="M118" i="80"/>
  <c r="G120" i="80"/>
  <c r="K121" i="80"/>
  <c r="G133" i="80"/>
  <c r="K134" i="80"/>
  <c r="E136" i="80"/>
  <c r="I137" i="80"/>
  <c r="M138" i="80"/>
  <c r="G140" i="80"/>
  <c r="K141" i="80"/>
  <c r="E143" i="80"/>
  <c r="I144" i="80"/>
  <c r="F69" i="80"/>
  <c r="J77" i="80"/>
  <c r="F89" i="80"/>
  <c r="H113" i="80"/>
  <c r="L114" i="80"/>
  <c r="F116" i="80"/>
  <c r="J117" i="80"/>
  <c r="H120" i="80"/>
  <c r="L121" i="80"/>
  <c r="H133" i="80"/>
  <c r="L134" i="80"/>
  <c r="F136" i="80"/>
  <c r="J137" i="80"/>
  <c r="H140" i="80"/>
  <c r="L141" i="80"/>
  <c r="F143" i="80"/>
  <c r="J144" i="80"/>
  <c r="W189" i="82" a="1"/>
  <c r="W189" i="82" s="1"/>
  <c r="W180" i="82" a="1"/>
  <c r="W180" i="82" s="1"/>
  <c r="Y189" i="82" a="1"/>
  <c r="Y189" i="82" s="1"/>
  <c r="Y180" i="82" a="1"/>
  <c r="Y180" i="82" s="1"/>
  <c r="I68" i="117"/>
  <c r="O74" i="117" s="1" a="1"/>
  <c r="O74" i="117" s="1"/>
  <c r="T86" i="117" s="1"/>
  <c r="I14" i="84"/>
  <c r="X171" i="81"/>
  <c r="E171" i="81"/>
  <c r="I29" i="83"/>
  <c r="F161" i="82" a="1"/>
  <c r="F161" i="82" s="1"/>
  <c r="H161" i="82" a="1"/>
  <c r="H161" i="82" s="1"/>
  <c r="I80" i="82" a="1"/>
  <c r="I80" i="82" s="1"/>
  <c r="L161" i="82" a="1"/>
  <c r="L161" i="82" s="1"/>
  <c r="F162" i="82" a="1"/>
  <c r="F162" i="82" s="1"/>
  <c r="H162" i="82" a="1"/>
  <c r="H162" i="82" s="1"/>
  <c r="L162" i="82" a="1"/>
  <c r="L162" i="82" s="1"/>
  <c r="F163" i="82" a="1"/>
  <c r="F163" i="82" s="1"/>
  <c r="J14" i="81" a="1"/>
  <c r="J14" i="81" s="1"/>
  <c r="J17" i="107" a="1"/>
  <c r="J17" i="107" s="1"/>
  <c r="K39" i="101" a="1"/>
  <c r="K39" i="101" s="1"/>
  <c r="G468" i="116" a="1"/>
  <c r="G468" i="116" s="1"/>
  <c r="J627" i="116" a="1"/>
  <c r="J627" i="116" s="1"/>
  <c r="J609" i="116" a="1"/>
  <c r="J609" i="116" s="1"/>
  <c r="Q26" i="101" a="1"/>
  <c r="Q26" i="101" s="1"/>
  <c r="H31" i="81"/>
  <c r="O35" i="117" a="1"/>
  <c r="O35" i="117" s="1"/>
  <c r="S48" i="117" s="1"/>
  <c r="G47" i="116" a="1"/>
  <c r="G47" i="116" s="1"/>
  <c r="G466" i="116" a="1"/>
  <c r="G466" i="116" s="1"/>
  <c r="J85" i="116" a="1"/>
  <c r="J85" i="116" s="1"/>
  <c r="G481" i="116" a="1"/>
  <c r="G481" i="116" s="1"/>
  <c r="I469" i="116" a="1"/>
  <c r="I469" i="116" s="1"/>
  <c r="E35" i="117" a="1"/>
  <c r="E35" i="117" s="1"/>
  <c r="I48" i="117" s="1"/>
  <c r="G51" i="116" a="1"/>
  <c r="G51" i="116" s="1"/>
  <c r="I480" i="116" a="1"/>
  <c r="I480" i="116" s="1"/>
  <c r="E484" i="116" s="1"/>
  <c r="E61" i="117"/>
  <c r="O61" i="117"/>
  <c r="E26" i="117"/>
  <c r="O26" i="117"/>
  <c r="P19" i="117"/>
  <c r="F19" i="117"/>
  <c r="P55" i="117"/>
  <c r="F55" i="117"/>
  <c r="P90" i="117"/>
  <c r="F90" i="117"/>
  <c r="G163" i="116" a="1"/>
  <c r="G163" i="116" s="1"/>
  <c r="F74" i="117"/>
  <c r="F296" i="116"/>
  <c r="G470" i="116" a="1"/>
  <c r="G470" i="116" s="1"/>
  <c r="J373" i="116" a="1"/>
  <c r="J373" i="116" s="1"/>
  <c r="G467" i="116" a="1"/>
  <c r="G467" i="116" s="1"/>
  <c r="E355" i="116"/>
  <c r="E7" i="116"/>
  <c r="E385" i="116"/>
  <c r="E151" i="116"/>
  <c r="E174" i="116"/>
  <c r="E188" i="116"/>
  <c r="E323" i="116"/>
  <c r="E418" i="116"/>
  <c r="E203" i="116"/>
  <c r="E100" i="116"/>
  <c r="E258" i="116"/>
  <c r="E290" i="116"/>
  <c r="E561" i="116"/>
  <c r="E594" i="116"/>
  <c r="E167" i="116"/>
  <c r="F642" i="116"/>
  <c r="F641" i="116"/>
  <c r="F639" i="116"/>
  <c r="F621" i="116"/>
  <c r="F638" i="116"/>
  <c r="F620" i="116"/>
  <c r="F145" i="116"/>
  <c r="F130" i="116"/>
  <c r="F144" i="116"/>
  <c r="F142" i="116"/>
  <c r="F141" i="116"/>
  <c r="F131" i="116"/>
  <c r="J88" i="116" a="1"/>
  <c r="J88" i="116" s="1"/>
  <c r="J81" i="116" a="1"/>
  <c r="J81" i="116" s="1"/>
  <c r="J87" i="116" a="1"/>
  <c r="J87" i="116" s="1"/>
  <c r="G84" i="116" a="1"/>
  <c r="G84" i="116" s="1"/>
  <c r="J80" i="116" a="1"/>
  <c r="J80" i="116" s="1"/>
  <c r="G85" i="116" a="1"/>
  <c r="G85" i="116" s="1"/>
  <c r="G164" i="116" a="1"/>
  <c r="G164" i="116" s="1"/>
  <c r="G62" i="116" a="1"/>
  <c r="G62" i="116" s="1"/>
  <c r="F484" i="116"/>
  <c r="F473" i="116"/>
  <c r="F317" i="116"/>
  <c r="F483" i="116"/>
  <c r="F472" i="116"/>
  <c r="F460" i="116"/>
  <c r="F442" i="116"/>
  <c r="F411" i="116"/>
  <c r="F316" i="116"/>
  <c r="F533" i="116"/>
  <c r="F347" i="116"/>
  <c r="F459" i="116"/>
  <c r="F441" i="116"/>
  <c r="F410" i="116"/>
  <c r="F555" i="116"/>
  <c r="F284" i="116"/>
  <c r="F283" i="116"/>
  <c r="F518" i="116"/>
  <c r="F502" i="116"/>
  <c r="F501" i="116"/>
  <c r="F251" i="116"/>
  <c r="F167" i="116"/>
  <c r="F379" i="116"/>
  <c r="F249" i="116"/>
  <c r="F378" i="116"/>
  <c r="F248" i="116"/>
  <c r="F166" i="116"/>
  <c r="F348" i="116"/>
  <c r="F252" i="116"/>
  <c r="J437" i="116" a="1"/>
  <c r="J437" i="116" s="1"/>
  <c r="H437" i="116" a="1"/>
  <c r="H437" i="116" s="1"/>
  <c r="J50" i="116" a="1"/>
  <c r="J50" i="116" s="1"/>
  <c r="J49" i="116" a="1"/>
  <c r="J49" i="116" s="1"/>
  <c r="G46" i="116" a="1"/>
  <c r="G46" i="116" s="1"/>
  <c r="F90" i="116"/>
  <c r="M23" i="116" a="1"/>
  <c r="M23" i="116" s="1"/>
  <c r="M25" i="116" a="1"/>
  <c r="M25" i="116" s="1"/>
  <c r="J51" i="116" a="1"/>
  <c r="J51" i="116" s="1"/>
  <c r="J82" i="116" a="1"/>
  <c r="J82" i="116" s="1"/>
  <c r="G86" i="116" a="1"/>
  <c r="G86" i="116" s="1"/>
  <c r="K337" i="116" a="1"/>
  <c r="K337" i="116" s="1"/>
  <c r="K341" i="116" a="1"/>
  <c r="K341" i="116" s="1"/>
  <c r="K345" i="116" a="1"/>
  <c r="K345" i="116" s="1"/>
  <c r="K340" i="116" a="1"/>
  <c r="K340" i="116" s="1"/>
  <c r="K339" i="116" a="1"/>
  <c r="K339" i="116" s="1"/>
  <c r="K405" i="116"/>
  <c r="K404" i="116"/>
  <c r="K408" i="116"/>
  <c r="K403" i="116"/>
  <c r="K399" i="116"/>
  <c r="K407" i="116"/>
  <c r="J435" i="116" a="1"/>
  <c r="J435" i="116" s="1"/>
  <c r="J432" i="116" a="1"/>
  <c r="J432" i="116" s="1"/>
  <c r="J430" i="116" a="1"/>
  <c r="J430" i="116" s="1"/>
  <c r="H451" i="116" a="1"/>
  <c r="H451" i="116" s="1"/>
  <c r="H453" i="116" a="1"/>
  <c r="H453" i="116" s="1"/>
  <c r="G45" i="116" a="1"/>
  <c r="G45" i="116" s="1"/>
  <c r="F72" i="116"/>
  <c r="F91" i="116"/>
  <c r="K336" i="116" a="1"/>
  <c r="K336" i="116" s="1"/>
  <c r="K343" i="116" a="1"/>
  <c r="K343" i="116" s="1"/>
  <c r="H448" i="116" a="1"/>
  <c r="H448" i="116" s="1"/>
  <c r="J48" i="116" a="1"/>
  <c r="J48" i="116" s="1"/>
  <c r="G83" i="116" a="1"/>
  <c r="G83" i="116" s="1"/>
  <c r="J86" i="116" a="1"/>
  <c r="J86" i="116" s="1"/>
  <c r="F120" i="116"/>
  <c r="G120" i="116" s="1" a="1"/>
  <c r="G120" i="116" s="1"/>
  <c r="G162" i="116" a="1"/>
  <c r="G162" i="116" s="1"/>
  <c r="K400" i="116"/>
  <c r="H436" i="116" a="1"/>
  <c r="H436" i="116" s="1"/>
  <c r="J453" i="116" a="1"/>
  <c r="J453" i="116" s="1"/>
  <c r="J450" i="116" a="1"/>
  <c r="J450" i="116" s="1"/>
  <c r="J448" i="116" a="1"/>
  <c r="J448" i="116" s="1"/>
  <c r="K499" i="116" a="1"/>
  <c r="K499" i="116" s="1"/>
  <c r="K492" i="116" a="1"/>
  <c r="K492" i="116" s="1"/>
  <c r="K498" i="116" a="1"/>
  <c r="K498" i="116" s="1"/>
  <c r="K491" i="116" a="1"/>
  <c r="K491" i="116" s="1"/>
  <c r="K497" i="116" a="1"/>
  <c r="K497" i="116" s="1"/>
  <c r="K490" i="116" a="1"/>
  <c r="K490" i="116" s="1"/>
  <c r="J631" i="116" a="1"/>
  <c r="J631" i="116" s="1"/>
  <c r="J630" i="116" a="1"/>
  <c r="J630" i="116" s="1"/>
  <c r="J636" i="116" a="1"/>
  <c r="J636" i="116" s="1"/>
  <c r="J629" i="116" a="1"/>
  <c r="J629" i="116" s="1"/>
  <c r="J45" i="116" a="1"/>
  <c r="J45" i="116" s="1"/>
  <c r="F53" i="116"/>
  <c r="F73" i="116"/>
  <c r="F93" i="116"/>
  <c r="G49" i="116" a="1"/>
  <c r="G49" i="116" s="1"/>
  <c r="G80" i="116" a="1"/>
  <c r="G80" i="116" s="1"/>
  <c r="J83" i="116" a="1"/>
  <c r="J83" i="116" s="1"/>
  <c r="G87" i="116" a="1"/>
  <c r="G87" i="116" s="1"/>
  <c r="K344" i="116" a="1"/>
  <c r="K344" i="116" s="1"/>
  <c r="K401" i="116"/>
  <c r="J431" i="116" a="1"/>
  <c r="J431" i="116" s="1"/>
  <c r="G43" i="116" a="1"/>
  <c r="G43" i="116" s="1"/>
  <c r="F54" i="116"/>
  <c r="F94" i="116"/>
  <c r="G469" i="116" a="1"/>
  <c r="G469" i="116" s="1"/>
  <c r="J628" i="116" a="1"/>
  <c r="J628" i="116" s="1"/>
  <c r="G480" i="116" a="1"/>
  <c r="G480" i="116" s="1"/>
  <c r="E533" i="116" a="1"/>
  <c r="E533" i="116" s="1"/>
  <c r="J43" i="116" a="1"/>
  <c r="J43" i="116" s="1"/>
  <c r="I121" i="116" a="1"/>
  <c r="I121" i="116" s="1"/>
  <c r="K338" i="116" a="1"/>
  <c r="K338" i="116" s="1"/>
  <c r="M24" i="116" a="1"/>
  <c r="M24" i="116" s="1"/>
  <c r="F34" i="116"/>
  <c r="J46" i="116" a="1"/>
  <c r="J46" i="116" s="1"/>
  <c r="G50" i="116" a="1"/>
  <c r="G50" i="116" s="1"/>
  <c r="J62" i="116" a="1"/>
  <c r="J62" i="116" s="1"/>
  <c r="G81" i="116" a="1"/>
  <c r="G81" i="116" s="1"/>
  <c r="J84" i="116" a="1"/>
  <c r="J84" i="116" s="1"/>
  <c r="G88" i="116" a="1"/>
  <c r="G88" i="116" s="1"/>
  <c r="I120" i="116" a="1"/>
  <c r="I120" i="116" s="1"/>
  <c r="F124" i="116"/>
  <c r="H450" i="116" a="1"/>
  <c r="H450" i="116" s="1"/>
  <c r="J433" i="116" a="1"/>
  <c r="J433" i="116" s="1"/>
  <c r="N573" i="116"/>
  <c r="F573" i="116"/>
  <c r="J634" i="116" a="1"/>
  <c r="J634" i="116" s="1"/>
  <c r="G44" i="116" a="1"/>
  <c r="G44" i="116" s="1"/>
  <c r="G63" i="116" a="1"/>
  <c r="G63" i="116" s="1"/>
  <c r="H439" i="116" a="1"/>
  <c r="H439" i="116" s="1"/>
  <c r="J451" i="116" a="1"/>
  <c r="J451" i="116" s="1"/>
  <c r="I467" i="116" a="1"/>
  <c r="I467" i="116" s="1"/>
  <c r="M27" i="116" a="1"/>
  <c r="M27" i="116" s="1"/>
  <c r="M29" i="116" a="1"/>
  <c r="M29" i="116" s="1"/>
  <c r="J44" i="116" a="1"/>
  <c r="J44" i="116" s="1"/>
  <c r="J47" i="116" a="1"/>
  <c r="J47" i="116" s="1"/>
  <c r="G82" i="116" a="1"/>
  <c r="G82" i="116" s="1"/>
  <c r="J376" i="116" a="1"/>
  <c r="J376" i="116" s="1"/>
  <c r="J369" i="116" a="1"/>
  <c r="J369" i="116" s="1"/>
  <c r="H376" i="116" a="1"/>
  <c r="H376" i="116" s="1"/>
  <c r="H369" i="116" a="1"/>
  <c r="H369" i="116" s="1"/>
  <c r="J375" i="116" a="1"/>
  <c r="J375" i="116" s="1"/>
  <c r="K406" i="116"/>
  <c r="H431" i="116" a="1"/>
  <c r="H431" i="116" s="1"/>
  <c r="H433" i="116" a="1"/>
  <c r="H433" i="116" s="1"/>
  <c r="H435" i="116" a="1"/>
  <c r="H435" i="116" s="1"/>
  <c r="H452" i="116" a="1"/>
  <c r="H452" i="116" s="1"/>
  <c r="H371" i="116" a="1"/>
  <c r="H371" i="116" s="1"/>
  <c r="J407" i="116" a="1"/>
  <c r="J407" i="116" s="1"/>
  <c r="L344" i="116"/>
  <c r="J408" i="116" a="1"/>
  <c r="J408" i="116" s="1"/>
  <c r="J374" i="116" a="1"/>
  <c r="J374" i="116" s="1"/>
  <c r="L345" i="116"/>
  <c r="J372" i="116" a="1"/>
  <c r="J372" i="116" s="1"/>
  <c r="J405" i="116" a="1"/>
  <c r="J405" i="116" s="1"/>
  <c r="J614" i="116" a="1"/>
  <c r="J614" i="116" s="1"/>
  <c r="E621" i="116" s="1"/>
  <c r="J632" i="116" a="1"/>
  <c r="J632" i="116" s="1"/>
  <c r="H368" i="116" a="1"/>
  <c r="H368" i="116" s="1"/>
  <c r="L11" i="112"/>
  <c r="O11" i="112"/>
  <c r="L14" i="112"/>
  <c r="R14" i="112"/>
  <c r="O17" i="112"/>
  <c r="R17" i="112"/>
  <c r="O10" i="112"/>
  <c r="L13" i="112"/>
  <c r="L10" i="112"/>
  <c r="O13" i="112"/>
  <c r="L16" i="112"/>
  <c r="E7" i="108"/>
  <c r="E30" i="108"/>
  <c r="P48" i="108"/>
  <c r="F48" i="108"/>
  <c r="E7" i="107"/>
  <c r="E99" i="104"/>
  <c r="E7" i="104"/>
  <c r="F192" i="104"/>
  <c r="F151" i="104"/>
  <c r="E7" i="101"/>
  <c r="L8" i="101"/>
  <c r="F58" i="101"/>
  <c r="F49" i="101"/>
  <c r="F57" i="101"/>
  <c r="F46" i="101"/>
  <c r="F56" i="101"/>
  <c r="F45" i="101"/>
  <c r="F55" i="101"/>
  <c r="F44" i="101"/>
  <c r="F52" i="101"/>
  <c r="F43" i="101"/>
  <c r="F51" i="101"/>
  <c r="F50" i="101"/>
  <c r="P26" i="101" a="1"/>
  <c r="P26" i="101" s="1"/>
  <c r="O26" i="101" a="1"/>
  <c r="O26" i="101" s="1"/>
  <c r="N26" i="101" a="1"/>
  <c r="N26" i="101" s="1"/>
  <c r="D39" i="101"/>
  <c r="L39" i="101" s="1" a="1"/>
  <c r="L39" i="101" s="1"/>
  <c r="D42" i="101"/>
  <c r="Q34" i="101" a="1"/>
  <c r="Q34" i="101" s="1"/>
  <c r="P37" i="101" a="1"/>
  <c r="P37" i="101" s="1"/>
  <c r="P35" i="101" a="1"/>
  <c r="P35" i="101" s="1"/>
  <c r="D40" i="101"/>
  <c r="L40" i="101" s="1" a="1"/>
  <c r="L40" i="101" s="1"/>
  <c r="D31" i="101"/>
  <c r="L31" i="101" s="1" a="1"/>
  <c r="L31" i="101" s="1"/>
  <c r="D38" i="101"/>
  <c r="L38" i="101" s="1" a="1"/>
  <c r="L38" i="101" s="1"/>
  <c r="D48" i="101"/>
  <c r="E7" i="100"/>
  <c r="L7" i="100"/>
  <c r="N36" i="100" a="1"/>
  <c r="N36" i="100" s="1"/>
  <c r="P36" i="100" a="1"/>
  <c r="P36" i="100" s="1"/>
  <c r="F70" i="100"/>
  <c r="F61" i="100"/>
  <c r="F51" i="100"/>
  <c r="F69" i="100"/>
  <c r="F50" i="100"/>
  <c r="F58" i="100"/>
  <c r="F68" i="100"/>
  <c r="F49" i="100"/>
  <c r="F57" i="100"/>
  <c r="F67" i="100"/>
  <c r="F56" i="100"/>
  <c r="F46" i="100"/>
  <c r="F64" i="100"/>
  <c r="F55" i="100"/>
  <c r="F45" i="100"/>
  <c r="F63" i="100"/>
  <c r="F44" i="100"/>
  <c r="F62" i="100"/>
  <c r="F52" i="100"/>
  <c r="F43" i="100"/>
  <c r="P27" i="100" a="1"/>
  <c r="P27" i="100" s="1"/>
  <c r="D30" i="100"/>
  <c r="L30" i="100" s="1" a="1"/>
  <c r="L30" i="100" s="1"/>
  <c r="D39" i="100"/>
  <c r="L39" i="100" s="1" a="1"/>
  <c r="L39" i="100" s="1"/>
  <c r="O27" i="100" a="1"/>
  <c r="O27" i="100" s="1"/>
  <c r="Q35" i="100" a="1"/>
  <c r="Q35" i="100" s="1"/>
  <c r="D29" i="100"/>
  <c r="L29" i="100" s="1" a="1"/>
  <c r="L29" i="100" s="1"/>
  <c r="O36" i="100" a="1"/>
  <c r="O36" i="100" s="1"/>
  <c r="Q27" i="100" a="1"/>
  <c r="Q27" i="100" s="1"/>
  <c r="D28" i="100"/>
  <c r="L28" i="100" s="1" a="1"/>
  <c r="L28" i="100" s="1"/>
  <c r="Q36" i="100" a="1"/>
  <c r="Q36" i="100" s="1"/>
  <c r="D32" i="100"/>
  <c r="L32" i="100" s="1" a="1"/>
  <c r="L32" i="100" s="1"/>
  <c r="D31" i="100"/>
  <c r="L31" i="100" s="1" a="1"/>
  <c r="L31" i="100" s="1"/>
  <c r="D60" i="100"/>
  <c r="D26" i="100"/>
  <c r="D42" i="100"/>
  <c r="I20" i="99"/>
  <c r="L33" i="100" s="1" a="1"/>
  <c r="L33" i="100" s="1"/>
  <c r="I17" i="99"/>
  <c r="E18" i="97" a="1"/>
  <c r="E18" i="97" s="1"/>
  <c r="I57" i="94"/>
  <c r="F105" i="93" a="1"/>
  <c r="F105" i="93" s="1"/>
  <c r="E137" i="93" s="1"/>
  <c r="F111" i="93" a="1"/>
  <c r="F111" i="93" s="1"/>
  <c r="E143" i="93" s="1"/>
  <c r="F112" i="93" a="1"/>
  <c r="F112" i="93" s="1"/>
  <c r="E144" i="93" s="1"/>
  <c r="E49" i="94"/>
  <c r="E7" i="94"/>
  <c r="F106" i="93" a="1"/>
  <c r="F106" i="93" s="1"/>
  <c r="E138" i="93" s="1"/>
  <c r="F110" i="93" a="1"/>
  <c r="F110" i="93" s="1"/>
  <c r="E142" i="93" s="1"/>
  <c r="E43" i="93"/>
  <c r="E118" i="93"/>
  <c r="E7" i="93"/>
  <c r="E90" i="93"/>
  <c r="X13" i="88"/>
  <c r="G59" i="93"/>
  <c r="E7" i="92"/>
  <c r="E38" i="91"/>
  <c r="E7" i="91"/>
  <c r="E7" i="90"/>
  <c r="E43" i="90"/>
  <c r="F78" i="90"/>
  <c r="F58" i="90"/>
  <c r="H26" i="86"/>
  <c r="N26" i="86"/>
  <c r="H48" i="79"/>
  <c r="I51" i="90" s="1"/>
  <c r="E30" i="86"/>
  <c r="N70" i="89"/>
  <c r="E7" i="89"/>
  <c r="E42" i="89"/>
  <c r="O108" i="89"/>
  <c r="F80" i="89"/>
  <c r="F60" i="89"/>
  <c r="X12" i="88"/>
  <c r="AF97" i="87"/>
  <c r="O85" i="87"/>
  <c r="L369" i="85"/>
  <c r="K28" i="82" s="1"/>
  <c r="H31" i="86"/>
  <c r="G100" i="87"/>
  <c r="O115" i="87" s="1"/>
  <c r="F27" i="86"/>
  <c r="I31" i="86"/>
  <c r="L27" i="86"/>
  <c r="K31" i="86"/>
  <c r="M27" i="86"/>
  <c r="L31" i="86"/>
  <c r="V30" i="87" a="1"/>
  <c r="V30" i="87" s="1"/>
  <c r="W30" i="87" s="1" a="1"/>
  <c r="W30" i="87" s="1"/>
  <c r="AC30" i="87" s="1" a="1"/>
  <c r="AC30" i="87" s="1"/>
  <c r="N27" i="86"/>
  <c r="N31" i="86"/>
  <c r="E26" i="86"/>
  <c r="E28" i="86"/>
  <c r="D40" i="88"/>
  <c r="I26" i="86"/>
  <c r="I29" i="86"/>
  <c r="J26" i="86"/>
  <c r="K29" i="86"/>
  <c r="K26" i="86"/>
  <c r="L29" i="86"/>
  <c r="L26" i="86"/>
  <c r="M26" i="86"/>
  <c r="O107" i="87"/>
  <c r="X14" i="88"/>
  <c r="E35" i="87"/>
  <c r="E94" i="87"/>
  <c r="E73" i="87"/>
  <c r="AB34" i="87" a="1"/>
  <c r="AB34" i="87" s="1"/>
  <c r="AA34" i="87" a="1"/>
  <c r="AA34" i="87" s="1"/>
  <c r="F26" i="87" a="1"/>
  <c r="F26" i="87" s="1"/>
  <c r="L26" i="87" s="1" a="1"/>
  <c r="L26" i="87" s="1"/>
  <c r="AC29" i="87" a="1"/>
  <c r="AC29" i="87" s="1"/>
  <c r="AB29" i="87" a="1"/>
  <c r="AB29" i="87" s="1"/>
  <c r="AA29" i="87" a="1"/>
  <c r="AA29" i="87" s="1"/>
  <c r="L27" i="87" a="1"/>
  <c r="L27" i="87" s="1"/>
  <c r="K27" i="87" a="1"/>
  <c r="K27" i="87" s="1"/>
  <c r="J27" i="87" a="1"/>
  <c r="J27" i="87" s="1"/>
  <c r="AF78" i="87"/>
  <c r="AF87" i="87"/>
  <c r="AF86" i="87"/>
  <c r="AF85" i="87"/>
  <c r="AF84" i="87"/>
  <c r="AF82" i="87"/>
  <c r="O66" i="87"/>
  <c r="AF80" i="87"/>
  <c r="AF79" i="87"/>
  <c r="AF76" i="87"/>
  <c r="O67" i="87"/>
  <c r="O64" i="87"/>
  <c r="O65" i="87"/>
  <c r="AF77" i="87"/>
  <c r="AF81" i="87"/>
  <c r="AF83" i="87"/>
  <c r="AH39" i="87"/>
  <c r="AH38" i="87"/>
  <c r="AH37" i="87"/>
  <c r="AH36" i="87"/>
  <c r="Q29" i="87"/>
  <c r="AH33" i="87"/>
  <c r="AH29" i="87"/>
  <c r="Q26" i="87"/>
  <c r="AH30" i="87"/>
  <c r="AH34" i="87"/>
  <c r="Q27" i="87"/>
  <c r="AH31" i="87"/>
  <c r="Q28" i="87"/>
  <c r="AH35" i="87"/>
  <c r="AH28" i="87"/>
  <c r="AH32" i="87"/>
  <c r="AB33" i="87" a="1"/>
  <c r="AB33" i="87" s="1"/>
  <c r="AA33" i="87" a="1"/>
  <c r="AA33" i="87" s="1"/>
  <c r="F28" i="86"/>
  <c r="F30" i="86"/>
  <c r="L23" i="86"/>
  <c r="H28" i="86"/>
  <c r="G30" i="86"/>
  <c r="K32" i="86"/>
  <c r="AF149" i="87"/>
  <c r="O123" i="87"/>
  <c r="F128" i="87"/>
  <c r="M23" i="86"/>
  <c r="M28" i="86"/>
  <c r="H30" i="86"/>
  <c r="L32" i="86"/>
  <c r="V32" i="87" a="1"/>
  <c r="V32" i="87" s="1"/>
  <c r="W32" i="87" s="1" a="1"/>
  <c r="W32" i="87" s="1"/>
  <c r="AB32" i="87" s="1" a="1"/>
  <c r="AB32" i="87" s="1"/>
  <c r="V39" i="87" a="1"/>
  <c r="V39" i="87" s="1"/>
  <c r="W39" i="87" s="1" a="1"/>
  <c r="W39" i="87" s="1"/>
  <c r="AA39" i="87" s="1" a="1"/>
  <c r="AA39" i="87" s="1"/>
  <c r="E27" i="86"/>
  <c r="N28" i="86"/>
  <c r="I30" i="86"/>
  <c r="N32" i="86"/>
  <c r="E28" i="87" a="1"/>
  <c r="E28" i="87" s="1"/>
  <c r="F28" i="87" s="1" a="1"/>
  <c r="F28" i="87" s="1"/>
  <c r="G31" i="81"/>
  <c r="J30" i="86"/>
  <c r="H27" i="86"/>
  <c r="E29" i="86"/>
  <c r="K30" i="86"/>
  <c r="N33" i="86"/>
  <c r="W37" i="87" a="1"/>
  <c r="W37" i="87" s="1"/>
  <c r="AA28" i="87" a="1"/>
  <c r="AA28" i="87" s="1"/>
  <c r="W162" i="87"/>
  <c r="I27" i="86"/>
  <c r="F29" i="86"/>
  <c r="L30" i="86"/>
  <c r="V31" i="87" a="1"/>
  <c r="V31" i="87" s="1"/>
  <c r="W31" i="87" s="1" a="1"/>
  <c r="W31" i="87" s="1"/>
  <c r="V35" i="87" a="1"/>
  <c r="V35" i="87" s="1"/>
  <c r="V38" i="87" a="1"/>
  <c r="V38" i="87" s="1"/>
  <c r="W38" i="87" s="1" a="1"/>
  <c r="W38" i="87" s="1"/>
  <c r="E115" i="87"/>
  <c r="F26" i="86"/>
  <c r="J27" i="86"/>
  <c r="G29" i="86"/>
  <c r="N30" i="86"/>
  <c r="AC34" i="87" a="1"/>
  <c r="AC34" i="87" s="1"/>
  <c r="AC33" i="87" a="1"/>
  <c r="AC33" i="87" s="1"/>
  <c r="AB28" i="87" a="1"/>
  <c r="AB28" i="87" s="1"/>
  <c r="K27" i="86"/>
  <c r="H29" i="86"/>
  <c r="N180" i="86"/>
  <c r="O180" i="86"/>
  <c r="O178" i="86"/>
  <c r="N178" i="86"/>
  <c r="E25" i="86"/>
  <c r="N23" i="86"/>
  <c r="F25" i="86"/>
  <c r="J31" i="86"/>
  <c r="M32" i="86"/>
  <c r="E34" i="86"/>
  <c r="N367" i="85"/>
  <c r="G25" i="86"/>
  <c r="F34" i="86"/>
  <c r="E24" i="86"/>
  <c r="H25" i="86"/>
  <c r="G34" i="86"/>
  <c r="L368" i="85"/>
  <c r="F24" i="86"/>
  <c r="I25" i="86"/>
  <c r="M31" i="86"/>
  <c r="E33" i="86"/>
  <c r="H34" i="86"/>
  <c r="L179" i="86"/>
  <c r="N181" i="86"/>
  <c r="O181" i="86" s="1"/>
  <c r="M368" i="85"/>
  <c r="G24" i="86"/>
  <c r="J25" i="86"/>
  <c r="F33" i="86"/>
  <c r="I34" i="86"/>
  <c r="E23" i="86"/>
  <c r="H24" i="86"/>
  <c r="K25" i="86"/>
  <c r="G33" i="86"/>
  <c r="J34" i="86"/>
  <c r="F23" i="86"/>
  <c r="I24" i="86"/>
  <c r="L25" i="86"/>
  <c r="G28" i="86"/>
  <c r="J29" i="86"/>
  <c r="E32" i="86"/>
  <c r="H33" i="86"/>
  <c r="K34" i="86"/>
  <c r="G23" i="86"/>
  <c r="J24" i="86"/>
  <c r="M25" i="86"/>
  <c r="F32" i="86"/>
  <c r="I33" i="86"/>
  <c r="L34" i="86"/>
  <c r="W107" i="82" a="1"/>
  <c r="W107" i="82" s="1"/>
  <c r="AA107" i="82" s="1" a="1"/>
  <c r="AA107" i="82" s="1"/>
  <c r="H23" i="86"/>
  <c r="K24" i="86"/>
  <c r="I28" i="86"/>
  <c r="G32" i="86"/>
  <c r="J33" i="86"/>
  <c r="M34" i="86"/>
  <c r="I23" i="86"/>
  <c r="L24" i="86"/>
  <c r="J28" i="86"/>
  <c r="M29" i="86"/>
  <c r="E31" i="86"/>
  <c r="H32" i="86"/>
  <c r="K33" i="86"/>
  <c r="N363" i="85"/>
  <c r="J23" i="86"/>
  <c r="M24" i="86"/>
  <c r="K28" i="86"/>
  <c r="F31" i="86"/>
  <c r="I32" i="86"/>
  <c r="L33" i="86"/>
  <c r="F20" i="84"/>
  <c r="O20" i="84"/>
  <c r="J368" i="85"/>
  <c r="J364" i="85"/>
  <c r="M369" i="85"/>
  <c r="L28" i="82" s="1"/>
  <c r="J365" i="85"/>
  <c r="P239" i="81"/>
  <c r="I366" i="85"/>
  <c r="K30" i="80"/>
  <c r="L367" i="85"/>
  <c r="G91" i="85"/>
  <c r="G87" i="85"/>
  <c r="H91" i="85"/>
  <c r="H87" i="85"/>
  <c r="J90" i="85"/>
  <c r="J86" i="85"/>
  <c r="M92" i="85"/>
  <c r="M88" i="85"/>
  <c r="L86" i="85"/>
  <c r="L90" i="85"/>
  <c r="K90" i="85"/>
  <c r="K86" i="85"/>
  <c r="L102" i="85"/>
  <c r="K102" i="85"/>
  <c r="L105" i="85"/>
  <c r="K105" i="85"/>
  <c r="L223" i="85"/>
  <c r="K223" i="85"/>
  <c r="L227" i="85"/>
  <c r="K227" i="85"/>
  <c r="M229" i="85"/>
  <c r="M225" i="85"/>
  <c r="I91" i="85"/>
  <c r="I87" i="85"/>
  <c r="I88" i="85"/>
  <c r="I92" i="85"/>
  <c r="L106" i="85"/>
  <c r="K106" i="85"/>
  <c r="L107" i="85"/>
  <c r="K107" i="85"/>
  <c r="L108" i="85"/>
  <c r="K108" i="85"/>
  <c r="P110" i="85"/>
  <c r="O110" i="85"/>
  <c r="N110" i="85"/>
  <c r="L115" i="85"/>
  <c r="K115" i="85"/>
  <c r="H93" i="85"/>
  <c r="H89" i="85"/>
  <c r="M223" i="85"/>
  <c r="M227" i="85"/>
  <c r="P225" i="85"/>
  <c r="O225" i="85"/>
  <c r="N225" i="85"/>
  <c r="P229" i="85"/>
  <c r="O229" i="85"/>
  <c r="N229" i="85"/>
  <c r="L91" i="85"/>
  <c r="K91" i="85"/>
  <c r="L87" i="85"/>
  <c r="K87" i="85"/>
  <c r="J92" i="85"/>
  <c r="J88" i="85"/>
  <c r="L103" i="85"/>
  <c r="K103" i="85"/>
  <c r="N107" i="85"/>
  <c r="P107" i="85"/>
  <c r="O107" i="85"/>
  <c r="P109" i="85"/>
  <c r="O109" i="85"/>
  <c r="N109" i="85"/>
  <c r="P112" i="85"/>
  <c r="O112" i="85"/>
  <c r="N112" i="85"/>
  <c r="P103" i="85"/>
  <c r="O103" i="85"/>
  <c r="N103" i="85"/>
  <c r="P104" i="85"/>
  <c r="O104" i="85"/>
  <c r="N104" i="85"/>
  <c r="P105" i="85"/>
  <c r="O105" i="85"/>
  <c r="N105" i="85"/>
  <c r="P100" i="85"/>
  <c r="O100" i="85"/>
  <c r="N100" i="85"/>
  <c r="K98" i="85"/>
  <c r="L98" i="85"/>
  <c r="O99" i="85"/>
  <c r="P99" i="85"/>
  <c r="N99" i="85"/>
  <c r="F228" i="85"/>
  <c r="F224" i="85"/>
  <c r="F225" i="85"/>
  <c r="F229" i="85"/>
  <c r="P90" i="85"/>
  <c r="O86" i="85"/>
  <c r="O90" i="85"/>
  <c r="N86" i="85"/>
  <c r="N90" i="85"/>
  <c r="P86" i="85"/>
  <c r="P92" i="85"/>
  <c r="O92" i="85"/>
  <c r="P88" i="85"/>
  <c r="N92" i="85"/>
  <c r="O88" i="85"/>
  <c r="N88" i="85"/>
  <c r="M89" i="85"/>
  <c r="M93" i="85"/>
  <c r="O93" i="85"/>
  <c r="N93" i="85"/>
  <c r="O89" i="85"/>
  <c r="N89" i="85"/>
  <c r="P93" i="85"/>
  <c r="P89" i="85"/>
  <c r="L96" i="85"/>
  <c r="K96" i="85"/>
  <c r="G225" i="85"/>
  <c r="G229" i="85"/>
  <c r="L94" i="85"/>
  <c r="K94" i="85"/>
  <c r="L95" i="85"/>
  <c r="K95" i="85"/>
  <c r="H226" i="85"/>
  <c r="H230" i="85"/>
  <c r="P106" i="85"/>
  <c r="O106" i="85"/>
  <c r="N106" i="85"/>
  <c r="F102" i="85"/>
  <c r="I72" i="86" s="1"/>
  <c r="F106" i="85"/>
  <c r="J72" i="80" s="1"/>
  <c r="H90" i="85"/>
  <c r="H86" i="85"/>
  <c r="P97" i="85"/>
  <c r="O97" i="85"/>
  <c r="N97" i="85"/>
  <c r="H224" i="85"/>
  <c r="H228" i="85"/>
  <c r="I226" i="85"/>
  <c r="I230" i="85"/>
  <c r="L92" i="85"/>
  <c r="K92" i="85"/>
  <c r="L88" i="85"/>
  <c r="K88" i="85"/>
  <c r="I93" i="85"/>
  <c r="I89" i="85"/>
  <c r="L99" i="85"/>
  <c r="K99" i="85"/>
  <c r="P102" i="85"/>
  <c r="O102" i="85"/>
  <c r="N102" i="85"/>
  <c r="P98" i="85"/>
  <c r="O98" i="85"/>
  <c r="N98" i="85"/>
  <c r="N95" i="85"/>
  <c r="P95" i="85"/>
  <c r="O95" i="85"/>
  <c r="H223" i="85"/>
  <c r="H227" i="85"/>
  <c r="I224" i="85"/>
  <c r="I228" i="85"/>
  <c r="J226" i="85"/>
  <c r="J230" i="85"/>
  <c r="M86" i="85"/>
  <c r="M90" i="85"/>
  <c r="M87" i="85"/>
  <c r="M91" i="85"/>
  <c r="L89" i="85"/>
  <c r="K89" i="85"/>
  <c r="L93" i="85"/>
  <c r="K93" i="85"/>
  <c r="N96" i="85"/>
  <c r="P96" i="85"/>
  <c r="O96" i="85"/>
  <c r="L233" i="85"/>
  <c r="K233" i="85"/>
  <c r="P94" i="85"/>
  <c r="O94" i="85"/>
  <c r="N94" i="85"/>
  <c r="L109" i="85"/>
  <c r="K109" i="85"/>
  <c r="L110" i="85"/>
  <c r="K110" i="85"/>
  <c r="L112" i="85"/>
  <c r="K112" i="85"/>
  <c r="L113" i="85"/>
  <c r="K113" i="85"/>
  <c r="L100" i="85"/>
  <c r="K100" i="85"/>
  <c r="L101" i="85"/>
  <c r="K101" i="85"/>
  <c r="H88" i="85"/>
  <c r="H92" i="85"/>
  <c r="G93" i="85"/>
  <c r="G89" i="85"/>
  <c r="L114" i="85"/>
  <c r="K114" i="85"/>
  <c r="L117" i="85"/>
  <c r="K117" i="85"/>
  <c r="J223" i="85"/>
  <c r="J227" i="85"/>
  <c r="K225" i="85"/>
  <c r="L229" i="85"/>
  <c r="K229" i="85"/>
  <c r="L225" i="85"/>
  <c r="O231" i="85"/>
  <c r="N231" i="85"/>
  <c r="P231" i="85"/>
  <c r="L236" i="85"/>
  <c r="K236" i="85"/>
  <c r="N87" i="85"/>
  <c r="P101" i="85"/>
  <c r="P114" i="85"/>
  <c r="K116" i="85"/>
  <c r="M226" i="85"/>
  <c r="M230" i="85"/>
  <c r="K239" i="85"/>
  <c r="L239" i="85"/>
  <c r="G86" i="85"/>
  <c r="G146" i="85" s="1"/>
  <c r="O87" i="85"/>
  <c r="N91" i="85"/>
  <c r="N226" i="85"/>
  <c r="P230" i="85"/>
  <c r="O230" i="85"/>
  <c r="N230" i="85"/>
  <c r="P226" i="85"/>
  <c r="O226" i="85"/>
  <c r="L231" i="85"/>
  <c r="K231" i="85"/>
  <c r="P238" i="85"/>
  <c r="O238" i="85"/>
  <c r="N238" i="85"/>
  <c r="K241" i="85"/>
  <c r="L241" i="85"/>
  <c r="L243" i="85"/>
  <c r="K243" i="85"/>
  <c r="L244" i="85"/>
  <c r="J90" i="80" s="1"/>
  <c r="K244" i="85"/>
  <c r="L247" i="85"/>
  <c r="K247" i="85"/>
  <c r="O91" i="85"/>
  <c r="K104" i="85"/>
  <c r="K111" i="85"/>
  <c r="L245" i="85"/>
  <c r="J85" i="86" s="1"/>
  <c r="K245" i="85"/>
  <c r="L248" i="85"/>
  <c r="K248" i="85"/>
  <c r="I86" i="85"/>
  <c r="I146" i="85" s="1"/>
  <c r="P91" i="85"/>
  <c r="J224" i="85"/>
  <c r="J228" i="85"/>
  <c r="F226" i="85"/>
  <c r="F230" i="85"/>
  <c r="N240" i="85"/>
  <c r="P240" i="85"/>
  <c r="O240" i="85"/>
  <c r="P241" i="85"/>
  <c r="O241" i="85"/>
  <c r="N241" i="85"/>
  <c r="L246" i="85"/>
  <c r="K246" i="85"/>
  <c r="L251" i="85"/>
  <c r="K251" i="85"/>
  <c r="P242" i="85"/>
  <c r="O242" i="85"/>
  <c r="N242" i="85"/>
  <c r="P244" i="85"/>
  <c r="O244" i="85"/>
  <c r="N244" i="85"/>
  <c r="N245" i="85"/>
  <c r="L93" i="86" s="1"/>
  <c r="P245" i="85"/>
  <c r="N92" i="86" s="1"/>
  <c r="O245" i="85"/>
  <c r="P248" i="85"/>
  <c r="O248" i="85"/>
  <c r="N248" i="85"/>
  <c r="L252" i="85"/>
  <c r="K252" i="85"/>
  <c r="N113" i="85"/>
  <c r="P227" i="85"/>
  <c r="O227" i="85"/>
  <c r="N227" i="85"/>
  <c r="P223" i="85"/>
  <c r="O223" i="85"/>
  <c r="N223" i="85"/>
  <c r="L232" i="85"/>
  <c r="K232" i="85"/>
  <c r="P243" i="85"/>
  <c r="N99" i="86" s="1"/>
  <c r="O243" i="85"/>
  <c r="N243" i="85"/>
  <c r="O113" i="85"/>
  <c r="N115" i="85"/>
  <c r="L234" i="85"/>
  <c r="K234" i="85"/>
  <c r="O115" i="85"/>
  <c r="J225" i="85"/>
  <c r="J229" i="85"/>
  <c r="N108" i="85"/>
  <c r="P224" i="85"/>
  <c r="O224" i="85"/>
  <c r="N224" i="85"/>
  <c r="P228" i="85"/>
  <c r="O228" i="85"/>
  <c r="N228" i="85"/>
  <c r="P232" i="85"/>
  <c r="O232" i="85"/>
  <c r="N232" i="85"/>
  <c r="P233" i="85"/>
  <c r="O233" i="85"/>
  <c r="N233" i="85"/>
  <c r="O108" i="85"/>
  <c r="P234" i="85"/>
  <c r="O234" i="85"/>
  <c r="N234" i="85"/>
  <c r="G88" i="85"/>
  <c r="G92" i="85"/>
  <c r="P116" i="85"/>
  <c r="O116" i="85"/>
  <c r="N116" i="85"/>
  <c r="J87" i="85"/>
  <c r="J147" i="85" s="1"/>
  <c r="N117" i="85"/>
  <c r="L237" i="85"/>
  <c r="K237" i="85"/>
  <c r="K97" i="85"/>
  <c r="O117" i="85"/>
  <c r="P111" i="85"/>
  <c r="O111" i="85"/>
  <c r="N111" i="85"/>
  <c r="J93" i="85"/>
  <c r="J149" i="85" s="1"/>
  <c r="N101" i="85"/>
  <c r="I223" i="85"/>
  <c r="I227" i="85"/>
  <c r="G224" i="85"/>
  <c r="G228" i="85"/>
  <c r="P235" i="85"/>
  <c r="O235" i="85"/>
  <c r="N235" i="85"/>
  <c r="L238" i="85"/>
  <c r="K238" i="85"/>
  <c r="O114" i="85"/>
  <c r="L230" i="85"/>
  <c r="K230" i="85"/>
  <c r="L226" i="85"/>
  <c r="K226" i="85"/>
  <c r="P236" i="85"/>
  <c r="O236" i="85"/>
  <c r="N236" i="85"/>
  <c r="P237" i="85"/>
  <c r="O237" i="85"/>
  <c r="N237" i="85"/>
  <c r="L240" i="85"/>
  <c r="K240" i="85"/>
  <c r="L235" i="85"/>
  <c r="K235" i="85"/>
  <c r="N253" i="85"/>
  <c r="P253" i="85"/>
  <c r="O253" i="85"/>
  <c r="P247" i="85"/>
  <c r="O247" i="85"/>
  <c r="N247" i="85"/>
  <c r="P250" i="85"/>
  <c r="O250" i="85"/>
  <c r="N250" i="85"/>
  <c r="L254" i="85"/>
  <c r="K254" i="85"/>
  <c r="I369" i="85"/>
  <c r="H28" i="82" s="1"/>
  <c r="J369" i="85"/>
  <c r="L242" i="85"/>
  <c r="K242" i="85"/>
  <c r="N362" i="85"/>
  <c r="M362" i="85"/>
  <c r="L362" i="85"/>
  <c r="P251" i="85"/>
  <c r="O251" i="85"/>
  <c r="N251" i="85"/>
  <c r="P254" i="85"/>
  <c r="O254" i="85"/>
  <c r="N254" i="85"/>
  <c r="P239" i="85"/>
  <c r="O239" i="85"/>
  <c r="N239" i="85"/>
  <c r="L249" i="85"/>
  <c r="K249" i="85"/>
  <c r="H229" i="85"/>
  <c r="H225" i="85"/>
  <c r="L224" i="85"/>
  <c r="K224" i="85"/>
  <c r="L228" i="85"/>
  <c r="K228" i="85"/>
  <c r="F223" i="85"/>
  <c r="F84" i="86" s="1"/>
  <c r="F227" i="85"/>
  <c r="E93" i="80" s="1"/>
  <c r="I229" i="85"/>
  <c r="I225" i="85"/>
  <c r="I363" i="85"/>
  <c r="J363" i="85"/>
  <c r="G223" i="85"/>
  <c r="G227" i="85"/>
  <c r="M224" i="85"/>
  <c r="M228" i="85"/>
  <c r="G226" i="85"/>
  <c r="G230" i="85"/>
  <c r="N246" i="85"/>
  <c r="P246" i="85"/>
  <c r="O246" i="85"/>
  <c r="N249" i="85"/>
  <c r="P249" i="85"/>
  <c r="O249" i="85"/>
  <c r="P252" i="85"/>
  <c r="O252" i="85"/>
  <c r="N252" i="85"/>
  <c r="L250" i="85"/>
  <c r="K250" i="85"/>
  <c r="L253" i="85"/>
  <c r="K253" i="85"/>
  <c r="M365" i="85"/>
  <c r="L365" i="85"/>
  <c r="N365" i="85"/>
  <c r="J367" i="85"/>
  <c r="I367" i="85"/>
  <c r="J362" i="85"/>
  <c r="L364" i="85"/>
  <c r="N364" i="85"/>
  <c r="M366" i="85"/>
  <c r="L366" i="85"/>
  <c r="L363" i="85"/>
  <c r="E7" i="84"/>
  <c r="O36" i="84"/>
  <c r="F36" i="84"/>
  <c r="F30" i="80"/>
  <c r="G30" i="80"/>
  <c r="H30" i="80"/>
  <c r="J30" i="80"/>
  <c r="AF203" i="82"/>
  <c r="L30" i="80"/>
  <c r="E96" i="82" a="1"/>
  <c r="E96" i="82" s="1"/>
  <c r="F96" i="82" s="1" a="1"/>
  <c r="F96" i="82" s="1"/>
  <c r="K96" i="82" s="1" a="1"/>
  <c r="K96" i="82" s="1"/>
  <c r="N30" i="80"/>
  <c r="X264" i="81"/>
  <c r="E7" i="83"/>
  <c r="AF75" i="82"/>
  <c r="AF72" i="82"/>
  <c r="O62" i="82"/>
  <c r="AF77" i="82"/>
  <c r="AF76" i="82"/>
  <c r="O65" i="82"/>
  <c r="AH100" i="82"/>
  <c r="AH105" i="82"/>
  <c r="Q95" i="82"/>
  <c r="P35" i="83"/>
  <c r="F35" i="83"/>
  <c r="V110" i="82" a="1"/>
  <c r="V110" i="82" s="1"/>
  <c r="O33" i="82"/>
  <c r="M30" i="80"/>
  <c r="AF45" i="82"/>
  <c r="AF37" i="82"/>
  <c r="AF41" i="82"/>
  <c r="O34" i="82"/>
  <c r="AF46" i="82"/>
  <c r="X270" i="81"/>
  <c r="AF38" i="82"/>
  <c r="W108" i="82" a="1"/>
  <c r="W108" i="82" s="1"/>
  <c r="AA108" i="82" s="1" a="1"/>
  <c r="AA108" i="82" s="1"/>
  <c r="V190" i="82" a="1"/>
  <c r="V190" i="82" s="1"/>
  <c r="O36" i="82"/>
  <c r="E7" i="82"/>
  <c r="E42" i="82"/>
  <c r="E104" i="82"/>
  <c r="E136" i="82"/>
  <c r="E178" i="82"/>
  <c r="X265" i="81"/>
  <c r="X253" i="81"/>
  <c r="J26" i="80"/>
  <c r="AF142" i="82"/>
  <c r="AF139" i="82"/>
  <c r="O129" i="82"/>
  <c r="AF137" i="82"/>
  <c r="AF147" i="82"/>
  <c r="AF145" i="82"/>
  <c r="AF146" i="82"/>
  <c r="AF138" i="82"/>
  <c r="O127" i="82"/>
  <c r="O128" i="82"/>
  <c r="AF140" i="82"/>
  <c r="K26" i="80"/>
  <c r="L26" i="80"/>
  <c r="M26" i="80"/>
  <c r="N26" i="80"/>
  <c r="L31" i="80"/>
  <c r="H30" i="81"/>
  <c r="X262" i="81"/>
  <c r="AF259" i="82"/>
  <c r="AF252" i="82"/>
  <c r="O207" i="82"/>
  <c r="AF257" i="82"/>
  <c r="AF250" i="82"/>
  <c r="AF255" i="82"/>
  <c r="AF248" i="82"/>
  <c r="AF253" i="82"/>
  <c r="O209" i="82"/>
  <c r="F212" i="82"/>
  <c r="O208" i="82"/>
  <c r="AF258" i="82"/>
  <c r="AF254" i="82"/>
  <c r="AF251" i="82"/>
  <c r="W261" i="82"/>
  <c r="O210" i="82"/>
  <c r="AF256" i="82"/>
  <c r="AF141" i="82"/>
  <c r="F33" i="80"/>
  <c r="AF42" i="82"/>
  <c r="AF44" i="82"/>
  <c r="O35" i="82"/>
  <c r="AF40" i="82"/>
  <c r="AF36" i="82"/>
  <c r="AF47" i="82"/>
  <c r="AF43" i="82"/>
  <c r="AF136" i="82"/>
  <c r="AF143" i="82"/>
  <c r="G33" i="80"/>
  <c r="E95" i="82" a="1"/>
  <c r="E95" i="82" s="1"/>
  <c r="E97" i="82" a="1"/>
  <c r="E97" i="82" s="1"/>
  <c r="F97" i="82" s="1" a="1"/>
  <c r="F97" i="82" s="1"/>
  <c r="K97" i="82" s="1" a="1"/>
  <c r="K97" i="82" s="1"/>
  <c r="AF205" i="82"/>
  <c r="O171" i="82"/>
  <c r="AF201" i="82"/>
  <c r="AF207" i="82"/>
  <c r="AF204" i="82"/>
  <c r="O169" i="82"/>
  <c r="AF199" i="82"/>
  <c r="AF196" i="82"/>
  <c r="AF197" i="82"/>
  <c r="AF200" i="82"/>
  <c r="AF198" i="82"/>
  <c r="O172" i="82"/>
  <c r="AF202" i="82"/>
  <c r="O170" i="82"/>
  <c r="X34" i="81" a="1"/>
  <c r="X34" i="81" s="1"/>
  <c r="Y34" i="81" s="1" a="1"/>
  <c r="Y34" i="81" s="1"/>
  <c r="AC34" i="81" s="1" a="1"/>
  <c r="AC34" i="81" s="1"/>
  <c r="H32" i="81"/>
  <c r="N32" i="81" s="1" a="1"/>
  <c r="N32" i="81" s="1"/>
  <c r="X256" i="81"/>
  <c r="O130" i="82"/>
  <c r="M25" i="80"/>
  <c r="I30" i="80"/>
  <c r="AI254" i="81"/>
  <c r="AI255" i="81"/>
  <c r="X267" i="81"/>
  <c r="AB106" i="82" a="1"/>
  <c r="AB106" i="82" s="1"/>
  <c r="AF82" i="82"/>
  <c r="AF79" i="82"/>
  <c r="O63" i="82"/>
  <c r="AC106" i="82" a="1"/>
  <c r="AC106" i="82" s="1"/>
  <c r="AF73" i="82"/>
  <c r="AH111" i="82"/>
  <c r="AH109" i="82"/>
  <c r="AH108" i="82"/>
  <c r="AH107" i="82"/>
  <c r="Q96" i="82"/>
  <c r="AH110" i="82"/>
  <c r="Q97" i="82"/>
  <c r="Q98" i="82"/>
  <c r="AH104" i="82"/>
  <c r="AH103" i="82"/>
  <c r="AH102" i="82"/>
  <c r="AH101" i="82"/>
  <c r="AF78" i="82"/>
  <c r="O64" i="82"/>
  <c r="AF81" i="82"/>
  <c r="AF83" i="82"/>
  <c r="AH106" i="82"/>
  <c r="F229" i="82"/>
  <c r="W267" i="82"/>
  <c r="X271" i="81"/>
  <c r="X259" i="81"/>
  <c r="AF74" i="82"/>
  <c r="AF80" i="82"/>
  <c r="E98" i="82" a="1"/>
  <c r="E98" i="82" s="1"/>
  <c r="F98" i="82" s="1" a="1"/>
  <c r="F98" i="82" s="1"/>
  <c r="E191" i="82"/>
  <c r="V111" i="82" a="1"/>
  <c r="V111" i="82" s="1"/>
  <c r="V185" i="82" a="1"/>
  <c r="V185" i="82" s="1"/>
  <c r="V101" i="82" a="1"/>
  <c r="V101" i="82" s="1"/>
  <c r="W101" i="82" s="1" a="1"/>
  <c r="W101" i="82" s="1"/>
  <c r="V102" i="82" a="1"/>
  <c r="V102" i="82" s="1"/>
  <c r="W102" i="82" s="1" a="1"/>
  <c r="W102" i="82" s="1"/>
  <c r="AB102" i="82" s="1" a="1"/>
  <c r="AB102" i="82" s="1"/>
  <c r="V103" i="82" a="1"/>
  <c r="V103" i="82" s="1"/>
  <c r="W103" i="82" s="1" a="1"/>
  <c r="W103" i="82" s="1"/>
  <c r="V104" i="82" a="1"/>
  <c r="V104" i="82" s="1"/>
  <c r="W104" i="82" s="1" a="1"/>
  <c r="W104" i="82" s="1"/>
  <c r="AB104" i="82" s="1" a="1"/>
  <c r="AB104" i="82" s="1"/>
  <c r="V100" i="82" a="1"/>
  <c r="V100" i="82" s="1"/>
  <c r="V181" i="82" a="1"/>
  <c r="V181" i="82" s="1"/>
  <c r="V184" i="82" a="1"/>
  <c r="V184" i="82" s="1"/>
  <c r="V182" i="82" a="1"/>
  <c r="V182" i="82" s="1"/>
  <c r="V187" i="82" a="1"/>
  <c r="V187" i="82" s="1"/>
  <c r="V191" i="82" a="1"/>
  <c r="V191" i="82" s="1"/>
  <c r="V183" i="82" a="1"/>
  <c r="V183" i="82" s="1"/>
  <c r="V186" i="82" a="1"/>
  <c r="V186" i="82" s="1"/>
  <c r="V188" i="82" a="1"/>
  <c r="V188" i="82" s="1"/>
  <c r="E39" i="81"/>
  <c r="E148" i="81"/>
  <c r="E206" i="81"/>
  <c r="E101" i="81"/>
  <c r="X197" i="81"/>
  <c r="X185" i="81"/>
  <c r="X187" i="81"/>
  <c r="X199" i="81"/>
  <c r="O86" i="81"/>
  <c r="O56" i="82" s="1"/>
  <c r="AH83" i="81"/>
  <c r="AF63" i="82" s="1"/>
  <c r="AH87" i="81"/>
  <c r="AF67" i="82" s="1"/>
  <c r="AH84" i="81"/>
  <c r="AF64" i="82" s="1"/>
  <c r="AH78" i="81"/>
  <c r="AF58" i="82" s="1"/>
  <c r="AH76" i="81"/>
  <c r="AF56" i="82" s="1"/>
  <c r="AH80" i="81"/>
  <c r="AF60" i="82" s="1"/>
  <c r="AH85" i="81"/>
  <c r="AF65" i="82" s="1"/>
  <c r="AH82" i="81"/>
  <c r="AF62" i="82" s="1"/>
  <c r="O87" i="81"/>
  <c r="O57" i="82" s="1"/>
  <c r="O84" i="81"/>
  <c r="O54" i="82" s="1"/>
  <c r="AH86" i="81"/>
  <c r="AF66" i="82" s="1"/>
  <c r="O85" i="81"/>
  <c r="O55" i="82" s="1"/>
  <c r="AH77" i="81"/>
  <c r="AF57" i="82" s="1"/>
  <c r="AH79" i="81"/>
  <c r="AF59" i="82" s="1"/>
  <c r="AH81" i="81"/>
  <c r="AF61" i="82" s="1"/>
  <c r="X191" i="81"/>
  <c r="X179" i="81"/>
  <c r="S30" i="81"/>
  <c r="S33" i="81"/>
  <c r="AJ30" i="81"/>
  <c r="AJ33" i="81"/>
  <c r="AJ34" i="81"/>
  <c r="S31" i="81"/>
  <c r="AJ35" i="81"/>
  <c r="AJ31" i="81"/>
  <c r="AJ39" i="81"/>
  <c r="AJ38" i="81"/>
  <c r="AJ37" i="81"/>
  <c r="AJ36" i="81"/>
  <c r="AJ28" i="81"/>
  <c r="S32" i="81"/>
  <c r="AJ29" i="81"/>
  <c r="AJ32" i="81"/>
  <c r="AH142" i="81"/>
  <c r="AH135" i="81"/>
  <c r="AH137" i="81"/>
  <c r="AH131" i="81"/>
  <c r="AH139" i="81"/>
  <c r="AH133" i="81"/>
  <c r="O134" i="81"/>
  <c r="AH141" i="81"/>
  <c r="AH140" i="81"/>
  <c r="AH138" i="81"/>
  <c r="AH136" i="81"/>
  <c r="O133" i="81"/>
  <c r="O131" i="81"/>
  <c r="AH132" i="81"/>
  <c r="AH134" i="81"/>
  <c r="O132" i="81"/>
  <c r="X192" i="81"/>
  <c r="X180" i="81"/>
  <c r="X190" i="81"/>
  <c r="E25" i="80"/>
  <c r="AI194" i="81"/>
  <c r="AI192" i="81"/>
  <c r="AI198" i="81"/>
  <c r="AI188" i="81"/>
  <c r="AI195" i="81"/>
  <c r="AI181" i="81"/>
  <c r="AI200" i="81"/>
  <c r="AI189" i="81"/>
  <c r="AI196" i="81"/>
  <c r="AI182" i="81"/>
  <c r="AI190" i="81"/>
  <c r="P182" i="81"/>
  <c r="AI177" i="81"/>
  <c r="AI191" i="81"/>
  <c r="P180" i="81"/>
  <c r="AI199" i="81"/>
  <c r="AI178" i="81"/>
  <c r="AI186" i="81"/>
  <c r="AI185" i="81"/>
  <c r="AI179" i="81"/>
  <c r="P177" i="81"/>
  <c r="F25" i="80"/>
  <c r="X200" i="81"/>
  <c r="X188" i="81"/>
  <c r="P181" i="81"/>
  <c r="X198" i="81"/>
  <c r="G25" i="80"/>
  <c r="G34" i="80"/>
  <c r="H25" i="80"/>
  <c r="I34" i="80"/>
  <c r="X194" i="81"/>
  <c r="X182" i="81"/>
  <c r="P178" i="81"/>
  <c r="X181" i="81"/>
  <c r="P183" i="81"/>
  <c r="P184" i="81"/>
  <c r="I25" i="80"/>
  <c r="J34" i="80"/>
  <c r="AI187" i="81"/>
  <c r="J25" i="80"/>
  <c r="L27" i="80"/>
  <c r="X29" i="81" a="1"/>
  <c r="X29" i="81" s="1"/>
  <c r="Y29" i="81" s="1" a="1"/>
  <c r="Y29" i="81" s="1"/>
  <c r="AE29" i="81" s="1" a="1"/>
  <c r="AE29" i="81" s="1"/>
  <c r="X183" i="81"/>
  <c r="X184" i="81"/>
  <c r="K25" i="80"/>
  <c r="M27" i="80"/>
  <c r="I31" i="80"/>
  <c r="L25" i="80"/>
  <c r="K31" i="80"/>
  <c r="X37" i="81" a="1"/>
  <c r="X37" i="81" s="1"/>
  <c r="X38" i="81" a="1"/>
  <c r="X38" i="81" s="1"/>
  <c r="Y38" i="81" s="1" a="1"/>
  <c r="Y38" i="81" s="1"/>
  <c r="AC38" i="81" s="1" a="1"/>
  <c r="AC38" i="81" s="1"/>
  <c r="X39" i="81" a="1"/>
  <c r="X39" i="81" s="1"/>
  <c r="Y39" i="81" s="1" a="1"/>
  <c r="Y39" i="81" s="1"/>
  <c r="AC39" i="81" s="1" a="1"/>
  <c r="AC39" i="81" s="1"/>
  <c r="AI180" i="81"/>
  <c r="P179" i="81"/>
  <c r="AI193" i="81"/>
  <c r="M31" i="80"/>
  <c r="N31" i="80"/>
  <c r="AI183" i="81"/>
  <c r="X189" i="81"/>
  <c r="H26" i="80"/>
  <c r="AI184" i="81"/>
  <c r="I26" i="80"/>
  <c r="X260" i="81"/>
  <c r="X272" i="81"/>
  <c r="X261" i="81"/>
  <c r="X273" i="81"/>
  <c r="X257" i="81"/>
  <c r="AI272" i="81"/>
  <c r="AI258" i="81"/>
  <c r="AI261" i="81"/>
  <c r="P236" i="81"/>
  <c r="AI264" i="81"/>
  <c r="AI267" i="81"/>
  <c r="AI253" i="81"/>
  <c r="P242" i="81"/>
  <c r="AI270" i="81"/>
  <c r="AI256" i="81"/>
  <c r="AI273" i="81"/>
  <c r="AI259" i="81"/>
  <c r="AI262" i="81"/>
  <c r="P237" i="81"/>
  <c r="AI265" i="81"/>
  <c r="AI251" i="81"/>
  <c r="P240" i="81"/>
  <c r="AI266" i="81"/>
  <c r="P235" i="81"/>
  <c r="AI271" i="81"/>
  <c r="AI252" i="81"/>
  <c r="AI263" i="81"/>
  <c r="AI274" i="81"/>
  <c r="P238" i="81"/>
  <c r="AI268" i="81"/>
  <c r="F244" i="81"/>
  <c r="P241" i="81"/>
  <c r="AI269" i="81"/>
  <c r="AI257" i="81"/>
  <c r="X254" i="81"/>
  <c r="X266" i="81"/>
  <c r="X251" i="81"/>
  <c r="X263" i="81"/>
  <c r="X219" i="81"/>
  <c r="N180" i="80"/>
  <c r="O180" i="80" s="1"/>
  <c r="M23" i="80"/>
  <c r="G26" i="80"/>
  <c r="J27" i="80"/>
  <c r="M28" i="80"/>
  <c r="H31" i="80"/>
  <c r="K32" i="80"/>
  <c r="N33" i="80"/>
  <c r="M178" i="80"/>
  <c r="N23" i="80"/>
  <c r="K27" i="80"/>
  <c r="N28" i="80"/>
  <c r="L32" i="80"/>
  <c r="J31" i="80"/>
  <c r="M32" i="80"/>
  <c r="E34" i="80"/>
  <c r="E29" i="80"/>
  <c r="N32" i="80"/>
  <c r="F34" i="80"/>
  <c r="E24" i="80"/>
  <c r="N27" i="80"/>
  <c r="F29" i="80"/>
  <c r="M181" i="80"/>
  <c r="F24" i="80"/>
  <c r="G29" i="80"/>
  <c r="E33" i="80"/>
  <c r="H34" i="80"/>
  <c r="L179" i="80"/>
  <c r="E23" i="80"/>
  <c r="G24" i="80"/>
  <c r="E28" i="80"/>
  <c r="H29" i="80"/>
  <c r="M179" i="80"/>
  <c r="F23" i="80"/>
  <c r="H24" i="80"/>
  <c r="F28" i="80"/>
  <c r="I29" i="80"/>
  <c r="G23" i="80"/>
  <c r="I24" i="80"/>
  <c r="G28" i="80"/>
  <c r="J29" i="80"/>
  <c r="E32" i="80"/>
  <c r="H33" i="80"/>
  <c r="K34" i="80"/>
  <c r="H23" i="80"/>
  <c r="J24" i="80"/>
  <c r="E27" i="80"/>
  <c r="H28" i="80"/>
  <c r="K29" i="80"/>
  <c r="F32" i="80"/>
  <c r="I33" i="80"/>
  <c r="L34" i="80"/>
  <c r="E22" i="75"/>
  <c r="I23" i="80"/>
  <c r="K24" i="80"/>
  <c r="F27" i="80"/>
  <c r="I28" i="80"/>
  <c r="L29" i="80"/>
  <c r="G32" i="80"/>
  <c r="J33" i="80"/>
  <c r="M34" i="80"/>
  <c r="H52" i="79"/>
  <c r="J23" i="80"/>
  <c r="L24" i="80"/>
  <c r="G27" i="80"/>
  <c r="J28" i="80"/>
  <c r="M29" i="80"/>
  <c r="E31" i="80"/>
  <c r="H32" i="80"/>
  <c r="K33" i="80"/>
  <c r="K23" i="80"/>
  <c r="M24" i="80"/>
  <c r="E26" i="80"/>
  <c r="H27" i="80"/>
  <c r="K28" i="80"/>
  <c r="F31" i="80"/>
  <c r="I32" i="80"/>
  <c r="L33" i="80"/>
  <c r="E19" i="75"/>
  <c r="H50" i="79"/>
  <c r="I30" i="83" s="1"/>
  <c r="H54" i="79"/>
  <c r="H49" i="79"/>
  <c r="H53" i="79"/>
  <c r="H51" i="79"/>
  <c r="E52" i="13"/>
  <c r="E51" i="13"/>
  <c r="F41" i="13"/>
  <c r="E41" i="13"/>
  <c r="F40" i="13"/>
  <c r="E40" i="13"/>
  <c r="N97" i="80" l="1"/>
  <c r="X235" i="81" a="1"/>
  <c r="V133" i="87" a="1"/>
  <c r="V133" i="87" s="1"/>
  <c r="V232" i="82" a="1"/>
  <c r="V232" i="82" s="1"/>
  <c r="K68" i="80"/>
  <c r="F76" i="80"/>
  <c r="L78" i="80"/>
  <c r="I73" i="86"/>
  <c r="I68" i="80"/>
  <c r="M77" i="80"/>
  <c r="J77" i="86"/>
  <c r="J65" i="116" a="1"/>
  <c r="J65" i="116" s="1"/>
  <c r="H74" i="80"/>
  <c r="J70" i="86"/>
  <c r="K78" i="86"/>
  <c r="D19" i="89"/>
  <c r="F19" i="89" s="1" a="1"/>
  <c r="F19" i="89" s="1"/>
  <c r="F29" i="89" a="1"/>
  <c r="F29" i="89" s="1"/>
  <c r="F28" i="89" a="1"/>
  <c r="F28" i="89" s="1"/>
  <c r="F27" i="89" a="1"/>
  <c r="F27" i="89" s="1"/>
  <c r="F26" i="89" a="1"/>
  <c r="F26" i="89" s="1"/>
  <c r="F36" i="89" a="1"/>
  <c r="F36" i="89" s="1"/>
  <c r="F22" i="89" a="1"/>
  <c r="F22" i="89" s="1"/>
  <c r="F34" i="89" a="1"/>
  <c r="F34" i="89" s="1"/>
  <c r="F20" i="89" a="1"/>
  <c r="F20" i="89" s="1"/>
  <c r="F32" i="89" a="1"/>
  <c r="F32" i="89" s="1"/>
  <c r="F35" i="89" a="1"/>
  <c r="F35" i="89" s="1"/>
  <c r="F33" i="89" a="1"/>
  <c r="F33" i="89" s="1"/>
  <c r="F31" i="89" a="1"/>
  <c r="F31" i="89" s="1"/>
  <c r="F30" i="89" a="1"/>
  <c r="F30" i="89" s="1"/>
  <c r="F25" i="89" a="1"/>
  <c r="F25" i="89" s="1"/>
  <c r="F24" i="89" a="1"/>
  <c r="F24" i="89" s="1"/>
  <c r="F23" i="89" a="1"/>
  <c r="F23" i="89" s="1"/>
  <c r="F21" i="89" a="1"/>
  <c r="F21" i="89" s="1"/>
  <c r="F37" i="89" a="1"/>
  <c r="F37" i="89" s="1"/>
  <c r="F72" i="80"/>
  <c r="J67" i="116" a="1"/>
  <c r="J67" i="116" s="1"/>
  <c r="G64" i="116" a="1"/>
  <c r="G64" i="116" s="1"/>
  <c r="G67" i="116" a="1"/>
  <c r="G67" i="116" s="1"/>
  <c r="G61" i="116" a="1"/>
  <c r="G61" i="116" s="1"/>
  <c r="I72" i="80"/>
  <c r="K72" i="86"/>
  <c r="N78" i="80"/>
  <c r="G69" i="116" a="1"/>
  <c r="G69" i="116" s="1"/>
  <c r="H78" i="80"/>
  <c r="N93" i="86"/>
  <c r="X33" i="81" a="1"/>
  <c r="X33" i="81" s="1"/>
  <c r="Y33" i="81" s="1" a="1"/>
  <c r="Y33" i="81" s="1"/>
  <c r="AE33" i="81" s="1" a="1"/>
  <c r="AE33" i="81" s="1"/>
  <c r="X32" i="81" a="1"/>
  <c r="X32" i="81" s="1"/>
  <c r="Y32" i="81" s="1" a="1"/>
  <c r="Y32" i="81" s="1"/>
  <c r="AC32" i="81" s="1" a="1"/>
  <c r="AC32" i="81" s="1"/>
  <c r="X31" i="81" a="1"/>
  <c r="X31" i="81" s="1"/>
  <c r="Y31" i="81" s="1" a="1"/>
  <c r="Y31" i="81" s="1"/>
  <c r="X35" i="81" a="1"/>
  <c r="X35" i="81" s="1"/>
  <c r="X28" i="81" a="1"/>
  <c r="X28" i="81" s="1"/>
  <c r="Y28" i="81" s="1" a="1"/>
  <c r="Y28" i="81" s="1"/>
  <c r="X30" i="81" a="1"/>
  <c r="X30" i="81" s="1"/>
  <c r="Y30" i="81" s="1" a="1"/>
  <c r="Y30" i="81" s="1"/>
  <c r="AD30" i="81" s="1" a="1"/>
  <c r="AD30" i="81" s="1"/>
  <c r="X36" i="81" a="1"/>
  <c r="X36" i="81" s="1"/>
  <c r="G68" i="116" a="1"/>
  <c r="G68" i="116" s="1"/>
  <c r="G66" i="116" a="1"/>
  <c r="G66" i="116" s="1"/>
  <c r="J66" i="116" a="1"/>
  <c r="J66" i="116" s="1"/>
  <c r="G65" i="116" a="1"/>
  <c r="G65" i="116" s="1"/>
  <c r="J70" i="116" a="1"/>
  <c r="J70" i="116" s="1"/>
  <c r="J69" i="116" a="1"/>
  <c r="J69" i="116" s="1"/>
  <c r="G70" i="116" a="1"/>
  <c r="G70" i="116" s="1"/>
  <c r="J68" i="116" a="1"/>
  <c r="J68" i="116" s="1"/>
  <c r="J64" i="116" a="1"/>
  <c r="J64" i="116" s="1"/>
  <c r="I74" i="80"/>
  <c r="N69" i="80"/>
  <c r="H75" i="80"/>
  <c r="P33" i="100" a="1"/>
  <c r="P33" i="100" s="1"/>
  <c r="E51" i="100" s="1"/>
  <c r="O33" i="100" a="1"/>
  <c r="O33" i="100" s="1"/>
  <c r="E50" i="100" s="1"/>
  <c r="N33" i="100" a="1"/>
  <c r="N33" i="100" s="1"/>
  <c r="E49" i="100" s="1"/>
  <c r="Q33" i="100" a="1"/>
  <c r="Q33" i="100" s="1"/>
  <c r="E52" i="100" s="1"/>
  <c r="K71" i="80"/>
  <c r="F78" i="86"/>
  <c r="N61" i="80"/>
  <c r="G75" i="86"/>
  <c r="I76" i="86"/>
  <c r="F61" i="86"/>
  <c r="G62" i="86"/>
  <c r="J62" i="86"/>
  <c r="K63" i="86"/>
  <c r="M63" i="86"/>
  <c r="N75" i="86"/>
  <c r="J73" i="80"/>
  <c r="N74" i="80"/>
  <c r="I69" i="80"/>
  <c r="N75" i="80"/>
  <c r="H75" i="86"/>
  <c r="N68" i="80"/>
  <c r="F75" i="86"/>
  <c r="M67" i="80"/>
  <c r="E75" i="86"/>
  <c r="G76" i="80"/>
  <c r="K62" i="86"/>
  <c r="M62" i="86"/>
  <c r="E63" i="86"/>
  <c r="G64" i="80"/>
  <c r="J64" i="80"/>
  <c r="J76" i="80"/>
  <c r="E64" i="86"/>
  <c r="G64" i="86"/>
  <c r="I64" i="86"/>
  <c r="M61" i="86"/>
  <c r="E62" i="80"/>
  <c r="H62" i="80"/>
  <c r="G61" i="80"/>
  <c r="H74" i="86"/>
  <c r="J74" i="86"/>
  <c r="G73" i="86"/>
  <c r="E78" i="80"/>
  <c r="L77" i="86"/>
  <c r="L77" i="80"/>
  <c r="F67" i="86"/>
  <c r="E62" i="86"/>
  <c r="J76" i="86"/>
  <c r="L76" i="86"/>
  <c r="N76" i="86"/>
  <c r="K64" i="86"/>
  <c r="M64" i="80"/>
  <c r="K70" i="80"/>
  <c r="E68" i="80"/>
  <c r="I73" i="80"/>
  <c r="E64" i="80"/>
  <c r="J68" i="86"/>
  <c r="K69" i="86"/>
  <c r="F77" i="86"/>
  <c r="M68" i="86"/>
  <c r="L78" i="86"/>
  <c r="E76" i="86"/>
  <c r="E74" i="86"/>
  <c r="H72" i="80"/>
  <c r="E67" i="86"/>
  <c r="N71" i="80"/>
  <c r="H61" i="86"/>
  <c r="N74" i="86"/>
  <c r="L73" i="86"/>
  <c r="K73" i="80"/>
  <c r="E75" i="80"/>
  <c r="J69" i="80"/>
  <c r="J69" i="86"/>
  <c r="N69" i="86"/>
  <c r="G67" i="86"/>
  <c r="J78" i="86"/>
  <c r="G70" i="86"/>
  <c r="I77" i="86"/>
  <c r="L67" i="86"/>
  <c r="M67" i="86"/>
  <c r="F71" i="80"/>
  <c r="H71" i="80"/>
  <c r="J71" i="80"/>
  <c r="L71" i="80"/>
  <c r="I70" i="80"/>
  <c r="M73" i="86"/>
  <c r="F64" i="80"/>
  <c r="F63" i="80"/>
  <c r="L61" i="80"/>
  <c r="N61" i="86"/>
  <c r="J63" i="86"/>
  <c r="F64" i="86"/>
  <c r="N62" i="86"/>
  <c r="E61" i="80"/>
  <c r="F68" i="86"/>
  <c r="I68" i="86"/>
  <c r="L72" i="86"/>
  <c r="E70" i="86"/>
  <c r="E73" i="86"/>
  <c r="L62" i="80"/>
  <c r="I64" i="80"/>
  <c r="N68" i="86"/>
  <c r="H61" i="80"/>
  <c r="J7" i="110" a="1"/>
  <c r="J7" i="110" s="1"/>
  <c r="H23" i="116" s="1" a="1"/>
  <c r="E61" i="86"/>
  <c r="I62" i="86"/>
  <c r="M70" i="80"/>
  <c r="J8" i="110" a="1"/>
  <c r="J8" i="110" s="1"/>
  <c r="I69" i="86"/>
  <c r="L64" i="86"/>
  <c r="G72" i="80"/>
  <c r="E78" i="86"/>
  <c r="N63" i="86"/>
  <c r="F72" i="86"/>
  <c r="G72" i="86"/>
  <c r="J61" i="86"/>
  <c r="J61" i="80"/>
  <c r="L64" i="80"/>
  <c r="I63" i="80"/>
  <c r="F62" i="80"/>
  <c r="G62" i="80"/>
  <c r="H68" i="86"/>
  <c r="I71" i="86"/>
  <c r="L68" i="86"/>
  <c r="L76" i="80"/>
  <c r="M69" i="80"/>
  <c r="M72" i="80"/>
  <c r="M75" i="80"/>
  <c r="K67" i="80"/>
  <c r="H67" i="80"/>
  <c r="H64" i="86"/>
  <c r="N62" i="80"/>
  <c r="J63" i="80"/>
  <c r="K63" i="80"/>
  <c r="I62" i="80"/>
  <c r="F61" i="80"/>
  <c r="L69" i="86"/>
  <c r="M72" i="86"/>
  <c r="F70" i="86"/>
  <c r="I67" i="86"/>
  <c r="K67" i="86"/>
  <c r="F68" i="80"/>
  <c r="F78" i="80"/>
  <c r="G71" i="80"/>
  <c r="G74" i="80"/>
  <c r="G77" i="80"/>
  <c r="J67" i="80"/>
  <c r="E69" i="80"/>
  <c r="H70" i="80"/>
  <c r="J74" i="80"/>
  <c r="I61" i="80"/>
  <c r="H62" i="86"/>
  <c r="F62" i="86"/>
  <c r="H72" i="86"/>
  <c r="J73" i="86"/>
  <c r="H64" i="80"/>
  <c r="N64" i="80"/>
  <c r="N67" i="80"/>
  <c r="L63" i="80"/>
  <c r="M63" i="80"/>
  <c r="J62" i="80"/>
  <c r="K62" i="80"/>
  <c r="F71" i="86"/>
  <c r="G74" i="86"/>
  <c r="J71" i="86"/>
  <c r="K71" i="86"/>
  <c r="E68" i="86"/>
  <c r="E69" i="86"/>
  <c r="N77" i="80"/>
  <c r="K72" i="80"/>
  <c r="K75" i="80"/>
  <c r="K78" i="80"/>
  <c r="M71" i="80"/>
  <c r="K74" i="80"/>
  <c r="N64" i="86"/>
  <c r="H69" i="86"/>
  <c r="M76" i="86"/>
  <c r="N70" i="80"/>
  <c r="L73" i="80"/>
  <c r="H69" i="80"/>
  <c r="N63" i="80"/>
  <c r="I76" i="80"/>
  <c r="J72" i="86"/>
  <c r="H71" i="86"/>
  <c r="K75" i="86"/>
  <c r="N72" i="86"/>
  <c r="I74" i="86"/>
  <c r="I70" i="86"/>
  <c r="G69" i="86"/>
  <c r="G68" i="80"/>
  <c r="E74" i="80"/>
  <c r="E77" i="80"/>
  <c r="L68" i="80"/>
  <c r="F73" i="80"/>
  <c r="G73" i="80"/>
  <c r="H78" i="86"/>
  <c r="I63" i="86"/>
  <c r="F74" i="86"/>
  <c r="F75" i="80"/>
  <c r="H76" i="80"/>
  <c r="N73" i="86"/>
  <c r="J75" i="86"/>
  <c r="E77" i="86"/>
  <c r="L75" i="86"/>
  <c r="M75" i="86"/>
  <c r="J67" i="86"/>
  <c r="M71" i="86"/>
  <c r="K70" i="86"/>
  <c r="K69" i="80"/>
  <c r="I75" i="80"/>
  <c r="F67" i="80"/>
  <c r="I78" i="80"/>
  <c r="F70" i="80"/>
  <c r="K77" i="80"/>
  <c r="L63" i="86"/>
  <c r="G78" i="86"/>
  <c r="K61" i="86"/>
  <c r="I78" i="86"/>
  <c r="G77" i="86"/>
  <c r="H70" i="86"/>
  <c r="K74" i="86"/>
  <c r="F69" i="86"/>
  <c r="E72" i="86"/>
  <c r="E71" i="80"/>
  <c r="M76" i="80"/>
  <c r="J68" i="80"/>
  <c r="N72" i="80"/>
  <c r="H77" i="80"/>
  <c r="E76" i="80"/>
  <c r="L67" i="80"/>
  <c r="E63" i="80"/>
  <c r="M61" i="80"/>
  <c r="G61" i="86"/>
  <c r="L62" i="86"/>
  <c r="L61" i="86"/>
  <c r="F73" i="86"/>
  <c r="H73" i="86"/>
  <c r="M74" i="86"/>
  <c r="M73" i="80"/>
  <c r="L72" i="80"/>
  <c r="L75" i="80"/>
  <c r="M78" i="80"/>
  <c r="J70" i="80"/>
  <c r="M68" i="80"/>
  <c r="N67" i="86"/>
  <c r="N70" i="86"/>
  <c r="E71" i="86"/>
  <c r="F63" i="86"/>
  <c r="H77" i="86"/>
  <c r="L74" i="86"/>
  <c r="G76" i="86"/>
  <c r="G75" i="80"/>
  <c r="F74" i="80"/>
  <c r="F77" i="80"/>
  <c r="I67" i="80"/>
  <c r="H73" i="80"/>
  <c r="J78" i="80"/>
  <c r="L74" i="80"/>
  <c r="H63" i="80"/>
  <c r="K76" i="86"/>
  <c r="N71" i="86"/>
  <c r="J64" i="86"/>
  <c r="M69" i="86"/>
  <c r="F76" i="86"/>
  <c r="K77" i="86"/>
  <c r="K76" i="80"/>
  <c r="H68" i="80"/>
  <c r="J75" i="80"/>
  <c r="M70" i="86"/>
  <c r="K73" i="86"/>
  <c r="G71" i="86"/>
  <c r="M62" i="80"/>
  <c r="K64" i="80"/>
  <c r="H76" i="86"/>
  <c r="M74" i="80"/>
  <c r="N77" i="86"/>
  <c r="I75" i="86"/>
  <c r="N73" i="80"/>
  <c r="E67" i="80"/>
  <c r="E70" i="80"/>
  <c r="E73" i="80"/>
  <c r="G63" i="80"/>
  <c r="K61" i="80"/>
  <c r="L70" i="86"/>
  <c r="N78" i="86"/>
  <c r="I61" i="86"/>
  <c r="E72" i="80"/>
  <c r="K68" i="86"/>
  <c r="H67" i="86"/>
  <c r="I77" i="80"/>
  <c r="G70" i="80"/>
  <c r="L69" i="80"/>
  <c r="M78" i="86"/>
  <c r="H93" i="86"/>
  <c r="I97" i="86"/>
  <c r="L98" i="86"/>
  <c r="K92" i="86"/>
  <c r="H85" i="86"/>
  <c r="G99" i="86"/>
  <c r="N97" i="86"/>
  <c r="I85" i="86"/>
  <c r="J92" i="94"/>
  <c r="K90" i="80"/>
  <c r="K46" i="91"/>
  <c r="N92" i="80"/>
  <c r="N89" i="80"/>
  <c r="G98" i="80"/>
  <c r="M93" i="80"/>
  <c r="E92" i="86"/>
  <c r="J90" i="86"/>
  <c r="E96" i="86"/>
  <c r="H97" i="86"/>
  <c r="G85" i="86"/>
  <c r="G86" i="86"/>
  <c r="P221" i="116" a="1"/>
  <c r="P221" i="116" s="1"/>
  <c r="H226" i="82"/>
  <c r="J38" i="108"/>
  <c r="M31" i="116" a="1"/>
  <c r="M31" i="116" s="1"/>
  <c r="F83" i="86"/>
  <c r="F92" i="80"/>
  <c r="F93" i="86"/>
  <c r="I94" i="86"/>
  <c r="J98" i="86"/>
  <c r="N95" i="86"/>
  <c r="I83" i="86"/>
  <c r="N89" i="86"/>
  <c r="D21" i="104"/>
  <c r="G190" i="104" a="1"/>
  <c r="G190" i="104" s="1"/>
  <c r="G161" i="104" a="1"/>
  <c r="G161" i="104" s="1"/>
  <c r="G146" i="104" a="1"/>
  <c r="G146" i="104" s="1"/>
  <c r="G135" i="104" a="1"/>
  <c r="G135" i="104" s="1"/>
  <c r="G189" i="104" a="1"/>
  <c r="G189" i="104" s="1"/>
  <c r="G177" i="104" a="1"/>
  <c r="G177" i="104" s="1"/>
  <c r="G145" i="104" a="1"/>
  <c r="G145" i="104" s="1"/>
  <c r="G125" i="104" a="1"/>
  <c r="G125" i="104" s="1"/>
  <c r="G118" i="104" a="1"/>
  <c r="G118" i="104" s="1"/>
  <c r="G47" i="104" a="1"/>
  <c r="G47" i="104" s="1"/>
  <c r="G39" i="104" a="1"/>
  <c r="G39" i="104" s="1"/>
  <c r="I39" i="104" s="1" a="1"/>
  <c r="I39" i="104" s="1"/>
  <c r="H134" i="104" s="1"/>
  <c r="I134" i="104" s="1"/>
  <c r="K134" i="104" s="1" a="1"/>
  <c r="K134" i="104" s="1"/>
  <c r="G31" i="104" a="1"/>
  <c r="G31" i="104" s="1"/>
  <c r="G24" i="104" a="1"/>
  <c r="G24" i="104" s="1"/>
  <c r="G188" i="104" a="1"/>
  <c r="G188" i="104" s="1"/>
  <c r="G167" i="104" a="1"/>
  <c r="G167" i="104" s="1"/>
  <c r="G160" i="104" a="1"/>
  <c r="G160" i="104" s="1"/>
  <c r="G134" i="104" a="1"/>
  <c r="G134" i="104" s="1"/>
  <c r="G187" i="104" a="1"/>
  <c r="G187" i="104" s="1"/>
  <c r="G176" i="104" a="1"/>
  <c r="G176" i="104" s="1"/>
  <c r="G143" i="104" a="1"/>
  <c r="G143" i="104" s="1"/>
  <c r="G124" i="104" a="1"/>
  <c r="G124" i="104" s="1"/>
  <c r="G117" i="104" a="1"/>
  <c r="G117" i="104" s="1"/>
  <c r="G54" i="104" a="1"/>
  <c r="G54" i="104" s="1"/>
  <c r="G46" i="104" a="1"/>
  <c r="G46" i="104" s="1"/>
  <c r="G38" i="104" a="1"/>
  <c r="G38" i="104" s="1"/>
  <c r="G30" i="104" a="1"/>
  <c r="G30" i="104" s="1"/>
  <c r="G23" i="104" a="1"/>
  <c r="G23" i="104" s="1"/>
  <c r="I23" i="104" s="1" a="1"/>
  <c r="I23" i="104" s="1"/>
  <c r="H118" i="104" s="1"/>
  <c r="I118" i="104" s="1"/>
  <c r="K118" i="104" s="1" a="1"/>
  <c r="K118" i="104" s="1"/>
  <c r="G186" i="104" a="1"/>
  <c r="G186" i="104" s="1"/>
  <c r="G166" i="104" a="1"/>
  <c r="G166" i="104" s="1"/>
  <c r="G159" i="104" a="1"/>
  <c r="G159" i="104" s="1"/>
  <c r="G142" i="104" a="1"/>
  <c r="G142" i="104" s="1"/>
  <c r="G133" i="104" a="1"/>
  <c r="G133" i="104" s="1"/>
  <c r="G175" i="104" a="1"/>
  <c r="G175" i="104" s="1"/>
  <c r="G141" i="104" a="1"/>
  <c r="G141" i="104" s="1"/>
  <c r="G123" i="104" a="1"/>
  <c r="G123" i="104" s="1"/>
  <c r="G53" i="104" a="1"/>
  <c r="G53" i="104" s="1"/>
  <c r="G45" i="104" a="1"/>
  <c r="G45" i="104" s="1"/>
  <c r="G37" i="104" a="1"/>
  <c r="G37" i="104" s="1"/>
  <c r="G29" i="104" a="1"/>
  <c r="G29" i="104" s="1"/>
  <c r="G22" i="104" a="1"/>
  <c r="G22" i="104" s="1"/>
  <c r="G184" i="104" a="1"/>
  <c r="G184" i="104" s="1"/>
  <c r="G165" i="104" a="1"/>
  <c r="G165" i="104" s="1"/>
  <c r="G158" i="104" a="1"/>
  <c r="G158" i="104" s="1"/>
  <c r="G140" i="104" a="1"/>
  <c r="G140" i="104" s="1"/>
  <c r="G132" i="104" a="1"/>
  <c r="G132" i="104" s="1"/>
  <c r="G183" i="104" a="1"/>
  <c r="G183" i="104" s="1"/>
  <c r="G174" i="104" a="1"/>
  <c r="G174" i="104" s="1"/>
  <c r="G139" i="104" a="1"/>
  <c r="G139" i="104" s="1"/>
  <c r="G131" i="104" a="1"/>
  <c r="G131" i="104" s="1"/>
  <c r="G122" i="104" a="1"/>
  <c r="G122" i="104" s="1"/>
  <c r="G52" i="104" a="1"/>
  <c r="G52" i="104" s="1"/>
  <c r="G44" i="104" a="1"/>
  <c r="G44" i="104" s="1"/>
  <c r="G36" i="104" a="1"/>
  <c r="G36" i="104" s="1"/>
  <c r="G28" i="104" a="1"/>
  <c r="G28" i="104" s="1"/>
  <c r="G182" i="104" a="1"/>
  <c r="G182" i="104" s="1"/>
  <c r="G164" i="104" a="1"/>
  <c r="G164" i="104" s="1"/>
  <c r="G130" i="104" a="1"/>
  <c r="G130" i="104" s="1"/>
  <c r="G181" i="104" a="1"/>
  <c r="G181" i="104" s="1"/>
  <c r="G180" i="104" a="1"/>
  <c r="G180" i="104" s="1"/>
  <c r="G172" i="104" a="1"/>
  <c r="G172" i="104" s="1"/>
  <c r="G163" i="104" a="1"/>
  <c r="G163" i="104" s="1"/>
  <c r="G137" i="104" a="1"/>
  <c r="G137" i="104" s="1"/>
  <c r="G128" i="104" a="1"/>
  <c r="G128" i="104" s="1"/>
  <c r="G170" i="104" a="1"/>
  <c r="G170" i="104" s="1"/>
  <c r="G162" i="104" a="1"/>
  <c r="G162" i="104" s="1"/>
  <c r="G148" i="104" a="1"/>
  <c r="G148" i="104" s="1"/>
  <c r="G136" i="104" a="1"/>
  <c r="G136" i="104" s="1"/>
  <c r="G178" i="104" a="1"/>
  <c r="G178" i="104" s="1"/>
  <c r="G169" i="104" a="1"/>
  <c r="G169" i="104" s="1"/>
  <c r="G147" i="104" a="1"/>
  <c r="G147" i="104" s="1"/>
  <c r="G126" i="104" a="1"/>
  <c r="G126" i="104" s="1"/>
  <c r="G119" i="104" a="1"/>
  <c r="G119" i="104" s="1"/>
  <c r="G48" i="104" a="1"/>
  <c r="G48" i="104" s="1"/>
  <c r="G40" i="104" a="1"/>
  <c r="G40" i="104" s="1"/>
  <c r="G33" i="104" a="1"/>
  <c r="G33" i="104" s="1"/>
  <c r="G25" i="104" a="1"/>
  <c r="G25" i="104" s="1"/>
  <c r="G173" i="104" a="1"/>
  <c r="G173" i="104" s="1"/>
  <c r="G27" i="104" a="1"/>
  <c r="G27" i="104" s="1"/>
  <c r="I27" i="104" s="1" a="1"/>
  <c r="I27" i="104" s="1"/>
  <c r="H122" i="104" s="1"/>
  <c r="G171" i="104" a="1"/>
  <c r="G171" i="104" s="1"/>
  <c r="G26" i="104" a="1"/>
  <c r="G26" i="104" s="1"/>
  <c r="G149" i="104" a="1"/>
  <c r="G149" i="104" s="1"/>
  <c r="G129" i="104" a="1"/>
  <c r="G129" i="104" s="1"/>
  <c r="G51" i="104" a="1"/>
  <c r="G51" i="104" s="1"/>
  <c r="I51" i="104" s="1" a="1"/>
  <c r="I51" i="104" s="1"/>
  <c r="H146" i="104" s="1"/>
  <c r="G50" i="104" a="1"/>
  <c r="G50" i="104" s="1"/>
  <c r="I50" i="104" s="1" a="1"/>
  <c r="I50" i="104" s="1"/>
  <c r="H145" i="104" s="1"/>
  <c r="G121" i="104" a="1"/>
  <c r="G121" i="104" s="1"/>
  <c r="G42" i="104" a="1"/>
  <c r="G42" i="104" s="1"/>
  <c r="I42" i="104" s="1" a="1"/>
  <c r="I42" i="104" s="1"/>
  <c r="H137" i="104" s="1"/>
  <c r="I137" i="104" s="1"/>
  <c r="G120" i="104" a="1"/>
  <c r="G120" i="104" s="1"/>
  <c r="G41" i="104" a="1"/>
  <c r="G41" i="104" s="1"/>
  <c r="G35" i="104" a="1"/>
  <c r="G35" i="104" s="1"/>
  <c r="G34" i="104" a="1"/>
  <c r="G34" i="104" s="1"/>
  <c r="H84" i="86"/>
  <c r="K30" i="101"/>
  <c r="Q30" i="101" s="1" a="1"/>
  <c r="Q30" i="101" s="1"/>
  <c r="J30" i="101"/>
  <c r="I30" i="101"/>
  <c r="H30" i="101"/>
  <c r="G30" i="101"/>
  <c r="E94" i="80"/>
  <c r="L90" i="80"/>
  <c r="M91" i="86"/>
  <c r="L91" i="86"/>
  <c r="E93" i="86"/>
  <c r="F97" i="86"/>
  <c r="I98" i="86"/>
  <c r="L99" i="86"/>
  <c r="F99" i="86"/>
  <c r="G98" i="86"/>
  <c r="L84" i="86"/>
  <c r="J88" i="117"/>
  <c r="O90" i="117" s="1" a="1"/>
  <c r="O90" i="117" s="1"/>
  <c r="R571" i="116" s="1"/>
  <c r="I84" i="86"/>
  <c r="E21" i="104"/>
  <c r="H21" i="104" s="1" a="1"/>
  <c r="H21" i="104" s="1"/>
  <c r="H47" i="104" a="1"/>
  <c r="H47" i="104" s="1"/>
  <c r="I47" i="104" s="1" a="1"/>
  <c r="I47" i="104" s="1"/>
  <c r="H142" i="104" s="1"/>
  <c r="H39" i="104" a="1"/>
  <c r="H39" i="104" s="1"/>
  <c r="H31" i="104" a="1"/>
  <c r="H31" i="104" s="1"/>
  <c r="H24" i="104" a="1"/>
  <c r="H24" i="104" s="1"/>
  <c r="H54" i="104" a="1"/>
  <c r="H54" i="104" s="1"/>
  <c r="H46" i="104" a="1"/>
  <c r="H46" i="104" s="1"/>
  <c r="H38" i="104" a="1"/>
  <c r="H38" i="104" s="1"/>
  <c r="H30" i="104" a="1"/>
  <c r="H30" i="104" s="1"/>
  <c r="H23" i="104" a="1"/>
  <c r="H23" i="104" s="1"/>
  <c r="H53" i="104" a="1"/>
  <c r="H53" i="104" s="1"/>
  <c r="H45" i="104" a="1"/>
  <c r="H45" i="104" s="1"/>
  <c r="H37" i="104" a="1"/>
  <c r="H37" i="104" s="1"/>
  <c r="H29" i="104" a="1"/>
  <c r="H29" i="104" s="1"/>
  <c r="H22" i="104" a="1"/>
  <c r="H22" i="104" s="1"/>
  <c r="H52" i="104" a="1"/>
  <c r="H52" i="104" s="1"/>
  <c r="H44" i="104" a="1"/>
  <c r="H44" i="104" s="1"/>
  <c r="I44" i="104" s="1" a="1"/>
  <c r="I44" i="104" s="1"/>
  <c r="H139" i="104" s="1"/>
  <c r="H36" i="104" a="1"/>
  <c r="H36" i="104" s="1"/>
  <c r="H28" i="104" a="1"/>
  <c r="H28" i="104" s="1"/>
  <c r="H51" i="104" a="1"/>
  <c r="H51" i="104" s="1"/>
  <c r="H42" i="104" a="1"/>
  <c r="H42" i="104" s="1"/>
  <c r="H35" i="104" a="1"/>
  <c r="H35" i="104" s="1"/>
  <c r="H27" i="104" a="1"/>
  <c r="H27" i="104" s="1"/>
  <c r="H50" i="104" a="1"/>
  <c r="H50" i="104" s="1"/>
  <c r="H41" i="104" a="1"/>
  <c r="H41" i="104" s="1"/>
  <c r="I41" i="104" s="1" a="1"/>
  <c r="I41" i="104" s="1"/>
  <c r="H136" i="104" s="1"/>
  <c r="I136" i="104" s="1"/>
  <c r="K136" i="104" s="1" a="1"/>
  <c r="K136" i="104" s="1"/>
  <c r="H34" i="104" a="1"/>
  <c r="H34" i="104" s="1"/>
  <c r="H26" i="104" a="1"/>
  <c r="H26" i="104" s="1"/>
  <c r="H48" i="104" a="1"/>
  <c r="H48" i="104" s="1"/>
  <c r="H40" i="104" a="1"/>
  <c r="H40" i="104" s="1"/>
  <c r="H33" i="104" a="1"/>
  <c r="H33" i="104" s="1"/>
  <c r="H25" i="104" a="1"/>
  <c r="H25" i="104" s="1"/>
  <c r="E55" i="117" a="1"/>
  <c r="E55" i="117" s="1"/>
  <c r="J570" i="116" s="1"/>
  <c r="I90" i="80"/>
  <c r="E100" i="80"/>
  <c r="E89" i="80"/>
  <c r="L91" i="80"/>
  <c r="K98" i="80"/>
  <c r="K95" i="80"/>
  <c r="K92" i="80"/>
  <c r="J99" i="80"/>
  <c r="H89" i="80"/>
  <c r="I90" i="86"/>
  <c r="K91" i="86"/>
  <c r="L95" i="86"/>
  <c r="G94" i="86"/>
  <c r="N96" i="86"/>
  <c r="M93" i="86"/>
  <c r="F91" i="86"/>
  <c r="F95" i="86"/>
  <c r="AE240" i="116" a="1"/>
  <c r="AE240" i="116" s="1"/>
  <c r="AG221" i="116" a="1"/>
  <c r="V14" i="88"/>
  <c r="G83" i="80"/>
  <c r="F93" i="80"/>
  <c r="E97" i="80"/>
  <c r="M31" i="81" a="1"/>
  <c r="M31" i="81" s="1"/>
  <c r="H90" i="80"/>
  <c r="G97" i="80"/>
  <c r="G94" i="80"/>
  <c r="M89" i="80"/>
  <c r="F98" i="80"/>
  <c r="E89" i="86"/>
  <c r="G90" i="86"/>
  <c r="H94" i="86"/>
  <c r="I91" i="86"/>
  <c r="J95" i="86"/>
  <c r="L96" i="86"/>
  <c r="F85" i="86"/>
  <c r="K85" i="86"/>
  <c r="W237" i="116" a="1"/>
  <c r="W237" i="116" s="1"/>
  <c r="AA243" i="116" a="1"/>
  <c r="AA243" i="116" s="1"/>
  <c r="AE246" i="116" a="1"/>
  <c r="AE246" i="116" s="1"/>
  <c r="W242" i="116" a="1"/>
  <c r="W242" i="116" s="1"/>
  <c r="AE242" i="116" a="1"/>
  <c r="AE242" i="116" s="1"/>
  <c r="AA245" i="116" a="1"/>
  <c r="AA245" i="116" s="1"/>
  <c r="I96" i="86"/>
  <c r="J84" i="86"/>
  <c r="J27" i="101"/>
  <c r="I27" i="101"/>
  <c r="H27" i="101"/>
  <c r="G27" i="101"/>
  <c r="N27" i="101" s="1" a="1"/>
  <c r="N27" i="101" s="1"/>
  <c r="K27" i="101"/>
  <c r="V20" i="88"/>
  <c r="X20" i="88" s="1"/>
  <c r="E84" i="86"/>
  <c r="K25" i="101"/>
  <c r="G25" i="101"/>
  <c r="I25" i="101"/>
  <c r="O25" i="101" s="1" a="1"/>
  <c r="O25" i="101" s="1"/>
  <c r="H25" i="101"/>
  <c r="J25" i="101"/>
  <c r="N94" i="80"/>
  <c r="V164" i="82" a="1"/>
  <c r="V164" i="82" s="1"/>
  <c r="I94" i="80"/>
  <c r="E90" i="80"/>
  <c r="L99" i="80"/>
  <c r="N93" i="80"/>
  <c r="H92" i="80"/>
  <c r="F90" i="86"/>
  <c r="L92" i="86"/>
  <c r="J92" i="86"/>
  <c r="N86" i="80"/>
  <c r="M86" i="80"/>
  <c r="N83" i="80"/>
  <c r="J96" i="80"/>
  <c r="I86" i="80"/>
  <c r="H99" i="80"/>
  <c r="N98" i="86"/>
  <c r="E85" i="86"/>
  <c r="J25" i="100" a="1"/>
  <c r="J25" i="100" s="1"/>
  <c r="P25" i="100" s="1" a="1"/>
  <c r="P25" i="100" s="1"/>
  <c r="I25" i="100" a="1"/>
  <c r="I25" i="100" s="1"/>
  <c r="O221" i="116" a="1"/>
  <c r="O221" i="116" s="1"/>
  <c r="K84" i="86"/>
  <c r="S244" i="116" a="1"/>
  <c r="S244" i="116" s="1"/>
  <c r="K36" i="101"/>
  <c r="J36" i="101"/>
  <c r="I36" i="101"/>
  <c r="H36" i="101"/>
  <c r="G36" i="101"/>
  <c r="O36" i="101" s="1" a="1"/>
  <c r="O36" i="101" s="1"/>
  <c r="H98" i="80"/>
  <c r="J92" i="80"/>
  <c r="X115" i="81" a="1"/>
  <c r="X115" i="81" s="1"/>
  <c r="N90" i="80"/>
  <c r="J85" i="80"/>
  <c r="K86" i="80"/>
  <c r="I96" i="80"/>
  <c r="K83" i="80"/>
  <c r="I84" i="80"/>
  <c r="K83" i="86"/>
  <c r="J93" i="86"/>
  <c r="N85" i="86"/>
  <c r="U221" i="116" a="1"/>
  <c r="L85" i="80"/>
  <c r="H100" i="80"/>
  <c r="G90" i="80"/>
  <c r="N99" i="80"/>
  <c r="N96" i="80"/>
  <c r="F91" i="80"/>
  <c r="M100" i="80"/>
  <c r="J89" i="80"/>
  <c r="G92" i="86"/>
  <c r="M83" i="80"/>
  <c r="L83" i="80"/>
  <c r="F95" i="80"/>
  <c r="L97" i="86"/>
  <c r="E98" i="86"/>
  <c r="L85" i="86"/>
  <c r="L100" i="80"/>
  <c r="G99" i="80"/>
  <c r="E95" i="86"/>
  <c r="I89" i="86"/>
  <c r="M90" i="86"/>
  <c r="I86" i="86"/>
  <c r="M83" i="86"/>
  <c r="E83" i="80"/>
  <c r="I93" i="80"/>
  <c r="E85" i="80"/>
  <c r="G96" i="80"/>
  <c r="H85" i="80"/>
  <c r="I92" i="86"/>
  <c r="E94" i="86"/>
  <c r="H98" i="86"/>
  <c r="K100" i="80"/>
  <c r="E92" i="80"/>
  <c r="L93" i="80"/>
  <c r="G84" i="80"/>
  <c r="J84" i="80"/>
  <c r="J100" i="80"/>
  <c r="N91" i="86"/>
  <c r="E83" i="86"/>
  <c r="N98" i="80"/>
  <c r="J96" i="86"/>
  <c r="L100" i="86"/>
  <c r="F98" i="86"/>
  <c r="K86" i="86"/>
  <c r="M85" i="80"/>
  <c r="M84" i="80"/>
  <c r="H96" i="80"/>
  <c r="F85" i="80"/>
  <c r="L97" i="80"/>
  <c r="E84" i="80"/>
  <c r="N91" i="80"/>
  <c r="G92" i="80"/>
  <c r="K93" i="80"/>
  <c r="F83" i="80"/>
  <c r="E86" i="80"/>
  <c r="K85" i="80"/>
  <c r="I99" i="86"/>
  <c r="F99" i="80"/>
  <c r="E86" i="86"/>
  <c r="G91" i="86"/>
  <c r="J93" i="80"/>
  <c r="G86" i="80"/>
  <c r="J86" i="80"/>
  <c r="I85" i="80"/>
  <c r="H92" i="86"/>
  <c r="H95" i="86"/>
  <c r="K99" i="86"/>
  <c r="M92" i="86"/>
  <c r="M95" i="86"/>
  <c r="F96" i="86"/>
  <c r="I93" i="86"/>
  <c r="L96" i="80"/>
  <c r="G89" i="80"/>
  <c r="M85" i="86"/>
  <c r="H96" i="86"/>
  <c r="M97" i="80"/>
  <c r="J99" i="86"/>
  <c r="K95" i="86"/>
  <c r="K98" i="86"/>
  <c r="H89" i="86"/>
  <c r="J100" i="86"/>
  <c r="G83" i="86"/>
  <c r="H83" i="86"/>
  <c r="J83" i="86"/>
  <c r="L83" i="86"/>
  <c r="M94" i="80"/>
  <c r="K97" i="80"/>
  <c r="E97" i="86"/>
  <c r="E100" i="86"/>
  <c r="H90" i="86"/>
  <c r="K97" i="86"/>
  <c r="I89" i="80"/>
  <c r="I92" i="80"/>
  <c r="N100" i="80"/>
  <c r="G91" i="80"/>
  <c r="I91" i="80"/>
  <c r="K91" i="80"/>
  <c r="M98" i="80"/>
  <c r="H93" i="80"/>
  <c r="H83" i="80"/>
  <c r="L84" i="80"/>
  <c r="M89" i="86"/>
  <c r="N100" i="86"/>
  <c r="G95" i="86"/>
  <c r="N86" i="86"/>
  <c r="K96" i="86"/>
  <c r="N85" i="80"/>
  <c r="H84" i="80"/>
  <c r="L89" i="86"/>
  <c r="M100" i="86"/>
  <c r="F86" i="86"/>
  <c r="H86" i="86"/>
  <c r="J86" i="86"/>
  <c r="N83" i="86"/>
  <c r="N84" i="80"/>
  <c r="G85" i="80"/>
  <c r="F84" i="80"/>
  <c r="E23" i="72" s="1"/>
  <c r="M99" i="86"/>
  <c r="J91" i="86"/>
  <c r="K89" i="86"/>
  <c r="K100" i="86"/>
  <c r="J89" i="86"/>
  <c r="M86" i="86"/>
  <c r="N94" i="86"/>
  <c r="K93" i="86"/>
  <c r="K84" i="80"/>
  <c r="L89" i="80"/>
  <c r="I99" i="80"/>
  <c r="I100" i="86"/>
  <c r="H100" i="86"/>
  <c r="H86" i="80"/>
  <c r="E95" i="80"/>
  <c r="H99" i="86"/>
  <c r="N90" i="86"/>
  <c r="D270" i="116"/>
  <c r="F277" i="116" a="1"/>
  <c r="F277" i="116" s="1"/>
  <c r="I277" i="116" s="1" a="1"/>
  <c r="I277" i="116" s="1"/>
  <c r="E277" i="116"/>
  <c r="F276" i="116" a="1"/>
  <c r="F276" i="116" s="1"/>
  <c r="E276" i="116"/>
  <c r="I276" i="116" s="1" a="1"/>
  <c r="I276" i="116" s="1"/>
  <c r="F275" i="116" a="1"/>
  <c r="F275" i="116" s="1"/>
  <c r="E275" i="116"/>
  <c r="I275" i="116" s="1" a="1"/>
  <c r="I275" i="116" s="1"/>
  <c r="E281" i="116"/>
  <c r="E274" i="116"/>
  <c r="G274" i="116" s="1" a="1"/>
  <c r="G274" i="116" s="1"/>
  <c r="F280" i="116" a="1"/>
  <c r="F280" i="116" s="1"/>
  <c r="F273" i="116" a="1"/>
  <c r="F273" i="116" s="1"/>
  <c r="I273" i="116" s="1" a="1"/>
  <c r="I273" i="116" s="1"/>
  <c r="F279" i="116" a="1"/>
  <c r="F279" i="116" s="1"/>
  <c r="F272" i="116" a="1"/>
  <c r="F272" i="116" s="1"/>
  <c r="G272" i="116" s="1" a="1"/>
  <c r="G272" i="116" s="1"/>
  <c r="F278" i="116" a="1"/>
  <c r="F278" i="116" s="1"/>
  <c r="F271" i="116" a="1"/>
  <c r="F271" i="116" s="1"/>
  <c r="E271" i="116"/>
  <c r="F281" i="116" a="1"/>
  <c r="F281" i="116" s="1"/>
  <c r="E280" i="116"/>
  <c r="E279" i="116"/>
  <c r="I279" i="116" s="1" a="1"/>
  <c r="I279" i="116" s="1"/>
  <c r="E278" i="116"/>
  <c r="F274" i="116" a="1"/>
  <c r="F274" i="116" s="1"/>
  <c r="E273" i="116"/>
  <c r="E272" i="116"/>
  <c r="L90" i="86"/>
  <c r="J98" i="80"/>
  <c r="F96" i="80"/>
  <c r="G100" i="80"/>
  <c r="F97" i="80"/>
  <c r="F94" i="80"/>
  <c r="E98" i="80"/>
  <c r="E99" i="86"/>
  <c r="J97" i="86"/>
  <c r="G100" i="86"/>
  <c r="M96" i="86"/>
  <c r="J83" i="80"/>
  <c r="I83" i="80"/>
  <c r="H91" i="86"/>
  <c r="N84" i="86"/>
  <c r="AE239" i="116" a="1"/>
  <c r="AE239" i="116" s="1"/>
  <c r="F239" i="116" s="1" a="1"/>
  <c r="F239" i="116" s="1"/>
  <c r="L26" i="100" a="1"/>
  <c r="L26" i="100" s="1"/>
  <c r="J97" i="80"/>
  <c r="J95" i="80"/>
  <c r="J51" i="93"/>
  <c r="S79" i="89"/>
  <c r="I34" i="84"/>
  <c r="I50" i="117"/>
  <c r="I126" i="93"/>
  <c r="J15" i="117"/>
  <c r="I129" i="93"/>
  <c r="I53" i="117"/>
  <c r="I33" i="83"/>
  <c r="I55" i="89"/>
  <c r="J54" i="93"/>
  <c r="S84" i="89"/>
  <c r="O55" i="117" a="1"/>
  <c r="O55" i="117" s="1"/>
  <c r="R570" i="116" s="1"/>
  <c r="L94" i="80"/>
  <c r="I97" i="80"/>
  <c r="L95" i="80"/>
  <c r="L92" i="80"/>
  <c r="K96" i="80"/>
  <c r="M90" i="80"/>
  <c r="G96" i="86"/>
  <c r="L94" i="86"/>
  <c r="M98" i="86"/>
  <c r="F100" i="86"/>
  <c r="I95" i="86"/>
  <c r="E99" i="80"/>
  <c r="L86" i="86"/>
  <c r="S245" i="116" a="1"/>
  <c r="S245" i="116" s="1"/>
  <c r="AE243" i="116" a="1"/>
  <c r="AE243" i="116" s="1"/>
  <c r="F92" i="86"/>
  <c r="K29" i="101"/>
  <c r="I29" i="101"/>
  <c r="J29" i="101"/>
  <c r="H29" i="101"/>
  <c r="G29" i="101"/>
  <c r="AC221" i="116" a="1"/>
  <c r="V18" i="88"/>
  <c r="X18" i="88" s="1"/>
  <c r="I37" i="100" a="1"/>
  <c r="I37" i="100" s="1"/>
  <c r="O37" i="100" s="1" a="1"/>
  <c r="O37" i="100" s="1"/>
  <c r="V17" i="88"/>
  <c r="X17" i="88" s="1"/>
  <c r="J124" i="104" a="1"/>
  <c r="J124" i="104" s="1"/>
  <c r="W241" i="116" a="1"/>
  <c r="W241" i="116" s="1"/>
  <c r="AA237" i="116" a="1"/>
  <c r="AA237" i="116" s="1"/>
  <c r="S237" i="116" a="1"/>
  <c r="S237" i="116" s="1"/>
  <c r="V19" i="88"/>
  <c r="X19" i="88" s="1"/>
  <c r="J24" i="116" a="1"/>
  <c r="J24" i="116" s="1"/>
  <c r="V16" i="88"/>
  <c r="X16" i="88" s="1"/>
  <c r="E59" i="104"/>
  <c r="H59" i="104" s="1" a="1"/>
  <c r="H59" i="104" s="1"/>
  <c r="H89" i="104" a="1"/>
  <c r="H89" i="104" s="1"/>
  <c r="H80" i="104" a="1"/>
  <c r="H80" i="104" s="1"/>
  <c r="I80" i="104" s="1" a="1"/>
  <c r="I80" i="104" s="1"/>
  <c r="H178" i="104" s="1"/>
  <c r="I178" i="104" s="1"/>
  <c r="K178" i="104" s="1" a="1"/>
  <c r="K178" i="104" s="1"/>
  <c r="H73" i="104" a="1"/>
  <c r="H73" i="104" s="1"/>
  <c r="H65" i="104" a="1"/>
  <c r="H65" i="104" s="1"/>
  <c r="H88" i="104" a="1"/>
  <c r="H88" i="104" s="1"/>
  <c r="H79" i="104" a="1"/>
  <c r="H79" i="104" s="1"/>
  <c r="H72" i="104" a="1"/>
  <c r="H72" i="104" s="1"/>
  <c r="H64" i="104" a="1"/>
  <c r="H64" i="104" s="1"/>
  <c r="H86" i="104" a="1"/>
  <c r="H86" i="104" s="1"/>
  <c r="H78" i="104" a="1"/>
  <c r="H78" i="104" s="1"/>
  <c r="H71" i="104" a="1"/>
  <c r="H71" i="104" s="1"/>
  <c r="H63" i="104" a="1"/>
  <c r="H63" i="104" s="1"/>
  <c r="H85" i="104" a="1"/>
  <c r="H85" i="104" s="1"/>
  <c r="H77" i="104" a="1"/>
  <c r="H77" i="104" s="1"/>
  <c r="H69" i="104" a="1"/>
  <c r="H69" i="104" s="1"/>
  <c r="H62" i="104" a="1"/>
  <c r="H62" i="104" s="1"/>
  <c r="H92" i="104" a="1"/>
  <c r="H92" i="104" s="1"/>
  <c r="H84" i="104" a="1"/>
  <c r="H84" i="104" s="1"/>
  <c r="H76" i="104" a="1"/>
  <c r="H76" i="104" s="1"/>
  <c r="H68" i="104" a="1"/>
  <c r="H68" i="104" s="1"/>
  <c r="H61" i="104" a="1"/>
  <c r="H61" i="104" s="1"/>
  <c r="H91" i="104" a="1"/>
  <c r="H91" i="104" s="1"/>
  <c r="H83" i="104" a="1"/>
  <c r="H83" i="104" s="1"/>
  <c r="H75" i="104" a="1"/>
  <c r="H75" i="104" s="1"/>
  <c r="H67" i="104" a="1"/>
  <c r="H67" i="104" s="1"/>
  <c r="H60" i="104" a="1"/>
  <c r="H60" i="104" s="1"/>
  <c r="H90" i="104" a="1"/>
  <c r="H90" i="104" s="1"/>
  <c r="H82" i="104" a="1"/>
  <c r="H82" i="104" s="1"/>
  <c r="H74" i="104" a="1"/>
  <c r="H74" i="104" s="1"/>
  <c r="H66" i="104" a="1"/>
  <c r="H66" i="104" s="1"/>
  <c r="J136" i="104" a="1"/>
  <c r="J136" i="104" s="1"/>
  <c r="V15" i="88"/>
  <c r="X15" i="88" s="1"/>
  <c r="O45" i="89" s="1" a="1"/>
  <c r="J135" i="104" a="1"/>
  <c r="J135" i="104" s="1"/>
  <c r="J122" i="104" a="1"/>
  <c r="J122" i="104" s="1"/>
  <c r="J144" i="104" a="1"/>
  <c r="J144" i="104" s="1"/>
  <c r="Y221" i="116" a="1"/>
  <c r="W239" i="116" a="1"/>
  <c r="W239" i="116" s="1"/>
  <c r="R221" i="116" a="1"/>
  <c r="R221" i="116" s="1"/>
  <c r="V21" i="88"/>
  <c r="X21" i="88" s="1"/>
  <c r="AE237" i="116" a="1"/>
  <c r="AE237" i="116" s="1"/>
  <c r="AL221" i="116" a="1"/>
  <c r="AL221" i="116" s="1"/>
  <c r="AE241" i="116" a="1"/>
  <c r="AE241" i="116" s="1"/>
  <c r="J161" i="104" a="1"/>
  <c r="J161" i="104" s="1"/>
  <c r="J174" i="104" a="1"/>
  <c r="J174" i="104" s="1"/>
  <c r="J176" i="104" a="1"/>
  <c r="J176" i="104" s="1"/>
  <c r="AD221" i="116" a="1"/>
  <c r="AD221" i="116" s="1"/>
  <c r="D19" i="93"/>
  <c r="F19" i="93" s="1" a="1"/>
  <c r="F19" i="93" s="1"/>
  <c r="G19" i="93" s="1" a="1"/>
  <c r="G19" i="93" s="1"/>
  <c r="F37" i="93" a="1"/>
  <c r="F37" i="93" s="1"/>
  <c r="G37" i="93" s="1" a="1"/>
  <c r="G37" i="93" s="1"/>
  <c r="F30" i="93" a="1"/>
  <c r="F30" i="93" s="1"/>
  <c r="G30" i="93" s="1" a="1"/>
  <c r="G30" i="93" s="1"/>
  <c r="F23" i="93" a="1"/>
  <c r="F23" i="93" s="1"/>
  <c r="G23" i="93" s="1" a="1"/>
  <c r="G23" i="93" s="1"/>
  <c r="F36" i="93" a="1"/>
  <c r="F36" i="93" s="1"/>
  <c r="G36" i="93" s="1" a="1"/>
  <c r="G36" i="93" s="1"/>
  <c r="F29" i="93" a="1"/>
  <c r="F29" i="93" s="1"/>
  <c r="G29" i="93" s="1" a="1"/>
  <c r="G29" i="93" s="1"/>
  <c r="F22" i="93" a="1"/>
  <c r="F22" i="93" s="1"/>
  <c r="G22" i="93" s="1" a="1"/>
  <c r="G22" i="93" s="1"/>
  <c r="F34" i="93" a="1"/>
  <c r="F34" i="93" s="1"/>
  <c r="G34" i="93" s="1" a="1"/>
  <c r="G34" i="93" s="1"/>
  <c r="F27" i="93" a="1"/>
  <c r="F27" i="93" s="1"/>
  <c r="G27" i="93" s="1" a="1"/>
  <c r="G27" i="93" s="1"/>
  <c r="F20" i="93" a="1"/>
  <c r="F20" i="93" s="1"/>
  <c r="G20" i="93" s="1" a="1"/>
  <c r="G20" i="93" s="1"/>
  <c r="F33" i="93" a="1"/>
  <c r="F33" i="93" s="1"/>
  <c r="G33" i="93" s="1" a="1"/>
  <c r="G33" i="93" s="1"/>
  <c r="F26" i="93" a="1"/>
  <c r="F26" i="93" s="1"/>
  <c r="G26" i="93" s="1" a="1"/>
  <c r="G26" i="93" s="1"/>
  <c r="F32" i="93" a="1"/>
  <c r="F32" i="93" s="1"/>
  <c r="G32" i="93" s="1" a="1"/>
  <c r="G32" i="93" s="1"/>
  <c r="F25" i="93" a="1"/>
  <c r="F25" i="93" s="1"/>
  <c r="G25" i="93" s="1" a="1"/>
  <c r="G25" i="93" s="1"/>
  <c r="F28" i="93" a="1"/>
  <c r="F28" i="93" s="1"/>
  <c r="G28" i="93" s="1" a="1"/>
  <c r="G28" i="93" s="1"/>
  <c r="F24" i="93" a="1"/>
  <c r="F24" i="93" s="1"/>
  <c r="G24" i="93" s="1" a="1"/>
  <c r="G24" i="93" s="1"/>
  <c r="F35" i="93" a="1"/>
  <c r="F35" i="93" s="1"/>
  <c r="G35" i="93" s="1" a="1"/>
  <c r="G35" i="93" s="1"/>
  <c r="F21" i="93" a="1"/>
  <c r="F21" i="93" s="1"/>
  <c r="G21" i="93" s="1" a="1"/>
  <c r="G21" i="93" s="1"/>
  <c r="F31" i="93" a="1"/>
  <c r="F31" i="93" s="1"/>
  <c r="G31" i="93" s="1" a="1"/>
  <c r="G31" i="93" s="1"/>
  <c r="I31" i="101"/>
  <c r="G31" i="101"/>
  <c r="P31" i="101" s="1" a="1"/>
  <c r="P31" i="101" s="1"/>
  <c r="K31" i="101"/>
  <c r="J31" i="101"/>
  <c r="H31" i="101"/>
  <c r="E153" i="82" a="1"/>
  <c r="E153" i="82" s="1"/>
  <c r="E115" i="81" a="1"/>
  <c r="E115" i="81" s="1"/>
  <c r="S239" i="116" a="1"/>
  <c r="S239" i="116" s="1"/>
  <c r="W238" i="116" a="1"/>
  <c r="W238" i="116" s="1"/>
  <c r="F238" i="116" s="1" a="1"/>
  <c r="F238" i="116" s="1"/>
  <c r="D19" i="90"/>
  <c r="F19" i="90" s="1" a="1"/>
  <c r="F19" i="90" s="1"/>
  <c r="F36" i="90" a="1"/>
  <c r="F36" i="90" s="1"/>
  <c r="F22" i="90" a="1"/>
  <c r="F22" i="90" s="1"/>
  <c r="F35" i="90" a="1"/>
  <c r="F35" i="90" s="1"/>
  <c r="F21" i="90" a="1"/>
  <c r="F21" i="90" s="1"/>
  <c r="F34" i="90" a="1"/>
  <c r="F34" i="90" s="1"/>
  <c r="F20" i="90" a="1"/>
  <c r="F20" i="90" s="1"/>
  <c r="F33" i="90" a="1"/>
  <c r="F33" i="90" s="1"/>
  <c r="F29" i="90" a="1"/>
  <c r="F29" i="90" s="1"/>
  <c r="F27" i="90" a="1"/>
  <c r="F27" i="90" s="1"/>
  <c r="F25" i="90" a="1"/>
  <c r="F25" i="90" s="1"/>
  <c r="F24" i="90" a="1"/>
  <c r="F24" i="90" s="1"/>
  <c r="F23" i="90" a="1"/>
  <c r="F23" i="90" s="1"/>
  <c r="F37" i="90" a="1"/>
  <c r="F37" i="90" s="1"/>
  <c r="F32" i="90" a="1"/>
  <c r="F32" i="90" s="1"/>
  <c r="F31" i="90" a="1"/>
  <c r="F31" i="90" s="1"/>
  <c r="F30" i="90" a="1"/>
  <c r="F30" i="90" s="1"/>
  <c r="F28" i="90" a="1"/>
  <c r="F28" i="90" s="1"/>
  <c r="F26" i="90" a="1"/>
  <c r="F26" i="90" s="1"/>
  <c r="I20" i="92"/>
  <c r="H28" i="101"/>
  <c r="J28" i="101"/>
  <c r="I28" i="101"/>
  <c r="O28" i="101" s="1" a="1"/>
  <c r="O28" i="101" s="1"/>
  <c r="G28" i="101"/>
  <c r="K28" i="101"/>
  <c r="Q28" i="101" s="1" a="1"/>
  <c r="Q28" i="101" s="1"/>
  <c r="J137" i="104" a="1"/>
  <c r="J137" i="104" s="1"/>
  <c r="K33" i="101"/>
  <c r="Q33" i="101" s="1" a="1"/>
  <c r="Q33" i="101" s="1"/>
  <c r="J33" i="101"/>
  <c r="I33" i="101"/>
  <c r="H33" i="101"/>
  <c r="G33" i="101"/>
  <c r="J119" i="104" a="1"/>
  <c r="J119" i="104" s="1"/>
  <c r="J132" i="104" a="1"/>
  <c r="J132" i="104" s="1"/>
  <c r="D59" i="104"/>
  <c r="G89" i="104" a="1"/>
  <c r="G89" i="104" s="1"/>
  <c r="G80" i="104" a="1"/>
  <c r="G80" i="104" s="1"/>
  <c r="G73" i="104" a="1"/>
  <c r="G73" i="104" s="1"/>
  <c r="I73" i="104" s="1" a="1"/>
  <c r="I73" i="104" s="1"/>
  <c r="H171" i="104" s="1"/>
  <c r="G65" i="104" a="1"/>
  <c r="G65" i="104" s="1"/>
  <c r="G88" i="104" a="1"/>
  <c r="G88" i="104" s="1"/>
  <c r="G79" i="104" a="1"/>
  <c r="G79" i="104" s="1"/>
  <c r="I79" i="104" s="1" a="1"/>
  <c r="I79" i="104" s="1"/>
  <c r="H177" i="104" s="1"/>
  <c r="I177" i="104" s="1"/>
  <c r="K177" i="104" s="1" a="1"/>
  <c r="K177" i="104" s="1"/>
  <c r="G72" i="104" a="1"/>
  <c r="G72" i="104" s="1"/>
  <c r="I72" i="104" s="1" a="1"/>
  <c r="I72" i="104" s="1"/>
  <c r="H170" i="104" s="1"/>
  <c r="G64" i="104" a="1"/>
  <c r="G64" i="104" s="1"/>
  <c r="I64" i="104" s="1" a="1"/>
  <c r="I64" i="104" s="1"/>
  <c r="H162" i="104" s="1"/>
  <c r="I162" i="104" s="1"/>
  <c r="K162" i="104" s="1" a="1"/>
  <c r="K162" i="104" s="1"/>
  <c r="G86" i="104" a="1"/>
  <c r="G86" i="104" s="1"/>
  <c r="I86" i="104" s="1" a="1"/>
  <c r="I86" i="104" s="1"/>
  <c r="H184" i="104" s="1"/>
  <c r="G78" i="104" a="1"/>
  <c r="G78" i="104" s="1"/>
  <c r="I78" i="104" s="1" a="1"/>
  <c r="I78" i="104" s="1"/>
  <c r="H176" i="104" s="1"/>
  <c r="I176" i="104" s="1"/>
  <c r="K176" i="104" s="1" a="1"/>
  <c r="K176" i="104" s="1"/>
  <c r="G71" i="104" a="1"/>
  <c r="G71" i="104" s="1"/>
  <c r="G63" i="104" a="1"/>
  <c r="G63" i="104" s="1"/>
  <c r="I63" i="104" s="1" a="1"/>
  <c r="I63" i="104" s="1"/>
  <c r="H161" i="104" s="1"/>
  <c r="I161" i="104" s="1"/>
  <c r="K161" i="104" s="1" a="1"/>
  <c r="K161" i="104" s="1"/>
  <c r="G85" i="104" a="1"/>
  <c r="G85" i="104" s="1"/>
  <c r="I85" i="104" s="1" a="1"/>
  <c r="I85" i="104" s="1"/>
  <c r="H183" i="104" s="1"/>
  <c r="G77" i="104" a="1"/>
  <c r="G77" i="104" s="1"/>
  <c r="G69" i="104" a="1"/>
  <c r="G69" i="104" s="1"/>
  <c r="I69" i="104" s="1" a="1"/>
  <c r="I69" i="104" s="1"/>
  <c r="H167" i="104" s="1"/>
  <c r="I167" i="104" s="1"/>
  <c r="K167" i="104" s="1" a="1"/>
  <c r="K167" i="104" s="1"/>
  <c r="G62" i="104" a="1"/>
  <c r="G62" i="104" s="1"/>
  <c r="G90" i="104" a="1"/>
  <c r="G90" i="104" s="1"/>
  <c r="I90" i="104" s="1" a="1"/>
  <c r="I90" i="104" s="1"/>
  <c r="H188" i="104" s="1"/>
  <c r="G82" i="104" a="1"/>
  <c r="G82" i="104" s="1"/>
  <c r="G74" i="104" a="1"/>
  <c r="G74" i="104" s="1"/>
  <c r="I74" i="104" s="1" a="1"/>
  <c r="I74" i="104" s="1"/>
  <c r="H172" i="104" s="1"/>
  <c r="G66" i="104" a="1"/>
  <c r="G66" i="104" s="1"/>
  <c r="I66" i="104" s="1" a="1"/>
  <c r="I66" i="104" s="1"/>
  <c r="H164" i="104" s="1"/>
  <c r="I164" i="104" s="1"/>
  <c r="K164" i="104" s="1" a="1"/>
  <c r="K164" i="104" s="1"/>
  <c r="G84" i="104" a="1"/>
  <c r="G84" i="104" s="1"/>
  <c r="G83" i="104" a="1"/>
  <c r="G83" i="104" s="1"/>
  <c r="I83" i="104" s="1" a="1"/>
  <c r="I83" i="104" s="1"/>
  <c r="H181" i="104" s="1"/>
  <c r="G76" i="104" a="1"/>
  <c r="G76" i="104" s="1"/>
  <c r="G75" i="104" a="1"/>
  <c r="G75" i="104" s="1"/>
  <c r="I75" i="104" s="1" a="1"/>
  <c r="I75" i="104" s="1"/>
  <c r="H173" i="104" s="1"/>
  <c r="G68" i="104" a="1"/>
  <c r="G68" i="104" s="1"/>
  <c r="G67" i="104" a="1"/>
  <c r="G67" i="104" s="1"/>
  <c r="I67" i="104" s="1" a="1"/>
  <c r="I67" i="104" s="1"/>
  <c r="H165" i="104" s="1"/>
  <c r="G61" i="104" a="1"/>
  <c r="G61" i="104" s="1"/>
  <c r="I61" i="104" s="1" a="1"/>
  <c r="I61" i="104" s="1"/>
  <c r="H159" i="104" s="1"/>
  <c r="G60" i="104" a="1"/>
  <c r="G60" i="104" s="1"/>
  <c r="G92" i="104" a="1"/>
  <c r="G92" i="104" s="1"/>
  <c r="G91" i="104" a="1"/>
  <c r="G91" i="104" s="1"/>
  <c r="H38" i="101"/>
  <c r="N38" i="101" s="1" a="1"/>
  <c r="N38" i="101" s="1"/>
  <c r="G38" i="101"/>
  <c r="K38" i="101"/>
  <c r="J38" i="101"/>
  <c r="I38" i="101"/>
  <c r="O38" i="101" s="1" a="1"/>
  <c r="O38" i="101" s="1"/>
  <c r="V109" i="82" a="1"/>
  <c r="V109" i="82" s="1"/>
  <c r="W109" i="82" s="1" a="1"/>
  <c r="W109" i="82" s="1"/>
  <c r="AA109" i="82" s="1" a="1"/>
  <c r="AA109" i="82" s="1"/>
  <c r="W240" i="116" a="1"/>
  <c r="W240" i="116" s="1"/>
  <c r="F240" i="116" s="1" a="1"/>
  <c r="F240" i="116" s="1"/>
  <c r="S242" i="116" a="1"/>
  <c r="S242" i="116" s="1"/>
  <c r="F242" i="116" s="1" a="1"/>
  <c r="F242" i="116" s="1"/>
  <c r="V105" i="82" a="1"/>
  <c r="V105" i="82" s="1"/>
  <c r="W105" i="82" s="1" a="1"/>
  <c r="W105" i="82" s="1"/>
  <c r="V12" i="88"/>
  <c r="Q221" i="116" a="1"/>
  <c r="O55" i="89" a="1"/>
  <c r="W244" i="116" a="1"/>
  <c r="W244" i="116" s="1"/>
  <c r="F244" i="116" s="1" a="1"/>
  <c r="F244" i="116" s="1"/>
  <c r="AA242" i="116" a="1"/>
  <c r="AA242" i="116" s="1"/>
  <c r="J178" i="104" a="1"/>
  <c r="J178" i="104" s="1"/>
  <c r="J165" i="104" a="1"/>
  <c r="J165" i="104" s="1"/>
  <c r="J160" i="104" a="1"/>
  <c r="J160" i="104" s="1"/>
  <c r="D12" i="113"/>
  <c r="D136" i="116" s="1"/>
  <c r="F136" i="116" s="1" a="1"/>
  <c r="F136" i="116" s="1"/>
  <c r="G136" i="116" s="1" a="1"/>
  <c r="G136" i="116" s="1"/>
  <c r="D139" i="116"/>
  <c r="F139" i="116" s="1" a="1"/>
  <c r="F139" i="116" s="1"/>
  <c r="D138" i="116"/>
  <c r="F138" i="116" s="1" a="1"/>
  <c r="F138" i="116" s="1"/>
  <c r="D137" i="116"/>
  <c r="F137" i="116" s="1" a="1"/>
  <c r="F137" i="116" s="1"/>
  <c r="G137" i="116" s="1" a="1"/>
  <c r="G137" i="116" s="1"/>
  <c r="K32" i="101"/>
  <c r="I32" i="101"/>
  <c r="J32" i="101"/>
  <c r="H32" i="101"/>
  <c r="N32" i="101" s="1" a="1"/>
  <c r="N32" i="101" s="1"/>
  <c r="G32" i="101"/>
  <c r="V13" i="88"/>
  <c r="AK221" i="116" a="1"/>
  <c r="AH221" i="116" a="1"/>
  <c r="AH221" i="116" s="1"/>
  <c r="V221" i="116" a="1"/>
  <c r="V221" i="116" s="1"/>
  <c r="J27" i="116" a="1"/>
  <c r="J27" i="116" s="1"/>
  <c r="J29" i="116" a="1"/>
  <c r="J29" i="116" s="1"/>
  <c r="AA241" i="116" a="1"/>
  <c r="AA241" i="116" s="1"/>
  <c r="F241" i="116" s="1" a="1"/>
  <c r="F241" i="116" s="1"/>
  <c r="J123" i="104" a="1"/>
  <c r="J123" i="104" s="1"/>
  <c r="J125" i="104" a="1"/>
  <c r="J125" i="104" s="1"/>
  <c r="S241" i="116" a="1"/>
  <c r="S241" i="116" s="1"/>
  <c r="Z221" i="116" a="1"/>
  <c r="Z221" i="116" s="1"/>
  <c r="AC181" i="82" a="1"/>
  <c r="AC181" i="82" s="1"/>
  <c r="Y181" i="82" a="1"/>
  <c r="Y181" i="82" s="1"/>
  <c r="W181" i="82" a="1"/>
  <c r="W181" i="82" s="1"/>
  <c r="AC188" i="82" a="1"/>
  <c r="AC188" i="82" s="1"/>
  <c r="Y188" i="82" a="1"/>
  <c r="Y188" i="82" s="1"/>
  <c r="W188" i="82" a="1"/>
  <c r="W188" i="82" s="1"/>
  <c r="AC184" i="82" a="1"/>
  <c r="AC184" i="82" s="1"/>
  <c r="Y184" i="82" a="1"/>
  <c r="Y184" i="82" s="1"/>
  <c r="W184" i="82" a="1"/>
  <c r="W184" i="82" s="1"/>
  <c r="W191" i="82" a="1"/>
  <c r="W191" i="82" s="1"/>
  <c r="AC191" i="82" a="1"/>
  <c r="AC191" i="82" s="1"/>
  <c r="Y191" i="82" a="1"/>
  <c r="Y191" i="82" s="1"/>
  <c r="AC190" i="82" a="1"/>
  <c r="AC190" i="82" s="1"/>
  <c r="Y190" i="82" a="1"/>
  <c r="Y190" i="82" s="1"/>
  <c r="W190" i="82" a="1"/>
  <c r="W190" i="82" s="1"/>
  <c r="Y186" i="82" a="1"/>
  <c r="Y186" i="82" s="1"/>
  <c r="W186" i="82" a="1"/>
  <c r="W186" i="82" s="1"/>
  <c r="AC186" i="82" a="1"/>
  <c r="AC186" i="82" s="1"/>
  <c r="AC183" i="82" a="1"/>
  <c r="AC183" i="82" s="1"/>
  <c r="Y183" i="82" a="1"/>
  <c r="Y183" i="82" s="1"/>
  <c r="W183" i="82" a="1"/>
  <c r="W183" i="82" s="1"/>
  <c r="AC185" i="82" a="1"/>
  <c r="AC185" i="82" s="1"/>
  <c r="Y185" i="82" a="1"/>
  <c r="Y185" i="82" s="1"/>
  <c r="W185" i="82" a="1"/>
  <c r="W185" i="82" s="1"/>
  <c r="AC187" i="82" a="1"/>
  <c r="AC187" i="82" s="1"/>
  <c r="Y187" i="82" a="1"/>
  <c r="Y187" i="82" s="1"/>
  <c r="W187" i="82" a="1"/>
  <c r="W187" i="82" s="1"/>
  <c r="AC182" i="82" a="1"/>
  <c r="AC182" i="82" s="1"/>
  <c r="Y182" i="82" a="1"/>
  <c r="Y182" i="82" s="1"/>
  <c r="W182" i="82" a="1"/>
  <c r="W182" i="82" s="1"/>
  <c r="E472" i="116"/>
  <c r="F122" i="116"/>
  <c r="I122" i="116" s="1" a="1"/>
  <c r="I122" i="116" s="1"/>
  <c r="Q37" i="101" a="1"/>
  <c r="Q37" i="101" s="1"/>
  <c r="N37" i="101" a="1"/>
  <c r="N37" i="101" s="1"/>
  <c r="Q32" i="101" a="1"/>
  <c r="Q32" i="101" s="1"/>
  <c r="N30" i="101" a="1"/>
  <c r="N30" i="101" s="1"/>
  <c r="O35" i="100" a="1"/>
  <c r="O35" i="100" s="1"/>
  <c r="P35" i="100" a="1"/>
  <c r="P35" i="100" s="1"/>
  <c r="N35" i="100" a="1"/>
  <c r="N35" i="100" s="1"/>
  <c r="AB107" i="82" a="1"/>
  <c r="AB107" i="82" s="1"/>
  <c r="E483" i="116"/>
  <c r="E74" i="117" a="1"/>
  <c r="E74" i="117" s="1"/>
  <c r="J86" i="117" s="1"/>
  <c r="E90" i="117" s="1" a="1"/>
  <c r="E90" i="117" s="1"/>
  <c r="J571" i="116" s="1"/>
  <c r="H370" i="116" a="1"/>
  <c r="H370" i="116" s="1"/>
  <c r="E473" i="116"/>
  <c r="F119" i="116"/>
  <c r="G119" i="116" s="1" a="1"/>
  <c r="G119" i="116" s="1"/>
  <c r="M28" i="116" a="1"/>
  <c r="M28" i="116" s="1"/>
  <c r="F121" i="116"/>
  <c r="G121" i="116" s="1" a="1"/>
  <c r="G121" i="116" s="1"/>
  <c r="M30" i="116" a="1"/>
  <c r="M30" i="116" s="1"/>
  <c r="F128" i="116"/>
  <c r="I128" i="116" s="1" a="1"/>
  <c r="I128" i="116" s="1"/>
  <c r="F243" i="116" a="1"/>
  <c r="F243" i="116" s="1"/>
  <c r="E73" i="116"/>
  <c r="H372" i="116" a="1"/>
  <c r="H372" i="116" s="1"/>
  <c r="F127" i="116"/>
  <c r="G127" i="116" s="1" a="1"/>
  <c r="G127" i="116" s="1"/>
  <c r="F123" i="116"/>
  <c r="G123" i="116" s="1" a="1"/>
  <c r="G123" i="116" s="1"/>
  <c r="E411" i="116"/>
  <c r="E166" i="116"/>
  <c r="E639" i="116"/>
  <c r="E642" i="116" s="1"/>
  <c r="G124" i="116" a="1"/>
  <c r="G124" i="116" s="1"/>
  <c r="I124" i="116" a="1"/>
  <c r="I124" i="116" s="1"/>
  <c r="F245" i="116" a="1"/>
  <c r="F245" i="116" s="1"/>
  <c r="J456" i="116" a="1"/>
  <c r="J456" i="116" s="1"/>
  <c r="H456" i="116" a="1"/>
  <c r="H456" i="116" s="1"/>
  <c r="J371" i="116" a="1"/>
  <c r="J371" i="116" s="1"/>
  <c r="G276" i="116" a="1"/>
  <c r="G276" i="116" s="1"/>
  <c r="G275" i="116" a="1"/>
  <c r="G275" i="116" s="1"/>
  <c r="J454" i="116" a="1"/>
  <c r="J454" i="116" s="1"/>
  <c r="H454" i="116" a="1"/>
  <c r="H454" i="116" s="1"/>
  <c r="J457" i="116" a="1"/>
  <c r="J457" i="116" s="1"/>
  <c r="H457" i="116" a="1"/>
  <c r="H457" i="116" s="1"/>
  <c r="F246" i="116" a="1"/>
  <c r="F246" i="116" s="1"/>
  <c r="H374" i="116" a="1"/>
  <c r="H374" i="116" s="1"/>
  <c r="I278" i="116" a="1"/>
  <c r="I278" i="116" s="1"/>
  <c r="F125" i="116"/>
  <c r="F126" i="116"/>
  <c r="M26" i="116" a="1"/>
  <c r="M26" i="116" s="1"/>
  <c r="J26" i="116" a="1"/>
  <c r="J26" i="116" s="1"/>
  <c r="J438" i="116" a="1"/>
  <c r="J438" i="116" s="1"/>
  <c r="E442" i="116" s="1"/>
  <c r="H438" i="116" a="1"/>
  <c r="H438" i="116" s="1"/>
  <c r="M32" i="116" a="1"/>
  <c r="M32" i="116" s="1"/>
  <c r="I119" i="116" a="1"/>
  <c r="I119" i="116" s="1"/>
  <c r="E502" i="116"/>
  <c r="H430" i="116" a="1"/>
  <c r="H430" i="116" s="1"/>
  <c r="J368" i="116" a="1"/>
  <c r="J368" i="116" s="1"/>
  <c r="G79" i="116" a="1"/>
  <c r="G79" i="116" s="1"/>
  <c r="E90" i="116" s="1"/>
  <c r="J79" i="116" a="1"/>
  <c r="J79" i="116" s="1"/>
  <c r="E91" i="116" s="1"/>
  <c r="G42" i="116" a="1"/>
  <c r="G42" i="116" s="1"/>
  <c r="E53" i="116" s="1"/>
  <c r="J42" i="116" a="1"/>
  <c r="J42" i="116" s="1"/>
  <c r="E54" i="116" s="1"/>
  <c r="E348" i="116"/>
  <c r="E72" i="116"/>
  <c r="I274" i="116" a="1"/>
  <c r="I274" i="116" s="1"/>
  <c r="J367" i="116" a="1"/>
  <c r="J367" i="116" s="1"/>
  <c r="H367" i="116" a="1"/>
  <c r="H367" i="116" s="1"/>
  <c r="J455" i="116" a="1"/>
  <c r="J455" i="116" s="1"/>
  <c r="H455" i="116" a="1"/>
  <c r="H455" i="116" s="1"/>
  <c r="I33" i="104" a="1"/>
  <c r="I33" i="104" s="1"/>
  <c r="H128" i="104" s="1"/>
  <c r="I28" i="104" a="1"/>
  <c r="I28" i="104" s="1"/>
  <c r="H123" i="104" s="1"/>
  <c r="I123" i="104" s="1"/>
  <c r="E21" i="107" a="1"/>
  <c r="E21" i="107" s="1"/>
  <c r="I29" i="104" a="1"/>
  <c r="I29" i="104" s="1"/>
  <c r="H124" i="104" s="1"/>
  <c r="I124" i="104" s="1"/>
  <c r="K124" i="104" s="1" a="1"/>
  <c r="K124" i="104" s="1"/>
  <c r="I54" i="104" a="1"/>
  <c r="I54" i="104" s="1"/>
  <c r="H149" i="104" s="1"/>
  <c r="O21" i="107" a="1"/>
  <c r="O21" i="107" s="1"/>
  <c r="I25" i="104" a="1"/>
  <c r="I25" i="104" s="1"/>
  <c r="H120" i="104" s="1"/>
  <c r="I120" i="104" s="1"/>
  <c r="K120" i="104" s="1" a="1"/>
  <c r="K120" i="104" s="1"/>
  <c r="I71" i="104" a="1"/>
  <c r="I71" i="104" s="1"/>
  <c r="H169" i="104" s="1"/>
  <c r="I52" i="104" a="1"/>
  <c r="I52" i="104" s="1"/>
  <c r="H147" i="104" s="1"/>
  <c r="I173" i="104"/>
  <c r="K173" i="104" s="1" a="1"/>
  <c r="K173" i="104" s="1"/>
  <c r="I159" i="104"/>
  <c r="K159" i="104" s="1" a="1"/>
  <c r="K159" i="104" s="1"/>
  <c r="I45" i="104" a="1"/>
  <c r="I45" i="104" s="1"/>
  <c r="H140" i="104" s="1"/>
  <c r="Q30" i="100" a="1"/>
  <c r="Q30" i="100" s="1"/>
  <c r="I36" i="104" a="1"/>
  <c r="I36" i="104" s="1"/>
  <c r="H131" i="104" s="1"/>
  <c r="I165" i="104"/>
  <c r="K165" i="104" s="1" a="1"/>
  <c r="K165" i="104" s="1"/>
  <c r="I37" i="104" a="1"/>
  <c r="I37" i="104" s="1"/>
  <c r="H132" i="104" s="1"/>
  <c r="I132" i="104" s="1"/>
  <c r="K132" i="104" s="1" a="1"/>
  <c r="K132" i="104" s="1"/>
  <c r="I65" i="104" a="1"/>
  <c r="I65" i="104" s="1"/>
  <c r="H163" i="104" s="1"/>
  <c r="I163" i="104" s="1"/>
  <c r="K163" i="104" s="1" a="1"/>
  <c r="K163" i="104" s="1"/>
  <c r="I122" i="104"/>
  <c r="K122" i="104" s="1" a="1"/>
  <c r="K122" i="104" s="1"/>
  <c r="I48" i="104" a="1"/>
  <c r="I48" i="104" s="1"/>
  <c r="H143" i="104" s="1"/>
  <c r="I22" i="104" a="1"/>
  <c r="I22" i="104" s="1"/>
  <c r="H117" i="104" s="1"/>
  <c r="I117" i="104" s="1"/>
  <c r="K117" i="104" s="1" a="1"/>
  <c r="K117" i="104" s="1"/>
  <c r="I31" i="104" a="1"/>
  <c r="I31" i="104" s="1"/>
  <c r="H126" i="104" s="1"/>
  <c r="I126" i="104" s="1"/>
  <c r="K126" i="104" s="1" a="1"/>
  <c r="K126" i="104" s="1"/>
  <c r="I46" i="104" a="1"/>
  <c r="I46" i="104" s="1"/>
  <c r="H141" i="104" s="1"/>
  <c r="I24" i="104" a="1"/>
  <c r="I24" i="104" s="1"/>
  <c r="H119" i="104" s="1"/>
  <c r="I119" i="104" s="1"/>
  <c r="K119" i="104" s="1" a="1"/>
  <c r="K119" i="104" s="1"/>
  <c r="I38" i="104" a="1"/>
  <c r="I38" i="104" s="1"/>
  <c r="H133" i="104" s="1"/>
  <c r="I133" i="104" s="1"/>
  <c r="K133" i="104" s="1" a="1"/>
  <c r="K133" i="104" s="1"/>
  <c r="I34" i="104" a="1"/>
  <c r="I34" i="104" s="1"/>
  <c r="H129" i="104" s="1"/>
  <c r="Q31" i="100" a="1"/>
  <c r="Q31" i="100" s="1"/>
  <c r="I30" i="104" a="1"/>
  <c r="I30" i="104" s="1"/>
  <c r="H125" i="104" s="1"/>
  <c r="I125" i="104" s="1"/>
  <c r="K125" i="104" s="1" a="1"/>
  <c r="K125" i="104" s="1"/>
  <c r="I89" i="104" a="1"/>
  <c r="I89" i="104" s="1"/>
  <c r="H187" i="104" s="1"/>
  <c r="I26" i="104" a="1"/>
  <c r="I26" i="104" s="1"/>
  <c r="H121" i="104" s="1"/>
  <c r="I121" i="104" s="1"/>
  <c r="K121" i="104" s="1" a="1"/>
  <c r="K121" i="104" s="1"/>
  <c r="P39" i="101" a="1"/>
  <c r="P39" i="101" s="1"/>
  <c r="O39" i="101" a="1"/>
  <c r="O39" i="101" s="1"/>
  <c r="N39" i="101" a="1"/>
  <c r="N39" i="101" s="1"/>
  <c r="Q39" i="101" a="1"/>
  <c r="Q39" i="101" s="1"/>
  <c r="P40" i="101" a="1"/>
  <c r="P40" i="101" s="1"/>
  <c r="O40" i="101" a="1"/>
  <c r="O40" i="101" s="1"/>
  <c r="N40" i="101" a="1"/>
  <c r="N40" i="101" s="1"/>
  <c r="N36" i="101" a="1"/>
  <c r="N36" i="101" s="1"/>
  <c r="P36" i="101" a="1"/>
  <c r="P36" i="101" s="1"/>
  <c r="O34" i="101" a="1"/>
  <c r="O34" i="101" s="1"/>
  <c r="Q32" i="100" a="1"/>
  <c r="Q32" i="100" s="1"/>
  <c r="P34" i="101" a="1"/>
  <c r="P34" i="101" s="1"/>
  <c r="Q40" i="101" a="1"/>
  <c r="Q40" i="101" s="1"/>
  <c r="N34" i="101" a="1"/>
  <c r="N34" i="101" s="1"/>
  <c r="O29" i="101" a="1"/>
  <c r="O29" i="101" s="1"/>
  <c r="N29" i="101" a="1"/>
  <c r="N29" i="101" s="1"/>
  <c r="P29" i="101" a="1"/>
  <c r="P29" i="101" s="1"/>
  <c r="Q36" i="101" a="1"/>
  <c r="Q36" i="101" s="1"/>
  <c r="Q35" i="101" a="1"/>
  <c r="Q35" i="101" s="1"/>
  <c r="N28" i="101" a="1"/>
  <c r="N28" i="101" s="1"/>
  <c r="P38" i="101" a="1"/>
  <c r="P38" i="101" s="1"/>
  <c r="Q38" i="101" a="1"/>
  <c r="Q38" i="101" s="1"/>
  <c r="O37" i="101" a="1"/>
  <c r="O37" i="101" s="1"/>
  <c r="P28" i="101" a="1"/>
  <c r="P28" i="101" s="1"/>
  <c r="P32" i="101" a="1"/>
  <c r="P32" i="101" s="1"/>
  <c r="O32" i="101" a="1"/>
  <c r="O32" i="101" s="1"/>
  <c r="N35" i="101" a="1"/>
  <c r="N35" i="101" s="1"/>
  <c r="O31" i="101" a="1"/>
  <c r="O31" i="101" s="1"/>
  <c r="Q29" i="101" a="1"/>
  <c r="Q29" i="101" s="1"/>
  <c r="O35" i="101" a="1"/>
  <c r="O35" i="101" s="1"/>
  <c r="P25" i="101" a="1"/>
  <c r="P25" i="101" s="1"/>
  <c r="N25" i="101" a="1"/>
  <c r="N25" i="101" s="1"/>
  <c r="Q25" i="101" a="1"/>
  <c r="Q25" i="101" s="1"/>
  <c r="P29" i="100" a="1"/>
  <c r="P29" i="100" s="1"/>
  <c r="O29" i="100" a="1"/>
  <c r="O29" i="100" s="1"/>
  <c r="N29" i="100" a="1"/>
  <c r="N29" i="100" s="1"/>
  <c r="Q25" i="100" a="1"/>
  <c r="Q25" i="100" s="1"/>
  <c r="O25" i="100" a="1"/>
  <c r="O25" i="100" s="1"/>
  <c r="N25" i="100" a="1"/>
  <c r="N25" i="100" s="1"/>
  <c r="P28" i="100" a="1"/>
  <c r="P28" i="100" s="1"/>
  <c r="O28" i="100" a="1"/>
  <c r="O28" i="100" s="1"/>
  <c r="N28" i="100" a="1"/>
  <c r="N28" i="100" s="1"/>
  <c r="Q28" i="100" a="1"/>
  <c r="Q28" i="100" s="1"/>
  <c r="O32" i="100" a="1"/>
  <c r="O32" i="100" s="1"/>
  <c r="N32" i="100" a="1"/>
  <c r="N32" i="100" s="1"/>
  <c r="P32" i="100" a="1"/>
  <c r="P32" i="100" s="1"/>
  <c r="Q39" i="100" a="1"/>
  <c r="Q39" i="100" s="1"/>
  <c r="P39" i="100" a="1"/>
  <c r="P39" i="100" s="1"/>
  <c r="O39" i="100" a="1"/>
  <c r="O39" i="100" s="1"/>
  <c r="N39" i="100" a="1"/>
  <c r="N39" i="100" s="1"/>
  <c r="Q34" i="100" a="1"/>
  <c r="Q34" i="100" s="1"/>
  <c r="E58" i="100" s="1"/>
  <c r="P34" i="100" a="1"/>
  <c r="P34" i="100" s="1"/>
  <c r="E57" i="100" s="1"/>
  <c r="O34" i="100" a="1"/>
  <c r="O34" i="100" s="1"/>
  <c r="N34" i="100" a="1"/>
  <c r="N34" i="100" s="1"/>
  <c r="Q38" i="100" a="1"/>
  <c r="Q38" i="100" s="1"/>
  <c r="P38" i="100" a="1"/>
  <c r="P38" i="100" s="1"/>
  <c r="O38" i="100" a="1"/>
  <c r="O38" i="100" s="1"/>
  <c r="N38" i="100" a="1"/>
  <c r="N38" i="100" s="1"/>
  <c r="P31" i="100" a="1"/>
  <c r="P31" i="100" s="1"/>
  <c r="O31" i="100" a="1"/>
  <c r="O31" i="100" s="1"/>
  <c r="N31" i="100" a="1"/>
  <c r="N31" i="100" s="1"/>
  <c r="Q26" i="100" a="1"/>
  <c r="Q26" i="100" s="1"/>
  <c r="P26" i="100" a="1"/>
  <c r="P26" i="100" s="1"/>
  <c r="O26" i="100" a="1"/>
  <c r="O26" i="100" s="1"/>
  <c r="N26" i="100" a="1"/>
  <c r="N26" i="100" s="1"/>
  <c r="N37" i="100" a="1"/>
  <c r="N37" i="100" s="1"/>
  <c r="Q37" i="100" a="1"/>
  <c r="Q37" i="100" s="1"/>
  <c r="P37" i="100" a="1"/>
  <c r="P37" i="100" s="1"/>
  <c r="P30" i="100" a="1"/>
  <c r="P30" i="100" s="1"/>
  <c r="O30" i="100" a="1"/>
  <c r="O30" i="100" s="1"/>
  <c r="N30" i="100" a="1"/>
  <c r="N30" i="100" s="1"/>
  <c r="Q29" i="100" a="1"/>
  <c r="Q29" i="100" s="1"/>
  <c r="AF133" i="87"/>
  <c r="N31" i="81" a="1"/>
  <c r="N31" i="81" s="1"/>
  <c r="AC39" i="87" a="1"/>
  <c r="AC39" i="87" s="1"/>
  <c r="Y35" i="81" a="1"/>
  <c r="Y35" i="81" s="1"/>
  <c r="AD35" i="81" s="1" a="1"/>
  <c r="AD35" i="81" s="1"/>
  <c r="Y37" i="81" a="1"/>
  <c r="Y37" i="81" s="1"/>
  <c r="AC37" i="81" s="1" a="1"/>
  <c r="AC37" i="81" s="1"/>
  <c r="L31" i="81" a="1"/>
  <c r="L31" i="81" s="1"/>
  <c r="AC107" i="82" a="1"/>
  <c r="AC107" i="82" s="1"/>
  <c r="L96" i="82" a="1"/>
  <c r="L96" i="82" s="1"/>
  <c r="M32" i="81" a="1"/>
  <c r="M32" i="81" s="1"/>
  <c r="L32" i="81" a="1"/>
  <c r="L32" i="81" s="1"/>
  <c r="Y36" i="81" a="1"/>
  <c r="Y36" i="81" s="1"/>
  <c r="AC36" i="81" s="1" a="1"/>
  <c r="AC36" i="81" s="1"/>
  <c r="AB39" i="87" a="1"/>
  <c r="AB39" i="87" s="1"/>
  <c r="G33" i="81"/>
  <c r="N33" i="81" s="1" a="1"/>
  <c r="N33" i="81" s="1"/>
  <c r="G30" i="81"/>
  <c r="N30" i="81" s="1" a="1"/>
  <c r="N30" i="81" s="1"/>
  <c r="F95" i="82" a="1"/>
  <c r="F95" i="82" s="1"/>
  <c r="J95" i="82" s="1" a="1"/>
  <c r="J95" i="82" s="1"/>
  <c r="M149" i="85"/>
  <c r="AD34" i="81" a="1"/>
  <c r="AD34" i="81" s="1"/>
  <c r="W100" i="82" a="1"/>
  <c r="W100" i="82" s="1"/>
  <c r="AC100" i="82" s="1" a="1"/>
  <c r="AC100" i="82" s="1"/>
  <c r="AC32" i="87" a="1"/>
  <c r="AC32" i="87" s="1"/>
  <c r="AA32" i="87" a="1"/>
  <c r="AA32" i="87" s="1"/>
  <c r="AA30" i="87" a="1"/>
  <c r="AA30" i="87" s="1"/>
  <c r="F29" i="87" a="1"/>
  <c r="F29" i="87" s="1"/>
  <c r="L29" i="87" s="1" a="1"/>
  <c r="L29" i="87" s="1"/>
  <c r="AB30" i="87" a="1"/>
  <c r="AB30" i="87" s="1"/>
  <c r="AE34" i="81" a="1"/>
  <c r="AE34" i="81" s="1"/>
  <c r="AC37" i="87" a="1"/>
  <c r="AC37" i="87" s="1"/>
  <c r="AB37" i="87" a="1"/>
  <c r="AB37" i="87" s="1"/>
  <c r="AA37" i="87" a="1"/>
  <c r="AA37" i="87" s="1"/>
  <c r="L28" i="87" a="1"/>
  <c r="L28" i="87" s="1"/>
  <c r="K28" i="87" a="1"/>
  <c r="K28" i="87" s="1"/>
  <c r="I148" i="85"/>
  <c r="K26" i="87" a="1"/>
  <c r="K26" i="87" s="1"/>
  <c r="J26" i="87" a="1"/>
  <c r="J26" i="87" s="1"/>
  <c r="W36" i="87" a="1"/>
  <c r="W36" i="87" s="1"/>
  <c r="W111" i="82" a="1"/>
  <c r="W111" i="82" s="1"/>
  <c r="AA111" i="82" s="1" a="1"/>
  <c r="AA111" i="82" s="1"/>
  <c r="J28" i="87" a="1"/>
  <c r="J28" i="87" s="1"/>
  <c r="AC38" i="87" a="1"/>
  <c r="AC38" i="87" s="1"/>
  <c r="AB38" i="87" a="1"/>
  <c r="AB38" i="87" s="1"/>
  <c r="AA38" i="87" a="1"/>
  <c r="AA38" i="87" s="1"/>
  <c r="W35" i="87" a="1"/>
  <c r="W35" i="87" s="1"/>
  <c r="J96" i="82" a="1"/>
  <c r="J96" i="82" s="1"/>
  <c r="AC31" i="87" a="1"/>
  <c r="AC31" i="87" s="1"/>
  <c r="AB31" i="87" a="1"/>
  <c r="AB31" i="87" s="1"/>
  <c r="AA31" i="87" a="1"/>
  <c r="AA31" i="87" s="1"/>
  <c r="M147" i="85"/>
  <c r="AB108" i="82" a="1"/>
  <c r="AB108" i="82" s="1"/>
  <c r="H146" i="85"/>
  <c r="AC108" i="82" a="1"/>
  <c r="AC108" i="82" s="1"/>
  <c r="O179" i="86"/>
  <c r="N179" i="86"/>
  <c r="H147" i="85"/>
  <c r="G149" i="85"/>
  <c r="G147" i="85"/>
  <c r="P147" i="85"/>
  <c r="H148" i="85"/>
  <c r="M146" i="85"/>
  <c r="N148" i="85"/>
  <c r="J148" i="85"/>
  <c r="H149" i="85"/>
  <c r="G148" i="85"/>
  <c r="W110" i="82" a="1"/>
  <c r="W110" i="82" s="1"/>
  <c r="AC110" i="82" s="1" a="1"/>
  <c r="AC110" i="82" s="1"/>
  <c r="O148" i="85"/>
  <c r="K146" i="85"/>
  <c r="P148" i="85"/>
  <c r="I149" i="85"/>
  <c r="I147" i="85"/>
  <c r="K147" i="85"/>
  <c r="L146" i="85"/>
  <c r="K148" i="85"/>
  <c r="P149" i="85"/>
  <c r="P146" i="85"/>
  <c r="L147" i="85"/>
  <c r="M148" i="85"/>
  <c r="L148" i="85"/>
  <c r="N147" i="85"/>
  <c r="K149" i="85"/>
  <c r="N149" i="85"/>
  <c r="N146" i="85"/>
  <c r="J146" i="85"/>
  <c r="L149" i="85"/>
  <c r="O149" i="85"/>
  <c r="O146" i="85"/>
  <c r="O147" i="85"/>
  <c r="AD32" i="81" a="1"/>
  <c r="AD32" i="81" s="1"/>
  <c r="AC30" i="81" a="1"/>
  <c r="AC30" i="81" s="1"/>
  <c r="AE30" i="81" a="1"/>
  <c r="AE30" i="81" s="1"/>
  <c r="K98" i="82" a="1"/>
  <c r="K98" i="82" s="1"/>
  <c r="L98" i="82" a="1"/>
  <c r="L98" i="82" s="1"/>
  <c r="J98" i="82" a="1"/>
  <c r="J98" i="82" s="1"/>
  <c r="AD33" i="81" a="1"/>
  <c r="AD33" i="81" s="1"/>
  <c r="AC33" i="81" a="1"/>
  <c r="AC33" i="81" s="1"/>
  <c r="AA104" i="82" a="1"/>
  <c r="AA104" i="82" s="1"/>
  <c r="AC104" i="82" a="1"/>
  <c r="AC104" i="82" s="1"/>
  <c r="AA103" i="82" a="1"/>
  <c r="AA103" i="82" s="1"/>
  <c r="AC103" i="82" a="1"/>
  <c r="AC103" i="82" s="1"/>
  <c r="AB103" i="82" a="1"/>
  <c r="AB103" i="82" s="1"/>
  <c r="AA102" i="82" a="1"/>
  <c r="AA102" i="82" s="1"/>
  <c r="AC102" i="82" a="1"/>
  <c r="AC102" i="82" s="1"/>
  <c r="AA101" i="82" a="1"/>
  <c r="AA101" i="82" s="1"/>
  <c r="AC101" i="82" a="1"/>
  <c r="AC101" i="82" s="1"/>
  <c r="AB101" i="82" a="1"/>
  <c r="AB101" i="82" s="1"/>
  <c r="L97" i="82" a="1"/>
  <c r="L97" i="82" s="1"/>
  <c r="J97" i="82" a="1"/>
  <c r="J97" i="82" s="1"/>
  <c r="AE28" i="81" a="1"/>
  <c r="AE28" i="81" s="1"/>
  <c r="AD28" i="81" a="1"/>
  <c r="AD28" i="81" s="1"/>
  <c r="AD29" i="81" a="1"/>
  <c r="AD29" i="81" s="1"/>
  <c r="AC35" i="81" a="1"/>
  <c r="AC35" i="81" s="1"/>
  <c r="AE32" i="81" a="1"/>
  <c r="AE32" i="81" s="1"/>
  <c r="AC28" i="81" a="1"/>
  <c r="AC28" i="81" s="1"/>
  <c r="AE31" i="81" a="1"/>
  <c r="AE31" i="81" s="1"/>
  <c r="AD31" i="81" a="1"/>
  <c r="AD31" i="81" s="1"/>
  <c r="AC31" i="81" a="1"/>
  <c r="AC31" i="81" s="1"/>
  <c r="AC29" i="81" a="1"/>
  <c r="AC29" i="81" s="1"/>
  <c r="AE39" i="81" a="1"/>
  <c r="AE39" i="81" s="1"/>
  <c r="AD39" i="81" a="1"/>
  <c r="AD39" i="81" s="1"/>
  <c r="AE38" i="81" a="1"/>
  <c r="AE38" i="81" s="1"/>
  <c r="AD38" i="81" a="1"/>
  <c r="AD38" i="81" s="1"/>
  <c r="N179" i="80"/>
  <c r="O179" i="80" s="1"/>
  <c r="N181" i="80"/>
  <c r="O181" i="80" s="1"/>
  <c r="N178" i="80"/>
  <c r="O178" i="80" s="1"/>
  <c r="I16" i="77"/>
  <c r="I15" i="77"/>
  <c r="I14" i="77"/>
  <c r="I13" i="77"/>
  <c r="I12" i="77"/>
  <c r="I11" i="77"/>
  <c r="I10" i="77"/>
  <c r="I9" i="77"/>
  <c r="I8" i="77"/>
  <c r="I7" i="77"/>
  <c r="E10" i="76" a="1"/>
  <c r="E10" i="76" s="1"/>
  <c r="E9" i="76" a="1"/>
  <c r="E9" i="76" s="1"/>
  <c r="G138" i="116" l="1" a="1"/>
  <c r="G138" i="116" s="1"/>
  <c r="I138" i="116" a="1"/>
  <c r="I138" i="116" s="1"/>
  <c r="K137" i="104" a="1"/>
  <c r="K137" i="104" s="1"/>
  <c r="G139" i="116" a="1"/>
  <c r="G139" i="116" s="1"/>
  <c r="I139" i="116" a="1"/>
  <c r="I139" i="116" s="1"/>
  <c r="I84" i="104" a="1"/>
  <c r="I84" i="104" s="1"/>
  <c r="H182" i="104" s="1"/>
  <c r="O45" i="89"/>
  <c r="W49" i="89"/>
  <c r="W48" i="89"/>
  <c r="R49" i="89" a="1"/>
  <c r="R49" i="89" s="1"/>
  <c r="S49" i="89" a="1"/>
  <c r="S49" i="89" s="1"/>
  <c r="S46" i="89" a="1"/>
  <c r="S46" i="89" s="1"/>
  <c r="R48" i="89" a="1"/>
  <c r="R48" i="89" s="1"/>
  <c r="T48" i="89"/>
  <c r="S48" i="89" a="1"/>
  <c r="S48" i="89" s="1"/>
  <c r="R47" i="89" a="1"/>
  <c r="R47" i="89" s="1"/>
  <c r="T47" i="89"/>
  <c r="V47" i="89" s="1" a="1"/>
  <c r="V47" i="89" s="1"/>
  <c r="V49" i="89" a="1"/>
  <c r="V49" i="89" s="1"/>
  <c r="R46" i="89" a="1"/>
  <c r="R46" i="89" s="1"/>
  <c r="S47" i="89" a="1"/>
  <c r="S47" i="89" s="1"/>
  <c r="T49" i="89"/>
  <c r="V48" i="89" a="1"/>
  <c r="V48" i="89" s="1"/>
  <c r="T46" i="89"/>
  <c r="V46" i="89" a="1"/>
  <c r="V46" i="89" s="1"/>
  <c r="E141" i="116"/>
  <c r="AC109" i="82" a="1"/>
  <c r="AC109" i="82" s="1"/>
  <c r="I185" i="104"/>
  <c r="K185" i="104" s="1" a="1"/>
  <c r="K185" i="104" s="1"/>
  <c r="Y86" i="87" a="1"/>
  <c r="Y86" i="87" s="1"/>
  <c r="Y107" i="87" s="1" a="1"/>
  <c r="Y107" i="87" s="1"/>
  <c r="Y159" i="87" s="1" a="1"/>
  <c r="Y159" i="87" s="1"/>
  <c r="AK221" i="116"/>
  <c r="AM221" i="116" s="1" a="1"/>
  <c r="AM221" i="116" s="1"/>
  <c r="AM227" i="116" a="1"/>
  <c r="AM227" i="116" s="1"/>
  <c r="AM229" i="116" a="1"/>
  <c r="AM229" i="116" s="1"/>
  <c r="AM222" i="116" a="1"/>
  <c r="AM222" i="116" s="1"/>
  <c r="AM226" i="116" a="1"/>
  <c r="AM226" i="116" s="1"/>
  <c r="AM228" i="116" a="1"/>
  <c r="AM228" i="116" s="1"/>
  <c r="AM230" i="116" a="1"/>
  <c r="AM230" i="116" s="1"/>
  <c r="AM223" i="116" a="1"/>
  <c r="AM223" i="116" s="1"/>
  <c r="AM225" i="116" a="1"/>
  <c r="AM225" i="116" s="1"/>
  <c r="AM224" i="116" a="1"/>
  <c r="AM224" i="116" s="1"/>
  <c r="AB109" i="82" a="1"/>
  <c r="AB109" i="82" s="1"/>
  <c r="G128" i="116" a="1"/>
  <c r="G128" i="116" s="1"/>
  <c r="Z87" i="87" a="1"/>
  <c r="Z87" i="87" s="1"/>
  <c r="Z108" i="87" s="1" a="1"/>
  <c r="Z108" i="87" s="1"/>
  <c r="Z160" i="87" s="1" a="1"/>
  <c r="Z160" i="87" s="1"/>
  <c r="E24" i="72"/>
  <c r="I76" i="104" a="1"/>
  <c r="I76" i="104" s="1"/>
  <c r="H174" i="104" s="1"/>
  <c r="I174" i="104" s="1"/>
  <c r="K174" i="104" s="1" a="1"/>
  <c r="K174" i="104" s="1"/>
  <c r="G116" i="104" a="1"/>
  <c r="G116" i="104" s="1"/>
  <c r="G21" i="104" a="1"/>
  <c r="G21" i="104" s="1"/>
  <c r="I21" i="104" s="1" a="1"/>
  <c r="I21" i="104" s="1"/>
  <c r="H116" i="104" s="1"/>
  <c r="G157" i="104" a="1"/>
  <c r="G157" i="104" s="1"/>
  <c r="H23" i="116"/>
  <c r="J23" i="116" s="1" a="1"/>
  <c r="J23" i="116" s="1"/>
  <c r="E34" i="116" s="1"/>
  <c r="E93" i="116" s="1"/>
  <c r="J30" i="116" a="1"/>
  <c r="J30" i="116" s="1"/>
  <c r="J28" i="116" a="1"/>
  <c r="J28" i="116" s="1"/>
  <c r="J32" i="116" a="1"/>
  <c r="J32" i="116" s="1"/>
  <c r="AC221" i="116"/>
  <c r="AE221" i="116" s="1" a="1"/>
  <c r="AE221" i="116" s="1"/>
  <c r="AE225" i="116" a="1"/>
  <c r="AE225" i="116" s="1"/>
  <c r="AE227" i="116" a="1"/>
  <c r="AE227" i="116" s="1"/>
  <c r="AE224" i="116" a="1"/>
  <c r="AE224" i="116" s="1"/>
  <c r="AE226" i="116" a="1"/>
  <c r="AE226" i="116" s="1"/>
  <c r="AE228" i="116" a="1"/>
  <c r="AE228" i="116" s="1"/>
  <c r="AE230" i="116" a="1"/>
  <c r="AE230" i="116" s="1"/>
  <c r="AE229" i="116" a="1"/>
  <c r="AE229" i="116" s="1"/>
  <c r="AE223" i="116" a="1"/>
  <c r="AE223" i="116" s="1"/>
  <c r="AE222" i="116" a="1"/>
  <c r="AE222" i="116" s="1"/>
  <c r="E55" i="100"/>
  <c r="Q31" i="101" a="1"/>
  <c r="Q31" i="101" s="1"/>
  <c r="E46" i="101" s="1"/>
  <c r="P30" i="101" a="1"/>
  <c r="P30" i="101" s="1"/>
  <c r="O30" i="101" a="1"/>
  <c r="O30" i="101" s="1"/>
  <c r="I88" i="104" a="1"/>
  <c r="I88" i="104" s="1"/>
  <c r="H186" i="104" s="1"/>
  <c r="I272" i="116" a="1"/>
  <c r="I272" i="116" s="1"/>
  <c r="N31" i="101" a="1"/>
  <c r="N31" i="101" s="1"/>
  <c r="E43" i="101" s="1"/>
  <c r="P27" i="101" a="1"/>
  <c r="P27" i="101" s="1"/>
  <c r="E45" i="101" s="1"/>
  <c r="I82" i="104" a="1"/>
  <c r="I82" i="104" s="1"/>
  <c r="H180" i="104" s="1"/>
  <c r="I179" i="104" s="1"/>
  <c r="K179" i="104" s="1" a="1"/>
  <c r="K179" i="104" s="1"/>
  <c r="G273" i="116" a="1"/>
  <c r="G273" i="116" s="1"/>
  <c r="G281" i="116" a="1"/>
  <c r="G281" i="116" s="1"/>
  <c r="I281" i="116" a="1"/>
  <c r="I281" i="116" s="1"/>
  <c r="U221" i="116"/>
  <c r="W221" i="116" s="1" a="1"/>
  <c r="W221" i="116" s="1"/>
  <c r="W230" i="116" a="1"/>
  <c r="W230" i="116" s="1"/>
  <c r="W223" i="116" a="1"/>
  <c r="W223" i="116" s="1"/>
  <c r="W225" i="116" a="1"/>
  <c r="W225" i="116" s="1"/>
  <c r="W229" i="116" a="1"/>
  <c r="W229" i="116" s="1"/>
  <c r="W222" i="116" a="1"/>
  <c r="W222" i="116" s="1"/>
  <c r="W224" i="116" a="1"/>
  <c r="W224" i="116" s="1"/>
  <c r="W226" i="116" a="1"/>
  <c r="W226" i="116" s="1"/>
  <c r="W228" i="116" a="1"/>
  <c r="W228" i="116" s="1"/>
  <c r="W227" i="116" a="1"/>
  <c r="W227" i="116" s="1"/>
  <c r="AG221" i="116"/>
  <c r="AI221" i="116" s="1" a="1"/>
  <c r="AI221" i="116" s="1"/>
  <c r="AI225" i="116" a="1"/>
  <c r="AI225" i="116" s="1"/>
  <c r="AI227" i="116" a="1"/>
  <c r="AI227" i="116" s="1"/>
  <c r="AI229" i="116" a="1"/>
  <c r="AI229" i="116" s="1"/>
  <c r="AI222" i="116" a="1"/>
  <c r="AI222" i="116" s="1"/>
  <c r="AI224" i="116" a="1"/>
  <c r="AI224" i="116" s="1"/>
  <c r="AI223" i="116" a="1"/>
  <c r="AI223" i="116" s="1"/>
  <c r="AI228" i="116" a="1"/>
  <c r="AI228" i="116" s="1"/>
  <c r="AI226" i="116" a="1"/>
  <c r="AI226" i="116" s="1"/>
  <c r="AI230" i="116" a="1"/>
  <c r="AI230" i="116" s="1"/>
  <c r="J85" i="81" a="1"/>
  <c r="J85" i="81" s="1"/>
  <c r="J132" i="81" s="1" a="1"/>
  <c r="J132" i="81" s="1"/>
  <c r="K178" i="81" s="1" a="1"/>
  <c r="K178" i="81" s="1"/>
  <c r="K236" i="81" s="1" a="1"/>
  <c r="K236" i="81" s="1"/>
  <c r="O27" i="101" a="1"/>
  <c r="O27" i="101" s="1"/>
  <c r="E44" i="101" s="1"/>
  <c r="F223" i="116" a="1"/>
  <c r="F223" i="116" s="1"/>
  <c r="F228" i="116" a="1"/>
  <c r="F228" i="116" s="1"/>
  <c r="J25" i="116" a="1"/>
  <c r="J25" i="116" s="1"/>
  <c r="I91" i="104" a="1"/>
  <c r="I91" i="104" s="1"/>
  <c r="H189" i="104" s="1"/>
  <c r="I62" i="104" a="1"/>
  <c r="I62" i="104" s="1"/>
  <c r="H160" i="104" s="1"/>
  <c r="I160" i="104" s="1"/>
  <c r="K160" i="104" s="1" a="1"/>
  <c r="K160" i="104" s="1"/>
  <c r="G278" i="116" a="1"/>
  <c r="G278" i="116" s="1"/>
  <c r="Q27" i="101" a="1"/>
  <c r="Q27" i="101" s="1"/>
  <c r="O55" i="89"/>
  <c r="W59" i="89"/>
  <c r="W58" i="89"/>
  <c r="S58" i="89" a="1"/>
  <c r="S58" i="89" s="1"/>
  <c r="W56" i="89"/>
  <c r="R59" i="89" a="1"/>
  <c r="R59" i="89" s="1"/>
  <c r="V59" i="89" a="1"/>
  <c r="V59" i="89" s="1"/>
  <c r="S57" i="89" a="1"/>
  <c r="S57" i="89" s="1"/>
  <c r="V58" i="89" a="1"/>
  <c r="V58" i="89" s="1"/>
  <c r="S56" i="89" a="1"/>
  <c r="S56" i="89" s="1"/>
  <c r="T56" i="89"/>
  <c r="T58" i="89"/>
  <c r="S59" i="89" a="1"/>
  <c r="S59" i="89" s="1"/>
  <c r="R56" i="89" a="1"/>
  <c r="R56" i="89" s="1"/>
  <c r="T57" i="89"/>
  <c r="R58" i="89" a="1"/>
  <c r="R58" i="89" s="1"/>
  <c r="T59" i="89"/>
  <c r="R57" i="89" a="1"/>
  <c r="R57" i="89" s="1"/>
  <c r="I60" i="104" a="1"/>
  <c r="I60" i="104" s="1"/>
  <c r="H158" i="104" s="1"/>
  <c r="I158" i="104" s="1"/>
  <c r="K158" i="104" s="1" a="1"/>
  <c r="K158" i="104" s="1"/>
  <c r="I77" i="104" a="1"/>
  <c r="I77" i="104" s="1"/>
  <c r="H175" i="104" s="1"/>
  <c r="I175" i="104" s="1"/>
  <c r="K175" i="104" s="1" a="1"/>
  <c r="K175" i="104" s="1"/>
  <c r="G59" i="104" a="1"/>
  <c r="G59" i="104" s="1"/>
  <c r="I59" i="104" s="1" a="1"/>
  <c r="I59" i="104" s="1"/>
  <c r="H157" i="104" s="1"/>
  <c r="H28" i="92" a="1"/>
  <c r="H28" i="92" s="1"/>
  <c r="H29" i="92" a="1"/>
  <c r="H29" i="92" s="1"/>
  <c r="I280" i="116" a="1"/>
  <c r="I280" i="116" s="1"/>
  <c r="G280" i="116" a="1"/>
  <c r="G280" i="116" s="1"/>
  <c r="G277" i="116" a="1"/>
  <c r="G277" i="116" s="1"/>
  <c r="V20" i="82" a="1"/>
  <c r="V44" i="87" a="1"/>
  <c r="X44" i="81" a="1"/>
  <c r="K123" i="104" a="1"/>
  <c r="K123" i="104" s="1"/>
  <c r="Q221" i="116"/>
  <c r="S221" i="116" s="1" a="1"/>
  <c r="S221" i="116" s="1"/>
  <c r="S228" i="116" a="1"/>
  <c r="S228" i="116" s="1"/>
  <c r="S230" i="116" a="1"/>
  <c r="S230" i="116" s="1"/>
  <c r="S223" i="116" a="1"/>
  <c r="S223" i="116" s="1"/>
  <c r="S225" i="116" a="1"/>
  <c r="S225" i="116" s="1"/>
  <c r="S227" i="116" a="1"/>
  <c r="S227" i="116" s="1"/>
  <c r="S229" i="116" a="1"/>
  <c r="S229" i="116" s="1"/>
  <c r="F229" i="116" s="1" a="1"/>
  <c r="F229" i="116" s="1"/>
  <c r="S222" i="116" a="1"/>
  <c r="S222" i="116" s="1"/>
  <c r="F222" i="116" s="1" a="1"/>
  <c r="F222" i="116" s="1"/>
  <c r="S226" i="116" a="1"/>
  <c r="S226" i="116" s="1"/>
  <c r="F226" i="116" s="1" a="1"/>
  <c r="F226" i="116" s="1"/>
  <c r="S224" i="116" a="1"/>
  <c r="S224" i="116" s="1"/>
  <c r="F224" i="116" s="1" a="1"/>
  <c r="F224" i="116" s="1"/>
  <c r="I271" i="116" a="1"/>
  <c r="I271" i="116" s="1"/>
  <c r="G271" i="116" a="1"/>
  <c r="G271" i="116" s="1"/>
  <c r="E68" i="81" a="1"/>
  <c r="E68" i="81" s="1"/>
  <c r="E119" i="82" a="1"/>
  <c r="E119" i="82" s="1"/>
  <c r="E56" i="87" a="1"/>
  <c r="E56" i="87" s="1"/>
  <c r="I35" i="104" a="1"/>
  <c r="I35" i="104" s="1"/>
  <c r="H130" i="104" s="1"/>
  <c r="V60" i="87" a="1"/>
  <c r="V60" i="87" s="1"/>
  <c r="V120" i="82" a="1"/>
  <c r="V120" i="82" s="1"/>
  <c r="X60" i="81" a="1"/>
  <c r="X60" i="81" s="1"/>
  <c r="I53" i="104" a="1"/>
  <c r="I53" i="104" s="1"/>
  <c r="H148" i="104" s="1"/>
  <c r="F27" i="88"/>
  <c r="G27" i="88" s="1"/>
  <c r="G21" i="88"/>
  <c r="I21" i="88" s="1"/>
  <c r="G20" i="88"/>
  <c r="I20" i="88" s="1"/>
  <c r="F26" i="88"/>
  <c r="G26" i="88" s="1"/>
  <c r="F43" i="88"/>
  <c r="G43" i="88" s="1"/>
  <c r="F44" i="88"/>
  <c r="G44" i="88" s="1"/>
  <c r="F25" i="88"/>
  <c r="F33" i="88"/>
  <c r="G33" i="88" s="1"/>
  <c r="F32" i="88"/>
  <c r="G32" i="88" s="1"/>
  <c r="H56" i="88"/>
  <c r="F30" i="88"/>
  <c r="G30" i="88" s="1"/>
  <c r="F29" i="88"/>
  <c r="G29" i="88" s="1"/>
  <c r="H54" i="88"/>
  <c r="G18" i="88"/>
  <c r="I18" i="88" s="1"/>
  <c r="F31" i="88"/>
  <c r="G31" i="88" s="1"/>
  <c r="H55" i="88"/>
  <c r="F28" i="88"/>
  <c r="G28" i="88" s="1"/>
  <c r="G17" i="88"/>
  <c r="I17" i="88" s="1"/>
  <c r="G16" i="88"/>
  <c r="I16" i="88" s="1"/>
  <c r="G15" i="88"/>
  <c r="I15" i="88" s="1"/>
  <c r="G14" i="88"/>
  <c r="I14" i="88" s="1"/>
  <c r="G19" i="88"/>
  <c r="I19" i="88" s="1"/>
  <c r="F42" i="88"/>
  <c r="G42" i="88" s="1"/>
  <c r="G13" i="88"/>
  <c r="I13" i="88" s="1"/>
  <c r="F34" i="88"/>
  <c r="G34" i="88" s="1"/>
  <c r="G12" i="88"/>
  <c r="AB87" i="81" a="1"/>
  <c r="AB87" i="81" s="1"/>
  <c r="AB142" i="81" s="1" a="1"/>
  <c r="AB142" i="81" s="1"/>
  <c r="AC200" i="81" s="1" a="1"/>
  <c r="AC200" i="81" s="1"/>
  <c r="AC274" i="81" s="1" a="1"/>
  <c r="AC274" i="81" s="1"/>
  <c r="AB105" i="82" a="1"/>
  <c r="AB105" i="82" s="1"/>
  <c r="AC105" i="82" a="1"/>
  <c r="AC105" i="82" s="1"/>
  <c r="AA105" i="82" a="1"/>
  <c r="AA105" i="82" s="1"/>
  <c r="I68" i="104" a="1"/>
  <c r="I68" i="104" s="1"/>
  <c r="H166" i="104" s="1"/>
  <c r="I166" i="104" s="1"/>
  <c r="K166" i="104" s="1" a="1"/>
  <c r="K166" i="104" s="1"/>
  <c r="O33" i="101" a="1"/>
  <c r="O33" i="101" s="1"/>
  <c r="E50" i="101" s="1"/>
  <c r="N33" i="101" a="1"/>
  <c r="N33" i="101" s="1"/>
  <c r="E49" i="101" s="1"/>
  <c r="P33" i="101" a="1"/>
  <c r="P33" i="101" s="1"/>
  <c r="E51" i="101" s="1"/>
  <c r="Y221" i="116"/>
  <c r="AA221" i="116" s="1" a="1"/>
  <c r="AA221" i="116" s="1"/>
  <c r="F221" i="116" s="1" a="1"/>
  <c r="F221" i="116" s="1"/>
  <c r="AA230" i="116" a="1"/>
  <c r="AA230" i="116" s="1"/>
  <c r="AA223" i="116" a="1"/>
  <c r="AA223" i="116" s="1"/>
  <c r="AA225" i="116" a="1"/>
  <c r="AA225" i="116" s="1"/>
  <c r="AA227" i="116" a="1"/>
  <c r="AA227" i="116" s="1"/>
  <c r="AA229" i="116" a="1"/>
  <c r="AA229" i="116" s="1"/>
  <c r="AA222" i="116" a="1"/>
  <c r="AA222" i="116" s="1"/>
  <c r="AA228" i="116" a="1"/>
  <c r="AA228" i="116" s="1"/>
  <c r="AA226" i="116" a="1"/>
  <c r="AA226" i="116" s="1"/>
  <c r="AA224" i="116" a="1"/>
  <c r="AA224" i="116" s="1"/>
  <c r="F270" i="116" a="1"/>
  <c r="F270" i="116" s="1"/>
  <c r="E270" i="116"/>
  <c r="I40" i="104" a="1"/>
  <c r="I40" i="104" s="1"/>
  <c r="H135" i="104" s="1"/>
  <c r="I135" i="104" s="1"/>
  <c r="K135" i="104" s="1" a="1"/>
  <c r="K135" i="104" s="1"/>
  <c r="J31" i="116" a="1"/>
  <c r="J31" i="116" s="1"/>
  <c r="Y276" i="81"/>
  <c r="X235" i="81"/>
  <c r="I92" i="104" a="1"/>
  <c r="I92" i="104" s="1"/>
  <c r="H190" i="104" s="1"/>
  <c r="G279" i="116" a="1"/>
  <c r="G279" i="116" s="1"/>
  <c r="I128" i="93"/>
  <c r="I125" i="93" s="1"/>
  <c r="I18" i="94"/>
  <c r="I14" i="94" s="1"/>
  <c r="J53" i="93"/>
  <c r="J50" i="93" s="1"/>
  <c r="S83" i="89"/>
  <c r="I60" i="94"/>
  <c r="I56" i="94" s="1"/>
  <c r="I54" i="89"/>
  <c r="I50" i="89" s="1"/>
  <c r="E22" i="72"/>
  <c r="E48" i="87" a="1"/>
  <c r="J66" i="87" s="1" a="1"/>
  <c r="J66" i="87" s="1"/>
  <c r="J87" i="87" s="1" a="1"/>
  <c r="J87" i="87" s="1"/>
  <c r="J125" i="87" s="1" a="1"/>
  <c r="J125" i="87" s="1"/>
  <c r="E20" i="82" a="1"/>
  <c r="E52" i="81" a="1"/>
  <c r="J84" i="81" s="1" a="1"/>
  <c r="J84" i="81" s="1"/>
  <c r="J131" i="81" s="1" a="1"/>
  <c r="J131" i="81" s="1"/>
  <c r="J33" i="107"/>
  <c r="E25" i="108"/>
  <c r="I25" i="108" s="1" a="1"/>
  <c r="I25" i="108" s="1"/>
  <c r="D46" i="108" s="1"/>
  <c r="E46" i="108" s="1" a="1"/>
  <c r="E46" i="108" s="1"/>
  <c r="E48" i="108" s="1"/>
  <c r="G50" i="108" s="1"/>
  <c r="E53" i="108" s="1" a="1"/>
  <c r="E53" i="108" s="1"/>
  <c r="T33" i="107"/>
  <c r="O25" i="108"/>
  <c r="S25" i="108" s="1" a="1"/>
  <c r="S25" i="108" s="1"/>
  <c r="N46" i="108" s="1"/>
  <c r="O46" i="108" s="1" a="1"/>
  <c r="O46" i="108" s="1"/>
  <c r="O48" i="108" s="1"/>
  <c r="Q50" i="108" s="1"/>
  <c r="O53" i="108" s="1" a="1"/>
  <c r="O53" i="108" s="1"/>
  <c r="G122" i="116" a="1"/>
  <c r="G122" i="116" s="1"/>
  <c r="E56" i="100"/>
  <c r="I123" i="116" a="1"/>
  <c r="I123" i="116" s="1"/>
  <c r="I127" i="116" a="1"/>
  <c r="I127" i="116" s="1"/>
  <c r="E378" i="116"/>
  <c r="E459" i="116"/>
  <c r="E441" i="116"/>
  <c r="E35" i="116"/>
  <c r="E94" i="116" s="1"/>
  <c r="E460" i="116"/>
  <c r="E379" i="116"/>
  <c r="I126" i="116" a="1"/>
  <c r="I126" i="116" s="1"/>
  <c r="G126" i="116" a="1"/>
  <c r="G126" i="116" s="1"/>
  <c r="I125" i="116" a="1"/>
  <c r="I125" i="116" s="1"/>
  <c r="G125" i="116" a="1"/>
  <c r="G125" i="116" s="1"/>
  <c r="F237" i="116" a="1"/>
  <c r="F237" i="116" s="1"/>
  <c r="I144" i="104"/>
  <c r="K144" i="104" s="1" a="1"/>
  <c r="K144" i="104" s="1"/>
  <c r="AD36" i="81" a="1"/>
  <c r="AD36" i="81" s="1"/>
  <c r="AE36" i="81" a="1"/>
  <c r="AE36" i="81" s="1"/>
  <c r="I127" i="104"/>
  <c r="K127" i="104" s="1" a="1"/>
  <c r="K127" i="104" s="1"/>
  <c r="I168" i="104"/>
  <c r="K168" i="104" s="1" a="1"/>
  <c r="K168" i="104" s="1"/>
  <c r="I138" i="104"/>
  <c r="K138" i="104" s="1" a="1"/>
  <c r="K138" i="104" s="1"/>
  <c r="AD37" i="81" a="1"/>
  <c r="AD37" i="81" s="1"/>
  <c r="K29" i="87" a="1"/>
  <c r="K29" i="87" s="1"/>
  <c r="I67" i="87" s="1" a="1"/>
  <c r="I67" i="87" s="1"/>
  <c r="I88" i="87" s="1" a="1"/>
  <c r="I88" i="87" s="1"/>
  <c r="I126" i="87" s="1" a="1"/>
  <c r="I126" i="87" s="1"/>
  <c r="E63" i="100"/>
  <c r="I116" i="104"/>
  <c r="K116" i="104" s="1" a="1"/>
  <c r="K116" i="104" s="1"/>
  <c r="AE37" i="81" a="1"/>
  <c r="AE37" i="81" s="1"/>
  <c r="E61" i="100"/>
  <c r="AE35" i="81" a="1"/>
  <c r="AE35" i="81" s="1"/>
  <c r="E52" i="101"/>
  <c r="E64" i="100"/>
  <c r="E62" i="100"/>
  <c r="E43" i="100"/>
  <c r="E44" i="100"/>
  <c r="E45" i="100"/>
  <c r="E46" i="100"/>
  <c r="L30" i="81" a="1"/>
  <c r="L30" i="81" s="1"/>
  <c r="M30" i="81" a="1"/>
  <c r="M30" i="81" s="1"/>
  <c r="AA100" i="82" a="1"/>
  <c r="AA100" i="82" s="1"/>
  <c r="L95" i="82" a="1"/>
  <c r="L95" i="82" s="1"/>
  <c r="M33" i="81" a="1"/>
  <c r="M33" i="81" s="1"/>
  <c r="I87" i="81" s="1" a="1"/>
  <c r="I87" i="81" s="1"/>
  <c r="I134" i="81" s="1" a="1"/>
  <c r="I134" i="81" s="1"/>
  <c r="J184" i="81" s="1" a="1"/>
  <c r="J184" i="81" s="1"/>
  <c r="J242" i="81" s="1" a="1"/>
  <c r="J242" i="81" s="1"/>
  <c r="L33" i="81" a="1"/>
  <c r="L33" i="81" s="1"/>
  <c r="H87" i="81" s="1" a="1"/>
  <c r="H87" i="81" s="1"/>
  <c r="H134" i="81" s="1" a="1"/>
  <c r="H134" i="81" s="1"/>
  <c r="I180" i="81" s="1" a="1"/>
  <c r="I180" i="81" s="1"/>
  <c r="I238" i="81" s="1" a="1"/>
  <c r="I238" i="81" s="1"/>
  <c r="K95" i="82" a="1"/>
  <c r="K95" i="82" s="1"/>
  <c r="AC111" i="82" a="1"/>
  <c r="AC111" i="82" s="1"/>
  <c r="AB111" i="82" a="1"/>
  <c r="AB111" i="82" s="1"/>
  <c r="AB100" i="82" a="1"/>
  <c r="AB100" i="82" s="1"/>
  <c r="J29" i="87" a="1"/>
  <c r="J29" i="87" s="1"/>
  <c r="AB35" i="87" a="1"/>
  <c r="AB35" i="87" s="1"/>
  <c r="AC35" i="87" a="1"/>
  <c r="AC35" i="87" s="1"/>
  <c r="AA35" i="87" a="1"/>
  <c r="AA35" i="87" s="1"/>
  <c r="AC36" i="87" a="1"/>
  <c r="AC36" i="87" s="1"/>
  <c r="AA36" i="87" a="1"/>
  <c r="AA36" i="87" s="1"/>
  <c r="AB36" i="87" a="1"/>
  <c r="AB36" i="87" s="1"/>
  <c r="AA110" i="82" a="1"/>
  <c r="AA110" i="82" s="1"/>
  <c r="AB110" i="82" a="1"/>
  <c r="AB110" i="82" s="1"/>
  <c r="G73" i="13"/>
  <c r="F64" i="13"/>
  <c r="F65" i="13" s="1"/>
  <c r="G74" i="13"/>
  <c r="G75" i="13" s="1"/>
  <c r="G72" i="13"/>
  <c r="E29" i="72"/>
  <c r="K181" i="81" l="1" a="1"/>
  <c r="K181" i="81" s="1"/>
  <c r="K239" i="81" s="1" a="1"/>
  <c r="K239" i="81" s="1"/>
  <c r="K177" i="81" a="1"/>
  <c r="K177" i="81" s="1"/>
  <c r="K235" i="81" s="1" a="1"/>
  <c r="K235" i="81" s="1"/>
  <c r="K182" i="81" a="1"/>
  <c r="K182" i="81" s="1"/>
  <c r="K240" i="81" s="1" a="1"/>
  <c r="K240" i="81" s="1"/>
  <c r="H86" i="81" a="1"/>
  <c r="H86" i="81" s="1"/>
  <c r="H133" i="81" s="1" a="1"/>
  <c r="H133" i="81" s="1"/>
  <c r="I179" i="81" s="1" a="1"/>
  <c r="I179" i="81" s="1"/>
  <c r="I237" i="81" s="1" a="1"/>
  <c r="I237" i="81" s="1"/>
  <c r="H64" i="87" a="1"/>
  <c r="H64" i="87" s="1"/>
  <c r="H85" i="87" s="1" a="1"/>
  <c r="H85" i="87" s="1"/>
  <c r="H123" i="87" s="1" a="1"/>
  <c r="H123" i="87" s="1"/>
  <c r="AA87" i="87" a="1"/>
  <c r="AA87" i="87" s="1"/>
  <c r="AA108" i="87" s="1" a="1"/>
  <c r="AA108" i="87" s="1"/>
  <c r="AA160" i="87" s="1" a="1"/>
  <c r="AA160" i="87" s="1"/>
  <c r="AC86" i="81" a="1"/>
  <c r="AC86" i="81" s="1"/>
  <c r="AC141" i="81" s="1" a="1"/>
  <c r="AC141" i="81" s="1"/>
  <c r="AD187" i="81" s="1" a="1"/>
  <c r="AD187" i="81" s="1"/>
  <c r="AD261" i="81" s="1" a="1"/>
  <c r="AD261" i="81" s="1"/>
  <c r="H67" i="87" a="1"/>
  <c r="H67" i="87" s="1"/>
  <c r="H88" i="87" s="1" a="1"/>
  <c r="H88" i="87" s="1"/>
  <c r="H126" i="87" s="1" a="1"/>
  <c r="H126" i="87" s="1"/>
  <c r="I64" i="87" a="1"/>
  <c r="I64" i="87" s="1"/>
  <c r="I85" i="87" s="1" a="1"/>
  <c r="I85" i="87" s="1"/>
  <c r="I123" i="87" s="1" a="1"/>
  <c r="I123" i="87" s="1"/>
  <c r="AB84" i="81" a="1"/>
  <c r="AB84" i="81" s="1"/>
  <c r="AB139" i="81" s="1" a="1"/>
  <c r="AB139" i="81" s="1"/>
  <c r="AC185" i="81" s="1" a="1"/>
  <c r="AC185" i="81" s="1"/>
  <c r="AC259" i="81" s="1" a="1"/>
  <c r="AC259" i="81" s="1"/>
  <c r="I86" i="81" a="1"/>
  <c r="I86" i="81" s="1"/>
  <c r="I133" i="81" s="1" a="1"/>
  <c r="I133" i="81" s="1"/>
  <c r="J183" i="81" s="1" a="1"/>
  <c r="J183" i="81" s="1"/>
  <c r="J241" i="81" s="1" a="1"/>
  <c r="J241" i="81" s="1"/>
  <c r="H84" i="81" a="1"/>
  <c r="H84" i="81" s="1"/>
  <c r="H131" i="81" s="1" a="1"/>
  <c r="H131" i="81" s="1"/>
  <c r="I181" i="81" s="1" a="1"/>
  <c r="I181" i="81" s="1"/>
  <c r="I239" i="81" s="1" a="1"/>
  <c r="I239" i="81" s="1"/>
  <c r="Z79" i="87" a="1"/>
  <c r="Z79" i="87" s="1"/>
  <c r="Z100" i="87" s="1" a="1"/>
  <c r="Z100" i="87" s="1"/>
  <c r="Z152" i="87" s="1" a="1"/>
  <c r="Z152" i="87" s="1"/>
  <c r="AD199" i="81" a="1"/>
  <c r="AD199" i="81" s="1"/>
  <c r="AD273" i="81" s="1" a="1"/>
  <c r="AD273" i="81" s="1"/>
  <c r="Y80" i="87" a="1"/>
  <c r="Y80" i="87" s="1"/>
  <c r="Y101" i="87" s="1" a="1"/>
  <c r="Y101" i="87" s="1"/>
  <c r="Y153" i="87" s="1" a="1"/>
  <c r="Y153" i="87" s="1"/>
  <c r="G270" i="116" a="1"/>
  <c r="G270" i="116" s="1"/>
  <c r="E283" i="116" s="1"/>
  <c r="I270" i="116" a="1"/>
  <c r="I270" i="116" s="1"/>
  <c r="E284" i="116" s="1"/>
  <c r="AD47" i="82" a="1"/>
  <c r="AD47" i="82" s="1"/>
  <c r="AD36" i="82" a="1"/>
  <c r="AD36" i="82" s="1"/>
  <c r="AC47" i="82" a="1"/>
  <c r="AC47" i="82" s="1"/>
  <c r="AD38" i="82" a="1"/>
  <c r="AD38" i="82" s="1"/>
  <c r="V20" i="82"/>
  <c r="V36" i="82" s="1" a="1"/>
  <c r="V36" i="82" s="1"/>
  <c r="AD40" i="82" a="1"/>
  <c r="AD40" i="82" s="1"/>
  <c r="AD37" i="82" a="1"/>
  <c r="AD37" i="82" s="1"/>
  <c r="W37" i="82" a="1"/>
  <c r="W37" i="82" s="1"/>
  <c r="Z37" i="82" a="1"/>
  <c r="Z37" i="82" s="1"/>
  <c r="AD41" i="82" a="1"/>
  <c r="AD41" i="82" s="1"/>
  <c r="AD45" i="82" a="1"/>
  <c r="AD45" i="82" s="1"/>
  <c r="AD46" i="82" a="1"/>
  <c r="AD46" i="82" s="1"/>
  <c r="AD43" i="82" a="1"/>
  <c r="AD43" i="82" s="1"/>
  <c r="AD39" i="82" a="1"/>
  <c r="AD39" i="82" s="1"/>
  <c r="AD42" i="82" a="1"/>
  <c r="AD42" i="82" s="1"/>
  <c r="AD44" i="82" a="1"/>
  <c r="AD44" i="82" s="1"/>
  <c r="X44" i="82" a="1"/>
  <c r="X44" i="82" s="1"/>
  <c r="Y38" i="82" a="1"/>
  <c r="Y38" i="82" s="1"/>
  <c r="AE37" i="82" a="1"/>
  <c r="AE37" i="82" s="1"/>
  <c r="Z40" i="82" a="1"/>
  <c r="Z40" i="82" s="1"/>
  <c r="Y36" i="82" a="1"/>
  <c r="Y36" i="82" s="1"/>
  <c r="Y37" i="82" a="1"/>
  <c r="Y37" i="82" s="1"/>
  <c r="W42" i="82" a="1"/>
  <c r="W42" i="82" s="1"/>
  <c r="W36" i="82" a="1"/>
  <c r="W36" i="82" s="1"/>
  <c r="AB44" i="82" a="1"/>
  <c r="AB44" i="82" s="1"/>
  <c r="AA45" i="82" a="1"/>
  <c r="AA45" i="82" s="1"/>
  <c r="AC36" i="82" a="1"/>
  <c r="AC36" i="82" s="1"/>
  <c r="AE46" i="82" a="1"/>
  <c r="AE46" i="82" s="1"/>
  <c r="Z41" i="82" a="1"/>
  <c r="Z41" i="82" s="1"/>
  <c r="AA37" i="82" a="1"/>
  <c r="AA37" i="82" s="1"/>
  <c r="Z46" i="82" a="1"/>
  <c r="Z46" i="82" s="1"/>
  <c r="AE43" i="82" a="1"/>
  <c r="AE43" i="82" s="1"/>
  <c r="X43" i="82" a="1"/>
  <c r="X43" i="82" s="1"/>
  <c r="AB45" i="82" a="1"/>
  <c r="AB45" i="82" s="1"/>
  <c r="AB41" i="82" a="1"/>
  <c r="AB41" i="82" s="1"/>
  <c r="AE41" i="82" a="1"/>
  <c r="AE41" i="82" s="1"/>
  <c r="AE36" i="82" a="1"/>
  <c r="AE36" i="82" s="1"/>
  <c r="V44" i="82" a="1"/>
  <c r="V44" i="82" s="1"/>
  <c r="V37" i="82" a="1"/>
  <c r="V37" i="82" s="1"/>
  <c r="Z44" i="82" a="1"/>
  <c r="Z44" i="82" s="1"/>
  <c r="AC42" i="82" a="1"/>
  <c r="AC42" i="82" s="1"/>
  <c r="AC43" i="82" a="1"/>
  <c r="AC43" i="82" s="1"/>
  <c r="Y43" i="82" a="1"/>
  <c r="Y43" i="82" s="1"/>
  <c r="X45" i="82" a="1"/>
  <c r="X45" i="82" s="1"/>
  <c r="W39" i="82" a="1"/>
  <c r="W39" i="82" s="1"/>
  <c r="AB36" i="82" a="1"/>
  <c r="AB36" i="82" s="1"/>
  <c r="AA43" i="82" a="1"/>
  <c r="AA43" i="82" s="1"/>
  <c r="X46" i="82" a="1"/>
  <c r="X46" i="82" s="1"/>
  <c r="V40" i="82" a="1"/>
  <c r="V40" i="82" s="1"/>
  <c r="AA39" i="82" a="1"/>
  <c r="AA39" i="82" s="1"/>
  <c r="W43" i="82" a="1"/>
  <c r="W43" i="82" s="1"/>
  <c r="V42" i="82" a="1"/>
  <c r="V42" i="82" s="1"/>
  <c r="AA44" i="82" a="1"/>
  <c r="AA44" i="82" s="1"/>
  <c r="AE40" i="82" a="1"/>
  <c r="AE40" i="82" s="1"/>
  <c r="W45" i="82" a="1"/>
  <c r="W45" i="82" s="1"/>
  <c r="AC39" i="82" a="1"/>
  <c r="AC39" i="82" s="1"/>
  <c r="AB37" i="82" a="1"/>
  <c r="AB37" i="82" s="1"/>
  <c r="Z39" i="82" a="1"/>
  <c r="Z39" i="82" s="1"/>
  <c r="V45" i="82" a="1"/>
  <c r="V45" i="82" s="1"/>
  <c r="X40" i="82" a="1"/>
  <c r="X40" i="82" s="1"/>
  <c r="AE45" i="82" a="1"/>
  <c r="AE45" i="82" s="1"/>
  <c r="AB40" i="82" a="1"/>
  <c r="AB40" i="82" s="1"/>
  <c r="AE39" i="82" a="1"/>
  <c r="AE39" i="82" s="1"/>
  <c r="Y40" i="82" a="1"/>
  <c r="Y40" i="82" s="1"/>
  <c r="AB42" i="82" a="1"/>
  <c r="AB42" i="82" s="1"/>
  <c r="Z42" i="82" a="1"/>
  <c r="Z42" i="82" s="1"/>
  <c r="AC38" i="82" a="1"/>
  <c r="AC38" i="82" s="1"/>
  <c r="AB38" i="82" a="1"/>
  <c r="AB38" i="82" s="1"/>
  <c r="AA40" i="82" a="1"/>
  <c r="AA40" i="82" s="1"/>
  <c r="X39" i="82" a="1"/>
  <c r="X39" i="82" s="1"/>
  <c r="X36" i="82" a="1"/>
  <c r="X36" i="82" s="1"/>
  <c r="AC45" i="82" a="1"/>
  <c r="AC45" i="82" s="1"/>
  <c r="Y42" i="82" a="1"/>
  <c r="Y42" i="82" s="1"/>
  <c r="X41" i="82" a="1"/>
  <c r="X41" i="82" s="1"/>
  <c r="V39" i="82" a="1"/>
  <c r="V39" i="82" s="1"/>
  <c r="AA42" i="82" a="1"/>
  <c r="AA42" i="82" s="1"/>
  <c r="AB43" i="82" a="1"/>
  <c r="AB43" i="82" s="1"/>
  <c r="Z36" i="82" a="1"/>
  <c r="Z36" i="82" s="1"/>
  <c r="X42" i="82" a="1"/>
  <c r="X42" i="82" s="1"/>
  <c r="X47" i="82" a="1"/>
  <c r="X47" i="82" s="1"/>
  <c r="AE42" i="82" a="1"/>
  <c r="AE42" i="82" s="1"/>
  <c r="AC40" i="82" a="1"/>
  <c r="AC40" i="82" s="1"/>
  <c r="AA47" i="82" a="1"/>
  <c r="AA47" i="82" s="1"/>
  <c r="V43" i="82" a="1"/>
  <c r="V43" i="82" s="1"/>
  <c r="AA41" i="82" a="1"/>
  <c r="AA41" i="82" s="1"/>
  <c r="AE44" i="82" a="1"/>
  <c r="AE44" i="82" s="1"/>
  <c r="Y47" i="82" a="1"/>
  <c r="Y47" i="82" s="1"/>
  <c r="W44" i="82" a="1"/>
  <c r="W44" i="82" s="1"/>
  <c r="AA38" i="82" a="1"/>
  <c r="AA38" i="82" s="1"/>
  <c r="X37" i="82" a="1"/>
  <c r="X37" i="82" s="1"/>
  <c r="AA36" i="82" a="1"/>
  <c r="AA36" i="82" s="1"/>
  <c r="W46" i="82" a="1"/>
  <c r="W46" i="82" s="1"/>
  <c r="W40" i="82" a="1"/>
  <c r="W40" i="82" s="1"/>
  <c r="AB39" i="82" a="1"/>
  <c r="AB39" i="82" s="1"/>
  <c r="AA46" i="82" a="1"/>
  <c r="AA46" i="82" s="1"/>
  <c r="Z45" i="82" a="1"/>
  <c r="Z45" i="82" s="1"/>
  <c r="Y46" i="82" a="1"/>
  <c r="Y46" i="82" s="1"/>
  <c r="Y44" i="82" a="1"/>
  <c r="Y44" i="82" s="1"/>
  <c r="AE38" i="82" a="1"/>
  <c r="AE38" i="82" s="1"/>
  <c r="AC41" i="82" a="1"/>
  <c r="AC41" i="82" s="1"/>
  <c r="AE47" i="82" a="1"/>
  <c r="AE47" i="82" s="1"/>
  <c r="V46" i="82" a="1"/>
  <c r="V46" i="82" s="1"/>
  <c r="V38" i="82" a="1"/>
  <c r="V38" i="82" s="1"/>
  <c r="AB46" i="82" a="1"/>
  <c r="AB46" i="82" s="1"/>
  <c r="AC46" i="82" a="1"/>
  <c r="AC46" i="82" s="1"/>
  <c r="Y39" i="82" a="1"/>
  <c r="Y39" i="82" s="1"/>
  <c r="W47" i="82" a="1"/>
  <c r="W47" i="82" s="1"/>
  <c r="Y41" i="82" a="1"/>
  <c r="Y41" i="82" s="1"/>
  <c r="X38" i="82" a="1"/>
  <c r="X38" i="82" s="1"/>
  <c r="AC37" i="82" a="1"/>
  <c r="AC37" i="82" s="1"/>
  <c r="V47" i="82" a="1"/>
  <c r="V47" i="82" s="1"/>
  <c r="W38" i="82" a="1"/>
  <c r="W38" i="82" s="1"/>
  <c r="Z43" i="82" a="1"/>
  <c r="Z43" i="82" s="1"/>
  <c r="Z38" i="82" a="1"/>
  <c r="Z38" i="82" s="1"/>
  <c r="AB47" i="82" a="1"/>
  <c r="AB47" i="82" s="1"/>
  <c r="V41" i="82" a="1"/>
  <c r="V41" i="82" s="1"/>
  <c r="Z47" i="82" a="1"/>
  <c r="Z47" i="82" s="1"/>
  <c r="W41" i="82" a="1"/>
  <c r="W41" i="82" s="1"/>
  <c r="AC44" i="82" a="1"/>
  <c r="AC44" i="82" s="1"/>
  <c r="Y45" i="82" a="1"/>
  <c r="Y45" i="82" s="1"/>
  <c r="Y84" i="87" a="1"/>
  <c r="Y84" i="87" s="1"/>
  <c r="Y105" i="87" s="1" a="1"/>
  <c r="Y105" i="87" s="1"/>
  <c r="Y157" i="87" s="1" a="1"/>
  <c r="Y157" i="87" s="1"/>
  <c r="I56" i="88"/>
  <c r="J56" i="88"/>
  <c r="Z86" i="87" a="1"/>
  <c r="Z86" i="87" s="1"/>
  <c r="Z107" i="87" s="1" a="1"/>
  <c r="Z107" i="87" s="1"/>
  <c r="Z159" i="87" s="1" a="1"/>
  <c r="Z159" i="87" s="1"/>
  <c r="AA84" i="87" a="1"/>
  <c r="AA84" i="87" s="1"/>
  <c r="AA105" i="87" s="1" a="1"/>
  <c r="AA105" i="87" s="1"/>
  <c r="AA157" i="87" s="1" a="1"/>
  <c r="AA157" i="87" s="1"/>
  <c r="AB81" i="81" a="1"/>
  <c r="AB81" i="81" s="1"/>
  <c r="AB136" i="81" s="1" a="1"/>
  <c r="AB136" i="81" s="1"/>
  <c r="AA80" i="87" a="1"/>
  <c r="AA80" i="87" s="1"/>
  <c r="AA101" i="87" s="1" a="1"/>
  <c r="AA101" i="87" s="1"/>
  <c r="AA153" i="87" s="1" a="1"/>
  <c r="AA153" i="87" s="1"/>
  <c r="W55" i="89"/>
  <c r="T55" i="89"/>
  <c r="V55" i="89" s="1" a="1"/>
  <c r="V55" i="89" s="1"/>
  <c r="S55" i="89" a="1"/>
  <c r="S55" i="89" s="1"/>
  <c r="R55" i="89" a="1"/>
  <c r="R55" i="89" s="1"/>
  <c r="AC80" i="81" a="1"/>
  <c r="AC80" i="81" s="1"/>
  <c r="AC135" i="81" s="1" a="1"/>
  <c r="AC135" i="81" s="1"/>
  <c r="AB86" i="81" a="1"/>
  <c r="AB86" i="81" s="1"/>
  <c r="AB141" i="81" s="1" a="1"/>
  <c r="AB141" i="81" s="1"/>
  <c r="AB76" i="81" a="1"/>
  <c r="AB76" i="81" s="1"/>
  <c r="AB131" i="81" s="1" a="1"/>
  <c r="AB131" i="81" s="1"/>
  <c r="AA83" i="87" a="1"/>
  <c r="AA83" i="87" s="1"/>
  <c r="AA104" i="87" s="1" a="1"/>
  <c r="AA104" i="87" s="1"/>
  <c r="AA156" i="87" s="1" a="1"/>
  <c r="AA156" i="87" s="1"/>
  <c r="I183" i="81" a="1"/>
  <c r="I183" i="81" s="1"/>
  <c r="I241" i="81" s="1" a="1"/>
  <c r="I241" i="81" s="1"/>
  <c r="M87" i="81" a="1"/>
  <c r="M87" i="81" s="1"/>
  <c r="M134" i="81" s="1" a="1"/>
  <c r="M134" i="81" s="1"/>
  <c r="F87" i="81" a="1"/>
  <c r="F87" i="81" s="1"/>
  <c r="F134" i="81" s="1" a="1"/>
  <c r="F134" i="81" s="1"/>
  <c r="N84" i="81" a="1"/>
  <c r="N84" i="81" s="1"/>
  <c r="N131" i="81" s="1" a="1"/>
  <c r="N131" i="81" s="1"/>
  <c r="E87" i="81" a="1"/>
  <c r="E87" i="81" s="1"/>
  <c r="E134" i="81" s="1" a="1"/>
  <c r="E134" i="81" s="1"/>
  <c r="N87" i="81" a="1"/>
  <c r="N87" i="81" s="1"/>
  <c r="N134" i="81" s="1" a="1"/>
  <c r="N134" i="81" s="1"/>
  <c r="N85" i="81" a="1"/>
  <c r="N85" i="81" s="1"/>
  <c r="N132" i="81" s="1" a="1"/>
  <c r="N132" i="81" s="1"/>
  <c r="F86" i="81" a="1"/>
  <c r="F86" i="81" s="1"/>
  <c r="F133" i="81" s="1" a="1"/>
  <c r="F133" i="81" s="1"/>
  <c r="F85" i="81" a="1"/>
  <c r="F85" i="81" s="1"/>
  <c r="F132" i="81" s="1" a="1"/>
  <c r="F132" i="81" s="1"/>
  <c r="G87" i="81" a="1"/>
  <c r="G87" i="81" s="1"/>
  <c r="G134" i="81" s="1" a="1"/>
  <c r="G134" i="81" s="1"/>
  <c r="L85" i="81" a="1"/>
  <c r="L85" i="81" s="1"/>
  <c r="L132" i="81" s="1" a="1"/>
  <c r="L132" i="81" s="1"/>
  <c r="G84" i="81" a="1"/>
  <c r="G84" i="81" s="1"/>
  <c r="G131" i="81" s="1" a="1"/>
  <c r="G131" i="81" s="1"/>
  <c r="L86" i="81" a="1"/>
  <c r="L86" i="81" s="1"/>
  <c r="L133" i="81" s="1" a="1"/>
  <c r="L133" i="81" s="1"/>
  <c r="M86" i="81" a="1"/>
  <c r="M86" i="81" s="1"/>
  <c r="M133" i="81" s="1" a="1"/>
  <c r="M133" i="81" s="1"/>
  <c r="K87" i="81" a="1"/>
  <c r="K87" i="81" s="1"/>
  <c r="K134" i="81" s="1" a="1"/>
  <c r="K134" i="81" s="1"/>
  <c r="L87" i="81" a="1"/>
  <c r="L87" i="81" s="1"/>
  <c r="L134" i="81" s="1" a="1"/>
  <c r="L134" i="81" s="1"/>
  <c r="G86" i="81" a="1"/>
  <c r="G86" i="81" s="1"/>
  <c r="G133" i="81" s="1" a="1"/>
  <c r="G133" i="81" s="1"/>
  <c r="M84" i="81" a="1"/>
  <c r="M84" i="81" s="1"/>
  <c r="M131" i="81" s="1" a="1"/>
  <c r="M131" i="81" s="1"/>
  <c r="E85" i="81" a="1"/>
  <c r="E85" i="81" s="1"/>
  <c r="E132" i="81" s="1" a="1"/>
  <c r="E132" i="81" s="1"/>
  <c r="E52" i="81"/>
  <c r="E84" i="81" s="1" a="1"/>
  <c r="E84" i="81" s="1"/>
  <c r="E131" i="81" s="1" a="1"/>
  <c r="E131" i="81" s="1"/>
  <c r="K85" i="81" a="1"/>
  <c r="K85" i="81" s="1"/>
  <c r="K132" i="81" s="1" a="1"/>
  <c r="K132" i="81" s="1"/>
  <c r="M85" i="81" a="1"/>
  <c r="M85" i="81" s="1"/>
  <c r="M132" i="81" s="1" a="1"/>
  <c r="M132" i="81" s="1"/>
  <c r="K86" i="81" a="1"/>
  <c r="K86" i="81" s="1"/>
  <c r="K133" i="81" s="1" a="1"/>
  <c r="K133" i="81" s="1"/>
  <c r="E86" i="81" a="1"/>
  <c r="E86" i="81" s="1"/>
  <c r="E133" i="81" s="1" a="1"/>
  <c r="E133" i="81" s="1"/>
  <c r="F84" i="81" a="1"/>
  <c r="F84" i="81" s="1"/>
  <c r="F131" i="81" s="1" a="1"/>
  <c r="F131" i="81" s="1"/>
  <c r="G85" i="81" a="1"/>
  <c r="G85" i="81" s="1"/>
  <c r="G132" i="81" s="1" a="1"/>
  <c r="G132" i="81" s="1"/>
  <c r="L84" i="81" a="1"/>
  <c r="L84" i="81" s="1"/>
  <c r="L131" i="81" s="1" a="1"/>
  <c r="L131" i="81" s="1"/>
  <c r="N86" i="81" a="1"/>
  <c r="N86" i="81" s="1"/>
  <c r="N133" i="81" s="1" a="1"/>
  <c r="N133" i="81" s="1"/>
  <c r="K84" i="81" a="1"/>
  <c r="K84" i="81" s="1"/>
  <c r="K131" i="81" s="1" a="1"/>
  <c r="K131" i="81" s="1"/>
  <c r="J86" i="81" a="1"/>
  <c r="J86" i="81" s="1"/>
  <c r="J133" i="81" s="1" a="1"/>
  <c r="J133" i="81" s="1"/>
  <c r="G25" i="88"/>
  <c r="E237" i="116" s="1" a="1"/>
  <c r="P55" i="89" a="1"/>
  <c r="F230" i="116" a="1"/>
  <c r="F230" i="116" s="1"/>
  <c r="U58" i="89"/>
  <c r="AB82" i="81" a="1"/>
  <c r="AB82" i="81" s="1"/>
  <c r="AB137" i="81" s="1" a="1"/>
  <c r="AB137" i="81" s="1"/>
  <c r="I157" i="104"/>
  <c r="K157" i="104" s="1" a="1"/>
  <c r="K157" i="104" s="1"/>
  <c r="AC79" i="87" a="1"/>
  <c r="AC79" i="87" s="1"/>
  <c r="AC100" i="87" s="1" a="1"/>
  <c r="AC100" i="87" s="1"/>
  <c r="AC152" i="87" s="1" a="1"/>
  <c r="AC152" i="87" s="1"/>
  <c r="AB79" i="87" a="1"/>
  <c r="AB79" i="87" s="1"/>
  <c r="AB100" i="87" s="1" a="1"/>
  <c r="AB100" i="87" s="1"/>
  <c r="AB152" i="87" s="1" a="1"/>
  <c r="AB152" i="87" s="1"/>
  <c r="X87" i="87" a="1"/>
  <c r="X87" i="87" s="1"/>
  <c r="X108" i="87" s="1" a="1"/>
  <c r="X108" i="87" s="1"/>
  <c r="X160" i="87" s="1" a="1"/>
  <c r="X160" i="87" s="1"/>
  <c r="AD84" i="87" a="1"/>
  <c r="AD84" i="87" s="1"/>
  <c r="AD105" i="87" s="1" a="1"/>
  <c r="AD105" i="87" s="1"/>
  <c r="AD157" i="87" s="1" a="1"/>
  <c r="AD157" i="87" s="1"/>
  <c r="X79" i="87" a="1"/>
  <c r="X79" i="87" s="1"/>
  <c r="X100" i="87" s="1" a="1"/>
  <c r="X100" i="87" s="1"/>
  <c r="X152" i="87" s="1" a="1"/>
  <c r="X152" i="87" s="1"/>
  <c r="AD79" i="87" a="1"/>
  <c r="AD79" i="87" s="1"/>
  <c r="AD100" i="87" s="1" a="1"/>
  <c r="AD100" i="87" s="1"/>
  <c r="AD152" i="87" s="1" a="1"/>
  <c r="AD152" i="87" s="1"/>
  <c r="AC83" i="87" a="1"/>
  <c r="AC83" i="87" s="1"/>
  <c r="AC104" i="87" s="1" a="1"/>
  <c r="AC104" i="87" s="1"/>
  <c r="AC156" i="87" s="1" a="1"/>
  <c r="AC156" i="87" s="1"/>
  <c r="X84" i="87" a="1"/>
  <c r="X84" i="87" s="1"/>
  <c r="X105" i="87" s="1" a="1"/>
  <c r="X105" i="87" s="1"/>
  <c r="X157" i="87" s="1" a="1"/>
  <c r="X157" i="87" s="1"/>
  <c r="AC87" i="87" a="1"/>
  <c r="AC87" i="87" s="1"/>
  <c r="AC108" i="87" s="1" a="1"/>
  <c r="AC108" i="87" s="1"/>
  <c r="AC160" i="87" s="1" a="1"/>
  <c r="AC160" i="87" s="1"/>
  <c r="V81" i="87" a="1"/>
  <c r="V81" i="87" s="1"/>
  <c r="V102" i="87" s="1" a="1"/>
  <c r="V102" i="87" s="1"/>
  <c r="V154" i="87" s="1" a="1"/>
  <c r="V154" i="87" s="1"/>
  <c r="AC86" i="87" a="1"/>
  <c r="AC86" i="87" s="1"/>
  <c r="AC107" i="87" s="1" a="1"/>
  <c r="AC107" i="87" s="1"/>
  <c r="AC159" i="87" s="1" a="1"/>
  <c r="AC159" i="87" s="1"/>
  <c r="W79" i="87" a="1"/>
  <c r="W79" i="87" s="1"/>
  <c r="W100" i="87" s="1" a="1"/>
  <c r="W100" i="87" s="1"/>
  <c r="W152" i="87" s="1" a="1"/>
  <c r="W152" i="87" s="1"/>
  <c r="AE77" i="87" a="1"/>
  <c r="AE77" i="87" s="1"/>
  <c r="AE98" i="87" s="1" a="1"/>
  <c r="AE98" i="87" s="1"/>
  <c r="AE150" i="87" s="1" a="1"/>
  <c r="AE150" i="87" s="1"/>
  <c r="AD86" i="87" a="1"/>
  <c r="AD86" i="87" s="1"/>
  <c r="AD107" i="87" s="1" a="1"/>
  <c r="AD107" i="87" s="1"/>
  <c r="AD159" i="87" s="1" a="1"/>
  <c r="AD159" i="87" s="1"/>
  <c r="AD76" i="87" a="1"/>
  <c r="AD76" i="87" s="1"/>
  <c r="AD97" i="87" s="1" a="1"/>
  <c r="AD97" i="87" s="1"/>
  <c r="AD149" i="87" s="1" a="1"/>
  <c r="AD149" i="87" s="1"/>
  <c r="AC82" i="87" a="1"/>
  <c r="AC82" i="87" s="1"/>
  <c r="AC103" i="87" s="1" a="1"/>
  <c r="AC103" i="87" s="1"/>
  <c r="AC155" i="87" s="1" a="1"/>
  <c r="AC155" i="87" s="1"/>
  <c r="V83" i="87" a="1"/>
  <c r="V83" i="87" s="1"/>
  <c r="V104" i="87" s="1" a="1"/>
  <c r="V104" i="87" s="1"/>
  <c r="V156" i="87" s="1" a="1"/>
  <c r="V156" i="87" s="1"/>
  <c r="AB83" i="87" a="1"/>
  <c r="AB83" i="87" s="1"/>
  <c r="AB104" i="87" s="1" a="1"/>
  <c r="AB104" i="87" s="1"/>
  <c r="AB156" i="87" s="1" a="1"/>
  <c r="AB156" i="87" s="1"/>
  <c r="V87" i="87" a="1"/>
  <c r="V87" i="87" s="1"/>
  <c r="V108" i="87" s="1" a="1"/>
  <c r="V108" i="87" s="1"/>
  <c r="V160" i="87" s="1" a="1"/>
  <c r="V160" i="87" s="1"/>
  <c r="AE83" i="87" a="1"/>
  <c r="AE83" i="87" s="1"/>
  <c r="AE104" i="87" s="1" a="1"/>
  <c r="AE104" i="87" s="1"/>
  <c r="AE156" i="87" s="1" a="1"/>
  <c r="AE156" i="87" s="1"/>
  <c r="AB78" i="87" a="1"/>
  <c r="AB78" i="87" s="1"/>
  <c r="AB99" i="87" s="1" a="1"/>
  <c r="AB99" i="87" s="1"/>
  <c r="AB151" i="87" s="1" a="1"/>
  <c r="AB151" i="87" s="1"/>
  <c r="AD87" i="87" a="1"/>
  <c r="AD87" i="87" s="1"/>
  <c r="AD108" i="87" s="1" a="1"/>
  <c r="AD108" i="87" s="1"/>
  <c r="AD160" i="87" s="1" a="1"/>
  <c r="AD160" i="87" s="1"/>
  <c r="AC76" i="87" a="1"/>
  <c r="AC76" i="87" s="1"/>
  <c r="AC97" i="87" s="1" a="1"/>
  <c r="AC97" i="87" s="1"/>
  <c r="AC149" i="87" s="1" a="1"/>
  <c r="AC149" i="87" s="1"/>
  <c r="AE76" i="87" a="1"/>
  <c r="AE76" i="87" s="1"/>
  <c r="AE97" i="87" s="1" a="1"/>
  <c r="AE97" i="87" s="1"/>
  <c r="AE149" i="87" s="1" a="1"/>
  <c r="AE149" i="87" s="1"/>
  <c r="V86" i="87" a="1"/>
  <c r="V86" i="87" s="1"/>
  <c r="V107" i="87" s="1" a="1"/>
  <c r="V107" i="87" s="1"/>
  <c r="V159" i="87" s="1" a="1"/>
  <c r="V159" i="87" s="1"/>
  <c r="AC85" i="87" a="1"/>
  <c r="AC85" i="87" s="1"/>
  <c r="AC106" i="87" s="1" a="1"/>
  <c r="AC106" i="87" s="1"/>
  <c r="AC158" i="87" s="1" a="1"/>
  <c r="AC158" i="87" s="1"/>
  <c r="AB86" i="87" a="1"/>
  <c r="AB86" i="87" s="1"/>
  <c r="AB107" i="87" s="1" a="1"/>
  <c r="AB107" i="87" s="1"/>
  <c r="AB159" i="87" s="1" a="1"/>
  <c r="AB159" i="87" s="1"/>
  <c r="AD82" i="87" a="1"/>
  <c r="AD82" i="87" s="1"/>
  <c r="AD103" i="87" s="1" a="1"/>
  <c r="AD103" i="87" s="1"/>
  <c r="AD155" i="87" s="1" a="1"/>
  <c r="AD155" i="87" s="1"/>
  <c r="AD81" i="87" a="1"/>
  <c r="AD81" i="87" s="1"/>
  <c r="AD102" i="87" s="1" a="1"/>
  <c r="AD102" i="87" s="1"/>
  <c r="AD154" i="87" s="1" a="1"/>
  <c r="AD154" i="87" s="1"/>
  <c r="W87" i="87" a="1"/>
  <c r="W87" i="87" s="1"/>
  <c r="W108" i="87" s="1" a="1"/>
  <c r="W108" i="87" s="1"/>
  <c r="W160" i="87" s="1" a="1"/>
  <c r="W160" i="87" s="1"/>
  <c r="W81" i="87" a="1"/>
  <c r="W81" i="87" s="1"/>
  <c r="W102" i="87" s="1" a="1"/>
  <c r="W102" i="87" s="1"/>
  <c r="W154" i="87" s="1" a="1"/>
  <c r="W154" i="87" s="1"/>
  <c r="W76" i="87" a="1"/>
  <c r="W76" i="87" s="1"/>
  <c r="W97" i="87" s="1" a="1"/>
  <c r="W97" i="87" s="1"/>
  <c r="W149" i="87" s="1" a="1"/>
  <c r="W149" i="87" s="1"/>
  <c r="AE78" i="87" a="1"/>
  <c r="AE78" i="87" s="1"/>
  <c r="AE99" i="87" s="1" a="1"/>
  <c r="AE99" i="87" s="1"/>
  <c r="AE151" i="87" s="1" a="1"/>
  <c r="AE151" i="87" s="1"/>
  <c r="AE79" i="87" a="1"/>
  <c r="AE79" i="87" s="1"/>
  <c r="AE100" i="87" s="1" a="1"/>
  <c r="AE100" i="87" s="1"/>
  <c r="AE152" i="87" s="1" a="1"/>
  <c r="AE152" i="87" s="1"/>
  <c r="W82" i="87" a="1"/>
  <c r="W82" i="87" s="1"/>
  <c r="W103" i="87" s="1" a="1"/>
  <c r="W103" i="87" s="1"/>
  <c r="W155" i="87" s="1" a="1"/>
  <c r="W155" i="87" s="1"/>
  <c r="AA76" i="87" a="1"/>
  <c r="AA76" i="87" s="1"/>
  <c r="AA97" i="87" s="1" a="1"/>
  <c r="AA97" i="87" s="1"/>
  <c r="AA149" i="87" s="1" a="1"/>
  <c r="AA149" i="87" s="1"/>
  <c r="V84" i="87" a="1"/>
  <c r="V84" i="87" s="1"/>
  <c r="V105" i="87" s="1" a="1"/>
  <c r="V105" i="87" s="1"/>
  <c r="V157" i="87" s="1" a="1"/>
  <c r="V157" i="87" s="1"/>
  <c r="AE81" i="87" a="1"/>
  <c r="AE81" i="87" s="1"/>
  <c r="AE102" i="87" s="1" a="1"/>
  <c r="AE102" i="87" s="1"/>
  <c r="AE154" i="87" s="1" a="1"/>
  <c r="AE154" i="87" s="1"/>
  <c r="V77" i="87" a="1"/>
  <c r="V77" i="87" s="1"/>
  <c r="V98" i="87" s="1" a="1"/>
  <c r="V98" i="87" s="1"/>
  <c r="V150" i="87" s="1" a="1"/>
  <c r="V150" i="87" s="1"/>
  <c r="W85" i="87" a="1"/>
  <c r="W85" i="87" s="1"/>
  <c r="W106" i="87" s="1" a="1"/>
  <c r="W106" i="87" s="1"/>
  <c r="W158" i="87" s="1" a="1"/>
  <c r="W158" i="87" s="1"/>
  <c r="V80" i="87" a="1"/>
  <c r="V80" i="87" s="1"/>
  <c r="V101" i="87" s="1" a="1"/>
  <c r="V101" i="87" s="1"/>
  <c r="V153" i="87" s="1" a="1"/>
  <c r="V153" i="87" s="1"/>
  <c r="AC80" i="87" a="1"/>
  <c r="AC80" i="87" s="1"/>
  <c r="AC101" i="87" s="1" a="1"/>
  <c r="AC101" i="87" s="1"/>
  <c r="AC153" i="87" s="1" a="1"/>
  <c r="AC153" i="87" s="1"/>
  <c r="AC81" i="87" a="1"/>
  <c r="AC81" i="87" s="1"/>
  <c r="AC102" i="87" s="1" a="1"/>
  <c r="AC102" i="87" s="1"/>
  <c r="AC154" i="87" s="1" a="1"/>
  <c r="AC154" i="87" s="1"/>
  <c r="X81" i="87" a="1"/>
  <c r="X81" i="87" s="1"/>
  <c r="X102" i="87" s="1" a="1"/>
  <c r="X102" i="87" s="1"/>
  <c r="X154" i="87" s="1" a="1"/>
  <c r="X154" i="87" s="1"/>
  <c r="AE87" i="87" a="1"/>
  <c r="AE87" i="87" s="1"/>
  <c r="AE108" i="87" s="1" a="1"/>
  <c r="AE108" i="87" s="1"/>
  <c r="AE160" i="87" s="1" a="1"/>
  <c r="AE160" i="87" s="1"/>
  <c r="W84" i="87" a="1"/>
  <c r="W84" i="87" s="1"/>
  <c r="W105" i="87" s="1" a="1"/>
  <c r="W105" i="87" s="1"/>
  <c r="W157" i="87" s="1" a="1"/>
  <c r="W157" i="87" s="1"/>
  <c r="AB82" i="87" a="1"/>
  <c r="AB82" i="87" s="1"/>
  <c r="AB103" i="87" s="1" a="1"/>
  <c r="AB103" i="87" s="1"/>
  <c r="AB155" i="87" s="1" a="1"/>
  <c r="AB155" i="87" s="1"/>
  <c r="AB87" i="87" a="1"/>
  <c r="AB87" i="87" s="1"/>
  <c r="AB108" i="87" s="1" a="1"/>
  <c r="AB108" i="87" s="1"/>
  <c r="AB160" i="87" s="1" a="1"/>
  <c r="AB160" i="87" s="1"/>
  <c r="AE86" i="87" a="1"/>
  <c r="AE86" i="87" s="1"/>
  <c r="AE107" i="87" s="1" a="1"/>
  <c r="AE107" i="87" s="1"/>
  <c r="AE159" i="87" s="1" a="1"/>
  <c r="AE159" i="87" s="1"/>
  <c r="AB80" i="87" a="1"/>
  <c r="AB80" i="87" s="1"/>
  <c r="AB101" i="87" s="1" a="1"/>
  <c r="AB101" i="87" s="1"/>
  <c r="AB153" i="87" s="1" a="1"/>
  <c r="AB153" i="87" s="1"/>
  <c r="AE82" i="87" a="1"/>
  <c r="AE82" i="87" s="1"/>
  <c r="AE103" i="87" s="1" a="1"/>
  <c r="AE103" i="87" s="1"/>
  <c r="AE155" i="87" s="1" a="1"/>
  <c r="AE155" i="87" s="1"/>
  <c r="AD85" i="87" a="1"/>
  <c r="AD85" i="87" s="1"/>
  <c r="AD106" i="87" s="1" a="1"/>
  <c r="AD106" i="87" s="1"/>
  <c r="AD158" i="87" s="1" a="1"/>
  <c r="AD158" i="87" s="1"/>
  <c r="AB85" i="87" a="1"/>
  <c r="AB85" i="87" s="1"/>
  <c r="AB106" i="87" s="1" a="1"/>
  <c r="AB106" i="87" s="1"/>
  <c r="AB158" i="87" s="1" a="1"/>
  <c r="AB158" i="87" s="1"/>
  <c r="AD83" i="87" a="1"/>
  <c r="AD83" i="87" s="1"/>
  <c r="AD104" i="87" s="1" a="1"/>
  <c r="AD104" i="87" s="1"/>
  <c r="AD156" i="87" s="1" a="1"/>
  <c r="AD156" i="87" s="1"/>
  <c r="X82" i="87" a="1"/>
  <c r="X82" i="87" s="1"/>
  <c r="X103" i="87" s="1" a="1"/>
  <c r="X103" i="87" s="1"/>
  <c r="X155" i="87" s="1" a="1"/>
  <c r="X155" i="87" s="1"/>
  <c r="AC84" i="87" a="1"/>
  <c r="AC84" i="87" s="1"/>
  <c r="AC105" i="87" s="1" a="1"/>
  <c r="AC105" i="87" s="1"/>
  <c r="AC157" i="87" s="1" a="1"/>
  <c r="AC157" i="87" s="1"/>
  <c r="AD77" i="87" a="1"/>
  <c r="AD77" i="87" s="1"/>
  <c r="AD98" i="87" s="1" a="1"/>
  <c r="AD98" i="87" s="1"/>
  <c r="AD150" i="87" s="1" a="1"/>
  <c r="AD150" i="87" s="1"/>
  <c r="AC78" i="87" a="1"/>
  <c r="AC78" i="87" s="1"/>
  <c r="AC99" i="87" s="1" a="1"/>
  <c r="AC99" i="87" s="1"/>
  <c r="AC151" i="87" s="1" a="1"/>
  <c r="AC151" i="87" s="1"/>
  <c r="AB84" i="87" a="1"/>
  <c r="AB84" i="87" s="1"/>
  <c r="AB105" i="87" s="1" a="1"/>
  <c r="AB105" i="87" s="1"/>
  <c r="AB157" i="87" s="1" a="1"/>
  <c r="AB157" i="87" s="1"/>
  <c r="AD80" i="87" a="1"/>
  <c r="AD80" i="87" s="1"/>
  <c r="AD101" i="87" s="1" a="1"/>
  <c r="AD101" i="87" s="1"/>
  <c r="AD153" i="87" s="1" a="1"/>
  <c r="AD153" i="87" s="1"/>
  <c r="W83" i="87" a="1"/>
  <c r="W83" i="87" s="1"/>
  <c r="W104" i="87" s="1" a="1"/>
  <c r="W104" i="87" s="1"/>
  <c r="W156" i="87" s="1" a="1"/>
  <c r="W156" i="87" s="1"/>
  <c r="AB81" i="87" a="1"/>
  <c r="AB81" i="87" s="1"/>
  <c r="AB102" i="87" s="1" a="1"/>
  <c r="AB102" i="87" s="1"/>
  <c r="AB154" i="87" s="1" a="1"/>
  <c r="AB154" i="87" s="1"/>
  <c r="W77" i="87" a="1"/>
  <c r="W77" i="87" s="1"/>
  <c r="W98" i="87" s="1" a="1"/>
  <c r="W98" i="87" s="1"/>
  <c r="W150" i="87" s="1" a="1"/>
  <c r="W150" i="87" s="1"/>
  <c r="V78" i="87" a="1"/>
  <c r="V78" i="87" s="1"/>
  <c r="V99" i="87" s="1" a="1"/>
  <c r="V99" i="87" s="1"/>
  <c r="V151" i="87" s="1" a="1"/>
  <c r="V151" i="87" s="1"/>
  <c r="AB76" i="87" a="1"/>
  <c r="AB76" i="87" s="1"/>
  <c r="AB97" i="87" s="1" a="1"/>
  <c r="AB97" i="87" s="1"/>
  <c r="AB149" i="87" s="1" a="1"/>
  <c r="AB149" i="87" s="1"/>
  <c r="V85" i="87" a="1"/>
  <c r="V85" i="87" s="1"/>
  <c r="V106" i="87" s="1" a="1"/>
  <c r="V106" i="87" s="1"/>
  <c r="V158" i="87" s="1" a="1"/>
  <c r="V158" i="87" s="1"/>
  <c r="V44" i="87"/>
  <c r="V76" i="87" s="1" a="1"/>
  <c r="V76" i="87" s="1"/>
  <c r="V97" i="87" s="1" a="1"/>
  <c r="V97" i="87" s="1"/>
  <c r="V149" i="87" s="1" a="1"/>
  <c r="V149" i="87" s="1"/>
  <c r="AE80" i="87" a="1"/>
  <c r="AE80" i="87" s="1"/>
  <c r="AE101" i="87" s="1" a="1"/>
  <c r="AE101" i="87" s="1"/>
  <c r="AE153" i="87" s="1" a="1"/>
  <c r="AE153" i="87" s="1"/>
  <c r="X78" i="87" a="1"/>
  <c r="X78" i="87" s="1"/>
  <c r="X99" i="87" s="1" a="1"/>
  <c r="X99" i="87" s="1"/>
  <c r="X151" i="87" s="1" a="1"/>
  <c r="X151" i="87" s="1"/>
  <c r="X77" i="87" a="1"/>
  <c r="X77" i="87" s="1"/>
  <c r="X98" i="87" s="1" a="1"/>
  <c r="X98" i="87" s="1"/>
  <c r="X150" i="87" s="1" a="1"/>
  <c r="X150" i="87" s="1"/>
  <c r="V82" i="87" a="1"/>
  <c r="V82" i="87" s="1"/>
  <c r="V103" i="87" s="1" a="1"/>
  <c r="V103" i="87" s="1"/>
  <c r="V155" i="87" s="1" a="1"/>
  <c r="V155" i="87" s="1"/>
  <c r="AC77" i="87" a="1"/>
  <c r="AC77" i="87" s="1"/>
  <c r="AC98" i="87" s="1" a="1"/>
  <c r="AC98" i="87" s="1"/>
  <c r="AC150" i="87" s="1" a="1"/>
  <c r="AC150" i="87" s="1"/>
  <c r="X86" i="87" a="1"/>
  <c r="X86" i="87" s="1"/>
  <c r="X107" i="87" s="1" a="1"/>
  <c r="X107" i="87" s="1"/>
  <c r="X159" i="87" s="1" a="1"/>
  <c r="X159" i="87" s="1"/>
  <c r="X83" i="87" a="1"/>
  <c r="X83" i="87" s="1"/>
  <c r="X104" i="87" s="1" a="1"/>
  <c r="X104" i="87" s="1"/>
  <c r="X156" i="87" s="1" a="1"/>
  <c r="X156" i="87" s="1"/>
  <c r="AB77" i="87" a="1"/>
  <c r="AB77" i="87" s="1"/>
  <c r="AB98" i="87" s="1" a="1"/>
  <c r="AB98" i="87" s="1"/>
  <c r="AB150" i="87" s="1" a="1"/>
  <c r="AB150" i="87" s="1"/>
  <c r="AD78" i="87" a="1"/>
  <c r="AD78" i="87" s="1"/>
  <c r="AD99" i="87" s="1" a="1"/>
  <c r="AD99" i="87" s="1"/>
  <c r="AD151" i="87" s="1" a="1"/>
  <c r="AD151" i="87" s="1"/>
  <c r="AE85" i="87" a="1"/>
  <c r="AE85" i="87" s="1"/>
  <c r="AE106" i="87" s="1" a="1"/>
  <c r="AE106" i="87" s="1"/>
  <c r="AE158" i="87" s="1" a="1"/>
  <c r="AE158" i="87" s="1"/>
  <c r="V79" i="87" a="1"/>
  <c r="V79" i="87" s="1"/>
  <c r="V100" i="87" s="1" a="1"/>
  <c r="V100" i="87" s="1"/>
  <c r="V152" i="87" s="1" a="1"/>
  <c r="V152" i="87" s="1"/>
  <c r="W78" i="87" a="1"/>
  <c r="W78" i="87" s="1"/>
  <c r="W99" i="87" s="1" a="1"/>
  <c r="W99" i="87" s="1"/>
  <c r="W151" i="87" s="1" a="1"/>
  <c r="W151" i="87" s="1"/>
  <c r="W80" i="87" a="1"/>
  <c r="W80" i="87" s="1"/>
  <c r="W101" i="87" s="1" a="1"/>
  <c r="W101" i="87" s="1"/>
  <c r="W153" i="87" s="1" a="1"/>
  <c r="W153" i="87" s="1"/>
  <c r="X85" i="87" a="1"/>
  <c r="X85" i="87" s="1"/>
  <c r="X106" i="87" s="1" a="1"/>
  <c r="X106" i="87" s="1"/>
  <c r="X158" i="87" s="1" a="1"/>
  <c r="X158" i="87" s="1"/>
  <c r="AE84" i="87" a="1"/>
  <c r="AE84" i="87" s="1"/>
  <c r="AE105" i="87" s="1" a="1"/>
  <c r="AE105" i="87" s="1"/>
  <c r="AE157" i="87" s="1" a="1"/>
  <c r="AE157" i="87" s="1"/>
  <c r="X76" i="87" a="1"/>
  <c r="X76" i="87" s="1"/>
  <c r="X97" i="87" s="1" a="1"/>
  <c r="X97" i="87" s="1"/>
  <c r="X149" i="87" s="1" a="1"/>
  <c r="X149" i="87" s="1"/>
  <c r="X80" i="87" a="1"/>
  <c r="X80" i="87" s="1"/>
  <c r="X101" i="87" s="1" a="1"/>
  <c r="X101" i="87" s="1"/>
  <c r="X153" i="87" s="1" a="1"/>
  <c r="X153" i="87" s="1"/>
  <c r="W86" i="87" a="1"/>
  <c r="W86" i="87" s="1"/>
  <c r="W107" i="87" s="1" a="1"/>
  <c r="W107" i="87" s="1"/>
  <c r="W159" i="87" s="1" a="1"/>
  <c r="W159" i="87" s="1"/>
  <c r="AA82" i="87" a="1"/>
  <c r="AA82" i="87" s="1"/>
  <c r="AA103" i="87" s="1" a="1"/>
  <c r="AA103" i="87" s="1"/>
  <c r="AA155" i="87" s="1" a="1"/>
  <c r="AA155" i="87" s="1"/>
  <c r="Y87" i="87" a="1"/>
  <c r="Y87" i="87" s="1"/>
  <c r="Y108" i="87" s="1" a="1"/>
  <c r="Y108" i="87" s="1"/>
  <c r="Y160" i="87" s="1" a="1"/>
  <c r="Y160" i="87" s="1"/>
  <c r="Z81" i="87" a="1"/>
  <c r="Z81" i="87" s="1"/>
  <c r="Z102" i="87" s="1" a="1"/>
  <c r="Z102" i="87" s="1"/>
  <c r="Z154" i="87" s="1" a="1"/>
  <c r="Z154" i="87" s="1"/>
  <c r="AA77" i="87" a="1"/>
  <c r="AA77" i="87" s="1"/>
  <c r="AA98" i="87" s="1" a="1"/>
  <c r="AA98" i="87" s="1"/>
  <c r="AA150" i="87" s="1" a="1"/>
  <c r="AA150" i="87" s="1"/>
  <c r="Z77" i="87" a="1"/>
  <c r="Z77" i="87" s="1"/>
  <c r="Z98" i="87" s="1" a="1"/>
  <c r="Z98" i="87" s="1"/>
  <c r="Z150" i="87" s="1" a="1"/>
  <c r="Z150" i="87" s="1"/>
  <c r="AA78" i="87" a="1"/>
  <c r="AA78" i="87" s="1"/>
  <c r="AA99" i="87" s="1" a="1"/>
  <c r="AA99" i="87" s="1"/>
  <c r="AA151" i="87" s="1" a="1"/>
  <c r="AA151" i="87" s="1"/>
  <c r="Y82" i="87" a="1"/>
  <c r="Y82" i="87" s="1"/>
  <c r="Y103" i="87" s="1" a="1"/>
  <c r="Y103" i="87" s="1"/>
  <c r="Y155" i="87" s="1" a="1"/>
  <c r="Y155" i="87" s="1"/>
  <c r="Z80" i="87" a="1"/>
  <c r="Z80" i="87" s="1"/>
  <c r="Z101" i="87" s="1" a="1"/>
  <c r="Z101" i="87" s="1"/>
  <c r="Z153" i="87" s="1" a="1"/>
  <c r="Z153" i="87" s="1"/>
  <c r="Y76" i="87" a="1"/>
  <c r="Y76" i="87" s="1"/>
  <c r="Y97" i="87" s="1" a="1"/>
  <c r="Y97" i="87" s="1"/>
  <c r="Y149" i="87" s="1" a="1"/>
  <c r="Y149" i="87" s="1"/>
  <c r="Z76" i="87" a="1"/>
  <c r="Z76" i="87" s="1"/>
  <c r="Z97" i="87" s="1" a="1"/>
  <c r="Z97" i="87" s="1"/>
  <c r="Z149" i="87" s="1" a="1"/>
  <c r="Z149" i="87" s="1"/>
  <c r="AA81" i="87" a="1"/>
  <c r="AA81" i="87" s="1"/>
  <c r="AA102" i="87" s="1" a="1"/>
  <c r="AA102" i="87" s="1"/>
  <c r="AA154" i="87" s="1" a="1"/>
  <c r="AA154" i="87" s="1"/>
  <c r="Y81" i="87" a="1"/>
  <c r="Y81" i="87" s="1"/>
  <c r="Y102" i="87" s="1" a="1"/>
  <c r="Y102" i="87" s="1"/>
  <c r="Y154" i="87" s="1" a="1"/>
  <c r="Y154" i="87" s="1"/>
  <c r="Y77" i="87" a="1"/>
  <c r="Y77" i="87" s="1"/>
  <c r="Y98" i="87" s="1" a="1"/>
  <c r="Y98" i="87" s="1"/>
  <c r="Y150" i="87" s="1" a="1"/>
  <c r="Y150" i="87" s="1"/>
  <c r="Z82" i="87" a="1"/>
  <c r="Z82" i="87" s="1"/>
  <c r="Z103" i="87" s="1" a="1"/>
  <c r="Z103" i="87" s="1"/>
  <c r="Z155" i="87" s="1" a="1"/>
  <c r="Z155" i="87" s="1"/>
  <c r="U57" i="89"/>
  <c r="V57" i="89" a="1"/>
  <c r="V57" i="89" s="1"/>
  <c r="W45" i="89"/>
  <c r="T45" i="89"/>
  <c r="R45" i="89" a="1"/>
  <c r="R45" i="89" s="1"/>
  <c r="V45" i="89" a="1"/>
  <c r="V45" i="89" s="1"/>
  <c r="S45" i="89" a="1"/>
  <c r="S45" i="89" s="1"/>
  <c r="F73" i="94" a="1"/>
  <c r="F73" i="94" s="1"/>
  <c r="F75" i="94" a="1"/>
  <c r="F75" i="94" s="1"/>
  <c r="F70" i="94" a="1"/>
  <c r="F70" i="94" s="1"/>
  <c r="F74" i="94" a="1"/>
  <c r="F74" i="94" s="1"/>
  <c r="F69" i="94" a="1"/>
  <c r="F69" i="94" s="1"/>
  <c r="F72" i="94" a="1"/>
  <c r="F72" i="94" s="1"/>
  <c r="F71" i="94" a="1"/>
  <c r="F71" i="94" s="1"/>
  <c r="F68" i="94" a="1"/>
  <c r="F68" i="94" s="1"/>
  <c r="AA77" i="81" a="1"/>
  <c r="AA77" i="81" s="1"/>
  <c r="AA132" i="81" s="1" a="1"/>
  <c r="AA132" i="81" s="1"/>
  <c r="AA76" i="81" a="1"/>
  <c r="AA76" i="81" s="1"/>
  <c r="AA131" i="81" s="1" a="1"/>
  <c r="AA131" i="81" s="1"/>
  <c r="AC85" i="81" a="1"/>
  <c r="AC85" i="81" s="1"/>
  <c r="AC140" i="81" s="1" a="1"/>
  <c r="AC140" i="81" s="1"/>
  <c r="AD198" i="81" s="1" a="1"/>
  <c r="AD198" i="81" s="1"/>
  <c r="AD272" i="81" s="1" a="1"/>
  <c r="AD272" i="81" s="1"/>
  <c r="W57" i="89"/>
  <c r="S78" i="89" a="1"/>
  <c r="S78" i="89" s="1"/>
  <c r="AB77" i="81" a="1"/>
  <c r="AB77" i="81" s="1"/>
  <c r="AB132" i="81" s="1" a="1"/>
  <c r="AB132" i="81" s="1"/>
  <c r="Z83" i="87" a="1"/>
  <c r="Z83" i="87" s="1"/>
  <c r="Z104" i="87" s="1" a="1"/>
  <c r="Z104" i="87" s="1"/>
  <c r="Z156" i="87" s="1" a="1"/>
  <c r="Z156" i="87" s="1"/>
  <c r="M35" i="82" a="1"/>
  <c r="M35" i="82" s="1"/>
  <c r="J35" i="82" a="1"/>
  <c r="J35" i="82" s="1"/>
  <c r="N35" i="82" a="1"/>
  <c r="N35" i="82" s="1"/>
  <c r="M36" i="82" a="1"/>
  <c r="M36" i="82" s="1"/>
  <c r="E20" i="82"/>
  <c r="E33" i="82" s="1" a="1"/>
  <c r="E33" i="82" s="1"/>
  <c r="E36" i="82" a="1"/>
  <c r="E36" i="82" s="1"/>
  <c r="M33" i="82" a="1"/>
  <c r="M33" i="82" s="1"/>
  <c r="M34" i="82" a="1"/>
  <c r="M34" i="82" s="1"/>
  <c r="H34" i="82" a="1"/>
  <c r="H34" i="82" s="1"/>
  <c r="F36" i="82" a="1"/>
  <c r="F36" i="82" s="1"/>
  <c r="L33" i="82" a="1"/>
  <c r="L33" i="82" s="1"/>
  <c r="I34" i="82" a="1"/>
  <c r="I34" i="82" s="1"/>
  <c r="H36" i="82" a="1"/>
  <c r="H36" i="82" s="1"/>
  <c r="K36" i="82" a="1"/>
  <c r="K36" i="82" s="1"/>
  <c r="J36" i="82" a="1"/>
  <c r="J36" i="82" s="1"/>
  <c r="G33" i="82" a="1"/>
  <c r="G33" i="82" s="1"/>
  <c r="F34" i="82" a="1"/>
  <c r="F34" i="82" s="1"/>
  <c r="F33" i="82" a="1"/>
  <c r="F33" i="82" s="1"/>
  <c r="K35" i="82" a="1"/>
  <c r="K35" i="82" s="1"/>
  <c r="H33" i="82" a="1"/>
  <c r="H33" i="82" s="1"/>
  <c r="I33" i="82" a="1"/>
  <c r="I33" i="82" s="1"/>
  <c r="L34" i="82" a="1"/>
  <c r="L34" i="82" s="1"/>
  <c r="K34" i="82" a="1"/>
  <c r="K34" i="82" s="1"/>
  <c r="L35" i="82" a="1"/>
  <c r="L35" i="82" s="1"/>
  <c r="E35" i="82" a="1"/>
  <c r="E35" i="82" s="1"/>
  <c r="H35" i="82" a="1"/>
  <c r="H35" i="82" s="1"/>
  <c r="N34" i="82" a="1"/>
  <c r="N34" i="82" s="1"/>
  <c r="F35" i="82" a="1"/>
  <c r="F35" i="82" s="1"/>
  <c r="L36" i="82" a="1"/>
  <c r="L36" i="82" s="1"/>
  <c r="I36" i="82" a="1"/>
  <c r="I36" i="82" s="1"/>
  <c r="K33" i="82" a="1"/>
  <c r="K33" i="82" s="1"/>
  <c r="J34" i="82" a="1"/>
  <c r="J34" i="82" s="1"/>
  <c r="G36" i="82" a="1"/>
  <c r="G36" i="82" s="1"/>
  <c r="G35" i="82" a="1"/>
  <c r="G35" i="82" s="1"/>
  <c r="N36" i="82" a="1"/>
  <c r="N36" i="82" s="1"/>
  <c r="J33" i="82" a="1"/>
  <c r="J33" i="82" s="1"/>
  <c r="G34" i="82" a="1"/>
  <c r="G34" i="82" s="1"/>
  <c r="N33" i="82" a="1"/>
  <c r="N33" i="82" s="1"/>
  <c r="E34" i="82" a="1"/>
  <c r="E34" i="82" s="1"/>
  <c r="I35" i="82" a="1"/>
  <c r="I35" i="82" s="1"/>
  <c r="F143" i="93" a="1"/>
  <c r="F143" i="93" s="1"/>
  <c r="F141" i="93" a="1"/>
  <c r="F141" i="93" s="1"/>
  <c r="F144" i="93" a="1"/>
  <c r="F144" i="93" s="1"/>
  <c r="F137" i="93" a="1"/>
  <c r="F137" i="93" s="1"/>
  <c r="F142" i="93" a="1"/>
  <c r="F142" i="93" s="1"/>
  <c r="F140" i="93" a="1"/>
  <c r="F140" i="93" s="1"/>
  <c r="F138" i="93" a="1"/>
  <c r="F138" i="93" s="1"/>
  <c r="F139" i="93" a="1"/>
  <c r="F139" i="93" s="1"/>
  <c r="U56" i="89"/>
  <c r="V56" i="89" a="1"/>
  <c r="V56" i="89" s="1"/>
  <c r="Y85" i="87" a="1"/>
  <c r="Y85" i="87" s="1"/>
  <c r="Y106" i="87" s="1" a="1"/>
  <c r="Y106" i="87" s="1"/>
  <c r="Y158" i="87" s="1" a="1"/>
  <c r="Y158" i="87" s="1"/>
  <c r="U48" i="89"/>
  <c r="I84" i="81" a="1"/>
  <c r="I84" i="81" s="1"/>
  <c r="I131" i="81" s="1" a="1"/>
  <c r="I131" i="81" s="1"/>
  <c r="J177" i="81" s="1" a="1"/>
  <c r="J177" i="81" s="1"/>
  <c r="J235" i="81" s="1" a="1"/>
  <c r="J235" i="81" s="1"/>
  <c r="M65" i="87" a="1"/>
  <c r="M65" i="87" s="1"/>
  <c r="M86" i="87" s="1" a="1"/>
  <c r="M86" i="87" s="1"/>
  <c r="M124" i="87" s="1" a="1"/>
  <c r="M124" i="87" s="1"/>
  <c r="L66" i="87" a="1"/>
  <c r="L66" i="87" s="1"/>
  <c r="L87" i="87" s="1" a="1"/>
  <c r="L87" i="87" s="1"/>
  <c r="L125" i="87" s="1" a="1"/>
  <c r="L125" i="87" s="1"/>
  <c r="L65" i="87" a="1"/>
  <c r="L65" i="87" s="1"/>
  <c r="L86" i="87" s="1" a="1"/>
  <c r="L86" i="87" s="1"/>
  <c r="L124" i="87" s="1" a="1"/>
  <c r="L124" i="87" s="1"/>
  <c r="N64" i="87" a="1"/>
  <c r="N64" i="87" s="1"/>
  <c r="N85" i="87" s="1" a="1"/>
  <c r="N85" i="87" s="1"/>
  <c r="N123" i="87" s="1" a="1"/>
  <c r="N123" i="87" s="1"/>
  <c r="E65" i="87" a="1"/>
  <c r="E65" i="87" s="1"/>
  <c r="E86" i="87" s="1" a="1"/>
  <c r="E86" i="87" s="1"/>
  <c r="E124" i="87" s="1" a="1"/>
  <c r="E124" i="87" s="1"/>
  <c r="M66" i="87" a="1"/>
  <c r="M66" i="87" s="1"/>
  <c r="M87" i="87" s="1" a="1"/>
  <c r="M87" i="87" s="1"/>
  <c r="M125" i="87" s="1" a="1"/>
  <c r="M125" i="87" s="1"/>
  <c r="N67" i="87" a="1"/>
  <c r="N67" i="87" s="1"/>
  <c r="N88" i="87" s="1" a="1"/>
  <c r="N88" i="87" s="1"/>
  <c r="N126" i="87" s="1" a="1"/>
  <c r="N126" i="87" s="1"/>
  <c r="E66" i="87" a="1"/>
  <c r="E66" i="87" s="1"/>
  <c r="E87" i="87" s="1" a="1"/>
  <c r="E87" i="87" s="1"/>
  <c r="E125" i="87" s="1" a="1"/>
  <c r="E125" i="87" s="1"/>
  <c r="E48" i="87"/>
  <c r="E64" i="87" s="1" a="1"/>
  <c r="E64" i="87" s="1"/>
  <c r="E85" i="87" s="1" a="1"/>
  <c r="E85" i="87" s="1"/>
  <c r="E123" i="87" s="1" a="1"/>
  <c r="E123" i="87" s="1"/>
  <c r="G64" i="87" a="1"/>
  <c r="G64" i="87" s="1"/>
  <c r="G85" i="87" s="1" a="1"/>
  <c r="G85" i="87" s="1"/>
  <c r="G123" i="87" s="1" a="1"/>
  <c r="G123" i="87" s="1"/>
  <c r="F66" i="87" a="1"/>
  <c r="F66" i="87" s="1"/>
  <c r="F87" i="87" s="1" a="1"/>
  <c r="F87" i="87" s="1"/>
  <c r="F125" i="87" s="1" a="1"/>
  <c r="F125" i="87" s="1"/>
  <c r="N65" i="87" a="1"/>
  <c r="N65" i="87" s="1"/>
  <c r="N86" i="87" s="1" a="1"/>
  <c r="N86" i="87" s="1"/>
  <c r="N124" i="87" s="1" a="1"/>
  <c r="N124" i="87" s="1"/>
  <c r="G65" i="87" a="1"/>
  <c r="G65" i="87" s="1"/>
  <c r="G86" i="87" s="1" a="1"/>
  <c r="G86" i="87" s="1"/>
  <c r="G124" i="87" s="1" a="1"/>
  <c r="G124" i="87" s="1"/>
  <c r="L64" i="87" a="1"/>
  <c r="L64" i="87" s="1"/>
  <c r="L85" i="87" s="1" a="1"/>
  <c r="L85" i="87" s="1"/>
  <c r="L123" i="87" s="1" a="1"/>
  <c r="L123" i="87" s="1"/>
  <c r="F64" i="87" a="1"/>
  <c r="F64" i="87" s="1"/>
  <c r="F85" i="87" s="1" a="1"/>
  <c r="F85" i="87" s="1"/>
  <c r="F123" i="87" s="1" a="1"/>
  <c r="F123" i="87" s="1"/>
  <c r="K64" i="87" a="1"/>
  <c r="K64" i="87" s="1"/>
  <c r="K85" i="87" s="1" a="1"/>
  <c r="K85" i="87" s="1"/>
  <c r="K123" i="87" s="1" a="1"/>
  <c r="K123" i="87" s="1"/>
  <c r="M64" i="87" a="1"/>
  <c r="M64" i="87" s="1"/>
  <c r="M85" i="87" s="1" a="1"/>
  <c r="M85" i="87" s="1"/>
  <c r="M123" i="87" s="1" a="1"/>
  <c r="M123" i="87" s="1"/>
  <c r="K66" i="87" a="1"/>
  <c r="K66" i="87" s="1"/>
  <c r="K87" i="87" s="1" a="1"/>
  <c r="K87" i="87" s="1"/>
  <c r="K125" i="87" s="1" a="1"/>
  <c r="K125" i="87" s="1"/>
  <c r="M67" i="87" a="1"/>
  <c r="M67" i="87" s="1"/>
  <c r="M88" i="87" s="1" a="1"/>
  <c r="M88" i="87" s="1"/>
  <c r="M126" i="87" s="1" a="1"/>
  <c r="M126" i="87" s="1"/>
  <c r="L67" i="87" a="1"/>
  <c r="L67" i="87" s="1"/>
  <c r="L88" i="87" s="1" a="1"/>
  <c r="L88" i="87" s="1"/>
  <c r="L126" i="87" s="1" a="1"/>
  <c r="L126" i="87" s="1"/>
  <c r="F67" i="87" a="1"/>
  <c r="F67" i="87" s="1"/>
  <c r="F88" i="87" s="1" a="1"/>
  <c r="F88" i="87" s="1"/>
  <c r="F126" i="87" s="1" a="1"/>
  <c r="F126" i="87" s="1"/>
  <c r="E67" i="87" a="1"/>
  <c r="E67" i="87" s="1"/>
  <c r="E88" i="87" s="1" a="1"/>
  <c r="E88" i="87" s="1"/>
  <c r="E126" i="87" s="1" a="1"/>
  <c r="E126" i="87" s="1"/>
  <c r="F65" i="87" a="1"/>
  <c r="F65" i="87" s="1"/>
  <c r="F86" i="87" s="1" a="1"/>
  <c r="F86" i="87" s="1"/>
  <c r="F124" i="87" s="1" a="1"/>
  <c r="F124" i="87" s="1"/>
  <c r="K67" i="87" a="1"/>
  <c r="K67" i="87" s="1"/>
  <c r="K88" i="87" s="1" a="1"/>
  <c r="K88" i="87" s="1"/>
  <c r="K126" i="87" s="1" a="1"/>
  <c r="K126" i="87" s="1"/>
  <c r="G67" i="87" a="1"/>
  <c r="G67" i="87" s="1"/>
  <c r="G88" i="87" s="1" a="1"/>
  <c r="G88" i="87" s="1"/>
  <c r="G126" i="87" s="1" a="1"/>
  <c r="G126" i="87" s="1"/>
  <c r="G66" i="87" a="1"/>
  <c r="G66" i="87" s="1"/>
  <c r="G87" i="87" s="1" a="1"/>
  <c r="G87" i="87" s="1"/>
  <c r="G125" i="87" s="1" a="1"/>
  <c r="G125" i="87" s="1"/>
  <c r="K65" i="87" a="1"/>
  <c r="K65" i="87" s="1"/>
  <c r="K86" i="87" s="1" a="1"/>
  <c r="K86" i="87" s="1"/>
  <c r="K124" i="87" s="1" a="1"/>
  <c r="K124" i="87" s="1"/>
  <c r="N66" i="87" a="1"/>
  <c r="N66" i="87" s="1"/>
  <c r="N87" i="87" s="1" a="1"/>
  <c r="N87" i="87" s="1"/>
  <c r="N125" i="87" s="1" a="1"/>
  <c r="N125" i="87" s="1"/>
  <c r="J64" i="87" a="1"/>
  <c r="J64" i="87" s="1"/>
  <c r="J85" i="87" s="1" a="1"/>
  <c r="J85" i="87" s="1"/>
  <c r="J123" i="87" s="1" a="1"/>
  <c r="J123" i="87" s="1"/>
  <c r="H65" i="87" a="1"/>
  <c r="H65" i="87" s="1"/>
  <c r="H86" i="87" s="1" a="1"/>
  <c r="H86" i="87" s="1"/>
  <c r="H124" i="87" s="1" a="1"/>
  <c r="H124" i="87" s="1"/>
  <c r="J65" i="87" a="1"/>
  <c r="J65" i="87" s="1"/>
  <c r="J86" i="87" s="1" a="1"/>
  <c r="J86" i="87" s="1"/>
  <c r="J124" i="87" s="1" a="1"/>
  <c r="J124" i="87" s="1"/>
  <c r="I65" i="87" a="1"/>
  <c r="I65" i="87" s="1"/>
  <c r="I86" i="87" s="1" a="1"/>
  <c r="I86" i="87" s="1"/>
  <c r="I124" i="87" s="1" a="1"/>
  <c r="I124" i="87" s="1"/>
  <c r="H66" i="87" a="1"/>
  <c r="H66" i="87" s="1"/>
  <c r="H87" i="87" s="1" a="1"/>
  <c r="H87" i="87" s="1"/>
  <c r="H125" i="87" s="1" a="1"/>
  <c r="H125" i="87" s="1"/>
  <c r="H85" i="81" a="1"/>
  <c r="H85" i="81" s="1"/>
  <c r="H132" i="81" s="1" a="1"/>
  <c r="H132" i="81" s="1"/>
  <c r="AA86" i="87" a="1"/>
  <c r="AA86" i="87" s="1"/>
  <c r="AA107" i="87" s="1" a="1"/>
  <c r="AA107" i="87" s="1"/>
  <c r="AA159" i="87" s="1" a="1"/>
  <c r="AA159" i="87" s="1"/>
  <c r="AA81" i="81" a="1"/>
  <c r="AA81" i="81" s="1"/>
  <c r="AA136" i="81" s="1" a="1"/>
  <c r="AA136" i="81" s="1"/>
  <c r="F225" i="116" a="1"/>
  <c r="F225" i="116" s="1"/>
  <c r="Y83" i="87" a="1"/>
  <c r="Y83" i="87" s="1"/>
  <c r="Y104" i="87" s="1" a="1"/>
  <c r="Y104" i="87" s="1"/>
  <c r="Y156" i="87" s="1" a="1"/>
  <c r="Y156" i="87" s="1"/>
  <c r="AA80" i="81" a="1"/>
  <c r="AA80" i="81" s="1"/>
  <c r="AA135" i="81" s="1" a="1"/>
  <c r="AA135" i="81" s="1"/>
  <c r="AC81" i="81" a="1"/>
  <c r="AC81" i="81" s="1"/>
  <c r="AC136" i="81" s="1" a="1"/>
  <c r="AC136" i="81" s="1"/>
  <c r="U46" i="89"/>
  <c r="AC83" i="81" a="1"/>
  <c r="AC83" i="81" s="1"/>
  <c r="AC138" i="81" s="1" a="1"/>
  <c r="AC138" i="81" s="1"/>
  <c r="AD184" i="81" s="1" a="1"/>
  <c r="AD184" i="81" s="1"/>
  <c r="AD258" i="81" s="1" a="1"/>
  <c r="AD258" i="81" s="1"/>
  <c r="AB83" i="81" a="1"/>
  <c r="AB83" i="81" s="1"/>
  <c r="AB138" i="81" s="1" a="1"/>
  <c r="AB138" i="81" s="1"/>
  <c r="U47" i="89"/>
  <c r="F227" i="116" a="1"/>
  <c r="F227" i="116" s="1"/>
  <c r="AA85" i="87" a="1"/>
  <c r="AA85" i="87" s="1"/>
  <c r="AA106" i="87" s="1" a="1"/>
  <c r="AA106" i="87" s="1"/>
  <c r="AA158" i="87" s="1" a="1"/>
  <c r="AA158" i="87" s="1"/>
  <c r="AB78" i="81" a="1"/>
  <c r="AB78" i="81" s="1"/>
  <c r="AB133" i="81" s="1" a="1"/>
  <c r="AB133" i="81" s="1"/>
  <c r="W47" i="89"/>
  <c r="E142" i="116"/>
  <c r="E25" i="92" a="1"/>
  <c r="E305" i="116" a="1"/>
  <c r="E305" i="116" s="1"/>
  <c r="Y79" i="87" a="1"/>
  <c r="Y79" i="87" s="1"/>
  <c r="Y100" i="87" s="1" a="1"/>
  <c r="Y100" i="87" s="1"/>
  <c r="Y152" i="87" s="1" a="1"/>
  <c r="Y152" i="87" s="1"/>
  <c r="AC188" i="81" a="1"/>
  <c r="AC188" i="81" s="1"/>
  <c r="AC262" i="81" s="1" a="1"/>
  <c r="AC262" i="81" s="1"/>
  <c r="AB85" i="81" a="1"/>
  <c r="AB85" i="81" s="1"/>
  <c r="AB140" i="81" s="1" a="1"/>
  <c r="AB140" i="81" s="1"/>
  <c r="AC186" i="81" s="1" a="1"/>
  <c r="AC186" i="81" s="1"/>
  <c r="AC260" i="81" s="1" a="1"/>
  <c r="AC260" i="81" s="1"/>
  <c r="AC78" i="81" a="1"/>
  <c r="AC78" i="81" s="1"/>
  <c r="AC133" i="81" s="1" a="1"/>
  <c r="AC133" i="81" s="1"/>
  <c r="AA84" i="81" a="1"/>
  <c r="AA84" i="81" s="1"/>
  <c r="AA139" i="81" s="1" a="1"/>
  <c r="AA139" i="81" s="1"/>
  <c r="Y78" i="87" a="1"/>
  <c r="Y78" i="87" s="1"/>
  <c r="Y99" i="87" s="1" a="1"/>
  <c r="Y99" i="87" s="1"/>
  <c r="Y151" i="87" s="1" a="1"/>
  <c r="Y151" i="87" s="1"/>
  <c r="I85" i="81" a="1"/>
  <c r="I85" i="81" s="1"/>
  <c r="I132" i="81" s="1" a="1"/>
  <c r="I132" i="81" s="1"/>
  <c r="E192" i="104"/>
  <c r="E588" i="116" s="1"/>
  <c r="I66" i="87" a="1"/>
  <c r="I66" i="87" s="1"/>
  <c r="I87" i="87" s="1" a="1"/>
  <c r="I87" i="87" s="1"/>
  <c r="I125" i="87" s="1" a="1"/>
  <c r="I125" i="87" s="1"/>
  <c r="J67" i="87" a="1"/>
  <c r="J67" i="87" s="1"/>
  <c r="J88" i="87" s="1" a="1"/>
  <c r="J88" i="87" s="1"/>
  <c r="J126" i="87" s="1" a="1"/>
  <c r="J126" i="87" s="1"/>
  <c r="I55" i="88"/>
  <c r="J55" i="88"/>
  <c r="Z78" i="87" a="1"/>
  <c r="Z78" i="87" s="1"/>
  <c r="Z99" i="87" s="1" a="1"/>
  <c r="Z99" i="87" s="1"/>
  <c r="Z151" i="87" s="1" a="1"/>
  <c r="Z151" i="87" s="1"/>
  <c r="AA79" i="87" a="1"/>
  <c r="AA79" i="87" s="1"/>
  <c r="AA100" i="87" s="1" a="1"/>
  <c r="AA100" i="87" s="1"/>
  <c r="AA152" i="87" s="1" a="1"/>
  <c r="AA152" i="87" s="1"/>
  <c r="J87" i="81" a="1"/>
  <c r="J87" i="81" s="1"/>
  <c r="J134" i="81" s="1" a="1"/>
  <c r="J134" i="81" s="1"/>
  <c r="W46" i="89"/>
  <c r="I54" i="88"/>
  <c r="J54" i="88"/>
  <c r="F20" i="91" a="1"/>
  <c r="F20" i="91" s="1"/>
  <c r="G20" i="91" a="1"/>
  <c r="AD85" i="81" a="1"/>
  <c r="AD85" i="81" s="1"/>
  <c r="AD140" i="81" s="1" a="1"/>
  <c r="AD140" i="81" s="1"/>
  <c r="AG87" i="81" a="1"/>
  <c r="AG87" i="81" s="1"/>
  <c r="AG142" i="81" s="1" a="1"/>
  <c r="AG142" i="81" s="1"/>
  <c r="AE78" i="81" a="1"/>
  <c r="AE78" i="81" s="1"/>
  <c r="AE133" i="81" s="1" a="1"/>
  <c r="AE133" i="81" s="1"/>
  <c r="X78" i="81" a="1"/>
  <c r="X78" i="81" s="1"/>
  <c r="X133" i="81" s="1" a="1"/>
  <c r="X133" i="81" s="1"/>
  <c r="AD76" i="81" a="1"/>
  <c r="AD76" i="81" s="1"/>
  <c r="AD131" i="81" s="1" a="1"/>
  <c r="AD131" i="81" s="1"/>
  <c r="AE80" i="81" a="1"/>
  <c r="AE80" i="81" s="1"/>
  <c r="AE135" i="81" s="1" a="1"/>
  <c r="AE135" i="81" s="1"/>
  <c r="AD81" i="81" a="1"/>
  <c r="AD81" i="81" s="1"/>
  <c r="AD136" i="81" s="1" a="1"/>
  <c r="AD136" i="81" s="1"/>
  <c r="AD77" i="81" a="1"/>
  <c r="AD77" i="81" s="1"/>
  <c r="AD132" i="81" s="1" a="1"/>
  <c r="AD132" i="81" s="1"/>
  <c r="X81" i="81" a="1"/>
  <c r="X81" i="81" s="1"/>
  <c r="X136" i="81" s="1" a="1"/>
  <c r="X136" i="81" s="1"/>
  <c r="Z87" i="81" a="1"/>
  <c r="Z87" i="81" s="1"/>
  <c r="Z142" i="81" s="1" a="1"/>
  <c r="Z142" i="81" s="1"/>
  <c r="AF84" i="81" a="1"/>
  <c r="AF84" i="81" s="1"/>
  <c r="AF139" i="81" s="1" a="1"/>
  <c r="AF139" i="81" s="1"/>
  <c r="Z78" i="81" a="1"/>
  <c r="Z78" i="81" s="1"/>
  <c r="Z133" i="81" s="1" a="1"/>
  <c r="Z133" i="81" s="1"/>
  <c r="Y83" i="81" a="1"/>
  <c r="Y83" i="81" s="1"/>
  <c r="Y138" i="81" s="1" a="1"/>
  <c r="Y138" i="81" s="1"/>
  <c r="Y77" i="81" a="1"/>
  <c r="Y77" i="81" s="1"/>
  <c r="Y132" i="81" s="1" a="1"/>
  <c r="Y132" i="81" s="1"/>
  <c r="X85" i="81" a="1"/>
  <c r="X85" i="81" s="1"/>
  <c r="X140" i="81" s="1" a="1"/>
  <c r="X140" i="81" s="1"/>
  <c r="AD79" i="81" a="1"/>
  <c r="AD79" i="81" s="1"/>
  <c r="AD134" i="81" s="1" a="1"/>
  <c r="AD134" i="81" s="1"/>
  <c r="Y79" i="81" a="1"/>
  <c r="Y79" i="81" s="1"/>
  <c r="Y134" i="81" s="1" a="1"/>
  <c r="Y134" i="81" s="1"/>
  <c r="AG82" i="81" a="1"/>
  <c r="AG82" i="81" s="1"/>
  <c r="AG137" i="81" s="1" a="1"/>
  <c r="AG137" i="81" s="1"/>
  <c r="AD82" i="81" a="1"/>
  <c r="AD82" i="81" s="1"/>
  <c r="AD137" i="81" s="1" a="1"/>
  <c r="AD137" i="81" s="1"/>
  <c r="AF80" i="81" a="1"/>
  <c r="AF80" i="81" s="1"/>
  <c r="AF135" i="81" s="1" a="1"/>
  <c r="AF135" i="81" s="1"/>
  <c r="AF82" i="81" a="1"/>
  <c r="AF82" i="81" s="1"/>
  <c r="AF137" i="81" s="1" a="1"/>
  <c r="AF137" i="81" s="1"/>
  <c r="AD87" i="81" a="1"/>
  <c r="AD87" i="81" s="1"/>
  <c r="AD142" i="81" s="1" a="1"/>
  <c r="AD142" i="81" s="1"/>
  <c r="Y78" i="81" a="1"/>
  <c r="Y78" i="81" s="1"/>
  <c r="Y133" i="81" s="1" a="1"/>
  <c r="Y133" i="81" s="1"/>
  <c r="AG80" i="81" a="1"/>
  <c r="AG80" i="81" s="1"/>
  <c r="AG135" i="81" s="1" a="1"/>
  <c r="AG135" i="81" s="1"/>
  <c r="AF87" i="81" a="1"/>
  <c r="AF87" i="81" s="1"/>
  <c r="AF142" i="81" s="1" a="1"/>
  <c r="AF142" i="81" s="1"/>
  <c r="AE76" i="81" a="1"/>
  <c r="AE76" i="81" s="1"/>
  <c r="AE131" i="81" s="1" a="1"/>
  <c r="AE131" i="81" s="1"/>
  <c r="Z85" i="81" a="1"/>
  <c r="Z85" i="81" s="1"/>
  <c r="Z140" i="81" s="1" a="1"/>
  <c r="Z140" i="81" s="1"/>
  <c r="Z84" i="81" a="1"/>
  <c r="Z84" i="81" s="1"/>
  <c r="Z139" i="81" s="1" a="1"/>
  <c r="Z139" i="81" s="1"/>
  <c r="Y76" i="81" a="1"/>
  <c r="Y76" i="81" s="1"/>
  <c r="Y131" i="81" s="1" a="1"/>
  <c r="Y131" i="81" s="1"/>
  <c r="AE83" i="81" a="1"/>
  <c r="AE83" i="81" s="1"/>
  <c r="AE138" i="81" s="1" a="1"/>
  <c r="AE138" i="81" s="1"/>
  <c r="Z81" i="81" a="1"/>
  <c r="Z81" i="81" s="1"/>
  <c r="Z136" i="81" s="1" a="1"/>
  <c r="Z136" i="81" s="1"/>
  <c r="AF78" i="81" a="1"/>
  <c r="AF78" i="81" s="1"/>
  <c r="AF133" i="81" s="1" a="1"/>
  <c r="AF133" i="81" s="1"/>
  <c r="X82" i="81" a="1"/>
  <c r="X82" i="81" s="1"/>
  <c r="X137" i="81" s="1" a="1"/>
  <c r="X137" i="81" s="1"/>
  <c r="Y86" i="81" a="1"/>
  <c r="Y86" i="81" s="1"/>
  <c r="Y141" i="81" s="1" a="1"/>
  <c r="Y141" i="81" s="1"/>
  <c r="Y84" i="81" a="1"/>
  <c r="Y84" i="81" s="1"/>
  <c r="Y139" i="81" s="1" a="1"/>
  <c r="Y139" i="81" s="1"/>
  <c r="AF77" i="81" a="1"/>
  <c r="AF77" i="81" s="1"/>
  <c r="AF132" i="81" s="1" a="1"/>
  <c r="AF132" i="81" s="1"/>
  <c r="AG78" i="81" a="1"/>
  <c r="AG78" i="81" s="1"/>
  <c r="AG133" i="81" s="1" a="1"/>
  <c r="AG133" i="81" s="1"/>
  <c r="X80" i="81" a="1"/>
  <c r="X80" i="81" s="1"/>
  <c r="X135" i="81" s="1" a="1"/>
  <c r="X135" i="81" s="1"/>
  <c r="AF85" i="81" a="1"/>
  <c r="AF85" i="81" s="1"/>
  <c r="AF140" i="81" s="1" a="1"/>
  <c r="AF140" i="81" s="1"/>
  <c r="X44" i="81"/>
  <c r="X76" i="81" s="1" a="1"/>
  <c r="X76" i="81" s="1"/>
  <c r="X131" i="81" s="1" a="1"/>
  <c r="X131" i="81" s="1"/>
  <c r="AG81" i="81" a="1"/>
  <c r="AG81" i="81" s="1"/>
  <c r="AG136" i="81" s="1" a="1"/>
  <c r="AG136" i="81" s="1"/>
  <c r="AG85" i="81" a="1"/>
  <c r="AG85" i="81" s="1"/>
  <c r="AG140" i="81" s="1" a="1"/>
  <c r="AG140" i="81" s="1"/>
  <c r="Z82" i="81" a="1"/>
  <c r="Z82" i="81" s="1"/>
  <c r="Z137" i="81" s="1" a="1"/>
  <c r="Z137" i="81" s="1"/>
  <c r="Y80" i="81" a="1"/>
  <c r="Y80" i="81" s="1"/>
  <c r="Y135" i="81" s="1" a="1"/>
  <c r="Y135" i="81" s="1"/>
  <c r="Y85" i="81" a="1"/>
  <c r="Y85" i="81" s="1"/>
  <c r="Y140" i="81" s="1" a="1"/>
  <c r="Y140" i="81" s="1"/>
  <c r="X77" i="81" a="1"/>
  <c r="X77" i="81" s="1"/>
  <c r="X132" i="81" s="1" a="1"/>
  <c r="X132" i="81" s="1"/>
  <c r="Z83" i="81" a="1"/>
  <c r="Z83" i="81" s="1"/>
  <c r="Z138" i="81" s="1" a="1"/>
  <c r="Z138" i="81" s="1"/>
  <c r="Z86" i="81" a="1"/>
  <c r="Z86" i="81" s="1"/>
  <c r="Z141" i="81" s="1" a="1"/>
  <c r="Z141" i="81" s="1"/>
  <c r="AG77" i="81" a="1"/>
  <c r="AG77" i="81" s="1"/>
  <c r="AG132" i="81" s="1" a="1"/>
  <c r="AG132" i="81" s="1"/>
  <c r="AE81" i="81" a="1"/>
  <c r="AE81" i="81" s="1"/>
  <c r="AE136" i="81" s="1" a="1"/>
  <c r="AE136" i="81" s="1"/>
  <c r="X79" i="81" a="1"/>
  <c r="X79" i="81" s="1"/>
  <c r="X134" i="81" s="1" a="1"/>
  <c r="X134" i="81" s="1"/>
  <c r="AD86" i="81" a="1"/>
  <c r="AD86" i="81" s="1"/>
  <c r="AD141" i="81" s="1" a="1"/>
  <c r="AD141" i="81" s="1"/>
  <c r="AF76" i="81" a="1"/>
  <c r="AF76" i="81" s="1"/>
  <c r="AF131" i="81" s="1" a="1"/>
  <c r="AF131" i="81" s="1"/>
  <c r="AE86" i="81" a="1"/>
  <c r="AE86" i="81" s="1"/>
  <c r="AE141" i="81" s="1" a="1"/>
  <c r="AE141" i="81" s="1"/>
  <c r="Z79" i="81" a="1"/>
  <c r="Z79" i="81" s="1"/>
  <c r="Z134" i="81" s="1" a="1"/>
  <c r="Z134" i="81" s="1"/>
  <c r="AG86" i="81" a="1"/>
  <c r="AG86" i="81" s="1"/>
  <c r="AG141" i="81" s="1" a="1"/>
  <c r="AG141" i="81" s="1"/>
  <c r="AE87" i="81" a="1"/>
  <c r="AE87" i="81" s="1"/>
  <c r="AE142" i="81" s="1" a="1"/>
  <c r="AE142" i="81" s="1"/>
  <c r="AE82" i="81" a="1"/>
  <c r="AE82" i="81" s="1"/>
  <c r="AE137" i="81" s="1" a="1"/>
  <c r="AE137" i="81" s="1"/>
  <c r="AG76" i="81" a="1"/>
  <c r="AG76" i="81" s="1"/>
  <c r="AG131" i="81" s="1" a="1"/>
  <c r="AG131" i="81" s="1"/>
  <c r="X87" i="81" a="1"/>
  <c r="X87" i="81" s="1"/>
  <c r="X142" i="81" s="1" a="1"/>
  <c r="X142" i="81" s="1"/>
  <c r="AF79" i="81" a="1"/>
  <c r="AF79" i="81" s="1"/>
  <c r="AF134" i="81" s="1" a="1"/>
  <c r="AF134" i="81" s="1"/>
  <c r="AD80" i="81" a="1"/>
  <c r="AD80" i="81" s="1"/>
  <c r="AD135" i="81" s="1" a="1"/>
  <c r="AD135" i="81" s="1"/>
  <c r="Z76" i="81" a="1"/>
  <c r="Z76" i="81" s="1"/>
  <c r="Z131" i="81" s="1" a="1"/>
  <c r="Z131" i="81" s="1"/>
  <c r="Z77" i="81" a="1"/>
  <c r="Z77" i="81" s="1"/>
  <c r="Z132" i="81" s="1" a="1"/>
  <c r="Z132" i="81" s="1"/>
  <c r="AE84" i="81" a="1"/>
  <c r="AE84" i="81" s="1"/>
  <c r="AE139" i="81" s="1" a="1"/>
  <c r="AE139" i="81" s="1"/>
  <c r="Y81" i="81" a="1"/>
  <c r="Y81" i="81" s="1"/>
  <c r="Y136" i="81" s="1" a="1"/>
  <c r="Y136" i="81" s="1"/>
  <c r="Y82" i="81" a="1"/>
  <c r="Y82" i="81" s="1"/>
  <c r="Y137" i="81" s="1" a="1"/>
  <c r="Y137" i="81" s="1"/>
  <c r="AE79" i="81" a="1"/>
  <c r="AE79" i="81" s="1"/>
  <c r="AE134" i="81" s="1" a="1"/>
  <c r="AE134" i="81" s="1"/>
  <c r="X84" i="81" a="1"/>
  <c r="X84" i="81" s="1"/>
  <c r="X139" i="81" s="1" a="1"/>
  <c r="X139" i="81" s="1"/>
  <c r="AD84" i="81" a="1"/>
  <c r="AD84" i="81" s="1"/>
  <c r="AD139" i="81" s="1" a="1"/>
  <c r="AD139" i="81" s="1"/>
  <c r="AD83" i="81" a="1"/>
  <c r="AD83" i="81" s="1"/>
  <c r="AD138" i="81" s="1" a="1"/>
  <c r="AD138" i="81" s="1"/>
  <c r="AE77" i="81" a="1"/>
  <c r="AE77" i="81" s="1"/>
  <c r="AE132" i="81" s="1" a="1"/>
  <c r="AE132" i="81" s="1"/>
  <c r="AF83" i="81" a="1"/>
  <c r="AF83" i="81" s="1"/>
  <c r="AF138" i="81" s="1" a="1"/>
  <c r="AF138" i="81" s="1"/>
  <c r="AF81" i="81" a="1"/>
  <c r="AF81" i="81" s="1"/>
  <c r="AF136" i="81" s="1" a="1"/>
  <c r="AF136" i="81" s="1"/>
  <c r="AD78" i="81" a="1"/>
  <c r="AD78" i="81" s="1"/>
  <c r="AD133" i="81" s="1" a="1"/>
  <c r="AD133" i="81" s="1"/>
  <c r="AG83" i="81" a="1"/>
  <c r="AG83" i="81" s="1"/>
  <c r="AG138" i="81" s="1" a="1"/>
  <c r="AG138" i="81" s="1"/>
  <c r="AE85" i="81" a="1"/>
  <c r="AE85" i="81" s="1"/>
  <c r="AE140" i="81" s="1" a="1"/>
  <c r="AE140" i="81" s="1"/>
  <c r="Y87" i="81" a="1"/>
  <c r="Y87" i="81" s="1"/>
  <c r="Y142" i="81" s="1" a="1"/>
  <c r="Y142" i="81" s="1"/>
  <c r="X86" i="81" a="1"/>
  <c r="X86" i="81" s="1"/>
  <c r="X141" i="81" s="1" a="1"/>
  <c r="X141" i="81" s="1"/>
  <c r="AG84" i="81" a="1"/>
  <c r="AG84" i="81" s="1"/>
  <c r="AG139" i="81" s="1" a="1"/>
  <c r="AG139" i="81" s="1"/>
  <c r="AF86" i="81" a="1"/>
  <c r="AF86" i="81" s="1"/>
  <c r="AF141" i="81" s="1" a="1"/>
  <c r="AF141" i="81" s="1"/>
  <c r="X83" i="81" a="1"/>
  <c r="X83" i="81" s="1"/>
  <c r="X138" i="81" s="1" a="1"/>
  <c r="X138" i="81" s="1"/>
  <c r="Z80" i="81" a="1"/>
  <c r="Z80" i="81" s="1"/>
  <c r="Z135" i="81" s="1" a="1"/>
  <c r="Z135" i="81" s="1"/>
  <c r="AG79" i="81" a="1"/>
  <c r="AG79" i="81" s="1"/>
  <c r="AG134" i="81" s="1" a="1"/>
  <c r="AG134" i="81" s="1"/>
  <c r="AA87" i="81" a="1"/>
  <c r="AA87" i="81" s="1"/>
  <c r="AA142" i="81" s="1" a="1"/>
  <c r="AA142" i="81" s="1"/>
  <c r="AA82" i="81" a="1"/>
  <c r="AA82" i="81" s="1"/>
  <c r="AA137" i="81" s="1" a="1"/>
  <c r="AA137" i="81" s="1"/>
  <c r="AA86" i="81" a="1"/>
  <c r="AA86" i="81" s="1"/>
  <c r="AA141" i="81" s="1" a="1"/>
  <c r="AA141" i="81" s="1"/>
  <c r="AC77" i="81" a="1"/>
  <c r="AC77" i="81" s="1"/>
  <c r="AC132" i="81" s="1" a="1"/>
  <c r="AC132" i="81" s="1"/>
  <c r="P45" i="89" a="1"/>
  <c r="I12" i="88"/>
  <c r="Z84" i="87" a="1"/>
  <c r="Z84" i="87" s="1"/>
  <c r="Z105" i="87" s="1" a="1"/>
  <c r="Z105" i="87" s="1"/>
  <c r="Z157" i="87" s="1" a="1"/>
  <c r="Z157" i="87" s="1"/>
  <c r="AC79" i="81" a="1"/>
  <c r="AC79" i="81" s="1"/>
  <c r="AC134" i="81" s="1" a="1"/>
  <c r="AC134" i="81" s="1"/>
  <c r="AA83" i="81" a="1"/>
  <c r="AA83" i="81" s="1"/>
  <c r="AA138" i="81" s="1" a="1"/>
  <c r="AA138" i="81" s="1"/>
  <c r="AA79" i="81" a="1"/>
  <c r="AA79" i="81" s="1"/>
  <c r="AA134" i="81" s="1" a="1"/>
  <c r="AA134" i="81" s="1"/>
  <c r="AB80" i="81" a="1"/>
  <c r="AB80" i="81" s="1"/>
  <c r="AB135" i="81" s="1" a="1"/>
  <c r="AB135" i="81" s="1"/>
  <c r="AA78" i="81" a="1"/>
  <c r="AA78" i="81" s="1"/>
  <c r="AA133" i="81" s="1" a="1"/>
  <c r="AA133" i="81" s="1"/>
  <c r="U49" i="89"/>
  <c r="AC84" i="81" a="1"/>
  <c r="AC84" i="81" s="1"/>
  <c r="AC139" i="81" s="1" a="1"/>
  <c r="AC139" i="81" s="1"/>
  <c r="AD185" i="81" s="1" a="1"/>
  <c r="AD185" i="81" s="1"/>
  <c r="AD259" i="81" s="1" a="1"/>
  <c r="AD259" i="81" s="1"/>
  <c r="AC87" i="81" a="1"/>
  <c r="AC87" i="81" s="1"/>
  <c r="AC142" i="81" s="1" a="1"/>
  <c r="AC142" i="81" s="1"/>
  <c r="AB79" i="81" a="1"/>
  <c r="AB79" i="81" s="1"/>
  <c r="AB134" i="81" s="1" a="1"/>
  <c r="AB134" i="81" s="1"/>
  <c r="AC82" i="81" a="1"/>
  <c r="AC82" i="81" s="1"/>
  <c r="AC137" i="81" s="1" a="1"/>
  <c r="AC137" i="81" s="1"/>
  <c r="AC76" i="81" a="1"/>
  <c r="AC76" i="81" s="1"/>
  <c r="AC131" i="81" s="1" a="1"/>
  <c r="AC131" i="81" s="1"/>
  <c r="U59" i="89"/>
  <c r="AA85" i="81" a="1"/>
  <c r="AA85" i="81" s="1"/>
  <c r="AA140" i="81" s="1" a="1"/>
  <c r="AA140" i="81" s="1"/>
  <c r="Z85" i="87" a="1"/>
  <c r="Z85" i="87" s="1"/>
  <c r="Z106" i="87" s="1" a="1"/>
  <c r="Z106" i="87" s="1"/>
  <c r="Z158" i="87" s="1" a="1"/>
  <c r="Z158" i="87" s="1"/>
  <c r="E131" i="116"/>
  <c r="E145" i="116" s="1"/>
  <c r="E130" i="116"/>
  <c r="E144" i="116" s="1"/>
  <c r="AC197" i="81" a="1"/>
  <c r="AC197" i="81" s="1"/>
  <c r="AC271" i="81" s="1" a="1"/>
  <c r="AC271" i="81" s="1"/>
  <c r="E69" i="100"/>
  <c r="E22" i="13" s="1" a="1"/>
  <c r="E22" i="13" s="1"/>
  <c r="E151" i="104"/>
  <c r="E67" i="100"/>
  <c r="E20" i="13" s="1" a="1"/>
  <c r="E20" i="13" s="1"/>
  <c r="H20" i="13" s="1"/>
  <c r="E56" i="101"/>
  <c r="E24" i="13" s="1" a="1"/>
  <c r="E24" i="13" s="1"/>
  <c r="E55" i="101"/>
  <c r="E23" i="13" s="1" a="1"/>
  <c r="E23" i="13" s="1"/>
  <c r="H23" i="13" s="1"/>
  <c r="E58" i="101"/>
  <c r="I516" i="116" s="1"/>
  <c r="E57" i="101"/>
  <c r="E25" i="13" s="1" a="1"/>
  <c r="E25" i="13" s="1"/>
  <c r="H25" i="13" s="1" a="1"/>
  <c r="H25" i="13" s="1"/>
  <c r="E70" i="100"/>
  <c r="I515" i="116" s="1"/>
  <c r="E68" i="100"/>
  <c r="E21" i="13" s="1" a="1"/>
  <c r="E21" i="13" s="1"/>
  <c r="H21" i="13" s="1" a="1"/>
  <c r="H21" i="13" s="1"/>
  <c r="I177" i="81" a="1"/>
  <c r="I177" i="81" s="1"/>
  <c r="I235" i="81" s="1" a="1"/>
  <c r="I235" i="81" s="1"/>
  <c r="J180" i="81" a="1"/>
  <c r="J180" i="81" s="1"/>
  <c r="J238" i="81" s="1" a="1"/>
  <c r="J238" i="81" s="1"/>
  <c r="I184" i="81" a="1"/>
  <c r="I184" i="81" s="1"/>
  <c r="I242" i="81" s="1" a="1"/>
  <c r="I242" i="81" s="1"/>
  <c r="F72" i="13"/>
  <c r="F73" i="13"/>
  <c r="E26" i="13" a="1"/>
  <c r="E26" i="13" s="1"/>
  <c r="H26" i="13" s="1"/>
  <c r="F19" i="13" a="1"/>
  <c r="F19" i="13" s="1"/>
  <c r="I19" i="13" s="1" a="1"/>
  <c r="I19" i="13" s="1"/>
  <c r="E19" i="13" a="1"/>
  <c r="E19" i="13" s="1"/>
  <c r="H19" i="13" s="1" a="1"/>
  <c r="H19" i="13" s="1"/>
  <c r="D37" i="13" a="1"/>
  <c r="D48" i="13" a="1"/>
  <c r="F81" i="13"/>
  <c r="F80" i="13"/>
  <c r="D33" i="13" a="1"/>
  <c r="D33" i="13" s="1"/>
  <c r="E13" i="72"/>
  <c r="E18" i="75"/>
  <c r="E20" i="75" s="1"/>
  <c r="E21" i="75" s="1"/>
  <c r="E20" i="72"/>
  <c r="E26" i="72" l="1"/>
  <c r="V162" i="87"/>
  <c r="E128" i="87"/>
  <c r="E25" i="72"/>
  <c r="AD186" i="81" a="1"/>
  <c r="AD186" i="81" s="1"/>
  <c r="AD260" i="81" s="1" a="1"/>
  <c r="AD260" i="81" s="1"/>
  <c r="AD196" i="81" a="1"/>
  <c r="AD196" i="81" s="1"/>
  <c r="AD270" i="81" s="1" a="1"/>
  <c r="AD270" i="81" s="1"/>
  <c r="J179" i="81" a="1"/>
  <c r="J179" i="81" s="1"/>
  <c r="J237" i="81" s="1" a="1"/>
  <c r="J237" i="81" s="1"/>
  <c r="AC198" i="81" a="1"/>
  <c r="AC198" i="81" s="1"/>
  <c r="AC272" i="81" s="1" a="1"/>
  <c r="AC272" i="81" s="1"/>
  <c r="AD195" i="81" a="1"/>
  <c r="AD195" i="81" s="1"/>
  <c r="AD269" i="81" s="1" a="1"/>
  <c r="AD269" i="81" s="1"/>
  <c r="AD183" i="81" a="1"/>
  <c r="AD183" i="81" s="1"/>
  <c r="AD257" i="81" s="1" a="1"/>
  <c r="AD257" i="81" s="1"/>
  <c r="AB199" i="81" a="1"/>
  <c r="AB199" i="81" s="1"/>
  <c r="AB273" i="81" s="1" a="1"/>
  <c r="AB273" i="81" s="1"/>
  <c r="AB187" i="81" a="1"/>
  <c r="AB187" i="81" s="1"/>
  <c r="AB261" i="81" s="1" a="1"/>
  <c r="AB261" i="81" s="1"/>
  <c r="AG184" i="81" a="1"/>
  <c r="AG184" i="81" s="1"/>
  <c r="AG258" i="81" s="1" a="1"/>
  <c r="AG258" i="81" s="1"/>
  <c r="AG196" i="81" a="1"/>
  <c r="AG196" i="81" s="1"/>
  <c r="AG270" i="81" s="1" a="1"/>
  <c r="AG270" i="81" s="1"/>
  <c r="AH189" i="81" a="1"/>
  <c r="AH189" i="81" s="1"/>
  <c r="AH263" i="81" s="1" a="1"/>
  <c r="AH263" i="81" s="1"/>
  <c r="AH177" i="81" a="1"/>
  <c r="AH177" i="81" s="1"/>
  <c r="AH251" i="81" s="1" a="1"/>
  <c r="AH251" i="81" s="1"/>
  <c r="Z186" i="81" a="1"/>
  <c r="Z186" i="81" s="1"/>
  <c r="Z260" i="81" s="1" a="1"/>
  <c r="Z260" i="81" s="1"/>
  <c r="Z198" i="81" a="1"/>
  <c r="Z198" i="81" s="1"/>
  <c r="Z272" i="81" s="1" a="1"/>
  <c r="Z272" i="81" s="1"/>
  <c r="AA182" i="81" a="1"/>
  <c r="AA182" i="81" s="1"/>
  <c r="AA256" i="81" s="1" a="1"/>
  <c r="AA256" i="81" s="1"/>
  <c r="AA194" i="81" a="1"/>
  <c r="AA194" i="81" s="1"/>
  <c r="AA268" i="81" s="1" a="1"/>
  <c r="AA268" i="81" s="1"/>
  <c r="Z180" i="81" a="1"/>
  <c r="Z180" i="81" s="1"/>
  <c r="Z254" i="81" s="1" a="1"/>
  <c r="Z254" i="81" s="1"/>
  <c r="Z192" i="81" a="1"/>
  <c r="Z192" i="81" s="1"/>
  <c r="Z266" i="81" s="1" a="1"/>
  <c r="Z266" i="81" s="1"/>
  <c r="AF191" i="81" a="1"/>
  <c r="AF191" i="81" s="1"/>
  <c r="AF265" i="81" s="1" a="1"/>
  <c r="AF265" i="81" s="1"/>
  <c r="AF179" i="81" a="1"/>
  <c r="AF179" i="81" s="1"/>
  <c r="AF253" i="81" s="1" a="1"/>
  <c r="AF253" i="81" s="1"/>
  <c r="AC191" i="81" a="1"/>
  <c r="AC191" i="81" s="1"/>
  <c r="AC265" i="81" s="1" a="1"/>
  <c r="AC265" i="81" s="1"/>
  <c r="AC179" i="81" a="1"/>
  <c r="AC179" i="81" s="1"/>
  <c r="AC253" i="81" s="1" a="1"/>
  <c r="AC253" i="81" s="1"/>
  <c r="G181" i="81" a="1"/>
  <c r="G181" i="81" s="1"/>
  <c r="G239" i="81" s="1" a="1"/>
  <c r="G239" i="81" s="1"/>
  <c r="G177" i="81" a="1"/>
  <c r="G177" i="81" s="1"/>
  <c r="G235" i="81" s="1" a="1"/>
  <c r="G235" i="81" s="1"/>
  <c r="M182" i="81" a="1"/>
  <c r="M182" i="81" s="1"/>
  <c r="M240" i="81" s="1" a="1"/>
  <c r="M240" i="81" s="1"/>
  <c r="M178" i="81" a="1"/>
  <c r="M178" i="81" s="1"/>
  <c r="M236" i="81" s="1" a="1"/>
  <c r="M236" i="81" s="1"/>
  <c r="AD181" i="81" a="1"/>
  <c r="AD181" i="81" s="1"/>
  <c r="AD255" i="81" s="1" a="1"/>
  <c r="AD255" i="81" s="1"/>
  <c r="AD193" i="81" a="1"/>
  <c r="AD193" i="81" s="1"/>
  <c r="AD267" i="81" s="1" a="1"/>
  <c r="AD267" i="81" s="1"/>
  <c r="AC192" i="81" a="1"/>
  <c r="AC192" i="81" s="1"/>
  <c r="AC266" i="81" s="1" a="1"/>
  <c r="AC266" i="81" s="1"/>
  <c r="AC180" i="81" a="1"/>
  <c r="AC180" i="81" s="1"/>
  <c r="AC254" i="81" s="1" a="1"/>
  <c r="AC254" i="81" s="1"/>
  <c r="AB183" i="81" a="1"/>
  <c r="AB183" i="81" s="1"/>
  <c r="AB257" i="81" s="1" a="1"/>
  <c r="AB257" i="81" s="1"/>
  <c r="AB195" i="81" a="1"/>
  <c r="AB195" i="81" s="1"/>
  <c r="AB269" i="81" s="1" a="1"/>
  <c r="AB269" i="81" s="1"/>
  <c r="AF190" i="81" a="1"/>
  <c r="AF190" i="81" s="1"/>
  <c r="AF264" i="81" s="1" a="1"/>
  <c r="AF264" i="81" s="1"/>
  <c r="AF178" i="81" a="1"/>
  <c r="AF178" i="81" s="1"/>
  <c r="AF252" i="81" s="1" a="1"/>
  <c r="AF252" i="81" s="1"/>
  <c r="AF195" i="81" a="1"/>
  <c r="AF195" i="81" s="1"/>
  <c r="AF269" i="81" s="1" a="1"/>
  <c r="AF269" i="81" s="1"/>
  <c r="AF183" i="81" a="1"/>
  <c r="AF183" i="81" s="1"/>
  <c r="AF257" i="81" s="1" a="1"/>
  <c r="AF257" i="81" s="1"/>
  <c r="Z193" i="81" a="1"/>
  <c r="Z193" i="81" s="1"/>
  <c r="Z267" i="81" s="1" a="1"/>
  <c r="Z267" i="81" s="1"/>
  <c r="Z181" i="81" a="1"/>
  <c r="Z181" i="81" s="1"/>
  <c r="Z255" i="81" s="1" a="1"/>
  <c r="Z255" i="81" s="1"/>
  <c r="AF196" i="81" a="1"/>
  <c r="AF196" i="81" s="1"/>
  <c r="AF270" i="81" s="1" a="1"/>
  <c r="AF270" i="81" s="1"/>
  <c r="AF184" i="81" a="1"/>
  <c r="AF184" i="81" s="1"/>
  <c r="AF258" i="81" s="1" a="1"/>
  <c r="AF258" i="81" s="1"/>
  <c r="AE180" i="81" a="1"/>
  <c r="AE180" i="81" s="1"/>
  <c r="AE254" i="81" s="1" a="1"/>
  <c r="AE254" i="81" s="1"/>
  <c r="AE192" i="81" a="1"/>
  <c r="AE192" i="81" s="1"/>
  <c r="AE266" i="81" s="1" a="1"/>
  <c r="AE266" i="81" s="1"/>
  <c r="AH200" i="81" a="1"/>
  <c r="AH200" i="81" s="1"/>
  <c r="AH274" i="81" s="1" a="1"/>
  <c r="AH274" i="81" s="1"/>
  <c r="AH188" i="81" a="1"/>
  <c r="AH188" i="81" s="1"/>
  <c r="AH262" i="81" s="1" a="1"/>
  <c r="AH262" i="81" s="1"/>
  <c r="F183" i="81" a="1"/>
  <c r="F183" i="81" s="1"/>
  <c r="F241" i="81" s="1" a="1"/>
  <c r="F241" i="81" s="1"/>
  <c r="F179" i="81" a="1"/>
  <c r="F179" i="81" s="1"/>
  <c r="F237" i="81" s="1" a="1"/>
  <c r="F237" i="81" s="1"/>
  <c r="H180" i="81" a="1"/>
  <c r="H180" i="81" s="1"/>
  <c r="H238" i="81" s="1" a="1"/>
  <c r="H238" i="81" s="1"/>
  <c r="H184" i="81" a="1"/>
  <c r="H184" i="81" s="1"/>
  <c r="H242" i="81" s="1" a="1"/>
  <c r="H242" i="81" s="1"/>
  <c r="L183" i="81" a="1"/>
  <c r="L183" i="81" s="1"/>
  <c r="L241" i="81" s="1" a="1"/>
  <c r="L241" i="81" s="1"/>
  <c r="L179" i="81" a="1"/>
  <c r="L179" i="81" s="1"/>
  <c r="L237" i="81" s="1" a="1"/>
  <c r="L237" i="81" s="1"/>
  <c r="G182" i="81" a="1"/>
  <c r="G182" i="81" s="1"/>
  <c r="G240" i="81" s="1" a="1"/>
  <c r="G240" i="81" s="1"/>
  <c r="G178" i="81" a="1"/>
  <c r="G178" i="81" s="1"/>
  <c r="G236" i="81" s="1" a="1"/>
  <c r="G236" i="81" s="1"/>
  <c r="N182" i="81" a="1"/>
  <c r="N182" i="81" s="1"/>
  <c r="N240" i="81" s="1" a="1"/>
  <c r="N240" i="81" s="1"/>
  <c r="N178" i="81" a="1"/>
  <c r="N178" i="81" s="1"/>
  <c r="N236" i="81" s="1" a="1"/>
  <c r="N236" i="81" s="1"/>
  <c r="G179" i="81" a="1"/>
  <c r="G179" i="81" s="1"/>
  <c r="G237" i="81" s="1" a="1"/>
  <c r="G237" i="81" s="1"/>
  <c r="G183" i="81" a="1"/>
  <c r="G183" i="81" s="1"/>
  <c r="G241" i="81" s="1" a="1"/>
  <c r="G241" i="81" s="1"/>
  <c r="AC195" i="81" a="1"/>
  <c r="AC195" i="81" s="1"/>
  <c r="AC269" i="81" s="1" a="1"/>
  <c r="AC269" i="81" s="1"/>
  <c r="AC183" i="81" a="1"/>
  <c r="AC183" i="81" s="1"/>
  <c r="AC257" i="81" s="1" a="1"/>
  <c r="AC257" i="81" s="1"/>
  <c r="L178" i="81" a="1"/>
  <c r="L178" i="81" s="1"/>
  <c r="L236" i="81" s="1" a="1"/>
  <c r="L236" i="81" s="1"/>
  <c r="L182" i="81" a="1"/>
  <c r="L182" i="81" s="1"/>
  <c r="L240" i="81" s="1" a="1"/>
  <c r="L240" i="81" s="1"/>
  <c r="O182" i="81" a="1"/>
  <c r="O182" i="81" s="1"/>
  <c r="O240" i="81" s="1" a="1"/>
  <c r="O240" i="81" s="1"/>
  <c r="O178" i="81" a="1"/>
  <c r="O178" i="81" s="1"/>
  <c r="O236" i="81" s="1" a="1"/>
  <c r="O236" i="81" s="1"/>
  <c r="AB200" i="81" a="1"/>
  <c r="AB200" i="81" s="1"/>
  <c r="AB274" i="81" s="1" a="1"/>
  <c r="AB274" i="81" s="1"/>
  <c r="AB188" i="81" a="1"/>
  <c r="AB188" i="81" s="1"/>
  <c r="AB262" i="81" s="1" a="1"/>
  <c r="AB262" i="81" s="1"/>
  <c r="AA195" i="81" a="1"/>
  <c r="AA195" i="81" s="1"/>
  <c r="AA269" i="81" s="1" a="1"/>
  <c r="AA269" i="81" s="1"/>
  <c r="AA183" i="81" a="1"/>
  <c r="AA183" i="81" s="1"/>
  <c r="AA257" i="81" s="1" a="1"/>
  <c r="AA257" i="81" s="1"/>
  <c r="Y198" i="81" a="1"/>
  <c r="Y198" i="81" s="1"/>
  <c r="Y272" i="81" s="1" a="1"/>
  <c r="Y272" i="81" s="1"/>
  <c r="Y186" i="81" a="1"/>
  <c r="Y186" i="81" s="1"/>
  <c r="Y260" i="81" s="1" a="1"/>
  <c r="Y260" i="81" s="1"/>
  <c r="AE198" i="81" a="1"/>
  <c r="AE198" i="81" s="1"/>
  <c r="AE272" i="81" s="1" a="1"/>
  <c r="AE272" i="81" s="1"/>
  <c r="AE186" i="81" a="1"/>
  <c r="AE186" i="81" s="1"/>
  <c r="AE260" i="81" s="1" a="1"/>
  <c r="AE260" i="81" s="1"/>
  <c r="AH199" i="81" a="1"/>
  <c r="AH199" i="81" s="1"/>
  <c r="AH273" i="81" s="1" a="1"/>
  <c r="AH273" i="81" s="1"/>
  <c r="AH187" i="81" a="1"/>
  <c r="AH187" i="81" s="1"/>
  <c r="AH261" i="81" s="1" a="1"/>
  <c r="AH261" i="81" s="1"/>
  <c r="Z178" i="81" a="1"/>
  <c r="Z178" i="81" s="1"/>
  <c r="Z252" i="81" s="1" a="1"/>
  <c r="Z252" i="81" s="1"/>
  <c r="Z190" i="81" a="1"/>
  <c r="Z190" i="81" s="1"/>
  <c r="Z264" i="81" s="1" a="1"/>
  <c r="Z264" i="81" s="1"/>
  <c r="AA186" i="81" a="1"/>
  <c r="AA186" i="81" s="1"/>
  <c r="AA260" i="81" s="1" a="1"/>
  <c r="AA260" i="81" s="1"/>
  <c r="AA198" i="81" a="1"/>
  <c r="AA198" i="81" s="1"/>
  <c r="AA272" i="81" s="1" a="1"/>
  <c r="AA272" i="81" s="1"/>
  <c r="Y196" i="81" a="1"/>
  <c r="Y196" i="81" s="1"/>
  <c r="Y270" i="81" s="1" a="1"/>
  <c r="Y270" i="81" s="1"/>
  <c r="Y184" i="81" a="1"/>
  <c r="Y184" i="81" s="1"/>
  <c r="Y258" i="81" s="1" a="1"/>
  <c r="Y258" i="81" s="1"/>
  <c r="AF187" i="81" a="1"/>
  <c r="AF187" i="81" s="1"/>
  <c r="AF261" i="81" s="1" a="1"/>
  <c r="AF261" i="81" s="1"/>
  <c r="AF199" i="81" a="1"/>
  <c r="AF199" i="81" s="1"/>
  <c r="AF273" i="81" s="1" a="1"/>
  <c r="AF273" i="81" s="1"/>
  <c r="AB185" i="81" a="1"/>
  <c r="AB185" i="81" s="1"/>
  <c r="AB259" i="81" s="1" a="1"/>
  <c r="AB259" i="81" s="1"/>
  <c r="AB197" i="81" a="1"/>
  <c r="AB197" i="81" s="1"/>
  <c r="AB271" i="81" s="1" a="1"/>
  <c r="AB271" i="81" s="1"/>
  <c r="AE185" i="81" a="1"/>
  <c r="AE185" i="81" s="1"/>
  <c r="AE259" i="81" s="1" a="1"/>
  <c r="AE259" i="81" s="1"/>
  <c r="AE197" i="81" a="1"/>
  <c r="AE197" i="81" s="1"/>
  <c r="AE271" i="81" s="1" a="1"/>
  <c r="AE271" i="81" s="1"/>
  <c r="AA192" i="81" a="1"/>
  <c r="AA192" i="81" s="1"/>
  <c r="AA266" i="81" s="1" a="1"/>
  <c r="AA266" i="81" s="1"/>
  <c r="AA180" i="81" a="1"/>
  <c r="AA180" i="81" s="1"/>
  <c r="AA254" i="81" s="1" a="1"/>
  <c r="AA254" i="81" s="1"/>
  <c r="AC196" i="81" a="1"/>
  <c r="AC196" i="81" s="1"/>
  <c r="AC270" i="81" s="1" a="1"/>
  <c r="AC270" i="81" s="1"/>
  <c r="AC184" i="81" a="1"/>
  <c r="AC184" i="81" s="1"/>
  <c r="AC258" i="81" s="1" a="1"/>
  <c r="AC258" i="81" s="1"/>
  <c r="AB179" i="81" a="1"/>
  <c r="AB179" i="81" s="1"/>
  <c r="AB253" i="81" s="1" a="1"/>
  <c r="AB253" i="81" s="1"/>
  <c r="AB191" i="81" a="1"/>
  <c r="AB191" i="81" s="1"/>
  <c r="AB265" i="81" s="1" a="1"/>
  <c r="AB265" i="81" s="1"/>
  <c r="Y189" i="81" a="1"/>
  <c r="Y189" i="81" s="1"/>
  <c r="Y263" i="81" s="1" a="1"/>
  <c r="Y263" i="81" s="1"/>
  <c r="Y177" i="81" a="1"/>
  <c r="Y177" i="81" s="1"/>
  <c r="Y251" i="81" s="1" a="1"/>
  <c r="Y251" i="81" s="1"/>
  <c r="O87" i="89" a="1"/>
  <c r="O87" i="89" s="1"/>
  <c r="O90" i="89" a="1"/>
  <c r="O90" i="89" s="1"/>
  <c r="O91" i="89" a="1"/>
  <c r="O91" i="89" s="1"/>
  <c r="O97" i="89" a="1"/>
  <c r="O97" i="89" s="1"/>
  <c r="O98" i="89" a="1"/>
  <c r="O98" i="89" s="1"/>
  <c r="O101" i="89" a="1"/>
  <c r="O101" i="89" s="1"/>
  <c r="P101" i="89" s="1" a="1"/>
  <c r="P101" i="89" s="1"/>
  <c r="O103" i="89" a="1"/>
  <c r="O103" i="89" s="1"/>
  <c r="P103" i="89" s="1" a="1"/>
  <c r="P103" i="89" s="1"/>
  <c r="O95" i="89" a="1"/>
  <c r="O95" i="89" s="1"/>
  <c r="P95" i="89" s="1" a="1"/>
  <c r="P95" i="89" s="1"/>
  <c r="O89" i="89" a="1"/>
  <c r="O89" i="89" s="1"/>
  <c r="P89" i="89" s="1" a="1"/>
  <c r="P89" i="89" s="1"/>
  <c r="O94" i="89" a="1"/>
  <c r="O94" i="89" s="1"/>
  <c r="P94" i="89" s="1" a="1"/>
  <c r="P94" i="89" s="1"/>
  <c r="O105" i="89" a="1"/>
  <c r="O105" i="89" s="1"/>
  <c r="P105" i="89" s="1" a="1"/>
  <c r="P105" i="89" s="1"/>
  <c r="O106" i="89" a="1"/>
  <c r="O106" i="89" s="1"/>
  <c r="P106" i="89" s="1" a="1"/>
  <c r="P106" i="89" s="1"/>
  <c r="O102" i="89" a="1"/>
  <c r="O102" i="89" s="1"/>
  <c r="P102" i="89" s="1" a="1"/>
  <c r="P102" i="89" s="1"/>
  <c r="O96" i="89" a="1"/>
  <c r="O96" i="89" s="1"/>
  <c r="P96" i="89" s="1" a="1"/>
  <c r="P96" i="89" s="1"/>
  <c r="O99" i="89" a="1"/>
  <c r="O99" i="89" s="1"/>
  <c r="O92" i="89" a="1"/>
  <c r="O92" i="89" s="1"/>
  <c r="P92" i="89" s="1" a="1"/>
  <c r="P92" i="89" s="1"/>
  <c r="O88" i="89" a="1"/>
  <c r="O88" i="89" s="1"/>
  <c r="O104" i="89" a="1"/>
  <c r="O104" i="89" s="1"/>
  <c r="P104" i="89" s="1" a="1"/>
  <c r="P104" i="89" s="1"/>
  <c r="O100" i="89" a="1"/>
  <c r="O100" i="89" s="1"/>
  <c r="O93" i="89" a="1"/>
  <c r="O93" i="89" s="1"/>
  <c r="P93" i="89" s="1" a="1"/>
  <c r="P93" i="89" s="1"/>
  <c r="G230" i="116" a="1"/>
  <c r="G230" i="116" s="1"/>
  <c r="F182" i="81" a="1"/>
  <c r="F182" i="81" s="1"/>
  <c r="F240" i="81" s="1" a="1"/>
  <c r="F240" i="81" s="1"/>
  <c r="F178" i="81" a="1"/>
  <c r="F178" i="81" s="1"/>
  <c r="F236" i="81" s="1" a="1"/>
  <c r="F236" i="81" s="1"/>
  <c r="F184" i="81" a="1"/>
  <c r="F184" i="81" s="1"/>
  <c r="F242" i="81" s="1" a="1"/>
  <c r="F242" i="81" s="1"/>
  <c r="F180" i="81" a="1"/>
  <c r="F180" i="81" s="1"/>
  <c r="F238" i="81" s="1" a="1"/>
  <c r="F238" i="81" s="1"/>
  <c r="AE184" i="81" a="1"/>
  <c r="AE184" i="81" s="1"/>
  <c r="AE258" i="81" s="1" a="1"/>
  <c r="AE258" i="81" s="1"/>
  <c r="AE196" i="81" a="1"/>
  <c r="AE196" i="81" s="1"/>
  <c r="AE270" i="81" s="1" a="1"/>
  <c r="AE270" i="81" s="1"/>
  <c r="Z177" i="81" a="1"/>
  <c r="Z177" i="81" s="1"/>
  <c r="Z251" i="81" s="1" a="1"/>
  <c r="Z251" i="81" s="1"/>
  <c r="Z189" i="81" a="1"/>
  <c r="Z189" i="81" s="1"/>
  <c r="Z263" i="81" s="1" a="1"/>
  <c r="Z263" i="81" s="1"/>
  <c r="AA185" i="81" a="1"/>
  <c r="AA185" i="81" s="1"/>
  <c r="AA259" i="81" s="1" a="1"/>
  <c r="AA259" i="81" s="1"/>
  <c r="AA197" i="81" a="1"/>
  <c r="AA197" i="81" s="1"/>
  <c r="AA271" i="81" s="1" a="1"/>
  <c r="AA271" i="81" s="1"/>
  <c r="I22" i="91" a="1"/>
  <c r="I22" i="91" s="1"/>
  <c r="G20" i="91"/>
  <c r="I20" i="91" s="1" a="1"/>
  <c r="I20" i="91" s="1"/>
  <c r="I21" i="91" a="1"/>
  <c r="I21" i="91" s="1"/>
  <c r="AH194" i="81" a="1"/>
  <c r="AH194" i="81" s="1"/>
  <c r="AH268" i="81" s="1" a="1"/>
  <c r="AH268" i="81" s="1"/>
  <c r="AH182" i="81" a="1"/>
  <c r="AH182" i="81" s="1"/>
  <c r="AH256" i="81" s="1" a="1"/>
  <c r="AH256" i="81" s="1"/>
  <c r="AF189" i="81" a="1"/>
  <c r="AF189" i="81" s="1"/>
  <c r="AF263" i="81" s="1" a="1"/>
  <c r="AF263" i="81" s="1"/>
  <c r="AF177" i="81" a="1"/>
  <c r="AF177" i="81" s="1"/>
  <c r="AF251" i="81" s="1" a="1"/>
  <c r="AF251" i="81" s="1"/>
  <c r="Z183" i="81" a="1"/>
  <c r="Z183" i="81" s="1"/>
  <c r="Z257" i="81" s="1" a="1"/>
  <c r="Z257" i="81" s="1"/>
  <c r="Z195" i="81" a="1"/>
  <c r="Z195" i="81" s="1"/>
  <c r="Z269" i="81" s="1" a="1"/>
  <c r="Z269" i="81" s="1"/>
  <c r="AG197" i="81" a="1"/>
  <c r="AG197" i="81" s="1"/>
  <c r="AG271" i="81" s="1" a="1"/>
  <c r="AG271" i="81" s="1"/>
  <c r="AG185" i="81" a="1"/>
  <c r="AG185" i="81" s="1"/>
  <c r="AG259" i="81" s="1" a="1"/>
  <c r="AG259" i="81" s="1"/>
  <c r="AB180" i="81" a="1"/>
  <c r="AB180" i="81" s="1"/>
  <c r="AB254" i="81" s="1" a="1"/>
  <c r="AB254" i="81" s="1"/>
  <c r="AB192" i="81" a="1"/>
  <c r="AB192" i="81" s="1"/>
  <c r="AB266" i="81" s="1" a="1"/>
  <c r="AB266" i="81" s="1"/>
  <c r="AH185" i="81" a="1"/>
  <c r="AH185" i="81" s="1"/>
  <c r="AH259" i="81" s="1" a="1"/>
  <c r="AH259" i="81" s="1"/>
  <c r="AH197" i="81" a="1"/>
  <c r="AH197" i="81" s="1"/>
  <c r="AH271" i="81" s="1" a="1"/>
  <c r="AH271" i="81" s="1"/>
  <c r="Z194" i="81" a="1"/>
  <c r="Z194" i="81" s="1"/>
  <c r="Z268" i="81" s="1" a="1"/>
  <c r="Z268" i="81" s="1"/>
  <c r="Z182" i="81" a="1"/>
  <c r="Z182" i="81" s="1"/>
  <c r="Z256" i="81" s="1" a="1"/>
  <c r="Z256" i="81" s="1"/>
  <c r="AE187" i="81" a="1"/>
  <c r="AE187" i="81" s="1"/>
  <c r="AE261" i="81" s="1" a="1"/>
  <c r="AE261" i="81" s="1"/>
  <c r="AE199" i="81" a="1"/>
  <c r="AE199" i="81" s="1"/>
  <c r="AE273" i="81" s="1" a="1"/>
  <c r="AE273" i="81" s="1"/>
  <c r="Y193" i="81" a="1"/>
  <c r="Y193" i="81" s="1"/>
  <c r="Y267" i="81" s="1" a="1"/>
  <c r="Y267" i="81" s="1"/>
  <c r="Y181" i="81" a="1"/>
  <c r="Y181" i="81" s="1"/>
  <c r="Y255" i="81" s="1" a="1"/>
  <c r="Y255" i="81" s="1"/>
  <c r="AH193" i="81" a="1"/>
  <c r="AH193" i="81" s="1"/>
  <c r="AH267" i="81" s="1" a="1"/>
  <c r="AH267" i="81" s="1"/>
  <c r="AH181" i="81" a="1"/>
  <c r="AH181" i="81" s="1"/>
  <c r="AH255" i="81" s="1" a="1"/>
  <c r="AH255" i="81" s="1"/>
  <c r="AA200" i="81" a="1"/>
  <c r="AA200" i="81" s="1"/>
  <c r="AA274" i="81" s="1" a="1"/>
  <c r="AA274" i="81" s="1"/>
  <c r="AA188" i="81" a="1"/>
  <c r="AA188" i="81" s="1"/>
  <c r="AA262" i="81" s="1" a="1"/>
  <c r="AA262" i="81" s="1"/>
  <c r="AD182" i="81" a="1"/>
  <c r="AD182" i="81" s="1"/>
  <c r="AD256" i="81" s="1" a="1"/>
  <c r="AD256" i="81" s="1"/>
  <c r="AD194" i="81" a="1"/>
  <c r="AD194" i="81" s="1"/>
  <c r="AD268" i="81" s="1" a="1"/>
  <c r="AD268" i="81" s="1"/>
  <c r="P55" i="89"/>
  <c r="Q55" i="89" s="1"/>
  <c r="Q59" i="89"/>
  <c r="Q57" i="89"/>
  <c r="Q58" i="89"/>
  <c r="Q56" i="89"/>
  <c r="N181" i="81" a="1"/>
  <c r="N181" i="81" s="1"/>
  <c r="N239" i="81" s="1" a="1"/>
  <c r="N239" i="81" s="1"/>
  <c r="N177" i="81" a="1"/>
  <c r="N177" i="81" s="1"/>
  <c r="N235" i="81" s="1" a="1"/>
  <c r="N235" i="81" s="1"/>
  <c r="O177" i="81" a="1"/>
  <c r="O177" i="81" s="1"/>
  <c r="O235" i="81" s="1" a="1"/>
  <c r="O235" i="81" s="1"/>
  <c r="O181" i="81" a="1"/>
  <c r="O181" i="81" s="1"/>
  <c r="O239" i="81" s="1" a="1"/>
  <c r="O239" i="81" s="1"/>
  <c r="AB193" i="81" a="1"/>
  <c r="AB193" i="81" s="1"/>
  <c r="AB267" i="81" s="1" a="1"/>
  <c r="AB267" i="81" s="1"/>
  <c r="AB181" i="81" a="1"/>
  <c r="AB181" i="81" s="1"/>
  <c r="AB255" i="81" s="1" a="1"/>
  <c r="AB255" i="81" s="1"/>
  <c r="J245" i="116" a="1"/>
  <c r="J245" i="116" s="1"/>
  <c r="J241" i="116" a="1"/>
  <c r="J241" i="116" s="1"/>
  <c r="J244" i="116" a="1"/>
  <c r="J244" i="116" s="1"/>
  <c r="E237" i="116"/>
  <c r="J238" i="116" a="1"/>
  <c r="J238" i="116" s="1"/>
  <c r="J246" i="116" a="1"/>
  <c r="J246" i="116" s="1"/>
  <c r="J243" i="116" a="1"/>
  <c r="J243" i="116" s="1"/>
  <c r="J239" i="116" a="1"/>
  <c r="J239" i="116" s="1"/>
  <c r="J242" i="116" a="1"/>
  <c r="J242" i="116" s="1"/>
  <c r="J240" i="116" a="1"/>
  <c r="J240" i="116" s="1"/>
  <c r="K238" i="116" a="1"/>
  <c r="K238" i="116" s="1"/>
  <c r="K245" i="116" a="1"/>
  <c r="K245" i="116" s="1"/>
  <c r="K240" i="116" a="1"/>
  <c r="K240" i="116" s="1"/>
  <c r="H243" i="116" a="1"/>
  <c r="H243" i="116" s="1"/>
  <c r="H240" i="116" a="1"/>
  <c r="H240" i="116" s="1"/>
  <c r="H245" i="116" a="1"/>
  <c r="H245" i="116" s="1"/>
  <c r="H239" i="116" a="1"/>
  <c r="H239" i="116" s="1"/>
  <c r="K246" i="116" a="1"/>
  <c r="K246" i="116" s="1"/>
  <c r="K244" i="116" a="1"/>
  <c r="K244" i="116" s="1"/>
  <c r="H246" i="116" a="1"/>
  <c r="H246" i="116" s="1"/>
  <c r="H244" i="116" a="1"/>
  <c r="H244" i="116" s="1"/>
  <c r="K242" i="116" a="1"/>
  <c r="K242" i="116" s="1"/>
  <c r="H238" i="116" a="1"/>
  <c r="H238" i="116" s="1"/>
  <c r="H242" i="116" a="1"/>
  <c r="H242" i="116" s="1"/>
  <c r="K243" i="116" a="1"/>
  <c r="K243" i="116" s="1"/>
  <c r="H241" i="116" a="1"/>
  <c r="H241" i="116" s="1"/>
  <c r="K241" i="116" a="1"/>
  <c r="K241" i="116" s="1"/>
  <c r="K239" i="116" a="1"/>
  <c r="K239" i="116" s="1"/>
  <c r="G238" i="116" a="1"/>
  <c r="G238" i="116" s="1"/>
  <c r="G239" i="116" a="1"/>
  <c r="G239" i="116" s="1"/>
  <c r="G243" i="116" a="1"/>
  <c r="G243" i="116" s="1"/>
  <c r="G242" i="116" a="1"/>
  <c r="G242" i="116" s="1"/>
  <c r="G244" i="116" a="1"/>
  <c r="G244" i="116" s="1"/>
  <c r="G245" i="116" a="1"/>
  <c r="G245" i="116" s="1"/>
  <c r="G241" i="116" a="1"/>
  <c r="G241" i="116" s="1"/>
  <c r="G240" i="116" a="1"/>
  <c r="G240" i="116" s="1"/>
  <c r="G246" i="116" a="1"/>
  <c r="G246" i="116" s="1"/>
  <c r="H179" i="81" a="1"/>
  <c r="H179" i="81" s="1"/>
  <c r="H237" i="81" s="1" a="1"/>
  <c r="H237" i="81" s="1"/>
  <c r="H183" i="81" a="1"/>
  <c r="H183" i="81" s="1"/>
  <c r="H241" i="81" s="1" a="1"/>
  <c r="H241" i="81" s="1"/>
  <c r="G180" i="81" a="1"/>
  <c r="G180" i="81" s="1"/>
  <c r="G238" i="81" s="1" a="1"/>
  <c r="G238" i="81" s="1"/>
  <c r="G184" i="81" a="1"/>
  <c r="G184" i="81" s="1"/>
  <c r="G242" i="81" s="1" a="1"/>
  <c r="G242" i="81" s="1"/>
  <c r="AC194" i="81" a="1"/>
  <c r="AC194" i="81" s="1"/>
  <c r="AC268" i="81" s="1" a="1"/>
  <c r="AC268" i="81" s="1"/>
  <c r="AC182" i="81" a="1"/>
  <c r="AC182" i="81" s="1"/>
  <c r="AC256" i="81" s="1" a="1"/>
  <c r="AC256" i="81" s="1"/>
  <c r="AB189" i="81" a="1"/>
  <c r="AB189" i="81" s="1"/>
  <c r="AB263" i="81" s="1" a="1"/>
  <c r="AB263" i="81" s="1"/>
  <c r="AB177" i="81" a="1"/>
  <c r="AB177" i="81" s="1"/>
  <c r="AB251" i="81" s="1" a="1"/>
  <c r="AB251" i="81" s="1"/>
  <c r="K179" i="81" a="1"/>
  <c r="K179" i="81" s="1"/>
  <c r="K237" i="81" s="1" a="1"/>
  <c r="K237" i="81" s="1"/>
  <c r="K183" i="81" a="1"/>
  <c r="K183" i="81" s="1"/>
  <c r="K241" i="81" s="1" a="1"/>
  <c r="K241" i="81" s="1"/>
  <c r="M180" i="81" a="1"/>
  <c r="M180" i="81" s="1"/>
  <c r="M238" i="81" s="1" a="1"/>
  <c r="M238" i="81" s="1"/>
  <c r="M184" i="81" a="1"/>
  <c r="M184" i="81" s="1"/>
  <c r="M242" i="81" s="1" a="1"/>
  <c r="M242" i="81" s="1"/>
  <c r="N180" i="81" a="1"/>
  <c r="N180" i="81" s="1"/>
  <c r="N238" i="81" s="1" a="1"/>
  <c r="N238" i="81" s="1"/>
  <c r="N184" i="81" a="1"/>
  <c r="N184" i="81" s="1"/>
  <c r="N242" i="81" s="1" a="1"/>
  <c r="N242" i="81" s="1"/>
  <c r="F181" i="81" a="1"/>
  <c r="F181" i="81" s="1"/>
  <c r="F239" i="81" s="1" a="1"/>
  <c r="F239" i="81" s="1"/>
  <c r="F177" i="81" a="1"/>
  <c r="F177" i="81" s="1"/>
  <c r="F235" i="81" s="1" a="1"/>
  <c r="F235" i="81" s="1"/>
  <c r="AG189" i="81" a="1"/>
  <c r="AG189" i="81" s="1"/>
  <c r="AG263" i="81" s="1" a="1"/>
  <c r="AG263" i="81" s="1"/>
  <c r="AG177" i="81" a="1"/>
  <c r="AG177" i="81" s="1"/>
  <c r="AG251" i="81" s="1" a="1"/>
  <c r="AG251" i="81" s="1"/>
  <c r="AD179" i="81" a="1"/>
  <c r="AD179" i="81" s="1"/>
  <c r="AD253" i="81" s="1" a="1"/>
  <c r="AD253" i="81" s="1"/>
  <c r="AD191" i="81" a="1"/>
  <c r="AD191" i="81" s="1"/>
  <c r="AD265" i="81" s="1" a="1"/>
  <c r="AD265" i="81" s="1"/>
  <c r="J181" i="81" a="1"/>
  <c r="J181" i="81" s="1"/>
  <c r="J239" i="81" s="1" a="1"/>
  <c r="J239" i="81" s="1"/>
  <c r="AB184" i="81" a="1"/>
  <c r="AB184" i="81" s="1"/>
  <c r="AB258" i="81" s="1" a="1"/>
  <c r="AB258" i="81" s="1"/>
  <c r="AB196" i="81" a="1"/>
  <c r="AB196" i="81" s="1"/>
  <c r="AB270" i="81" s="1" a="1"/>
  <c r="AB270" i="81" s="1"/>
  <c r="Y180" i="81" a="1"/>
  <c r="Y180" i="81" s="1"/>
  <c r="Y254" i="81" s="1" a="1"/>
  <c r="Y254" i="81" s="1"/>
  <c r="Y192" i="81" a="1"/>
  <c r="Y192" i="81" s="1"/>
  <c r="Y266" i="81" s="1" a="1"/>
  <c r="Y266" i="81" s="1"/>
  <c r="Z179" i="81" a="1"/>
  <c r="Z179" i="81" s="1"/>
  <c r="Z253" i="81" s="1" a="1"/>
  <c r="Z253" i="81" s="1"/>
  <c r="Z191" i="81" a="1"/>
  <c r="Z191" i="81" s="1"/>
  <c r="Z265" i="81" s="1" a="1"/>
  <c r="Z265" i="81" s="1"/>
  <c r="AB186" i="81" a="1"/>
  <c r="AB186" i="81" s="1"/>
  <c r="AB260" i="81" s="1" a="1"/>
  <c r="AB260" i="81" s="1"/>
  <c r="AB198" i="81" a="1"/>
  <c r="AB198" i="81" s="1"/>
  <c r="AB272" i="81" s="1" a="1"/>
  <c r="AB272" i="81" s="1"/>
  <c r="AD180" i="81" a="1"/>
  <c r="AD180" i="81" s="1"/>
  <c r="AD254" i="81" s="1" a="1"/>
  <c r="AD254" i="81" s="1"/>
  <c r="AD192" i="81" a="1"/>
  <c r="AD192" i="81" s="1"/>
  <c r="AD266" i="81" s="1" a="1"/>
  <c r="AD266" i="81" s="1"/>
  <c r="Z200" i="81" a="1"/>
  <c r="Z200" i="81" s="1"/>
  <c r="Z274" i="81" s="1" a="1"/>
  <c r="Z274" i="81" s="1"/>
  <c r="Z188" i="81" a="1"/>
  <c r="Z188" i="81" s="1"/>
  <c r="Z262" i="81" s="1" a="1"/>
  <c r="Z262" i="81" s="1"/>
  <c r="AA190" i="81" a="1"/>
  <c r="AA190" i="81" s="1"/>
  <c r="AA264" i="81" s="1" a="1"/>
  <c r="AA264" i="81" s="1"/>
  <c r="AA178" i="81" a="1"/>
  <c r="AA178" i="81" s="1"/>
  <c r="AA252" i="81" s="1" a="1"/>
  <c r="AA252" i="81" s="1"/>
  <c r="AF194" i="81" a="1"/>
  <c r="AF194" i="81" s="1"/>
  <c r="AF268" i="81" s="1" a="1"/>
  <c r="AF268" i="81" s="1"/>
  <c r="AF182" i="81" a="1"/>
  <c r="AF182" i="81" s="1"/>
  <c r="AF256" i="81" s="1" a="1"/>
  <c r="AF256" i="81" s="1"/>
  <c r="AG178" i="81" a="1"/>
  <c r="AG178" i="81" s="1"/>
  <c r="AG252" i="81" s="1" a="1"/>
  <c r="AG252" i="81" s="1"/>
  <c r="AG190" i="81" a="1"/>
  <c r="AG190" i="81" s="1"/>
  <c r="AG264" i="81" s="1" a="1"/>
  <c r="AG264" i="81" s="1"/>
  <c r="AE188" i="81" a="1"/>
  <c r="AE188" i="81" s="1"/>
  <c r="AE262" i="81" s="1" a="1"/>
  <c r="AE262" i="81" s="1"/>
  <c r="AE200" i="81" a="1"/>
  <c r="AE200" i="81" s="1"/>
  <c r="AE274" i="81" s="1" a="1"/>
  <c r="AE274" i="81" s="1"/>
  <c r="AE190" i="81" a="1"/>
  <c r="AE190" i="81" s="1"/>
  <c r="AE264" i="81" s="1" a="1"/>
  <c r="AE264" i="81" s="1"/>
  <c r="AE178" i="81" a="1"/>
  <c r="AE178" i="81" s="1"/>
  <c r="AE252" i="81" s="1" a="1"/>
  <c r="AE252" i="81" s="1"/>
  <c r="AF198" i="81" a="1"/>
  <c r="AF198" i="81" s="1"/>
  <c r="AF272" i="81" s="1" a="1"/>
  <c r="AF272" i="81" s="1"/>
  <c r="AF186" i="81" a="1"/>
  <c r="AF186" i="81" s="1"/>
  <c r="AF260" i="81" s="1" a="1"/>
  <c r="AF260" i="81" s="1"/>
  <c r="AA177" i="81" a="1"/>
  <c r="AA177" i="81" s="1"/>
  <c r="AA251" i="81" s="1" a="1"/>
  <c r="AA251" i="81" s="1"/>
  <c r="AA189" i="81" a="1"/>
  <c r="AA189" i="81" s="1"/>
  <c r="AA263" i="81" s="1" a="1"/>
  <c r="AA263" i="81" s="1"/>
  <c r="AH190" i="81" a="1"/>
  <c r="AH190" i="81" s="1"/>
  <c r="AH264" i="81" s="1" a="1"/>
  <c r="AH264" i="81" s="1"/>
  <c r="AH178" i="81" a="1"/>
  <c r="AH178" i="81" s="1"/>
  <c r="AH252" i="81" s="1" a="1"/>
  <c r="AH252" i="81" s="1"/>
  <c r="Z185" i="81" a="1"/>
  <c r="Z185" i="81" s="1"/>
  <c r="Z259" i="81" s="1" a="1"/>
  <c r="Z259" i="81" s="1"/>
  <c r="Z197" i="81" a="1"/>
  <c r="Z197" i="81" s="1"/>
  <c r="Z271" i="81" s="1" a="1"/>
  <c r="Z271" i="81" s="1"/>
  <c r="AG195" i="81" a="1"/>
  <c r="AG195" i="81" s="1"/>
  <c r="AG269" i="81" s="1" a="1"/>
  <c r="AG269" i="81" s="1"/>
  <c r="AG183" i="81" a="1"/>
  <c r="AG183" i="81" s="1"/>
  <c r="AG257" i="81" s="1" a="1"/>
  <c r="AG257" i="81" s="1"/>
  <c r="AE182" i="81" a="1"/>
  <c r="AE182" i="81" s="1"/>
  <c r="AE256" i="81" s="1" a="1"/>
  <c r="AE256" i="81" s="1"/>
  <c r="AE194" i="81" a="1"/>
  <c r="AE194" i="81" s="1"/>
  <c r="AE268" i="81" s="1" a="1"/>
  <c r="AE268" i="81" s="1"/>
  <c r="H305" i="116" a="1"/>
  <c r="H305" i="116" s="1"/>
  <c r="F305" i="116" a="1"/>
  <c r="G305" i="116" a="1"/>
  <c r="G305" i="116" s="1"/>
  <c r="G225" i="116" a="1"/>
  <c r="G225" i="116" s="1"/>
  <c r="AB190" i="81" a="1"/>
  <c r="AB190" i="81" s="1"/>
  <c r="AB264" i="81" s="1" a="1"/>
  <c r="AB264" i="81" s="1"/>
  <c r="AB178" i="81" a="1"/>
  <c r="AB178" i="81" s="1"/>
  <c r="AB252" i="81" s="1" a="1"/>
  <c r="AB252" i="81" s="1"/>
  <c r="L177" i="81" a="1"/>
  <c r="L177" i="81" s="1"/>
  <c r="L235" i="81" s="1" a="1"/>
  <c r="L235" i="81" s="1"/>
  <c r="L181" i="81" a="1"/>
  <c r="L181" i="81" s="1"/>
  <c r="L239" i="81" s="1" a="1"/>
  <c r="L239" i="81" s="1"/>
  <c r="L184" i="81" a="1"/>
  <c r="L184" i="81" s="1"/>
  <c r="L242" i="81" s="1" a="1"/>
  <c r="L242" i="81" s="1"/>
  <c r="L180" i="81" a="1"/>
  <c r="L180" i="81" s="1"/>
  <c r="L238" i="81" s="1" a="1"/>
  <c r="L238" i="81" s="1"/>
  <c r="AD200" i="81" a="1"/>
  <c r="AD200" i="81" s="1"/>
  <c r="AD274" i="81" s="1" a="1"/>
  <c r="AD274" i="81" s="1"/>
  <c r="AD188" i="81" a="1"/>
  <c r="AD188" i="81" s="1"/>
  <c r="AD262" i="81" s="1" a="1"/>
  <c r="AD262" i="81" s="1"/>
  <c r="AF188" i="81" a="1"/>
  <c r="AF188" i="81" s="1"/>
  <c r="AF262" i="81" s="1" a="1"/>
  <c r="AF262" i="81" s="1"/>
  <c r="AF200" i="81" a="1"/>
  <c r="AF200" i="81" s="1"/>
  <c r="AF274" i="81" s="1" a="1"/>
  <c r="AF274" i="81" s="1"/>
  <c r="G227" i="116" a="1"/>
  <c r="G227" i="116" s="1"/>
  <c r="AH198" i="81" a="1"/>
  <c r="AH198" i="81" s="1"/>
  <c r="AH272" i="81" s="1" a="1"/>
  <c r="AH272" i="81" s="1"/>
  <c r="AH186" i="81" a="1"/>
  <c r="AH186" i="81" s="1"/>
  <c r="AH260" i="81" s="1" a="1"/>
  <c r="AH260" i="81" s="1"/>
  <c r="J182" i="81" a="1"/>
  <c r="J182" i="81" s="1"/>
  <c r="J240" i="81" s="1" a="1"/>
  <c r="J240" i="81" s="1"/>
  <c r="J178" i="81" a="1"/>
  <c r="J178" i="81" s="1"/>
  <c r="J236" i="81" s="1" a="1"/>
  <c r="J236" i="81" s="1"/>
  <c r="Y185" i="81" a="1"/>
  <c r="Y185" i="81" s="1"/>
  <c r="Y259" i="81" s="1" a="1"/>
  <c r="Y259" i="81" s="1"/>
  <c r="Y197" i="81" a="1"/>
  <c r="Y197" i="81" s="1"/>
  <c r="Y271" i="81" s="1" a="1"/>
  <c r="Y271" i="81" s="1"/>
  <c r="AC178" i="81" a="1"/>
  <c r="AC178" i="81" s="1"/>
  <c r="AC252" i="81" s="1" a="1"/>
  <c r="AC252" i="81" s="1"/>
  <c r="AC190" i="81" a="1"/>
  <c r="AC190" i="81" s="1"/>
  <c r="AC264" i="81" s="1" a="1"/>
  <c r="AC264" i="81" s="1"/>
  <c r="AF180" i="81" a="1"/>
  <c r="AF180" i="81" s="1"/>
  <c r="AF254" i="81" s="1" a="1"/>
  <c r="AF254" i="81" s="1"/>
  <c r="AF192" i="81" a="1"/>
  <c r="AF192" i="81" s="1"/>
  <c r="AF266" i="81" s="1" a="1"/>
  <c r="AF266" i="81" s="1"/>
  <c r="AA179" i="81" a="1"/>
  <c r="AA179" i="81" s="1"/>
  <c r="AA253" i="81" s="1" a="1"/>
  <c r="AA253" i="81" s="1"/>
  <c r="AA191" i="81" a="1"/>
  <c r="AA191" i="81" s="1"/>
  <c r="AA265" i="81" s="1" a="1"/>
  <c r="AA265" i="81" s="1"/>
  <c r="AC193" i="81" a="1"/>
  <c r="AC193" i="81" s="1"/>
  <c r="AC267" i="81" s="1" a="1"/>
  <c r="AC267" i="81" s="1"/>
  <c r="AC181" i="81" a="1"/>
  <c r="AC181" i="81" s="1"/>
  <c r="AC255" i="81" s="1" a="1"/>
  <c r="AC255" i="81" s="1"/>
  <c r="AG198" i="81" a="1"/>
  <c r="AG198" i="81" s="1"/>
  <c r="AG272" i="81" s="1" a="1"/>
  <c r="AG272" i="81" s="1"/>
  <c r="AG186" i="81" a="1"/>
  <c r="AG186" i="81" s="1"/>
  <c r="AG260" i="81" s="1" a="1"/>
  <c r="AG260" i="81" s="1"/>
  <c r="Y199" i="81" a="1"/>
  <c r="Y199" i="81" s="1"/>
  <c r="Y273" i="81" s="1" a="1"/>
  <c r="Y273" i="81" s="1"/>
  <c r="Y187" i="81" a="1"/>
  <c r="Y187" i="81" s="1"/>
  <c r="Y261" i="81" s="1" a="1"/>
  <c r="Y261" i="81" s="1"/>
  <c r="AH179" i="81" a="1"/>
  <c r="AH179" i="81" s="1"/>
  <c r="AH253" i="81" s="1" a="1"/>
  <c r="AH253" i="81" s="1"/>
  <c r="AH191" i="81" a="1"/>
  <c r="AH191" i="81" s="1"/>
  <c r="AH265" i="81" s="1" a="1"/>
  <c r="AH265" i="81" s="1"/>
  <c r="K184" i="81" a="1"/>
  <c r="K184" i="81" s="1"/>
  <c r="K242" i="81" s="1" a="1"/>
  <c r="K242" i="81" s="1"/>
  <c r="K180" i="81" a="1"/>
  <c r="K180" i="81" s="1"/>
  <c r="K238" i="81" s="1" a="1"/>
  <c r="K238" i="81" s="1"/>
  <c r="E28" i="90" a="1"/>
  <c r="E28" i="90" s="1"/>
  <c r="G28" i="90" s="1" a="1"/>
  <c r="G28" i="90" s="1"/>
  <c r="E67" i="90" s="1" a="1"/>
  <c r="E67" i="90" s="1"/>
  <c r="E29" i="89" a="1"/>
  <c r="E29" i="89" s="1"/>
  <c r="G29" i="89" s="1" a="1"/>
  <c r="G29" i="89" s="1"/>
  <c r="E29" i="90" a="1"/>
  <c r="E29" i="90" s="1"/>
  <c r="G29" i="90" s="1" a="1"/>
  <c r="G29" i="90" s="1"/>
  <c r="E68" i="90" s="1" a="1"/>
  <c r="E68" i="90" s="1"/>
  <c r="E32" i="90" a="1"/>
  <c r="E32" i="90" s="1"/>
  <c r="G32" i="90" s="1" a="1"/>
  <c r="G32" i="90" s="1"/>
  <c r="E71" i="90" s="1" a="1"/>
  <c r="E71" i="90" s="1"/>
  <c r="E33" i="89" a="1"/>
  <c r="E33" i="89" s="1"/>
  <c r="G33" i="89" s="1" a="1"/>
  <c r="G33" i="89" s="1"/>
  <c r="E21" i="90" a="1"/>
  <c r="E21" i="90" s="1"/>
  <c r="G21" i="90" s="1" a="1"/>
  <c r="G21" i="90" s="1"/>
  <c r="E60" i="90" s="1" a="1"/>
  <c r="E60" i="90" s="1"/>
  <c r="E22" i="89" a="1"/>
  <c r="E22" i="89" s="1"/>
  <c r="G22" i="89" s="1" a="1"/>
  <c r="G22" i="89" s="1"/>
  <c r="E221" i="116" a="1"/>
  <c r="E30" i="90" a="1"/>
  <c r="E30" i="90" s="1"/>
  <c r="G30" i="90" s="1" a="1"/>
  <c r="G30" i="90" s="1"/>
  <c r="E69" i="90" s="1" a="1"/>
  <c r="E69" i="90" s="1"/>
  <c r="E28" i="89" a="1"/>
  <c r="E28" i="89" s="1"/>
  <c r="G28" i="89" s="1" a="1"/>
  <c r="G28" i="89" s="1"/>
  <c r="E31" i="89" a="1"/>
  <c r="E31" i="89" s="1"/>
  <c r="G31" i="89" s="1" a="1"/>
  <c r="G31" i="89" s="1"/>
  <c r="E37" i="90" a="1"/>
  <c r="E37" i="90" s="1"/>
  <c r="G37" i="90" s="1" a="1"/>
  <c r="G37" i="90" s="1"/>
  <c r="E76" i="90" s="1" a="1"/>
  <c r="E76" i="90" s="1"/>
  <c r="E24" i="89" a="1"/>
  <c r="E24" i="89" s="1"/>
  <c r="G24" i="89" s="1" a="1"/>
  <c r="G24" i="89" s="1"/>
  <c r="E25" i="90" a="1"/>
  <c r="E25" i="90" s="1"/>
  <c r="G25" i="90" s="1" a="1"/>
  <c r="G25" i="90" s="1"/>
  <c r="E64" i="90" s="1" a="1"/>
  <c r="E64" i="90" s="1"/>
  <c r="E34" i="90" a="1"/>
  <c r="E34" i="90" s="1"/>
  <c r="G34" i="90" s="1" a="1"/>
  <c r="G34" i="90" s="1"/>
  <c r="E73" i="90" s="1" a="1"/>
  <c r="E73" i="90" s="1"/>
  <c r="E35" i="89" a="1"/>
  <c r="E35" i="89" s="1"/>
  <c r="G35" i="89" s="1" a="1"/>
  <c r="G35" i="89" s="1"/>
  <c r="E23" i="90" a="1"/>
  <c r="E23" i="90" s="1"/>
  <c r="G23" i="90" s="1" a="1"/>
  <c r="G23" i="90" s="1"/>
  <c r="E62" i="90" s="1" a="1"/>
  <c r="E62" i="90" s="1"/>
  <c r="E20" i="90" a="1"/>
  <c r="E20" i="90" s="1"/>
  <c r="G20" i="90" s="1" a="1"/>
  <c r="G20" i="90" s="1"/>
  <c r="E59" i="90" s="1" a="1"/>
  <c r="E59" i="90" s="1"/>
  <c r="E21" i="89" a="1"/>
  <c r="E21" i="89" s="1"/>
  <c r="G21" i="89" s="1" a="1"/>
  <c r="G21" i="89" s="1"/>
  <c r="E26" i="89" a="1"/>
  <c r="E26" i="89" s="1"/>
  <c r="G26" i="89" s="1" a="1"/>
  <c r="G26" i="89" s="1"/>
  <c r="E30" i="89" a="1"/>
  <c r="E30" i="89" s="1"/>
  <c r="G30" i="89" s="1" a="1"/>
  <c r="G30" i="89" s="1"/>
  <c r="E31" i="90" a="1"/>
  <c r="E31" i="90" s="1"/>
  <c r="G31" i="90" s="1" a="1"/>
  <c r="G31" i="90" s="1"/>
  <c r="E70" i="90" s="1" a="1"/>
  <c r="E70" i="90" s="1"/>
  <c r="E23" i="89" a="1"/>
  <c r="E23" i="89" s="1"/>
  <c r="G23" i="89" s="1" a="1"/>
  <c r="G23" i="89" s="1"/>
  <c r="E24" i="90" a="1"/>
  <c r="E24" i="90" s="1"/>
  <c r="G24" i="90" s="1" a="1"/>
  <c r="G24" i="90" s="1"/>
  <c r="E63" i="90" s="1" a="1"/>
  <c r="E63" i="90" s="1"/>
  <c r="E35" i="90" a="1"/>
  <c r="E35" i="90" s="1"/>
  <c r="G35" i="90" s="1" a="1"/>
  <c r="G35" i="90" s="1"/>
  <c r="E74" i="90" s="1" a="1"/>
  <c r="E74" i="90" s="1"/>
  <c r="E36" i="89" a="1"/>
  <c r="E36" i="89" s="1"/>
  <c r="G36" i="89" s="1" a="1"/>
  <c r="G36" i="89" s="1"/>
  <c r="E20" i="89" a="1"/>
  <c r="E20" i="89" s="1"/>
  <c r="G20" i="89" s="1" a="1"/>
  <c r="G20" i="89" s="1"/>
  <c r="E27" i="90" a="1"/>
  <c r="E27" i="90" s="1"/>
  <c r="G27" i="90" s="1" a="1"/>
  <c r="G27" i="90" s="1"/>
  <c r="E66" i="90" s="1" a="1"/>
  <c r="E66" i="90" s="1"/>
  <c r="E36" i="90" a="1"/>
  <c r="E36" i="90" s="1"/>
  <c r="G36" i="90" s="1" a="1"/>
  <c r="G36" i="90" s="1"/>
  <c r="E75" i="90" s="1" a="1"/>
  <c r="E75" i="90" s="1"/>
  <c r="E34" i="89" a="1"/>
  <c r="E34" i="89" s="1"/>
  <c r="G34" i="89" s="1" a="1"/>
  <c r="G34" i="89" s="1"/>
  <c r="E27" i="89" a="1"/>
  <c r="E27" i="89" s="1"/>
  <c r="G27" i="89" s="1" a="1"/>
  <c r="G27" i="89" s="1"/>
  <c r="E19" i="89" a="1"/>
  <c r="E19" i="89" s="1"/>
  <c r="G19" i="89" s="1" a="1"/>
  <c r="G19" i="89" s="1"/>
  <c r="E26" i="90" a="1"/>
  <c r="E26" i="90" s="1"/>
  <c r="G26" i="90" s="1" a="1"/>
  <c r="G26" i="90" s="1"/>
  <c r="E65" i="90" s="1" a="1"/>
  <c r="E65" i="90" s="1"/>
  <c r="E32" i="89" a="1"/>
  <c r="E32" i="89" s="1"/>
  <c r="G32" i="89" s="1" a="1"/>
  <c r="G32" i="89" s="1"/>
  <c r="E25" i="89" a="1"/>
  <c r="E25" i="89" s="1"/>
  <c r="G25" i="89" s="1" a="1"/>
  <c r="G25" i="89" s="1"/>
  <c r="E37" i="89" a="1"/>
  <c r="E37" i="89" s="1"/>
  <c r="G37" i="89" s="1" a="1"/>
  <c r="G37" i="89" s="1"/>
  <c r="E33" i="90" a="1"/>
  <c r="E33" i="90" s="1"/>
  <c r="G33" i="90" s="1" a="1"/>
  <c r="G33" i="90" s="1"/>
  <c r="E72" i="90" s="1" a="1"/>
  <c r="E72" i="90" s="1"/>
  <c r="E22" i="90" a="1"/>
  <c r="E22" i="90" s="1"/>
  <c r="G22" i="90" s="1" a="1"/>
  <c r="G22" i="90" s="1"/>
  <c r="E61" i="90" s="1" a="1"/>
  <c r="E61" i="90" s="1"/>
  <c r="E19" i="90" a="1"/>
  <c r="E19" i="90" s="1"/>
  <c r="G19" i="90" s="1" a="1"/>
  <c r="G19" i="90" s="1"/>
  <c r="E58" i="90" s="1" a="1"/>
  <c r="E58" i="90" s="1"/>
  <c r="AH196" i="81" a="1"/>
  <c r="AH196" i="81" s="1"/>
  <c r="AH270" i="81" s="1" a="1"/>
  <c r="AH270" i="81" s="1"/>
  <c r="AH184" i="81" a="1"/>
  <c r="AH184" i="81" s="1"/>
  <c r="AH258" i="81" s="1" a="1"/>
  <c r="AH258" i="81" s="1"/>
  <c r="AE193" i="81" a="1"/>
  <c r="AE193" i="81" s="1"/>
  <c r="AE267" i="81" s="1" a="1"/>
  <c r="AE267" i="81" s="1"/>
  <c r="AE181" i="81" a="1"/>
  <c r="AE181" i="81" s="1"/>
  <c r="AE255" i="81" s="1" a="1"/>
  <c r="AE255" i="81" s="1"/>
  <c r="AA199" i="81" a="1"/>
  <c r="AA199" i="81" s="1"/>
  <c r="AA273" i="81" s="1" a="1"/>
  <c r="AA273" i="81" s="1"/>
  <c r="AA187" i="81" a="1"/>
  <c r="AA187" i="81" s="1"/>
  <c r="AA261" i="81" s="1" a="1"/>
  <c r="AA261" i="81" s="1"/>
  <c r="Z199" i="81" a="1"/>
  <c r="Z199" i="81" s="1"/>
  <c r="Z273" i="81" s="1" a="1"/>
  <c r="Z273" i="81" s="1"/>
  <c r="Z187" i="81" a="1"/>
  <c r="Z187" i="81" s="1"/>
  <c r="Z261" i="81" s="1" a="1"/>
  <c r="Z261" i="81" s="1"/>
  <c r="AG193" i="81" a="1"/>
  <c r="AG193" i="81" s="1"/>
  <c r="AG267" i="81" s="1" a="1"/>
  <c r="AG267" i="81" s="1"/>
  <c r="AG181" i="81" a="1"/>
  <c r="AG181" i="81" s="1"/>
  <c r="AG255" i="81" s="1" a="1"/>
  <c r="AG255" i="81" s="1"/>
  <c r="AF193" i="81" a="1"/>
  <c r="AF193" i="81" s="1"/>
  <c r="AF267" i="81" s="1" a="1"/>
  <c r="AF267" i="81" s="1"/>
  <c r="AF181" i="81" a="1"/>
  <c r="AF181" i="81" s="1"/>
  <c r="AF255" i="81" s="1" a="1"/>
  <c r="AF255" i="81" s="1"/>
  <c r="E25" i="92"/>
  <c r="H25" i="92" s="1" a="1"/>
  <c r="H25" i="92" s="1"/>
  <c r="H26" i="92" a="1"/>
  <c r="H26" i="92" s="1"/>
  <c r="H27" i="92" a="1"/>
  <c r="H27" i="92" s="1"/>
  <c r="AB194" i="81" a="1"/>
  <c r="AB194" i="81" s="1"/>
  <c r="AB268" i="81" s="1" a="1"/>
  <c r="AB268" i="81" s="1"/>
  <c r="AB182" i="81" a="1"/>
  <c r="AB182" i="81" s="1"/>
  <c r="AB256" i="81" s="1" a="1"/>
  <c r="AB256" i="81" s="1"/>
  <c r="O179" i="81" a="1"/>
  <c r="O179" i="81" s="1"/>
  <c r="O237" i="81" s="1" a="1"/>
  <c r="O237" i="81" s="1"/>
  <c r="O183" i="81" a="1"/>
  <c r="O183" i="81" s="1"/>
  <c r="O241" i="81" s="1" a="1"/>
  <c r="O241" i="81" s="1"/>
  <c r="N183" i="81" a="1"/>
  <c r="N183" i="81" s="1"/>
  <c r="N241" i="81" s="1" a="1"/>
  <c r="N241" i="81" s="1"/>
  <c r="N179" i="81" a="1"/>
  <c r="N179" i="81" s="1"/>
  <c r="N237" i="81" s="1" a="1"/>
  <c r="N237" i="81" s="1"/>
  <c r="AH192" i="81" a="1"/>
  <c r="AH192" i="81" s="1"/>
  <c r="AH266" i="81" s="1" a="1"/>
  <c r="AH266" i="81" s="1"/>
  <c r="AH180" i="81" a="1"/>
  <c r="AH180" i="81" s="1"/>
  <c r="AH254" i="81" s="1" a="1"/>
  <c r="AH254" i="81" s="1"/>
  <c r="AA193" i="81" a="1"/>
  <c r="AA193" i="81" s="1"/>
  <c r="AA267" i="81" s="1" a="1"/>
  <c r="AA267" i="81" s="1"/>
  <c r="AA181" i="81" a="1"/>
  <c r="AA181" i="81" s="1"/>
  <c r="AA255" i="81" s="1" a="1"/>
  <c r="AA255" i="81" s="1"/>
  <c r="Z184" i="81" a="1"/>
  <c r="Z184" i="81" s="1"/>
  <c r="Z258" i="81" s="1" a="1"/>
  <c r="Z258" i="81" s="1"/>
  <c r="Z196" i="81" a="1"/>
  <c r="Z196" i="81" s="1"/>
  <c r="Z270" i="81" s="1" a="1"/>
  <c r="Z270" i="81" s="1"/>
  <c r="O180" i="81" a="1"/>
  <c r="O180" i="81" s="1"/>
  <c r="O238" i="81" s="1" a="1"/>
  <c r="O238" i="81" s="1"/>
  <c r="O184" i="81" a="1"/>
  <c r="O184" i="81" s="1"/>
  <c r="O242" i="81" s="1" a="1"/>
  <c r="O242" i="81" s="1"/>
  <c r="AG187" i="81" a="1"/>
  <c r="AG187" i="81" s="1"/>
  <c r="AG261" i="81" s="1" a="1"/>
  <c r="AG261" i="81" s="1"/>
  <c r="AG199" i="81" a="1"/>
  <c r="AG199" i="81" s="1"/>
  <c r="AG273" i="81" s="1" a="1"/>
  <c r="AG273" i="81" s="1"/>
  <c r="AG200" i="81" a="1"/>
  <c r="AG200" i="81" s="1"/>
  <c r="AG274" i="81" s="1" a="1"/>
  <c r="AG274" i="81" s="1"/>
  <c r="AG188" i="81" a="1"/>
  <c r="AG188" i="81" s="1"/>
  <c r="AG262" i="81" s="1" a="1"/>
  <c r="AG262" i="81" s="1"/>
  <c r="AF185" i="81" a="1"/>
  <c r="AF185" i="81" s="1"/>
  <c r="AF259" i="81" s="1" a="1"/>
  <c r="AF259" i="81" s="1"/>
  <c r="AF197" i="81" a="1"/>
  <c r="AF197" i="81" s="1"/>
  <c r="AF271" i="81" s="1" a="1"/>
  <c r="AF271" i="81" s="1"/>
  <c r="Y194" i="81" a="1"/>
  <c r="Y194" i="81" s="1"/>
  <c r="Y268" i="81" s="1" a="1"/>
  <c r="Y268" i="81" s="1"/>
  <c r="Y182" i="81" a="1"/>
  <c r="Y182" i="81" s="1"/>
  <c r="Y256" i="81" s="1" a="1"/>
  <c r="Y256" i="81" s="1"/>
  <c r="AD197" i="81" a="1"/>
  <c r="AD197" i="81" s="1"/>
  <c r="AD271" i="81" s="1" a="1"/>
  <c r="AD271" i="81" s="1"/>
  <c r="J17" i="117"/>
  <c r="J14" i="117" s="1"/>
  <c r="J37" i="107"/>
  <c r="J34" i="107" s="1" a="1"/>
  <c r="J34" i="107" s="1"/>
  <c r="K48" i="91"/>
  <c r="K45" i="91" s="1"/>
  <c r="H227" i="82"/>
  <c r="H225" i="82" s="1"/>
  <c r="D4" i="13"/>
  <c r="E30" i="96"/>
  <c r="AD177" i="81" a="1"/>
  <c r="AD177" i="81" s="1"/>
  <c r="AD251" i="81" s="1" a="1"/>
  <c r="AD251" i="81" s="1"/>
  <c r="AD189" i="81" a="1"/>
  <c r="AD189" i="81" s="1"/>
  <c r="AD263" i="81" s="1" a="1"/>
  <c r="AD263" i="81" s="1"/>
  <c r="P45" i="89"/>
  <c r="Q48" i="89"/>
  <c r="Q47" i="89"/>
  <c r="Q49" i="89"/>
  <c r="Q46" i="89"/>
  <c r="AE191" i="81" a="1"/>
  <c r="AE191" i="81" s="1"/>
  <c r="AE265" i="81" s="1" a="1"/>
  <c r="AE265" i="81" s="1"/>
  <c r="AE179" i="81" a="1"/>
  <c r="AE179" i="81" s="1"/>
  <c r="AE253" i="81" s="1" a="1"/>
  <c r="AE253" i="81" s="1"/>
  <c r="AG180" i="81" a="1"/>
  <c r="AG180" i="81" s="1"/>
  <c r="AG254" i="81" s="1" a="1"/>
  <c r="AG254" i="81" s="1"/>
  <c r="AG192" i="81" a="1"/>
  <c r="AG192" i="81" s="1"/>
  <c r="AG266" i="81" s="1" a="1"/>
  <c r="AG266" i="81" s="1"/>
  <c r="AA196" i="81" a="1"/>
  <c r="AA196" i="81" s="1"/>
  <c r="AA270" i="81" s="1" a="1"/>
  <c r="AA270" i="81" s="1"/>
  <c r="AA184" i="81" a="1"/>
  <c r="AA184" i="81" s="1"/>
  <c r="AA258" i="81" s="1" a="1"/>
  <c r="AA258" i="81" s="1"/>
  <c r="Y195" i="81" a="1"/>
  <c r="Y195" i="81" s="1"/>
  <c r="Y269" i="81" s="1" a="1"/>
  <c r="Y269" i="81" s="1"/>
  <c r="Y183" i="81" a="1"/>
  <c r="Y183" i="81" s="1"/>
  <c r="Y257" i="81" s="1" a="1"/>
  <c r="Y257" i="81" s="1"/>
  <c r="AE183" i="81" a="1"/>
  <c r="AE183" i="81" s="1"/>
  <c r="AE257" i="81" s="1" a="1"/>
  <c r="AE257" i="81" s="1"/>
  <c r="AE195" i="81" a="1"/>
  <c r="AE195" i="81" s="1"/>
  <c r="AE269" i="81" s="1" a="1"/>
  <c r="AE269" i="81" s="1"/>
  <c r="AE189" i="81" a="1"/>
  <c r="AE189" i="81" s="1"/>
  <c r="AE263" i="81" s="1" a="1"/>
  <c r="AE263" i="81" s="1"/>
  <c r="AE177" i="81" a="1"/>
  <c r="AE177" i="81" s="1"/>
  <c r="AE251" i="81" s="1" a="1"/>
  <c r="AE251" i="81" s="1"/>
  <c r="M177" i="81" a="1"/>
  <c r="M177" i="81" s="1"/>
  <c r="M235" i="81" s="1" a="1"/>
  <c r="M235" i="81" s="1"/>
  <c r="M181" i="81" a="1"/>
  <c r="M181" i="81" s="1"/>
  <c r="M239" i="81" s="1" a="1"/>
  <c r="M239" i="81" s="1"/>
  <c r="M183" i="81" a="1"/>
  <c r="M183" i="81" s="1"/>
  <c r="M241" i="81" s="1" a="1"/>
  <c r="M241" i="81" s="1"/>
  <c r="M179" i="81" a="1"/>
  <c r="M179" i="81" s="1"/>
  <c r="M237" i="81" s="1" a="1"/>
  <c r="M237" i="81" s="1"/>
  <c r="AC189" i="81" a="1"/>
  <c r="AC189" i="81" s="1"/>
  <c r="AC263" i="81" s="1" a="1"/>
  <c r="AC263" i="81" s="1"/>
  <c r="AC177" i="81" a="1"/>
  <c r="AC177" i="81" s="1"/>
  <c r="AC251" i="81" s="1" a="1"/>
  <c r="AC251" i="81" s="1"/>
  <c r="AD190" i="81" a="1"/>
  <c r="AD190" i="81" s="1"/>
  <c r="AD264" i="81" s="1" a="1"/>
  <c r="AD264" i="81" s="1"/>
  <c r="AD178" i="81" a="1"/>
  <c r="AD178" i="81" s="1"/>
  <c r="AD252" i="81" s="1" a="1"/>
  <c r="AD252" i="81" s="1"/>
  <c r="AG182" i="81" a="1"/>
  <c r="AG182" i="81" s="1"/>
  <c r="AG256" i="81" s="1" a="1"/>
  <c r="AG256" i="81" s="1"/>
  <c r="AG194" i="81" a="1"/>
  <c r="AG194" i="81" s="1"/>
  <c r="AG268" i="81" s="1" a="1"/>
  <c r="AG268" i="81" s="1"/>
  <c r="Y200" i="81" a="1"/>
  <c r="Y200" i="81" s="1"/>
  <c r="Y274" i="81" s="1" a="1"/>
  <c r="Y274" i="81" s="1"/>
  <c r="Y188" i="81" a="1"/>
  <c r="Y188" i="81" s="1"/>
  <c r="Y262" i="81" s="1" a="1"/>
  <c r="Y262" i="81" s="1"/>
  <c r="Y178" i="81" a="1"/>
  <c r="Y178" i="81" s="1"/>
  <c r="Y252" i="81" s="1" a="1"/>
  <c r="Y252" i="81" s="1"/>
  <c r="Y190" i="81" a="1"/>
  <c r="Y190" i="81" s="1"/>
  <c r="Y264" i="81" s="1" a="1"/>
  <c r="Y264" i="81" s="1"/>
  <c r="AG191" i="81" a="1"/>
  <c r="AG191" i="81" s="1"/>
  <c r="AG265" i="81" s="1" a="1"/>
  <c r="AG265" i="81" s="1"/>
  <c r="AG179" i="81" a="1"/>
  <c r="AG179" i="81" s="1"/>
  <c r="AG253" i="81" s="1" a="1"/>
  <c r="AG253" i="81" s="1"/>
  <c r="AH183" i="81" a="1"/>
  <c r="AH183" i="81" s="1"/>
  <c r="AH257" i="81" s="1" a="1"/>
  <c r="AH257" i="81" s="1"/>
  <c r="AH195" i="81" a="1"/>
  <c r="AH195" i="81" s="1"/>
  <c r="AH269" i="81" s="1" a="1"/>
  <c r="AH269" i="81" s="1"/>
  <c r="Y191" i="81" a="1"/>
  <c r="Y191" i="81" s="1"/>
  <c r="Y265" i="81" s="1" a="1"/>
  <c r="Y265" i="81" s="1"/>
  <c r="Y179" i="81" a="1"/>
  <c r="Y179" i="81" s="1"/>
  <c r="Y253" i="81" s="1" a="1"/>
  <c r="Y253" i="81" s="1"/>
  <c r="I178" i="81" a="1"/>
  <c r="I178" i="81" s="1"/>
  <c r="I236" i="81" s="1" a="1"/>
  <c r="I236" i="81" s="1"/>
  <c r="I182" i="81" a="1"/>
  <c r="I182" i="81" s="1"/>
  <c r="I240" i="81" s="1" a="1"/>
  <c r="I240" i="81" s="1"/>
  <c r="H178" i="81" a="1"/>
  <c r="H178" i="81" s="1"/>
  <c r="H236" i="81" s="1" a="1"/>
  <c r="H236" i="81" s="1"/>
  <c r="H182" i="81" a="1"/>
  <c r="H182" i="81" s="1"/>
  <c r="H240" i="81" s="1" a="1"/>
  <c r="H240" i="81" s="1"/>
  <c r="H177" i="81" a="1"/>
  <c r="H177" i="81" s="1"/>
  <c r="H235" i="81" s="1" a="1"/>
  <c r="H235" i="81" s="1"/>
  <c r="H181" i="81" a="1"/>
  <c r="H181" i="81" s="1"/>
  <c r="H239" i="81" s="1" a="1"/>
  <c r="H239" i="81" s="1"/>
  <c r="AC199" i="81" a="1"/>
  <c r="AC199" i="81" s="1"/>
  <c r="AC273" i="81" s="1" a="1"/>
  <c r="AC273" i="81" s="1"/>
  <c r="AC187" i="81" a="1"/>
  <c r="AC187" i="81" s="1"/>
  <c r="AC261" i="81" s="1" a="1"/>
  <c r="AC261" i="81" s="1"/>
  <c r="E518" i="116" a="1"/>
  <c r="E518" i="116" s="1"/>
  <c r="F66" i="13"/>
  <c r="F74" i="13" s="1"/>
  <c r="F68" i="13"/>
  <c r="F76" i="13" s="1"/>
  <c r="F22" i="13"/>
  <c r="I22" i="13" s="1" a="1"/>
  <c r="I22" i="13" s="1"/>
  <c r="H22" i="13" a="1"/>
  <c r="H22" i="13" s="1"/>
  <c r="F21" i="13"/>
  <c r="I21" i="13" s="1" a="1"/>
  <c r="I21" i="13" s="1"/>
  <c r="F24" i="13"/>
  <c r="I24" i="13" s="1" a="1"/>
  <c r="I24" i="13" s="1"/>
  <c r="H24" i="13" a="1"/>
  <c r="H24" i="13" s="1"/>
  <c r="E50" i="13"/>
  <c r="E49" i="13"/>
  <c r="D37" i="13"/>
  <c r="F39" i="13"/>
  <c r="E39" i="13"/>
  <c r="D48" i="13"/>
  <c r="E48" i="13" s="1"/>
  <c r="F26" i="13"/>
  <c r="I26" i="13" s="1"/>
  <c r="F20" i="13"/>
  <c r="I20" i="13" s="1"/>
  <c r="F23" i="13"/>
  <c r="I23" i="13" s="1"/>
  <c r="F25" i="13"/>
  <c r="I25" i="13" s="1" a="1"/>
  <c r="I25" i="13" s="1"/>
  <c r="X276" i="81" l="1"/>
  <c r="E244" i="81"/>
  <c r="E71" i="89" a="1"/>
  <c r="E71" i="89" s="1"/>
  <c r="E34" i="94"/>
  <c r="F34" i="94" s="1" a="1"/>
  <c r="F34" i="94" s="1"/>
  <c r="E30" i="93"/>
  <c r="H30" i="93" s="1" a="1"/>
  <c r="H30" i="93" s="1"/>
  <c r="E70" i="93" s="1"/>
  <c r="F70" i="93" s="1" a="1"/>
  <c r="F70" i="93" s="1"/>
  <c r="E62" i="89" a="1"/>
  <c r="E62" i="89" s="1"/>
  <c r="E25" i="94"/>
  <c r="F25" i="94" s="1" a="1"/>
  <c r="F25" i="94" s="1"/>
  <c r="E21" i="93"/>
  <c r="H21" i="93" s="1" a="1"/>
  <c r="H21" i="93" s="1"/>
  <c r="E61" i="93" s="1"/>
  <c r="F61" i="93" s="1" a="1"/>
  <c r="F61" i="93" s="1"/>
  <c r="E63" i="89" a="1"/>
  <c r="E63" i="89" s="1"/>
  <c r="E26" i="94"/>
  <c r="F26" i="94" s="1" a="1"/>
  <c r="F26" i="94" s="1"/>
  <c r="E22" i="93"/>
  <c r="H22" i="93" s="1" a="1"/>
  <c r="H22" i="93" s="1"/>
  <c r="E62" i="93" s="1"/>
  <c r="F62" i="93" s="1" a="1"/>
  <c r="F62" i="93" s="1"/>
  <c r="E73" i="89" a="1"/>
  <c r="E73" i="89" s="1"/>
  <c r="E32" i="93"/>
  <c r="H32" i="93" s="1" a="1"/>
  <c r="H32" i="93" s="1"/>
  <c r="E72" i="93" s="1"/>
  <c r="F72" i="93" s="1" a="1"/>
  <c r="F72" i="93" s="1"/>
  <c r="E36" i="94"/>
  <c r="F36" i="94" s="1" a="1"/>
  <c r="F36" i="94" s="1"/>
  <c r="E67" i="89" a="1"/>
  <c r="E67" i="89" s="1"/>
  <c r="E30" i="94"/>
  <c r="F30" i="94" s="1" a="1"/>
  <c r="F30" i="94" s="1"/>
  <c r="E26" i="93"/>
  <c r="H26" i="93" s="1" a="1"/>
  <c r="H26" i="93" s="1"/>
  <c r="E66" i="93" s="1"/>
  <c r="F66" i="93" s="1" a="1"/>
  <c r="F66" i="93" s="1"/>
  <c r="E74" i="89" a="1"/>
  <c r="E74" i="89" s="1"/>
  <c r="E33" i="93"/>
  <c r="H33" i="93" s="1" a="1"/>
  <c r="H33" i="93" s="1"/>
  <c r="E73" i="93" s="1"/>
  <c r="F73" i="93" s="1" a="1"/>
  <c r="F73" i="93" s="1"/>
  <c r="E37" i="94"/>
  <c r="F37" i="94" s="1" a="1"/>
  <c r="F37" i="94" s="1"/>
  <c r="E103" i="93"/>
  <c r="F103" i="93" s="1" a="1"/>
  <c r="F103" i="93" s="1"/>
  <c r="E135" i="93" s="1"/>
  <c r="F135" i="93" s="1" a="1"/>
  <c r="F135" i="93" s="1"/>
  <c r="E66" i="94"/>
  <c r="F66" i="94" s="1" a="1"/>
  <c r="F66" i="94" s="1"/>
  <c r="U45" i="89"/>
  <c r="Q45" i="89"/>
  <c r="P87" i="89" s="1" a="1"/>
  <c r="P87" i="89" s="1"/>
  <c r="E68" i="89" a="1"/>
  <c r="E68" i="89" s="1"/>
  <c r="E27" i="93"/>
  <c r="H27" i="93" s="1" a="1"/>
  <c r="H27" i="93" s="1"/>
  <c r="E67" i="93" s="1"/>
  <c r="F67" i="93" s="1" a="1"/>
  <c r="F67" i="93" s="1"/>
  <c r="E31" i="94"/>
  <c r="F31" i="94" s="1" a="1"/>
  <c r="F31" i="94" s="1"/>
  <c r="E104" i="93"/>
  <c r="F104" i="93" s="1" a="1"/>
  <c r="F104" i="93" s="1"/>
  <c r="E136" i="93" s="1"/>
  <c r="F136" i="93" s="1" a="1"/>
  <c r="F136" i="93" s="1"/>
  <c r="E67" i="94"/>
  <c r="F67" i="94" s="1" a="1"/>
  <c r="F67" i="94" s="1"/>
  <c r="E20" i="93"/>
  <c r="H20" i="93" s="1" a="1"/>
  <c r="H20" i="93" s="1"/>
  <c r="E60" i="93" s="1"/>
  <c r="F60" i="93" s="1" a="1"/>
  <c r="F60" i="93" s="1"/>
  <c r="E61" i="89" a="1"/>
  <c r="E61" i="89" s="1"/>
  <c r="E24" i="94"/>
  <c r="F24" i="94" s="1" a="1"/>
  <c r="F24" i="94" s="1"/>
  <c r="E76" i="89" a="1"/>
  <c r="E76" i="89" s="1"/>
  <c r="E39" i="94"/>
  <c r="F39" i="94" s="1" a="1"/>
  <c r="F39" i="94" s="1"/>
  <c r="E35" i="93"/>
  <c r="H35" i="93" s="1" a="1"/>
  <c r="H35" i="93" s="1"/>
  <c r="E75" i="93" s="1"/>
  <c r="F75" i="93" s="1" a="1"/>
  <c r="F75" i="93" s="1"/>
  <c r="P98" i="89" a="1"/>
  <c r="P98" i="89" s="1"/>
  <c r="E75" i="89" a="1"/>
  <c r="E75" i="89" s="1"/>
  <c r="E38" i="94"/>
  <c r="F38" i="94" s="1" a="1"/>
  <c r="F38" i="94" s="1"/>
  <c r="E34" i="93"/>
  <c r="H34" i="93" s="1" a="1"/>
  <c r="H34" i="93" s="1"/>
  <c r="E74" i="93" s="1"/>
  <c r="F74" i="93" s="1" a="1"/>
  <c r="F74" i="93" s="1"/>
  <c r="P88" i="89" a="1"/>
  <c r="P88" i="89" s="1"/>
  <c r="I37" i="96"/>
  <c r="E41" i="96" s="1"/>
  <c r="I47" i="96"/>
  <c r="I48" i="96"/>
  <c r="I38" i="96"/>
  <c r="I39" i="96"/>
  <c r="I46" i="96"/>
  <c r="E31" i="92"/>
  <c r="E15" i="13" s="1" a="1"/>
  <c r="E15" i="13" s="1"/>
  <c r="E64" i="89" a="1"/>
  <c r="E64" i="89" s="1"/>
  <c r="E27" i="94"/>
  <c r="F27" i="94" s="1" a="1"/>
  <c r="F27" i="94" s="1"/>
  <c r="E23" i="93"/>
  <c r="H23" i="93" s="1" a="1"/>
  <c r="H23" i="93" s="1"/>
  <c r="E63" i="93" s="1"/>
  <c r="F63" i="93" s="1" a="1"/>
  <c r="F63" i="93" s="1"/>
  <c r="E25" i="93"/>
  <c r="H25" i="93" s="1" a="1"/>
  <c r="H25" i="93" s="1"/>
  <c r="E65" i="93" s="1"/>
  <c r="F65" i="93" s="1" a="1"/>
  <c r="F65" i="93" s="1"/>
  <c r="E29" i="94"/>
  <c r="F29" i="94" s="1" a="1"/>
  <c r="F29" i="94" s="1"/>
  <c r="E66" i="89" a="1"/>
  <c r="E66" i="89" s="1"/>
  <c r="F305" i="116"/>
  <c r="I308" i="116" a="1"/>
  <c r="I308" i="116" s="1"/>
  <c r="J308" i="116" a="1"/>
  <c r="J308" i="116" s="1"/>
  <c r="J314" i="116" a="1"/>
  <c r="J314" i="116" s="1"/>
  <c r="J306" i="116" a="1"/>
  <c r="J306" i="116" s="1"/>
  <c r="J307" i="116" a="1"/>
  <c r="J307" i="116" s="1"/>
  <c r="I311" i="116" a="1"/>
  <c r="I311" i="116" s="1"/>
  <c r="I306" i="116" a="1"/>
  <c r="I306" i="116" s="1"/>
  <c r="I314" i="116" a="1"/>
  <c r="I314" i="116" s="1"/>
  <c r="I307" i="116" a="1"/>
  <c r="I307" i="116" s="1"/>
  <c r="I313" i="116" a="1"/>
  <c r="I313" i="116" s="1"/>
  <c r="J312" i="116" a="1"/>
  <c r="J312" i="116" s="1"/>
  <c r="J311" i="116" a="1"/>
  <c r="J311" i="116" s="1"/>
  <c r="I309" i="116" a="1"/>
  <c r="I309" i="116" s="1"/>
  <c r="J310" i="116" a="1"/>
  <c r="J310" i="116" s="1"/>
  <c r="J313" i="116" a="1"/>
  <c r="J313" i="116" s="1"/>
  <c r="I312" i="116" a="1"/>
  <c r="I312" i="116" s="1"/>
  <c r="I310" i="116" a="1"/>
  <c r="I310" i="116" s="1"/>
  <c r="J309" i="116" a="1"/>
  <c r="J309" i="116" s="1"/>
  <c r="E19" i="93"/>
  <c r="H19" i="93" s="1" a="1"/>
  <c r="H19" i="93" s="1"/>
  <c r="E59" i="93" s="1"/>
  <c r="F59" i="93" s="1" a="1"/>
  <c r="F59" i="93" s="1"/>
  <c r="E60" i="89" a="1"/>
  <c r="E60" i="89" s="1"/>
  <c r="E23" i="94"/>
  <c r="F23" i="94" s="1" a="1"/>
  <c r="F23" i="94" s="1"/>
  <c r="E70" i="89" a="1"/>
  <c r="E70" i="89" s="1"/>
  <c r="E33" i="94"/>
  <c r="F33" i="94" s="1" a="1"/>
  <c r="F33" i="94" s="1"/>
  <c r="E29" i="93"/>
  <c r="H29" i="93" s="1" a="1"/>
  <c r="H29" i="93" s="1"/>
  <c r="E69" i="93" s="1"/>
  <c r="F69" i="93" s="1" a="1"/>
  <c r="F69" i="93" s="1"/>
  <c r="E65" i="94"/>
  <c r="F65" i="94" s="1" a="1"/>
  <c r="F65" i="94" s="1"/>
  <c r="E77" i="94" s="1"/>
  <c r="J90" i="94" s="1"/>
  <c r="E102" i="93"/>
  <c r="F102" i="93" s="1" a="1"/>
  <c r="F102" i="93" s="1"/>
  <c r="E134" i="93" s="1"/>
  <c r="F134" i="93" s="1" a="1"/>
  <c r="F134" i="93" s="1"/>
  <c r="E32" i="91"/>
  <c r="K44" i="91" s="1"/>
  <c r="E50" i="91" s="1" a="1"/>
  <c r="E50" i="91" s="1"/>
  <c r="P100" i="89" a="1"/>
  <c r="P100" i="89" s="1"/>
  <c r="J237" i="116" a="1"/>
  <c r="J237" i="116" s="1"/>
  <c r="K237" i="116" a="1"/>
  <c r="K237" i="116" s="1"/>
  <c r="H237" i="116" a="1"/>
  <c r="H237" i="116" s="1"/>
  <c r="G237" i="116" a="1"/>
  <c r="G237" i="116" s="1"/>
  <c r="P97" i="89" a="1"/>
  <c r="P97" i="89" s="1"/>
  <c r="P91" i="89" a="1"/>
  <c r="P91" i="89" s="1"/>
  <c r="E65" i="89" a="1"/>
  <c r="E65" i="89" s="1"/>
  <c r="E24" i="93"/>
  <c r="H24" i="93" s="1" a="1"/>
  <c r="H24" i="93" s="1"/>
  <c r="E64" i="93" s="1"/>
  <c r="F64" i="93" s="1" a="1"/>
  <c r="F64" i="93" s="1"/>
  <c r="E28" i="94"/>
  <c r="F28" i="94" s="1" a="1"/>
  <c r="F28" i="94" s="1"/>
  <c r="P90" i="89" a="1"/>
  <c r="P90" i="89" s="1"/>
  <c r="E77" i="89" a="1"/>
  <c r="E77" i="89" s="1"/>
  <c r="E36" i="93"/>
  <c r="H36" i="93" s="1" a="1"/>
  <c r="H36" i="93" s="1"/>
  <c r="E76" i="93" s="1"/>
  <c r="F76" i="93" s="1" a="1"/>
  <c r="F76" i="93" s="1"/>
  <c r="E40" i="94"/>
  <c r="F40" i="94" s="1" a="1"/>
  <c r="F40" i="94" s="1"/>
  <c r="P99" i="89" a="1"/>
  <c r="P99" i="89" s="1"/>
  <c r="E78" i="90"/>
  <c r="E13" i="13" s="1" a="1"/>
  <c r="E13" i="13" s="1"/>
  <c r="E72" i="89" a="1"/>
  <c r="E72" i="89" s="1"/>
  <c r="E31" i="93"/>
  <c r="H31" i="93" s="1" a="1"/>
  <c r="H31" i="93" s="1"/>
  <c r="E71" i="93" s="1"/>
  <c r="F71" i="93" s="1" a="1"/>
  <c r="F71" i="93" s="1"/>
  <c r="E35" i="94"/>
  <c r="F35" i="94" s="1" a="1"/>
  <c r="F35" i="94" s="1"/>
  <c r="E69" i="89" a="1"/>
  <c r="E69" i="89" s="1"/>
  <c r="E32" i="94"/>
  <c r="F32" i="94" s="1" a="1"/>
  <c r="F32" i="94" s="1"/>
  <c r="E28" i="93"/>
  <c r="H28" i="93" s="1" a="1"/>
  <c r="H28" i="93" s="1"/>
  <c r="E68" i="93" s="1"/>
  <c r="F68" i="93" s="1" a="1"/>
  <c r="F68" i="93" s="1"/>
  <c r="E40" i="107" a="1"/>
  <c r="E40" i="107" s="1"/>
  <c r="O40" i="107" a="1"/>
  <c r="O40" i="107" s="1"/>
  <c r="O19" i="117" a="1"/>
  <c r="O19" i="117" s="1"/>
  <c r="R569" i="116" s="1"/>
  <c r="M573" i="116" s="1" a="1"/>
  <c r="M573" i="116" s="1"/>
  <c r="O575" i="116" s="1"/>
  <c r="M578" i="116" s="1" a="1"/>
  <c r="M578" i="116" s="1"/>
  <c r="E19" i="117" a="1"/>
  <c r="E19" i="117" s="1"/>
  <c r="J569" i="116" s="1"/>
  <c r="E573" i="116" s="1" a="1"/>
  <c r="E573" i="116" s="1"/>
  <c r="G575" i="116" s="1"/>
  <c r="E578" i="116" s="1" a="1"/>
  <c r="E578" i="116" s="1"/>
  <c r="E78" i="89" a="1"/>
  <c r="E78" i="89" s="1"/>
  <c r="E41" i="94"/>
  <c r="F41" i="94" s="1" a="1"/>
  <c r="F41" i="94" s="1"/>
  <c r="E37" i="93"/>
  <c r="H37" i="93" s="1" a="1"/>
  <c r="H37" i="93" s="1"/>
  <c r="E77" i="93" s="1"/>
  <c r="F77" i="93" s="1" a="1"/>
  <c r="F77" i="93" s="1"/>
  <c r="K222" i="116" a="1"/>
  <c r="K222" i="116" s="1"/>
  <c r="H223" i="116" a="1"/>
  <c r="H223" i="116" s="1"/>
  <c r="K224" i="116" a="1"/>
  <c r="K224" i="116" s="1"/>
  <c r="K226" i="116" a="1"/>
  <c r="K226" i="116" s="1"/>
  <c r="H224" i="116" a="1"/>
  <c r="H224" i="116" s="1"/>
  <c r="K223" i="116" a="1"/>
  <c r="K223" i="116" s="1"/>
  <c r="H225" i="116" a="1"/>
  <c r="H225" i="116" s="1"/>
  <c r="K228" i="116" a="1"/>
  <c r="K228" i="116" s="1"/>
  <c r="K230" i="116" a="1"/>
  <c r="K230" i="116" s="1"/>
  <c r="H228" i="116" a="1"/>
  <c r="H228" i="116" s="1"/>
  <c r="H226" i="116" a="1"/>
  <c r="H226" i="116" s="1"/>
  <c r="K225" i="116" a="1"/>
  <c r="K225" i="116" s="1"/>
  <c r="H222" i="116" a="1"/>
  <c r="H222" i="116" s="1"/>
  <c r="H230" i="116" a="1"/>
  <c r="H230" i="116" s="1"/>
  <c r="H229" i="116" a="1"/>
  <c r="H229" i="116" s="1"/>
  <c r="J228" i="116" a="1"/>
  <c r="J228" i="116" s="1"/>
  <c r="J229" i="116" a="1"/>
  <c r="J229" i="116" s="1"/>
  <c r="K227" i="116" a="1"/>
  <c r="K227" i="116" s="1"/>
  <c r="J226" i="116" a="1"/>
  <c r="J226" i="116" s="1"/>
  <c r="J224" i="116" a="1"/>
  <c r="J224" i="116" s="1"/>
  <c r="J222" i="116" a="1"/>
  <c r="J222" i="116" s="1"/>
  <c r="K229" i="116" a="1"/>
  <c r="K229" i="116" s="1"/>
  <c r="J230" i="116" a="1"/>
  <c r="J230" i="116" s="1"/>
  <c r="H227" i="116" a="1"/>
  <c r="H227" i="116" s="1"/>
  <c r="G222" i="116" a="1"/>
  <c r="G222" i="116" s="1"/>
  <c r="J227" i="116" a="1"/>
  <c r="J227" i="116" s="1"/>
  <c r="J225" i="116" a="1"/>
  <c r="J225" i="116" s="1"/>
  <c r="E221" i="116"/>
  <c r="J223" i="116" a="1"/>
  <c r="J223" i="116" s="1"/>
  <c r="G224" i="116" a="1"/>
  <c r="G224" i="116" s="1"/>
  <c r="G223" i="116" a="1"/>
  <c r="G223" i="116" s="1"/>
  <c r="G228" i="116" a="1"/>
  <c r="G228" i="116" s="1"/>
  <c r="G229" i="116" a="1"/>
  <c r="G229" i="116" s="1"/>
  <c r="G226" i="116" a="1"/>
  <c r="G226" i="116" s="1"/>
  <c r="U55" i="89"/>
  <c r="G64" i="13"/>
  <c r="G65" i="13" s="1"/>
  <c r="F67" i="13"/>
  <c r="F75" i="13" s="1"/>
  <c r="G66" i="13"/>
  <c r="G67" i="13" s="1"/>
  <c r="E53" i="13"/>
  <c r="E37" i="13"/>
  <c r="F37" i="13"/>
  <c r="I305" i="116" l="1" a="1"/>
  <c r="I305" i="116" s="1"/>
  <c r="E316" i="116" s="1"/>
  <c r="J305" i="116" a="1"/>
  <c r="J305" i="116" s="1"/>
  <c r="E317" i="116" s="1"/>
  <c r="F13" i="13"/>
  <c r="I13" i="13" s="1"/>
  <c r="H13" i="13"/>
  <c r="G52" i="91"/>
  <c r="E55" i="91" s="1" a="1"/>
  <c r="E55" i="91" s="1"/>
  <c r="E14" i="13" a="1"/>
  <c r="E14" i="13" s="1"/>
  <c r="E146" i="93"/>
  <c r="N108" i="89"/>
  <c r="G42" i="107"/>
  <c r="E45" i="107" s="1" a="1"/>
  <c r="E45" i="107" s="1"/>
  <c r="E18" i="13" a="1"/>
  <c r="E18" i="13" s="1"/>
  <c r="H18" i="13" s="1" a="1"/>
  <c r="H18" i="13" s="1"/>
  <c r="Q42" i="107"/>
  <c r="O45" i="107" s="1" a="1"/>
  <c r="O45" i="107" s="1"/>
  <c r="F18" i="13" a="1"/>
  <c r="F18" i="13" s="1"/>
  <c r="I18" i="13" s="1" a="1"/>
  <c r="I18" i="13" s="1"/>
  <c r="E43" i="94"/>
  <c r="J89" i="94" s="1"/>
  <c r="E94" i="94" s="1" a="1"/>
  <c r="E94" i="94" s="1"/>
  <c r="F15" i="13"/>
  <c r="I15" i="13" s="1"/>
  <c r="H15" i="13"/>
  <c r="E80" i="89"/>
  <c r="E50" i="96"/>
  <c r="I550" i="116"/>
  <c r="J34" i="97"/>
  <c r="J221" i="116" a="1"/>
  <c r="J221" i="116" s="1"/>
  <c r="E249" i="116" s="1"/>
  <c r="K221" i="116" a="1"/>
  <c r="K221" i="116" s="1"/>
  <c r="E252" i="116" s="1"/>
  <c r="G221" i="116" a="1"/>
  <c r="G221" i="116" s="1"/>
  <c r="E248" i="116" s="1"/>
  <c r="H221" i="116" a="1"/>
  <c r="H221" i="116" s="1"/>
  <c r="E251" i="116" s="1"/>
  <c r="E79" i="93"/>
  <c r="G81" i="93" s="1"/>
  <c r="E84" i="93" s="1" a="1"/>
  <c r="E84" i="93" s="1"/>
  <c r="G130" i="87"/>
  <c r="E133" i="87" s="1" a="1"/>
  <c r="E133" i="87" s="1"/>
  <c r="G96" i="94" l="1"/>
  <c r="E99" i="94" s="1" a="1"/>
  <c r="E99" i="94" s="1"/>
  <c r="E17" i="13" a="1"/>
  <c r="E17" i="13" s="1"/>
  <c r="P110" i="89"/>
  <c r="N113" i="89" s="1" a="1"/>
  <c r="N113" i="89" s="1"/>
  <c r="F12" i="13" a="1"/>
  <c r="F12" i="13" s="1"/>
  <c r="I12" i="13" s="1" a="1"/>
  <c r="I12" i="13" s="1"/>
  <c r="E39" i="97" a="1"/>
  <c r="E39" i="97" s="1"/>
  <c r="E27" i="13" s="1" a="1"/>
  <c r="E27" i="13" s="1"/>
  <c r="I551" i="116"/>
  <c r="E555" i="116" s="1" a="1"/>
  <c r="E555" i="116" s="1"/>
  <c r="J35" i="97"/>
  <c r="G148" i="93"/>
  <c r="E151" i="93" s="1" a="1"/>
  <c r="E151" i="93" s="1"/>
  <c r="E16" i="13" a="1"/>
  <c r="E16" i="13" s="1"/>
  <c r="H14" i="13" a="1"/>
  <c r="H14" i="13" s="1"/>
  <c r="F14" i="13"/>
  <c r="I14" i="13" s="1" a="1"/>
  <c r="I14" i="13" s="1"/>
  <c r="G82" i="89"/>
  <c r="E85" i="89" s="1" a="1"/>
  <c r="E85" i="89" s="1"/>
  <c r="E12" i="13" a="1"/>
  <c r="E12" i="13" s="1"/>
  <c r="H12" i="13" s="1" a="1"/>
  <c r="H12" i="13" s="1"/>
  <c r="E7" i="13" a="1"/>
  <c r="E7" i="13" s="1"/>
  <c r="H7" i="13" s="1" a="1"/>
  <c r="H7" i="13" s="1"/>
  <c r="H16" i="13" l="1" a="1"/>
  <c r="H16" i="13" s="1"/>
  <c r="F16" i="13"/>
  <c r="I16" i="13" s="1" a="1"/>
  <c r="I16" i="13" s="1"/>
  <c r="H27" i="13"/>
  <c r="F27" i="13"/>
  <c r="I27" i="13" s="1"/>
  <c r="H17" i="13" a="1"/>
  <c r="H17" i="13" s="1"/>
  <c r="F17" i="13"/>
  <c r="I17" i="13" s="1" a="1"/>
  <c r="I17" i="13" s="1"/>
  <c r="F7" i="13" a="1"/>
  <c r="F7" i="13" s="1"/>
  <c r="I7" i="13" s="1" a="1"/>
  <c r="I7" i="13" s="1"/>
  <c r="X164" i="87"/>
  <c r="V167" i="87" s="1" a="1"/>
  <c r="V167" i="87" s="1"/>
  <c r="AC59" i="82" l="1"/>
  <c r="AC58" i="82"/>
  <c r="Y60" i="82"/>
  <c r="V57" i="82"/>
  <c r="X67" i="82"/>
  <c r="V63" i="82"/>
  <c r="AC64" i="82"/>
  <c r="Z63" i="82"/>
  <c r="Z57" i="82"/>
  <c r="AE65" i="82"/>
  <c r="Z58" i="82"/>
  <c r="Y58" i="82"/>
  <c r="AB58" i="82"/>
  <c r="AA66" i="82"/>
  <c r="AE59" i="82"/>
  <c r="Y56" i="82"/>
  <c r="Z66" i="82"/>
  <c r="AE60" i="82"/>
  <c r="AC67" i="82"/>
  <c r="W58" i="82"/>
  <c r="AB66" i="82"/>
  <c r="AA63" i="82"/>
  <c r="X66" i="82"/>
  <c r="AE63" i="82"/>
  <c r="Z65" i="82"/>
  <c r="AD66" i="82"/>
  <c r="AD64" i="82"/>
  <c r="W56" i="82"/>
  <c r="X63" i="82"/>
  <c r="AB67" i="82"/>
  <c r="AD60" i="82"/>
  <c r="V58" i="82"/>
  <c r="Y61" i="82"/>
  <c r="X62" i="82"/>
  <c r="AA56" i="82"/>
  <c r="Y67" i="82"/>
  <c r="AB64" i="82"/>
  <c r="W61" i="82"/>
  <c r="V66" i="82"/>
  <c r="AE58" i="82"/>
  <c r="X59" i="82"/>
  <c r="AE67" i="82"/>
  <c r="AA61" i="82"/>
  <c r="AC60" i="82"/>
  <c r="AB57" i="82"/>
  <c r="X58" i="82"/>
  <c r="X65" i="82"/>
  <c r="Y66" i="82"/>
  <c r="AE62" i="82"/>
  <c r="AC57" i="82"/>
  <c r="W62" i="82"/>
  <c r="AE64" i="82"/>
  <c r="AB65" i="82"/>
  <c r="V65" i="82"/>
  <c r="X61" i="82"/>
  <c r="X57" i="82"/>
  <c r="V67" i="82"/>
  <c r="AE61" i="82"/>
  <c r="AB63" i="82"/>
  <c r="W60" i="82"/>
  <c r="W64" i="82"/>
  <c r="AD56" i="82"/>
  <c r="AC62" i="82"/>
  <c r="X64" i="82"/>
  <c r="Y65" i="82"/>
  <c r="W65" i="82"/>
  <c r="AA64" i="82"/>
  <c r="AC66" i="82"/>
  <c r="V62" i="82"/>
  <c r="AD61" i="82"/>
  <c r="Z59" i="82"/>
  <c r="Z61" i="82"/>
  <c r="AA62" i="82"/>
  <c r="X56" i="82"/>
  <c r="V60" i="82"/>
  <c r="W63" i="82"/>
  <c r="AC56" i="82"/>
  <c r="H54" i="82"/>
  <c r="G54" i="82"/>
  <c r="J57" i="82"/>
  <c r="N54" i="82"/>
  <c r="I56" i="82"/>
  <c r="I55" i="82"/>
  <c r="L57" i="82"/>
  <c r="E55" i="82"/>
  <c r="E56" i="82"/>
  <c r="E57" i="82"/>
  <c r="M55" i="82"/>
  <c r="F55" i="82"/>
  <c r="H56" i="82"/>
  <c r="M54" i="82"/>
  <c r="N57" i="82"/>
  <c r="N55" i="82"/>
  <c r="L54" i="82"/>
  <c r="I54" i="82"/>
  <c r="M56" i="82"/>
  <c r="H57" i="82"/>
  <c r="F54" i="82"/>
  <c r="L55" i="82"/>
  <c r="J54" i="82"/>
  <c r="J55" i="82"/>
  <c r="G55" i="82"/>
  <c r="L56" i="82"/>
  <c r="N56" i="82"/>
  <c r="I57" i="82"/>
  <c r="F57" i="82"/>
  <c r="H55" i="82"/>
  <c r="M57" i="82"/>
  <c r="K54" i="82"/>
  <c r="K56" i="82"/>
  <c r="F56" i="82"/>
  <c r="Z67" i="82" l="1"/>
  <c r="AA72" i="82" a="1"/>
  <c r="AA72" i="82" s="1"/>
  <c r="AA136" i="82" s="1" a="1"/>
  <c r="AA136" i="82" s="1"/>
  <c r="AA196" i="82" s="1" a="1"/>
  <c r="AA196" i="82" s="1"/>
  <c r="AA248" i="82" s="1" a="1"/>
  <c r="AA248" i="82" s="1"/>
  <c r="W81" i="82" a="1"/>
  <c r="W81" i="82" s="1"/>
  <c r="W145" i="82" s="1" a="1"/>
  <c r="W145" i="82" s="1"/>
  <c r="W205" i="82" s="1" a="1"/>
  <c r="W205" i="82" s="1"/>
  <c r="W257" i="82" s="1" a="1"/>
  <c r="W257" i="82" s="1"/>
  <c r="W80" i="82" a="1"/>
  <c r="W80" i="82" s="1"/>
  <c r="W144" i="82" s="1" a="1"/>
  <c r="W144" i="82" s="1"/>
  <c r="W204" i="82" s="1" a="1"/>
  <c r="W204" i="82" s="1"/>
  <c r="W256" i="82" s="1" a="1"/>
  <c r="W256" i="82" s="1"/>
  <c r="AE80" i="82" a="1"/>
  <c r="AE80" i="82" s="1"/>
  <c r="AE144" i="82" s="1" a="1"/>
  <c r="AE144" i="82" s="1"/>
  <c r="AE204" i="82" s="1" a="1"/>
  <c r="AE204" i="82" s="1"/>
  <c r="AE256" i="82" s="1" a="1"/>
  <c r="AE256" i="82" s="1"/>
  <c r="AB61" i="82"/>
  <c r="AD57" i="82"/>
  <c r="AE79" i="82" a="1"/>
  <c r="AE79" i="82" s="1"/>
  <c r="AE143" i="82" s="1" a="1"/>
  <c r="AE143" i="82" s="1"/>
  <c r="AE203" i="82" s="1" a="1"/>
  <c r="AE203" i="82" s="1"/>
  <c r="AE255" i="82" s="1" a="1"/>
  <c r="AE255" i="82" s="1"/>
  <c r="AA58" i="82"/>
  <c r="V79" i="82" a="1"/>
  <c r="V79" i="82" s="1"/>
  <c r="V143" i="82" s="1" a="1"/>
  <c r="V143" i="82" s="1"/>
  <c r="V203" i="82" s="1" a="1"/>
  <c r="V203" i="82" s="1"/>
  <c r="V255" i="82" s="1" a="1"/>
  <c r="V255" i="82" s="1"/>
  <c r="AC76" i="82" a="1"/>
  <c r="AC76" i="82" s="1"/>
  <c r="AC140" i="82" s="1" a="1"/>
  <c r="AC140" i="82" s="1"/>
  <c r="AC200" i="82" s="1" a="1"/>
  <c r="AC200" i="82" s="1"/>
  <c r="AC252" i="82" s="1" a="1"/>
  <c r="AC252" i="82" s="1"/>
  <c r="I65" i="82" a="1"/>
  <c r="I65" i="82" s="1"/>
  <c r="I130" i="82" s="1" a="1"/>
  <c r="I130" i="82" s="1"/>
  <c r="I172" i="82" s="1" a="1"/>
  <c r="I172" i="82" s="1"/>
  <c r="I210" i="82" s="1" a="1"/>
  <c r="I210" i="82" s="1"/>
  <c r="AA80" i="82" a="1"/>
  <c r="AA80" i="82" s="1"/>
  <c r="AA144" i="82" s="1" a="1"/>
  <c r="AA144" i="82" s="1"/>
  <c r="AA204" i="82" s="1" a="1"/>
  <c r="AA204" i="82" s="1"/>
  <c r="AA256" i="82" s="1" a="1"/>
  <c r="AA256" i="82" s="1"/>
  <c r="AA82" i="82" a="1"/>
  <c r="AA82" i="82" s="1"/>
  <c r="AA146" i="82" s="1" a="1"/>
  <c r="AA146" i="82" s="1"/>
  <c r="AA206" i="82" s="1" a="1"/>
  <c r="AA206" i="82" s="1"/>
  <c r="AA258" i="82" s="1" a="1"/>
  <c r="AA258" i="82" s="1"/>
  <c r="J56" i="82"/>
  <c r="AC61" i="82"/>
  <c r="AA77" i="82" a="1"/>
  <c r="AA77" i="82" s="1"/>
  <c r="AA141" i="82" s="1" a="1"/>
  <c r="AA141" i="82" s="1"/>
  <c r="AA201" i="82" s="1" a="1"/>
  <c r="AA201" i="82" s="1"/>
  <c r="AA253" i="82" s="1" a="1"/>
  <c r="AA253" i="82" s="1"/>
  <c r="AB74" i="82" a="1"/>
  <c r="AB74" i="82" s="1"/>
  <c r="AB138" i="82" s="1" a="1"/>
  <c r="AB138" i="82" s="1"/>
  <c r="AB198" i="82" s="1" a="1"/>
  <c r="AB198" i="82" s="1"/>
  <c r="AB250" i="82" s="1" a="1"/>
  <c r="AB250" i="82" s="1"/>
  <c r="J63" i="82" a="1"/>
  <c r="J63" i="82" s="1"/>
  <c r="J128" i="82" s="1" a="1"/>
  <c r="J128" i="82" s="1"/>
  <c r="J170" i="82" s="1" a="1"/>
  <c r="J170" i="82" s="1"/>
  <c r="J208" i="82" s="1" a="1"/>
  <c r="J208" i="82" s="1"/>
  <c r="H64" i="82" a="1"/>
  <c r="H64" i="82" s="1"/>
  <c r="H129" i="82" s="1" a="1"/>
  <c r="H129" i="82" s="1"/>
  <c r="H171" i="82" s="1" a="1"/>
  <c r="H171" i="82" s="1"/>
  <c r="H209" i="82" s="1" a="1"/>
  <c r="H209" i="82" s="1"/>
  <c r="J65" i="82" a="1"/>
  <c r="J65" i="82" s="1"/>
  <c r="J130" i="82" s="1" a="1"/>
  <c r="J130" i="82" s="1"/>
  <c r="J172" i="82" s="1" a="1"/>
  <c r="J172" i="82" s="1"/>
  <c r="J210" i="82" s="1" a="1"/>
  <c r="J210" i="82" s="1"/>
  <c r="X72" i="82" a="1"/>
  <c r="X72" i="82" s="1"/>
  <c r="X136" i="82" s="1" a="1"/>
  <c r="X136" i="82" s="1"/>
  <c r="X196" i="82" s="1" a="1"/>
  <c r="X196" i="82" s="1"/>
  <c r="X248" i="82" s="1" a="1"/>
  <c r="X248" i="82" s="1"/>
  <c r="Y81" i="82" a="1"/>
  <c r="Y81" i="82" s="1"/>
  <c r="Y145" i="82" s="1" a="1"/>
  <c r="Y145" i="82" s="1"/>
  <c r="Y205" i="82" s="1" a="1"/>
  <c r="Y205" i="82" s="1"/>
  <c r="Y257" i="82" s="1" a="1"/>
  <c r="Y257" i="82" s="1"/>
  <c r="V64" i="82"/>
  <c r="W78" i="82" a="1"/>
  <c r="W78" i="82" s="1"/>
  <c r="W142" i="82" s="1" a="1"/>
  <c r="W142" i="82" s="1"/>
  <c r="W202" i="82" s="1" a="1"/>
  <c r="W202" i="82" s="1"/>
  <c r="W254" i="82" s="1" a="1"/>
  <c r="W254" i="82" s="1"/>
  <c r="AB62" i="82"/>
  <c r="V74" i="82" a="1"/>
  <c r="V74" i="82" s="1"/>
  <c r="V138" i="82" s="1" a="1"/>
  <c r="V138" i="82" s="1"/>
  <c r="V198" i="82" s="1" a="1"/>
  <c r="V198" i="82" s="1"/>
  <c r="V250" i="82" s="1" a="1"/>
  <c r="V250" i="82" s="1"/>
  <c r="X82" i="82" a="1"/>
  <c r="X82" i="82" s="1"/>
  <c r="X146" i="82" s="1" a="1"/>
  <c r="X146" i="82" s="1"/>
  <c r="X206" i="82" s="1" a="1"/>
  <c r="X206" i="82" s="1"/>
  <c r="X258" i="82" s="1" a="1"/>
  <c r="X258" i="82" s="1"/>
  <c r="Y74" i="82" a="1"/>
  <c r="Y74" i="82" s="1"/>
  <c r="Y138" i="82" s="1" a="1"/>
  <c r="Y138" i="82" s="1"/>
  <c r="Y198" i="82" s="1" a="1"/>
  <c r="Y198" i="82" s="1"/>
  <c r="Y250" i="82" s="1" a="1"/>
  <c r="Y250" i="82" s="1"/>
  <c r="X83" i="82" a="1"/>
  <c r="X83" i="82" s="1"/>
  <c r="X147" i="82" s="1" a="1"/>
  <c r="X147" i="82" s="1"/>
  <c r="X207" i="82" s="1" a="1"/>
  <c r="X207" i="82" s="1"/>
  <c r="X259" i="82" s="1" a="1"/>
  <c r="X259" i="82" s="1"/>
  <c r="W66" i="82"/>
  <c r="G63" i="82" a="1"/>
  <c r="G63" i="82" s="1"/>
  <c r="G128" i="82" s="1" a="1"/>
  <c r="G128" i="82" s="1"/>
  <c r="G170" i="82" s="1" a="1"/>
  <c r="G170" i="82" s="1"/>
  <c r="G208" i="82" s="1" a="1"/>
  <c r="G208" i="82" s="1"/>
  <c r="F63" i="82" a="1"/>
  <c r="F63" i="82" s="1"/>
  <c r="F128" i="82" s="1" a="1"/>
  <c r="F128" i="82" s="1"/>
  <c r="F170" i="82" s="1" a="1"/>
  <c r="F170" i="82" s="1"/>
  <c r="F208" i="82" s="1" a="1"/>
  <c r="F208" i="82" s="1"/>
  <c r="AE57" i="82"/>
  <c r="AB60" i="82"/>
  <c r="AB79" i="82" a="1"/>
  <c r="AB79" i="82" s="1"/>
  <c r="AB143" i="82" s="1" a="1"/>
  <c r="AB143" i="82" s="1"/>
  <c r="AB203" i="82" s="1" a="1"/>
  <c r="AB203" i="82" s="1"/>
  <c r="AB255" i="82" s="1" a="1"/>
  <c r="AB255" i="82" s="1"/>
  <c r="AC73" i="82" a="1"/>
  <c r="AC73" i="82" s="1"/>
  <c r="AC137" i="82" s="1" a="1"/>
  <c r="AC137" i="82" s="1"/>
  <c r="AC197" i="82" s="1" a="1"/>
  <c r="AC197" i="82" s="1"/>
  <c r="AC249" i="82" s="1" a="1"/>
  <c r="AC249" i="82" s="1"/>
  <c r="AE83" i="82" a="1"/>
  <c r="AE83" i="82" s="1"/>
  <c r="AE147" i="82" s="1" a="1"/>
  <c r="AE147" i="82" s="1"/>
  <c r="AE207" i="82" s="1" a="1"/>
  <c r="AE207" i="82" s="1"/>
  <c r="AE259" i="82" s="1" a="1"/>
  <c r="AE259" i="82" s="1"/>
  <c r="AD76" i="82" a="1"/>
  <c r="AD76" i="82" s="1"/>
  <c r="AD140" i="82" s="1" a="1"/>
  <c r="AD140" i="82" s="1"/>
  <c r="AD200" i="82" s="1" a="1"/>
  <c r="AD200" i="82" s="1"/>
  <c r="AD252" i="82" s="1" a="1"/>
  <c r="AD252" i="82" s="1"/>
  <c r="AA79" i="82" a="1"/>
  <c r="AA79" i="82" s="1"/>
  <c r="AA143" i="82" s="1" a="1"/>
  <c r="AA143" i="82" s="1"/>
  <c r="AA203" i="82" s="1" a="1"/>
  <c r="AA203" i="82" s="1"/>
  <c r="AA255" i="82" s="1" a="1"/>
  <c r="AA255" i="82" s="1"/>
  <c r="Y57" i="82"/>
  <c r="Z74" i="82" a="1"/>
  <c r="Z74" i="82" s="1"/>
  <c r="Z138" i="82" s="1" a="1"/>
  <c r="Z138" i="82" s="1"/>
  <c r="Z198" i="82" s="1" a="1"/>
  <c r="Z198" i="82" s="1"/>
  <c r="Z250" i="82" s="1" a="1"/>
  <c r="Z250" i="82" s="1"/>
  <c r="V73" i="82" a="1"/>
  <c r="V73" i="82" s="1"/>
  <c r="V137" i="82" s="1" a="1"/>
  <c r="V137" i="82" s="1"/>
  <c r="V197" i="82" s="1" a="1"/>
  <c r="V197" i="82" s="1"/>
  <c r="V249" i="82" s="1" a="1"/>
  <c r="V249" i="82" s="1"/>
  <c r="AB59" i="82"/>
  <c r="AD63" i="82"/>
  <c r="N65" i="82" a="1"/>
  <c r="N65" i="82" s="1"/>
  <c r="N130" i="82" s="1" a="1"/>
  <c r="N130" i="82" s="1"/>
  <c r="N172" i="82" s="1" a="1"/>
  <c r="N172" i="82" s="1"/>
  <c r="N210" i="82" s="1" a="1"/>
  <c r="N210" i="82" s="1"/>
  <c r="W76" i="82" a="1"/>
  <c r="W76" i="82" s="1"/>
  <c r="W140" i="82" s="1" a="1"/>
  <c r="W140" i="82" s="1"/>
  <c r="W200" i="82" s="1" a="1"/>
  <c r="W200" i="82" s="1"/>
  <c r="W252" i="82" s="1" a="1"/>
  <c r="W252" i="82" s="1"/>
  <c r="AA60" i="82"/>
  <c r="K55" i="82"/>
  <c r="M63" i="82" a="1"/>
  <c r="M63" i="82" s="1"/>
  <c r="M128" i="82" s="1" a="1"/>
  <c r="M128" i="82" s="1"/>
  <c r="M170" i="82" s="1" a="1"/>
  <c r="M170" i="82" s="1"/>
  <c r="M208" i="82" s="1" a="1"/>
  <c r="M208" i="82" s="1"/>
  <c r="X80" i="82" a="1"/>
  <c r="X80" i="82" s="1"/>
  <c r="X144" i="82" s="1" a="1"/>
  <c r="X144" i="82" s="1"/>
  <c r="X204" i="82" s="1" a="1"/>
  <c r="X204" i="82" s="1"/>
  <c r="X256" i="82" s="1" a="1"/>
  <c r="X256" i="82" s="1"/>
  <c r="AE78" i="82" a="1"/>
  <c r="AE78" i="82" s="1"/>
  <c r="AE142" i="82" s="1" a="1"/>
  <c r="AE142" i="82" s="1"/>
  <c r="AE202" i="82" s="1" a="1"/>
  <c r="AE202" i="82" s="1"/>
  <c r="AE254" i="82" s="1" a="1"/>
  <c r="AE254" i="82" s="1"/>
  <c r="L63" i="82" a="1"/>
  <c r="L63" i="82" s="1"/>
  <c r="L128" i="82" s="1" a="1"/>
  <c r="L128" i="82" s="1"/>
  <c r="L170" i="82" s="1" a="1"/>
  <c r="L170" i="82" s="1"/>
  <c r="L208" i="82" s="1" a="1"/>
  <c r="L208" i="82" s="1"/>
  <c r="K57" i="82"/>
  <c r="H62" i="82" a="1"/>
  <c r="H62" i="82" s="1"/>
  <c r="H127" i="82" s="1" a="1"/>
  <c r="H127" i="82" s="1"/>
  <c r="H169" i="82" s="1" a="1"/>
  <c r="H169" i="82" s="1"/>
  <c r="H207" i="82" s="1" a="1"/>
  <c r="H207" i="82" s="1"/>
  <c r="Z77" i="82" a="1"/>
  <c r="Z77" i="82" s="1"/>
  <c r="Z141" i="82" s="1" a="1"/>
  <c r="Z141" i="82" s="1"/>
  <c r="Z201" i="82" s="1" a="1"/>
  <c r="Z201" i="82" s="1"/>
  <c r="Z253" i="82" s="1" a="1"/>
  <c r="Z253" i="82" s="1"/>
  <c r="AB56" i="82"/>
  <c r="V83" i="82" a="1"/>
  <c r="V83" i="82" s="1"/>
  <c r="V147" i="82" s="1" a="1"/>
  <c r="V147" i="82" s="1"/>
  <c r="V207" i="82" s="1" a="1"/>
  <c r="V207" i="82" s="1"/>
  <c r="V259" i="82" s="1" a="1"/>
  <c r="V259" i="82" s="1"/>
  <c r="Y82" i="82" a="1"/>
  <c r="Y82" i="82" s="1"/>
  <c r="Y146" i="82" s="1" a="1"/>
  <c r="Y146" i="82" s="1"/>
  <c r="Y206" i="82" s="1" a="1"/>
  <c r="Y206" i="82" s="1"/>
  <c r="Y258" i="82" s="1" a="1"/>
  <c r="Y258" i="82" s="1"/>
  <c r="AE74" i="82" a="1"/>
  <c r="AE74" i="82" s="1"/>
  <c r="AE138" i="82" s="1" a="1"/>
  <c r="AE138" i="82" s="1"/>
  <c r="AE198" i="82" s="1" a="1"/>
  <c r="AE198" i="82" s="1"/>
  <c r="AE250" i="82" s="1" a="1"/>
  <c r="AE250" i="82" s="1"/>
  <c r="AB83" i="82" a="1"/>
  <c r="AB83" i="82" s="1"/>
  <c r="AB147" i="82" s="1" a="1"/>
  <c r="AB147" i="82" s="1"/>
  <c r="AB207" i="82" s="1" a="1"/>
  <c r="AB207" i="82" s="1"/>
  <c r="AB259" i="82" s="1" a="1"/>
  <c r="AB259" i="82" s="1"/>
  <c r="AB82" i="82" a="1"/>
  <c r="AB82" i="82" s="1"/>
  <c r="AB146" i="82" s="1" a="1"/>
  <c r="AB146" i="82" s="1"/>
  <c r="AB206" i="82" s="1" a="1"/>
  <c r="AB206" i="82" s="1"/>
  <c r="AB258" i="82" s="1" a="1"/>
  <c r="AB258" i="82" s="1"/>
  <c r="L64" i="82" a="1"/>
  <c r="L64" i="82" s="1"/>
  <c r="L129" i="82" s="1" a="1"/>
  <c r="L129" i="82" s="1"/>
  <c r="L171" i="82" s="1" a="1"/>
  <c r="L171" i="82" s="1"/>
  <c r="L209" i="82" s="1" a="1"/>
  <c r="L209" i="82" s="1"/>
  <c r="V76" i="82" a="1"/>
  <c r="V76" i="82" s="1"/>
  <c r="V140" i="82" s="1" a="1"/>
  <c r="V140" i="82" s="1"/>
  <c r="V200" i="82" s="1" a="1"/>
  <c r="V200" i="82" s="1"/>
  <c r="V252" i="82" s="1" a="1"/>
  <c r="V252" i="82" s="1"/>
  <c r="Y77" i="82" a="1"/>
  <c r="Y77" i="82" s="1"/>
  <c r="Y141" i="82" s="1" a="1"/>
  <c r="Y141" i="82" s="1"/>
  <c r="Y201" i="82" s="1" a="1"/>
  <c r="Y201" i="82" s="1"/>
  <c r="Y253" i="82" s="1" a="1"/>
  <c r="Y253" i="82" s="1"/>
  <c r="E54" i="82"/>
  <c r="J62" i="82" a="1"/>
  <c r="J62" i="82" s="1"/>
  <c r="J127" i="82" s="1" a="1"/>
  <c r="J127" i="82" s="1"/>
  <c r="J169" i="82" s="1" a="1"/>
  <c r="J169" i="82" s="1"/>
  <c r="J207" i="82" s="1" a="1"/>
  <c r="J207" i="82" s="1"/>
  <c r="AA78" i="82" a="1"/>
  <c r="AA78" i="82" s="1"/>
  <c r="AA142" i="82" s="1" a="1"/>
  <c r="AA142" i="82" s="1"/>
  <c r="AA202" i="82" s="1" a="1"/>
  <c r="AA202" i="82" s="1"/>
  <c r="AA254" i="82" s="1" a="1"/>
  <c r="AA254" i="82" s="1"/>
  <c r="AE77" i="82" a="1"/>
  <c r="AE77" i="82" s="1"/>
  <c r="AE141" i="82" s="1" a="1"/>
  <c r="AE141" i="82" s="1"/>
  <c r="AE201" i="82" s="1" a="1"/>
  <c r="AE201" i="82" s="1"/>
  <c r="AE253" i="82" s="1" a="1"/>
  <c r="AE253" i="82" s="1"/>
  <c r="X75" i="82" a="1"/>
  <c r="X75" i="82" s="1"/>
  <c r="X139" i="82" s="1" a="1"/>
  <c r="X139" i="82" s="1"/>
  <c r="X199" i="82" s="1" a="1"/>
  <c r="X199" i="82" s="1"/>
  <c r="X251" i="82" s="1" a="1"/>
  <c r="X251" i="82" s="1"/>
  <c r="G56" i="82"/>
  <c r="F62" i="82" a="1"/>
  <c r="F62" i="82" s="1"/>
  <c r="F127" i="82" s="1" a="1"/>
  <c r="F127" i="82" s="1"/>
  <c r="F169" i="82" s="1" a="1"/>
  <c r="F169" i="82" s="1"/>
  <c r="F207" i="82" s="1" a="1"/>
  <c r="F207" i="82" s="1"/>
  <c r="E65" i="82" a="1"/>
  <c r="E65" i="82" s="1"/>
  <c r="E130" i="82" s="1" a="1"/>
  <c r="E130" i="82" s="1"/>
  <c r="E172" i="82" s="1" a="1"/>
  <c r="E172" i="82" s="1"/>
  <c r="E210" i="82" s="1" a="1"/>
  <c r="E210" i="82" s="1"/>
  <c r="AC63" i="82"/>
  <c r="AC65" i="82"/>
  <c r="AD59" i="82"/>
  <c r="X73" i="82" a="1"/>
  <c r="X73" i="82" s="1"/>
  <c r="X137" i="82" s="1" a="1"/>
  <c r="X137" i="82" s="1"/>
  <c r="X197" i="82" s="1" a="1"/>
  <c r="X197" i="82" s="1"/>
  <c r="X249" i="82" s="1" a="1"/>
  <c r="X249" i="82" s="1"/>
  <c r="X81" i="82" a="1"/>
  <c r="X81" i="82" s="1"/>
  <c r="X145" i="82" s="1" a="1"/>
  <c r="X145" i="82" s="1"/>
  <c r="X205" i="82" s="1" a="1"/>
  <c r="X205" i="82" s="1"/>
  <c r="X257" i="82" s="1" a="1"/>
  <c r="X257" i="82" s="1"/>
  <c r="Y64" i="82"/>
  <c r="Y59" i="82"/>
  <c r="W74" i="82" a="1"/>
  <c r="W74" i="82" s="1"/>
  <c r="W138" i="82" s="1" a="1"/>
  <c r="W138" i="82" s="1"/>
  <c r="W198" i="82" s="1" a="1"/>
  <c r="W198" i="82" s="1"/>
  <c r="W250" i="82" s="1" a="1"/>
  <c r="W250" i="82" s="1"/>
  <c r="AE81" i="82" a="1"/>
  <c r="AE81" i="82" s="1"/>
  <c r="AE145" i="82" s="1" a="1"/>
  <c r="AE145" i="82" s="1"/>
  <c r="AE205" i="82" s="1" a="1"/>
  <c r="AE205" i="82" s="1"/>
  <c r="AE257" i="82" s="1" a="1"/>
  <c r="AE257" i="82" s="1"/>
  <c r="Y76" i="82" a="1"/>
  <c r="Y76" i="82" s="1"/>
  <c r="Y140" i="82" s="1" a="1"/>
  <c r="Y140" i="82" s="1"/>
  <c r="Y200" i="82" s="1" a="1"/>
  <c r="Y200" i="82" s="1"/>
  <c r="Y252" i="82" s="1" a="1"/>
  <c r="Y252" i="82" s="1"/>
  <c r="W57" i="82"/>
  <c r="Y62" i="82"/>
  <c r="M62" i="82" a="1"/>
  <c r="M62" i="82" s="1"/>
  <c r="M127" i="82" s="1" a="1"/>
  <c r="M127" i="82" s="1"/>
  <c r="M169" i="82" s="1" a="1"/>
  <c r="M169" i="82" s="1"/>
  <c r="M207" i="82" s="1" a="1"/>
  <c r="M207" i="82" s="1"/>
  <c r="AE56" i="82"/>
  <c r="G62" i="82" a="1"/>
  <c r="G62" i="82" s="1"/>
  <c r="G127" i="82" s="1" a="1"/>
  <c r="G127" i="82" s="1"/>
  <c r="G169" i="82" s="1" a="1"/>
  <c r="G169" i="82" s="1"/>
  <c r="G207" i="82" s="1" a="1"/>
  <c r="G207" i="82" s="1"/>
  <c r="AD58" i="82"/>
  <c r="F64" i="82" a="1"/>
  <c r="F64" i="82" s="1"/>
  <c r="F129" i="82" s="1" a="1"/>
  <c r="F129" i="82" s="1"/>
  <c r="F171" i="82" s="1" a="1"/>
  <c r="F171" i="82" s="1"/>
  <c r="F209" i="82" s="1" a="1"/>
  <c r="F209" i="82" s="1"/>
  <c r="K64" i="82" a="1"/>
  <c r="K64" i="82" s="1"/>
  <c r="K129" i="82" s="1" a="1"/>
  <c r="K129" i="82" s="1"/>
  <c r="K171" i="82" s="1" a="1"/>
  <c r="K171" i="82" s="1"/>
  <c r="K209" i="82" s="1" a="1"/>
  <c r="K209" i="82" s="1"/>
  <c r="H65" i="82" a="1"/>
  <c r="H65" i="82" s="1"/>
  <c r="H130" i="82" s="1" a="1"/>
  <c r="H130" i="82" s="1"/>
  <c r="H172" i="82" s="1" a="1"/>
  <c r="H172" i="82" s="1"/>
  <c r="H210" i="82" s="1" a="1"/>
  <c r="H210" i="82" s="1"/>
  <c r="E64" i="82" a="1"/>
  <c r="E64" i="82" s="1"/>
  <c r="E129" i="82" s="1" a="1"/>
  <c r="E129" i="82" s="1"/>
  <c r="E171" i="82" s="1" a="1"/>
  <c r="E171" i="82" s="1"/>
  <c r="E209" i="82" s="1" a="1"/>
  <c r="E209" i="82" s="1"/>
  <c r="V59" i="82"/>
  <c r="Z75" i="82" a="1"/>
  <c r="Z75" i="82" s="1"/>
  <c r="Z139" i="82" s="1" a="1"/>
  <c r="Z139" i="82" s="1"/>
  <c r="Z199" i="82" s="1" a="1"/>
  <c r="Z199" i="82" s="1"/>
  <c r="Z251" i="82" s="1" a="1"/>
  <c r="Z251" i="82" s="1"/>
  <c r="AC78" i="82" a="1"/>
  <c r="AC78" i="82" s="1"/>
  <c r="AC142" i="82" s="1" a="1"/>
  <c r="AC142" i="82" s="1"/>
  <c r="AC202" i="82" s="1" a="1"/>
  <c r="AC202" i="82" s="1"/>
  <c r="AC254" i="82" s="1" a="1"/>
  <c r="AC254" i="82" s="1"/>
  <c r="X77" i="82" a="1"/>
  <c r="X77" i="82" s="1"/>
  <c r="X141" i="82" s="1" a="1"/>
  <c r="X141" i="82" s="1"/>
  <c r="X201" i="82" s="1" a="1"/>
  <c r="X201" i="82" s="1"/>
  <c r="X253" i="82" s="1" a="1"/>
  <c r="X253" i="82" s="1"/>
  <c r="X74" i="82" a="1"/>
  <c r="X74" i="82" s="1"/>
  <c r="X138" i="82" s="1" a="1"/>
  <c r="X138" i="82" s="1"/>
  <c r="X198" i="82" s="1" a="1"/>
  <c r="X198" i="82" s="1"/>
  <c r="X250" i="82" s="1" a="1"/>
  <c r="X250" i="82" s="1"/>
  <c r="V82" i="82" a="1"/>
  <c r="V82" i="82" s="1"/>
  <c r="V146" i="82" s="1" a="1"/>
  <c r="V146" i="82" s="1"/>
  <c r="V206" i="82" s="1" a="1"/>
  <c r="V206" i="82" s="1"/>
  <c r="V258" i="82" s="1" a="1"/>
  <c r="V258" i="82" s="1"/>
  <c r="X79" i="82" a="1"/>
  <c r="X79" i="82" s="1"/>
  <c r="X143" i="82" s="1" a="1"/>
  <c r="X143" i="82" s="1"/>
  <c r="X203" i="82" s="1" a="1"/>
  <c r="X203" i="82" s="1"/>
  <c r="X255" i="82" s="1" a="1"/>
  <c r="X255" i="82" s="1"/>
  <c r="W59" i="82"/>
  <c r="I64" i="82" a="1"/>
  <c r="I64" i="82" s="1"/>
  <c r="I129" i="82" s="1" a="1"/>
  <c r="I129" i="82" s="1"/>
  <c r="I171" i="82" s="1" a="1"/>
  <c r="I171" i="82" s="1"/>
  <c r="I209" i="82" s="1" a="1"/>
  <c r="I209" i="82" s="1"/>
  <c r="Y63" i="82"/>
  <c r="Z64" i="82"/>
  <c r="W77" i="82" a="1"/>
  <c r="W77" i="82" s="1"/>
  <c r="W141" i="82" s="1" a="1"/>
  <c r="W141" i="82" s="1"/>
  <c r="W201" i="82" s="1" a="1"/>
  <c r="W201" i="82" s="1"/>
  <c r="W253" i="82" s="1" a="1"/>
  <c r="W253" i="82" s="1"/>
  <c r="W72" i="82" a="1"/>
  <c r="W72" i="82" s="1"/>
  <c r="W136" i="82" s="1" a="1"/>
  <c r="W136" i="82" s="1"/>
  <c r="W196" i="82" s="1" a="1"/>
  <c r="W196" i="82" s="1"/>
  <c r="W248" i="82" s="1" a="1"/>
  <c r="W248" i="82" s="1"/>
  <c r="AC83" i="82" a="1"/>
  <c r="AC83" i="82" s="1"/>
  <c r="AC147" i="82" s="1" a="1"/>
  <c r="AC147" i="82" s="1"/>
  <c r="AC207" i="82" s="1" a="1"/>
  <c r="AC207" i="82" s="1"/>
  <c r="AC259" i="82" s="1" a="1"/>
  <c r="AC259" i="82" s="1"/>
  <c r="Z73" i="82" a="1"/>
  <c r="Z73" i="82" s="1"/>
  <c r="Z137" i="82" s="1" a="1"/>
  <c r="Z137" i="82" s="1"/>
  <c r="Z197" i="82" s="1" a="1"/>
  <c r="Z197" i="82" s="1"/>
  <c r="Z249" i="82" s="1" a="1"/>
  <c r="Z249" i="82" s="1"/>
  <c r="AC74" i="82" a="1"/>
  <c r="AC74" i="82" s="1"/>
  <c r="AC138" i="82" s="1" a="1"/>
  <c r="AC138" i="82" s="1"/>
  <c r="AC198" i="82" s="1" a="1"/>
  <c r="AC198" i="82" s="1"/>
  <c r="AC250" i="82" s="1" a="1"/>
  <c r="AC250" i="82" s="1"/>
  <c r="AC82" i="82" a="1"/>
  <c r="AC82" i="82" s="1"/>
  <c r="AC146" i="82" s="1" a="1"/>
  <c r="AC146" i="82" s="1"/>
  <c r="AC206" i="82" s="1" a="1"/>
  <c r="AC206" i="82" s="1"/>
  <c r="AC258" i="82" s="1" a="1"/>
  <c r="AC258" i="82" s="1"/>
  <c r="Z81" i="82" a="1"/>
  <c r="Z81" i="82" s="1"/>
  <c r="Z145" i="82" s="1" a="1"/>
  <c r="Z145" i="82" s="1"/>
  <c r="Z205" i="82" s="1" a="1"/>
  <c r="Z205" i="82" s="1"/>
  <c r="Z257" i="82" s="1" a="1"/>
  <c r="Z257" i="82" s="1"/>
  <c r="AC80" i="82" a="1"/>
  <c r="AC80" i="82" s="1"/>
  <c r="AC144" i="82" s="1" a="1"/>
  <c r="AC144" i="82" s="1"/>
  <c r="AC204" i="82" s="1" a="1"/>
  <c r="AC204" i="82" s="1"/>
  <c r="AC256" i="82" s="1" a="1"/>
  <c r="AC256" i="82" s="1"/>
  <c r="N64" i="82" a="1"/>
  <c r="N64" i="82" s="1"/>
  <c r="N129" i="82" s="1" a="1"/>
  <c r="N129" i="82" s="1"/>
  <c r="N171" i="82" s="1" a="1"/>
  <c r="N171" i="82" s="1"/>
  <c r="N209" i="82" s="1" a="1"/>
  <c r="N209" i="82" s="1"/>
  <c r="AA57" i="82"/>
  <c r="K62" i="82" a="1"/>
  <c r="K62" i="82" s="1"/>
  <c r="K127" i="82" s="1" a="1"/>
  <c r="K127" i="82" s="1"/>
  <c r="K169" i="82" s="1" a="1"/>
  <c r="K169" i="82" s="1"/>
  <c r="K207" i="82" s="1" a="1"/>
  <c r="K207" i="82" s="1"/>
  <c r="G57" i="82"/>
  <c r="AA67" i="82"/>
  <c r="M65" i="82" a="1"/>
  <c r="M65" i="82" s="1"/>
  <c r="M130" i="82" s="1" a="1"/>
  <c r="M130" i="82" s="1"/>
  <c r="M172" i="82" s="1" a="1"/>
  <c r="M172" i="82" s="1"/>
  <c r="M210" i="82" s="1" a="1"/>
  <c r="M210" i="82" s="1"/>
  <c r="E63" i="82" a="1"/>
  <c r="E63" i="82" s="1"/>
  <c r="E128" i="82" s="1" a="1"/>
  <c r="E128" i="82" s="1"/>
  <c r="E170" i="82" s="1" a="1"/>
  <c r="E170" i="82" s="1"/>
  <c r="E208" i="82" s="1" a="1"/>
  <c r="E208" i="82" s="1"/>
  <c r="AE66" i="82"/>
  <c r="Z60" i="82"/>
  <c r="AD72" i="82" a="1"/>
  <c r="AD72" i="82" s="1"/>
  <c r="AD136" i="82" s="1" a="1"/>
  <c r="AD136" i="82" s="1"/>
  <c r="AD196" i="82" s="1" a="1"/>
  <c r="AD196" i="82" s="1"/>
  <c r="AD248" i="82" s="1" a="1"/>
  <c r="AD248" i="82" s="1"/>
  <c r="AD67" i="82"/>
  <c r="AA59" i="82"/>
  <c r="AB80" i="82" a="1"/>
  <c r="AB80" i="82" s="1"/>
  <c r="AB144" i="82" s="1" a="1"/>
  <c r="AB144" i="82" s="1"/>
  <c r="AB204" i="82" s="1" a="1"/>
  <c r="AB204" i="82" s="1"/>
  <c r="AB256" i="82" s="1" a="1"/>
  <c r="AB256" i="82" s="1"/>
  <c r="AD80" i="82" a="1"/>
  <c r="AD80" i="82" s="1"/>
  <c r="AD144" i="82" s="1" a="1"/>
  <c r="AD144" i="82" s="1"/>
  <c r="AD204" i="82" s="1" a="1"/>
  <c r="AD204" i="82" s="1"/>
  <c r="AD256" i="82" s="1" a="1"/>
  <c r="AD256" i="82" s="1"/>
  <c r="AE76" i="82" a="1"/>
  <c r="AE76" i="82" s="1"/>
  <c r="AE140" i="82" s="1" a="1"/>
  <c r="AE140" i="82" s="1"/>
  <c r="AE200" i="82" s="1" a="1"/>
  <c r="AE200" i="82" s="1"/>
  <c r="AE252" i="82" s="1" a="1"/>
  <c r="AE252" i="82" s="1"/>
  <c r="L62" i="82" a="1"/>
  <c r="L62" i="82" s="1"/>
  <c r="L127" i="82" s="1" a="1"/>
  <c r="L127" i="82" s="1"/>
  <c r="L169" i="82" s="1" a="1"/>
  <c r="L169" i="82" s="1"/>
  <c r="L207" i="82" s="1" a="1"/>
  <c r="L207" i="82" s="1"/>
  <c r="X60" i="82"/>
  <c r="AE75" i="82" a="1"/>
  <c r="AE75" i="82" s="1"/>
  <c r="AE139" i="82" s="1" a="1"/>
  <c r="AE139" i="82" s="1"/>
  <c r="AE199" i="82" s="1" a="1"/>
  <c r="AE199" i="82" s="1"/>
  <c r="AE251" i="82" s="1" a="1"/>
  <c r="AE251" i="82" s="1"/>
  <c r="N62" i="82" a="1"/>
  <c r="N62" i="82" s="1"/>
  <c r="N127" i="82" s="1" a="1"/>
  <c r="N127" i="82" s="1"/>
  <c r="N169" i="82" s="1" a="1"/>
  <c r="N169" i="82" s="1"/>
  <c r="N207" i="82" s="1" a="1"/>
  <c r="N207" i="82" s="1"/>
  <c r="M64" i="82" a="1"/>
  <c r="M64" i="82" s="1"/>
  <c r="M129" i="82" s="1" a="1"/>
  <c r="M129" i="82" s="1"/>
  <c r="M171" i="82" s="1" a="1"/>
  <c r="M171" i="82" s="1"/>
  <c r="M209" i="82" s="1" a="1"/>
  <c r="M209" i="82" s="1"/>
  <c r="H63" i="82" a="1"/>
  <c r="H63" i="82" s="1"/>
  <c r="H128" i="82" s="1" a="1"/>
  <c r="H128" i="82" s="1"/>
  <c r="H170" i="82" s="1" a="1"/>
  <c r="H170" i="82" s="1"/>
  <c r="H208" i="82" s="1" a="1"/>
  <c r="H208" i="82" s="1"/>
  <c r="AC72" i="82" a="1"/>
  <c r="AC72" i="82" s="1"/>
  <c r="AC136" i="82" s="1" a="1"/>
  <c r="AC136" i="82" s="1"/>
  <c r="AC196" i="82" s="1" a="1"/>
  <c r="AC196" i="82" s="1"/>
  <c r="AC248" i="82" s="1" a="1"/>
  <c r="AC248" i="82" s="1"/>
  <c r="AD77" i="82" a="1"/>
  <c r="AD77" i="82" s="1"/>
  <c r="AD141" i="82" s="1" a="1"/>
  <c r="AD141" i="82" s="1"/>
  <c r="AD201" i="82" s="1" a="1"/>
  <c r="AD201" i="82" s="1"/>
  <c r="AD253" i="82" s="1" a="1"/>
  <c r="AD253" i="82" s="1"/>
  <c r="V56" i="82"/>
  <c r="V81" i="82" a="1"/>
  <c r="V81" i="82" s="1"/>
  <c r="V145" i="82" s="1" a="1"/>
  <c r="V145" i="82" s="1"/>
  <c r="V205" i="82" s="1" a="1"/>
  <c r="V205" i="82" s="1"/>
  <c r="V257" i="82" s="1" a="1"/>
  <c r="V257" i="82" s="1"/>
  <c r="AB73" i="82" a="1"/>
  <c r="AB73" i="82" s="1"/>
  <c r="AB137" i="82" s="1" a="1"/>
  <c r="AB137" i="82" s="1"/>
  <c r="AB197" i="82" s="1" a="1"/>
  <c r="AB197" i="82" s="1"/>
  <c r="AB249" i="82" s="1" a="1"/>
  <c r="AB249" i="82" s="1"/>
  <c r="Y83" i="82" a="1"/>
  <c r="Y83" i="82" s="1"/>
  <c r="Y147" i="82" s="1" a="1"/>
  <c r="Y147" i="82" s="1"/>
  <c r="Y207" i="82" s="1" a="1"/>
  <c r="Y207" i="82" s="1"/>
  <c r="Y259" i="82" s="1" a="1"/>
  <c r="Y259" i="82" s="1"/>
  <c r="AD82" i="82" a="1"/>
  <c r="AD82" i="82" s="1"/>
  <c r="AD146" i="82" s="1" a="1"/>
  <c r="AD146" i="82" s="1"/>
  <c r="AD206" i="82" s="1" a="1"/>
  <c r="AD206" i="82" s="1"/>
  <c r="AD258" i="82" s="1" a="1"/>
  <c r="AD258" i="82" s="1"/>
  <c r="Z82" i="82" a="1"/>
  <c r="Z82" i="82" s="1"/>
  <c r="Z146" i="82" s="1" a="1"/>
  <c r="Z146" i="82" s="1"/>
  <c r="Z206" i="82" s="1" a="1"/>
  <c r="Z206" i="82" s="1"/>
  <c r="Z258" i="82" s="1" a="1"/>
  <c r="Z258" i="82" s="1"/>
  <c r="Z79" i="82" a="1"/>
  <c r="Z79" i="82" s="1"/>
  <c r="Z143" i="82" s="1" a="1"/>
  <c r="Z143" i="82" s="1"/>
  <c r="Z203" i="82" s="1" a="1"/>
  <c r="Z203" i="82" s="1"/>
  <c r="Z255" i="82" s="1" a="1"/>
  <c r="Z255" i="82" s="1"/>
  <c r="AC75" i="82" a="1"/>
  <c r="AC75" i="82" s="1"/>
  <c r="AC139" i="82" s="1" a="1"/>
  <c r="AC139" i="82" s="1"/>
  <c r="AC199" i="82" s="1" a="1"/>
  <c r="AC199" i="82" s="1"/>
  <c r="AC251" i="82" s="1" a="1"/>
  <c r="AC251" i="82" s="1"/>
  <c r="N63" i="82" a="1"/>
  <c r="N63" i="82" s="1"/>
  <c r="N128" i="82" s="1" a="1"/>
  <c r="N128" i="82" s="1"/>
  <c r="N170" i="82" s="1" a="1"/>
  <c r="N170" i="82" s="1"/>
  <c r="N208" i="82" s="1" a="1"/>
  <c r="N208" i="82" s="1"/>
  <c r="V61" i="82"/>
  <c r="X78" i="82" a="1"/>
  <c r="X78" i="82" s="1"/>
  <c r="X142" i="82" s="1" a="1"/>
  <c r="X142" i="82" s="1"/>
  <c r="X202" i="82" s="1" a="1"/>
  <c r="X202" i="82" s="1"/>
  <c r="X254" i="82" s="1" a="1"/>
  <c r="X254" i="82" s="1"/>
  <c r="AD62" i="82"/>
  <c r="AD65" i="82"/>
  <c r="L65" i="82" a="1"/>
  <c r="L65" i="82" s="1"/>
  <c r="L130" i="82" s="1" a="1"/>
  <c r="L130" i="82" s="1"/>
  <c r="L172" i="82" s="1" a="1"/>
  <c r="L172" i="82" s="1"/>
  <c r="L210" i="82" s="1" a="1"/>
  <c r="L210" i="82" s="1"/>
  <c r="F65" i="82" a="1"/>
  <c r="F65" i="82" s="1"/>
  <c r="F130" i="82" s="1" a="1"/>
  <c r="F130" i="82" s="1"/>
  <c r="F172" i="82" s="1" a="1"/>
  <c r="F172" i="82" s="1"/>
  <c r="F210" i="82" s="1" a="1"/>
  <c r="F210" i="82" s="1"/>
  <c r="I62" i="82" a="1"/>
  <c r="I62" i="82" s="1"/>
  <c r="I127" i="82" s="1" a="1"/>
  <c r="I127" i="82" s="1"/>
  <c r="I169" i="82" s="1" a="1"/>
  <c r="I169" i="82" s="1"/>
  <c r="I207" i="82" s="1" a="1"/>
  <c r="I207" i="82" s="1"/>
  <c r="I63" i="82" a="1"/>
  <c r="I63" i="82" s="1"/>
  <c r="I128" i="82" s="1" a="1"/>
  <c r="I128" i="82" s="1"/>
  <c r="I170" i="82" s="1" a="1"/>
  <c r="I170" i="82" s="1"/>
  <c r="I208" i="82" s="1" a="1"/>
  <c r="I208" i="82" s="1"/>
  <c r="W79" i="82" a="1"/>
  <c r="W79" i="82" s="1"/>
  <c r="W143" i="82" s="1" a="1"/>
  <c r="W143" i="82" s="1"/>
  <c r="W203" i="82" s="1" a="1"/>
  <c r="W203" i="82" s="1"/>
  <c r="W255" i="82" s="1" a="1"/>
  <c r="W255" i="82" s="1"/>
  <c r="V78" i="82" a="1"/>
  <c r="V78" i="82" s="1"/>
  <c r="V142" i="82" s="1" a="1"/>
  <c r="V142" i="82" s="1"/>
  <c r="V202" i="82" s="1" a="1"/>
  <c r="V202" i="82" s="1"/>
  <c r="V254" i="82" s="1" a="1"/>
  <c r="V254" i="82" s="1"/>
  <c r="Z56" i="82"/>
  <c r="AB81" i="82" a="1"/>
  <c r="AB81" i="82" s="1"/>
  <c r="AB145" i="82" s="1" a="1"/>
  <c r="AB145" i="82" s="1"/>
  <c r="AB205" i="82" s="1" a="1"/>
  <c r="AB205" i="82" s="1"/>
  <c r="AB257" i="82" s="1" a="1"/>
  <c r="AB257" i="82" s="1"/>
  <c r="AA65" i="82"/>
  <c r="Z62" i="82"/>
  <c r="W67" i="82"/>
  <c r="Y72" i="82" a="1"/>
  <c r="Y72" i="82" s="1"/>
  <c r="Y136" i="82" s="1" a="1"/>
  <c r="Y136" i="82" s="1"/>
  <c r="Y196" i="82" s="1" a="1"/>
  <c r="Y196" i="82" s="1"/>
  <c r="Y248" i="82" s="1" a="1"/>
  <c r="Y248" i="82" s="1"/>
  <c r="K63" i="82" l="1" a="1"/>
  <c r="K63" i="82" s="1"/>
  <c r="K128" i="82" s="1" a="1"/>
  <c r="K128" i="82" s="1"/>
  <c r="K170" i="82" s="1" a="1"/>
  <c r="K170" i="82" s="1"/>
  <c r="K208" i="82" s="1" a="1"/>
  <c r="K208" i="82" s="1"/>
  <c r="AB76" i="82" a="1"/>
  <c r="AB76" i="82" s="1"/>
  <c r="AB140" i="82" s="1" a="1"/>
  <c r="AB140" i="82" s="1"/>
  <c r="AB200" i="82" s="1" a="1"/>
  <c r="AB200" i="82" s="1"/>
  <c r="AB252" i="82" s="1" a="1"/>
  <c r="AB252" i="82" s="1"/>
  <c r="AD73" i="82" a="1"/>
  <c r="AD73" i="82" s="1"/>
  <c r="AD137" i="82" s="1" a="1"/>
  <c r="AD137" i="82" s="1"/>
  <c r="AD197" i="82" s="1" a="1"/>
  <c r="AD197" i="82" s="1"/>
  <c r="AD249" i="82" s="1" a="1"/>
  <c r="AD249" i="82" s="1"/>
  <c r="AD78" i="82" a="1"/>
  <c r="AD78" i="82" s="1"/>
  <c r="AD142" i="82" s="1" a="1"/>
  <c r="AD142" i="82" s="1"/>
  <c r="AD202" i="82" s="1" a="1"/>
  <c r="AD202" i="82" s="1"/>
  <c r="AD254" i="82" s="1" a="1"/>
  <c r="AD254" i="82" s="1"/>
  <c r="W73" i="82" a="1"/>
  <c r="W73" i="82" s="1"/>
  <c r="W137" i="82" s="1" a="1"/>
  <c r="W137" i="82" s="1"/>
  <c r="W197" i="82" s="1" a="1"/>
  <c r="W197" i="82" s="1"/>
  <c r="W249" i="82" s="1" a="1"/>
  <c r="W249" i="82" s="1"/>
  <c r="Z80" i="82" a="1"/>
  <c r="Z80" i="82" s="1"/>
  <c r="Z144" i="82" s="1" a="1"/>
  <c r="Z144" i="82" s="1"/>
  <c r="Z204" i="82" s="1" a="1"/>
  <c r="Z204" i="82" s="1"/>
  <c r="Z256" i="82" s="1" a="1"/>
  <c r="Z256" i="82" s="1"/>
  <c r="AD75" i="82" a="1"/>
  <c r="AD75" i="82" s="1"/>
  <c r="AD139" i="82" s="1" a="1"/>
  <c r="AD139" i="82" s="1"/>
  <c r="AD199" i="82" s="1" a="1"/>
  <c r="AD199" i="82" s="1"/>
  <c r="AD251" i="82" s="1" a="1"/>
  <c r="AD251" i="82" s="1"/>
  <c r="AA76" i="82" a="1"/>
  <c r="AA76" i="82" s="1"/>
  <c r="AA140" i="82" s="1" a="1"/>
  <c r="AA140" i="82" s="1"/>
  <c r="AA200" i="82" s="1" a="1"/>
  <c r="AA200" i="82" s="1"/>
  <c r="AA252" i="82" s="1" a="1"/>
  <c r="AA252" i="82" s="1"/>
  <c r="Y73" i="82" a="1"/>
  <c r="Y73" i="82" s="1"/>
  <c r="Y137" i="82" s="1" a="1"/>
  <c r="Y137" i="82" s="1"/>
  <c r="Y197" i="82" s="1" a="1"/>
  <c r="Y197" i="82" s="1"/>
  <c r="Y249" i="82" s="1" a="1"/>
  <c r="Y249" i="82" s="1"/>
  <c r="AE73" i="82" a="1"/>
  <c r="AE73" i="82" s="1"/>
  <c r="AE137" i="82" s="1" a="1"/>
  <c r="AE137" i="82" s="1"/>
  <c r="AE197" i="82" s="1" a="1"/>
  <c r="AE197" i="82" s="1"/>
  <c r="AE249" i="82" s="1" a="1"/>
  <c r="AE249" i="82" s="1"/>
  <c r="AB77" i="82" a="1"/>
  <c r="AB77" i="82" s="1"/>
  <c r="AB141" i="82" s="1" a="1"/>
  <c r="AB141" i="82" s="1"/>
  <c r="AB201" i="82" s="1" a="1"/>
  <c r="AB201" i="82" s="1"/>
  <c r="AB253" i="82" s="1" a="1"/>
  <c r="AB253" i="82" s="1"/>
  <c r="W83" i="82" a="1"/>
  <c r="W83" i="82" s="1"/>
  <c r="W147" i="82" s="1" a="1"/>
  <c r="W147" i="82" s="1"/>
  <c r="W207" i="82" s="1" a="1"/>
  <c r="W207" i="82" s="1"/>
  <c r="W259" i="82" s="1" a="1"/>
  <c r="W259" i="82" s="1"/>
  <c r="V77" i="82" a="1"/>
  <c r="V77" i="82" s="1"/>
  <c r="V141" i="82" s="1" a="1"/>
  <c r="V141" i="82" s="1"/>
  <c r="V201" i="82" s="1" a="1"/>
  <c r="V201" i="82" s="1"/>
  <c r="V253" i="82" s="1" a="1"/>
  <c r="V253" i="82" s="1"/>
  <c r="AA75" i="82" a="1"/>
  <c r="AA75" i="82" s="1"/>
  <c r="AA139" i="82" s="1" a="1"/>
  <c r="AA139" i="82" s="1"/>
  <c r="AA199" i="82" s="1" a="1"/>
  <c r="AA199" i="82" s="1"/>
  <c r="AA251" i="82" s="1" a="1"/>
  <c r="AA251" i="82" s="1"/>
  <c r="AA83" i="82" a="1"/>
  <c r="AA83" i="82" s="1"/>
  <c r="AA147" i="82" s="1" a="1"/>
  <c r="AA147" i="82" s="1"/>
  <c r="AA207" i="82" s="1" a="1"/>
  <c r="AA207" i="82" s="1"/>
  <c r="AA259" i="82" s="1" a="1"/>
  <c r="AA259" i="82" s="1"/>
  <c r="Y79" i="82" a="1"/>
  <c r="Y79" i="82" s="1"/>
  <c r="Y143" i="82" s="1" a="1"/>
  <c r="Y143" i="82" s="1"/>
  <c r="Y203" i="82" s="1" a="1"/>
  <c r="Y203" i="82" s="1"/>
  <c r="Y255" i="82" s="1" a="1"/>
  <c r="Y255" i="82" s="1"/>
  <c r="AD74" i="82" a="1"/>
  <c r="AD74" i="82" s="1"/>
  <c r="AD138" i="82" s="1" a="1"/>
  <c r="AD138" i="82" s="1"/>
  <c r="AD198" i="82" s="1" a="1"/>
  <c r="AD198" i="82" s="1"/>
  <c r="AD250" i="82" s="1" a="1"/>
  <c r="AD250" i="82" s="1"/>
  <c r="AC81" i="82" a="1"/>
  <c r="AC81" i="82" s="1"/>
  <c r="AC145" i="82" s="1" a="1"/>
  <c r="AC145" i="82" s="1"/>
  <c r="AC205" i="82" s="1" a="1"/>
  <c r="AC205" i="82" s="1"/>
  <c r="AC257" i="82" s="1" a="1"/>
  <c r="AC257" i="82" s="1"/>
  <c r="K65" i="82" a="1"/>
  <c r="K65" i="82" s="1"/>
  <c r="K130" i="82" s="1" a="1"/>
  <c r="K130" i="82" s="1"/>
  <c r="K172" i="82" s="1" a="1"/>
  <c r="K172" i="82" s="1"/>
  <c r="K210" i="82" s="1" a="1"/>
  <c r="K210" i="82" s="1"/>
  <c r="AB78" i="82" a="1"/>
  <c r="AB78" i="82" s="1"/>
  <c r="AB142" i="82" s="1" a="1"/>
  <c r="AB142" i="82" s="1"/>
  <c r="AB202" i="82" s="1" a="1"/>
  <c r="AB202" i="82" s="1"/>
  <c r="AB254" i="82" s="1" a="1"/>
  <c r="AB254" i="82" s="1"/>
  <c r="Z78" i="82" a="1"/>
  <c r="Z78" i="82" s="1"/>
  <c r="Z142" i="82" s="1" a="1"/>
  <c r="Z142" i="82" s="1"/>
  <c r="Z202" i="82" s="1" a="1"/>
  <c r="Z202" i="82" s="1"/>
  <c r="Z254" i="82" s="1" a="1"/>
  <c r="Z254" i="82" s="1"/>
  <c r="AD83" i="82" a="1"/>
  <c r="AD83" i="82" s="1"/>
  <c r="AD147" i="82" s="1" a="1"/>
  <c r="AD147" i="82" s="1"/>
  <c r="AD207" i="82" s="1" a="1"/>
  <c r="AD207" i="82" s="1"/>
  <c r="AD259" i="82" s="1" a="1"/>
  <c r="AD259" i="82" s="1"/>
  <c r="G65" i="82" a="1"/>
  <c r="G65" i="82" s="1"/>
  <c r="G130" i="82" s="1" a="1"/>
  <c r="G130" i="82" s="1"/>
  <c r="G172" i="82" s="1" a="1"/>
  <c r="G172" i="82" s="1"/>
  <c r="G210" i="82" s="1" a="1"/>
  <c r="G210" i="82" s="1"/>
  <c r="AC79" i="82" a="1"/>
  <c r="AC79" i="82" s="1"/>
  <c r="AC143" i="82" s="1" a="1"/>
  <c r="AC143" i="82" s="1"/>
  <c r="AC203" i="82" s="1" a="1"/>
  <c r="AC203" i="82" s="1"/>
  <c r="AC255" i="82" s="1" a="1"/>
  <c r="AC255" i="82" s="1"/>
  <c r="AA81" i="82" a="1"/>
  <c r="AA81" i="82" s="1"/>
  <c r="AA145" i="82" s="1" a="1"/>
  <c r="AA145" i="82" s="1"/>
  <c r="AA205" i="82" s="1" a="1"/>
  <c r="AA205" i="82" s="1"/>
  <c r="AA257" i="82" s="1" a="1"/>
  <c r="AA257" i="82" s="1"/>
  <c r="V72" i="82" a="1"/>
  <c r="V72" i="82" s="1"/>
  <c r="V136" i="82" s="1" a="1"/>
  <c r="V136" i="82" s="1"/>
  <c r="V196" i="82" s="1" a="1"/>
  <c r="V196" i="82" s="1"/>
  <c r="V248" i="82" s="1" a="1"/>
  <c r="V248" i="82" s="1"/>
  <c r="X76" i="82" a="1"/>
  <c r="X76" i="82" s="1"/>
  <c r="X140" i="82" s="1" a="1"/>
  <c r="X140" i="82" s="1"/>
  <c r="X200" i="82" s="1" a="1"/>
  <c r="X200" i="82" s="1"/>
  <c r="X252" i="82" s="1" a="1"/>
  <c r="X252" i="82" s="1"/>
  <c r="W75" i="82" a="1"/>
  <c r="W75" i="82" s="1"/>
  <c r="W139" i="82" s="1" a="1"/>
  <c r="W139" i="82" s="1"/>
  <c r="W199" i="82" s="1" a="1"/>
  <c r="W199" i="82" s="1"/>
  <c r="W251" i="82" s="1" a="1"/>
  <c r="W251" i="82" s="1"/>
  <c r="V75" i="82" a="1"/>
  <c r="V75" i="82" s="1"/>
  <c r="V139" i="82" s="1" a="1"/>
  <c r="V139" i="82" s="1"/>
  <c r="V199" i="82" s="1" a="1"/>
  <c r="V199" i="82" s="1"/>
  <c r="V251" i="82" s="1" a="1"/>
  <c r="V251" i="82" s="1"/>
  <c r="AE72" i="82" a="1"/>
  <c r="AE72" i="82" s="1"/>
  <c r="AE136" i="82" s="1" a="1"/>
  <c r="AE136" i="82" s="1"/>
  <c r="AE196" i="82" s="1" a="1"/>
  <c r="AE196" i="82" s="1"/>
  <c r="AE248" i="82" s="1" a="1"/>
  <c r="AE248" i="82" s="1"/>
  <c r="Y75" i="82" a="1"/>
  <c r="Y75" i="82" s="1"/>
  <c r="Y139" i="82" s="1" a="1"/>
  <c r="Y139" i="82" s="1"/>
  <c r="Y199" i="82" s="1" a="1"/>
  <c r="Y199" i="82" s="1"/>
  <c r="Y251" i="82" s="1" a="1"/>
  <c r="Y251" i="82" s="1"/>
  <c r="E62" i="82" a="1"/>
  <c r="E62" i="82" s="1"/>
  <c r="E127" i="82" s="1" a="1"/>
  <c r="E127" i="82" s="1"/>
  <c r="E169" i="82" s="1" a="1"/>
  <c r="E169" i="82" s="1"/>
  <c r="E207" i="82" s="1" a="1"/>
  <c r="E207" i="82" s="1"/>
  <c r="AD79" i="82" a="1"/>
  <c r="AD79" i="82" s="1"/>
  <c r="AD143" i="82" s="1" a="1"/>
  <c r="AD143" i="82" s="1"/>
  <c r="AD203" i="82" s="1" a="1"/>
  <c r="AD203" i="82" s="1"/>
  <c r="AD255" i="82" s="1" a="1"/>
  <c r="AD255" i="82" s="1"/>
  <c r="W82" i="82" a="1"/>
  <c r="W82" i="82" s="1"/>
  <c r="W146" i="82" s="1" a="1"/>
  <c r="W146" i="82" s="1"/>
  <c r="W206" i="82" s="1" a="1"/>
  <c r="W206" i="82" s="1"/>
  <c r="W258" i="82" s="1" a="1"/>
  <c r="W258" i="82" s="1"/>
  <c r="V80" i="82" a="1"/>
  <c r="V80" i="82" s="1"/>
  <c r="V144" i="82" s="1" a="1"/>
  <c r="V144" i="82" s="1"/>
  <c r="V204" i="82" s="1" a="1"/>
  <c r="V204" i="82" s="1"/>
  <c r="V256" i="82" s="1" a="1"/>
  <c r="V256" i="82" s="1"/>
  <c r="Z76" i="82" a="1"/>
  <c r="Z76" i="82" s="1"/>
  <c r="Z140" i="82" s="1" a="1"/>
  <c r="Z140" i="82" s="1"/>
  <c r="Z200" i="82" s="1" a="1"/>
  <c r="Z200" i="82" s="1"/>
  <c r="Z252" i="82" s="1" a="1"/>
  <c r="Z252" i="82" s="1"/>
  <c r="AA73" i="82" a="1"/>
  <c r="AA73" i="82" s="1"/>
  <c r="AA137" i="82" s="1" a="1"/>
  <c r="AA137" i="82" s="1"/>
  <c r="AA197" i="82" s="1" a="1"/>
  <c r="AA197" i="82" s="1"/>
  <c r="AA249" i="82" s="1" a="1"/>
  <c r="AA249" i="82" s="1"/>
  <c r="Y80" i="82" a="1"/>
  <c r="Y80" i="82" s="1"/>
  <c r="Y144" i="82" s="1" a="1"/>
  <c r="Y144" i="82" s="1"/>
  <c r="Y204" i="82" s="1" a="1"/>
  <c r="Y204" i="82" s="1"/>
  <c r="Y256" i="82" s="1" a="1"/>
  <c r="Y256" i="82" s="1"/>
  <c r="AB75" i="82" a="1"/>
  <c r="AB75" i="82" s="1"/>
  <c r="AB139" i="82" s="1" a="1"/>
  <c r="AB139" i="82" s="1"/>
  <c r="AB199" i="82" s="1" a="1"/>
  <c r="AB199" i="82" s="1"/>
  <c r="AB251" i="82" s="1" a="1"/>
  <c r="AB251" i="82" s="1"/>
  <c r="AC77" i="82" a="1"/>
  <c r="AC77" i="82" s="1"/>
  <c r="AC141" i="82" s="1" a="1"/>
  <c r="AC141" i="82" s="1"/>
  <c r="AC201" i="82" s="1" a="1"/>
  <c r="AC201" i="82" s="1"/>
  <c r="AC253" i="82" s="1" a="1"/>
  <c r="AC253" i="82" s="1"/>
  <c r="AA74" i="82" a="1"/>
  <c r="AA74" i="82" s="1"/>
  <c r="AA138" i="82" s="1" a="1"/>
  <c r="AA138" i="82" s="1"/>
  <c r="AA198" i="82" s="1" a="1"/>
  <c r="AA198" i="82" s="1"/>
  <c r="AA250" i="82" s="1" a="1"/>
  <c r="AA250" i="82" s="1"/>
  <c r="Z72" i="82" a="1"/>
  <c r="Z72" i="82" s="1"/>
  <c r="Z136" i="82" s="1" a="1"/>
  <c r="Z136" i="82" s="1"/>
  <c r="Z196" i="82" s="1" a="1"/>
  <c r="Z196" i="82" s="1"/>
  <c r="Z248" i="82" s="1" a="1"/>
  <c r="Z248" i="82" s="1"/>
  <c r="AD81" i="82" a="1"/>
  <c r="AD81" i="82" s="1"/>
  <c r="AD145" i="82" s="1" a="1"/>
  <c r="AD145" i="82" s="1"/>
  <c r="AD205" i="82" s="1" a="1"/>
  <c r="AD205" i="82" s="1"/>
  <c r="AD257" i="82" s="1" a="1"/>
  <c r="AD257" i="82" s="1"/>
  <c r="AE82" i="82" a="1"/>
  <c r="AE82" i="82" s="1"/>
  <c r="AE146" i="82" s="1" a="1"/>
  <c r="AE146" i="82" s="1"/>
  <c r="AE206" i="82" s="1" a="1"/>
  <c r="AE206" i="82" s="1"/>
  <c r="AE258" i="82" s="1" a="1"/>
  <c r="AE258" i="82" s="1"/>
  <c r="Y78" i="82" a="1"/>
  <c r="Y78" i="82" s="1"/>
  <c r="Y142" i="82" s="1" a="1"/>
  <c r="Y142" i="82" s="1"/>
  <c r="Y202" i="82" s="1" a="1"/>
  <c r="Y202" i="82" s="1"/>
  <c r="Y254" i="82" s="1" a="1"/>
  <c r="Y254" i="82" s="1"/>
  <c r="G64" i="82" a="1"/>
  <c r="G64" i="82" s="1"/>
  <c r="G129" i="82" s="1" a="1"/>
  <c r="G129" i="82" s="1"/>
  <c r="G171" i="82" s="1" a="1"/>
  <c r="G171" i="82" s="1"/>
  <c r="G209" i="82" s="1" a="1"/>
  <c r="G209" i="82" s="1"/>
  <c r="AB72" i="82" a="1"/>
  <c r="AB72" i="82" s="1"/>
  <c r="AB136" i="82" s="1" a="1"/>
  <c r="AB136" i="82" s="1"/>
  <c r="AB196" i="82" s="1" a="1"/>
  <c r="AB196" i="82" s="1"/>
  <c r="AB248" i="82" s="1" a="1"/>
  <c r="AB248" i="82" s="1"/>
  <c r="J64" i="82" a="1"/>
  <c r="J64" i="82" s="1"/>
  <c r="J129" i="82" s="1" a="1"/>
  <c r="J129" i="82" s="1"/>
  <c r="J171" i="82" s="1" a="1"/>
  <c r="J171" i="82" s="1"/>
  <c r="J209" i="82" s="1" a="1"/>
  <c r="J209" i="82" s="1"/>
  <c r="Z83" i="82" a="1"/>
  <c r="Z83" i="82" s="1"/>
  <c r="Z147" i="82" s="1" a="1"/>
  <c r="Z147" i="82" s="1"/>
  <c r="Z207" i="82" s="1" a="1"/>
  <c r="Z207" i="82" s="1"/>
  <c r="Z259" i="82" s="1" a="1"/>
  <c r="Z259" i="82" s="1"/>
  <c r="V261" i="82" l="1"/>
  <c r="E212" i="82"/>
  <c r="J13" i="83" s="1"/>
  <c r="E16" i="83" s="1" a="1"/>
  <c r="E16" i="83" s="1"/>
  <c r="I28" i="83" s="1"/>
  <c r="E35" i="83" s="1" a="1"/>
  <c r="E35" i="83" s="1"/>
  <c r="G246" i="81"/>
  <c r="E249" i="81" s="1" a="1"/>
  <c r="E249" i="81" s="1"/>
  <c r="E229" i="82" l="1"/>
  <c r="G231" i="82" s="1"/>
  <c r="E234" i="82" s="1" a="1"/>
  <c r="E234" i="82" s="1"/>
  <c r="I13" i="84"/>
  <c r="E20" i="84" s="1" a="1"/>
  <c r="E20" i="84" s="1"/>
  <c r="I32" i="84" s="1"/>
  <c r="E36" i="84" s="1" a="1"/>
  <c r="E36" i="84" s="1"/>
  <c r="E11" i="13" s="1" a="1"/>
  <c r="E11" i="13" s="1"/>
  <c r="H11" i="13" s="1" a="1"/>
  <c r="H11" i="13" s="1"/>
  <c r="E10" i="13" a="1"/>
  <c r="E10" i="13" s="1"/>
  <c r="H10" i="13" s="1" a="1"/>
  <c r="H10" i="13" s="1"/>
  <c r="G37" i="83"/>
  <c r="E40" i="83" s="1" a="1"/>
  <c r="E40" i="83" s="1"/>
  <c r="E8" i="13" a="1"/>
  <c r="E8" i="13" s="1"/>
  <c r="H8" i="13" s="1" a="1"/>
  <c r="H8" i="13" s="1"/>
  <c r="Z278" i="81"/>
  <c r="X281" i="81" s="1" a="1"/>
  <c r="X281" i="81" s="1"/>
  <c r="G38" i="84" l="1"/>
  <c r="E41" i="84" s="1" a="1"/>
  <c r="E41" i="84" s="1"/>
  <c r="E9" i="13" a="1"/>
  <c r="E9" i="13" s="1"/>
  <c r="H9" i="13" s="1" a="1"/>
  <c r="H9" i="13" s="1"/>
  <c r="H28" i="13" s="1"/>
  <c r="E38" i="13" s="1"/>
  <c r="E42" i="13" s="1"/>
  <c r="H64" i="13" s="1"/>
  <c r="T13" i="83"/>
  <c r="O16" i="83" s="1" a="1"/>
  <c r="O16" i="83" s="1"/>
  <c r="S28" i="83" s="1"/>
  <c r="O35" i="83" s="1" a="1"/>
  <c r="O35" i="83" s="1"/>
  <c r="R13" i="84"/>
  <c r="N20" i="84" s="1" a="1"/>
  <c r="N20" i="84" s="1"/>
  <c r="R32" i="84" s="1"/>
  <c r="N36" i="84" s="1" a="1"/>
  <c r="N36" i="84" s="1"/>
  <c r="V267" i="82"/>
  <c r="F8" i="13" a="1"/>
  <c r="F8" i="13" s="1"/>
  <c r="I8" i="13" s="1" a="1"/>
  <c r="I8" i="13" s="1"/>
  <c r="X269" i="82" l="1"/>
  <c r="V272" i="82" s="1" a="1"/>
  <c r="V272" i="82" s="1"/>
  <c r="E59" i="13"/>
  <c r="H75" i="13" s="1"/>
  <c r="H72" i="13"/>
  <c r="H74" i="13"/>
  <c r="H66" i="13"/>
  <c r="F11" i="13" a="1"/>
  <c r="F11" i="13" s="1"/>
  <c r="I11" i="13" s="1" a="1"/>
  <c r="I11" i="13" s="1"/>
  <c r="P38" i="84"/>
  <c r="N41" i="84" s="1" a="1"/>
  <c r="N41" i="84" s="1"/>
  <c r="F10" i="13" a="1"/>
  <c r="F10" i="13" s="1"/>
  <c r="I10" i="13" s="1" a="1"/>
  <c r="I10" i="13" s="1"/>
  <c r="Q37" i="83"/>
  <c r="O40" i="83" s="1" a="1"/>
  <c r="O40" i="83" s="1"/>
  <c r="F9" i="13" a="1"/>
  <c r="F9" i="13" s="1"/>
  <c r="I9" i="13" s="1" a="1"/>
  <c r="I9" i="13" s="1"/>
  <c r="H73" i="13" l="1"/>
  <c r="H67" i="13"/>
  <c r="H65" i="13"/>
  <c r="H80" i="13"/>
  <c r="I28" i="13"/>
  <c r="F38" i="13" s="1"/>
  <c r="F42" i="13" s="1"/>
  <c r="I72" i="13" s="1"/>
  <c r="I64" i="13" l="1"/>
  <c r="I74" i="13"/>
  <c r="I66" i="13"/>
  <c r="F59" i="13"/>
  <c r="I65" i="13" s="1"/>
  <c r="I81" i="13" l="1"/>
  <c r="I73" i="13"/>
  <c r="I67" i="13"/>
  <c r="I7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<sst xmlns="http://schemas.openxmlformats.org/spreadsheetml/2006/main" count="4959" uniqueCount="1290">
  <si>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</si>
  <si>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</si>
  <si>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</si>
  <si>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</si>
  <si>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</si>
  <si>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</si>
  <si>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</si>
  <si>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</si>
  <si>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</si>
  <si>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</si>
  <si>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</si>
  <si>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</si>
  <si>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</si>
  <si>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</si>
  <si>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</si>
  <si>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</si>
  <si>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</si>
  <si>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</si>
  <si>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</si>
  <si>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</si>
  <si>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</si>
  <si>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</si>
  <si>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</si>
  <si>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</si>
  <si>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</si>
  <si>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</si>
  <si>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</si>
  <si>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</si>
  <si>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</si>
  <si>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</si>
  <si>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</si>
  <si>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</si>
  <si>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</si>
  <si>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</si>
  <si>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</si>
  <si>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</si>
  <si>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</si>
  <si>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</si>
  <si>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</si>
  <si>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</si>
  <si>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</si>
  <si>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</si>
  <si>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</si>
  <si>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</si>
  <si>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</si>
  <si>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</si>
  <si>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</si>
  <si>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</si>
  <si>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</si>
  <si>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</si>
  <si>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</si>
  <si>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</si>
  <si>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</si>
  <si>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</si>
  <si>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</si>
  <si>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</si>
  <si>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</si>
  <si>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</si>
  <si>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</si>
  <si>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</si>
  <si>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</si>
  <si>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</si>
  <si>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</si>
  <si>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</si>
  <si>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</si>
  <si>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</si>
  <si>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</si>
  <si>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</si>
  <si>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</si>
  <si>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</si>
  <si>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</si>
  <si>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</si>
  <si>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</si>
  <si>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</si>
  <si>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</si>
  <si>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</si>
  <si>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</si>
  <si>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</si>
  <si>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</si>
  <si>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</si>
  <si>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</si>
  <si>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</si>
  <si>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</si>
  <si>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</si>
  <si>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</si>
  <si>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</si>
  <si>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</si>
  <si>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</si>
  <si>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</si>
  <si>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</si>
  <si>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</si>
  <si>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</si>
  <si>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</si>
  <si>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</si>
  <si>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</si>
  <si>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</si>
  <si>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</si>
  <si>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</si>
  <si>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</si>
  <si>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</si>
  <si>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</si>
  <si>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</si>
  <si>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</si>
  <si>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</si>
  <si>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</si>
  <si>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</si>
  <si>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</si>
  <si>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</si>
  <si>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</si>
  <si>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</si>
  <si>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</si>
  <si>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</si>
  <si>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</si>
  <si>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</si>
  <si>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</si>
  <si>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</si>
  <si>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</si>
  <si>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</si>
  <si>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</si>
  <si>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</si>
  <si>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</si>
  <si>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</si>
  <si>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</si>
  <si>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</si>
  <si>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</si>
  <si>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</si>
  <si>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</si>
  <si>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</si>
  <si>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</si>
  <si>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</si>
  <si>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</si>
  <si>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</si>
  <si>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</si>
  <si>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</si>
  <si>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</si>
  <si>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</si>
  <si>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</si>
  <si>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</si>
  <si>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</si>
  <si>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</si>
  <si>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</si>
  <si>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</si>
  <si>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</si>
  <si>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</si>
  <si>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</si>
  <si>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</si>
  <si>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</si>
  <si>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</si>
  <si>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</si>
  <si>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</si>
  <si>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</si>
  <si>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</si>
  <si>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</si>
  <si>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</si>
  <si>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</si>
  <si>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</si>
  <si>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</si>
  <si>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</si>
  <si>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</si>
  <si>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</si>
  <si>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</si>
  <si>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</si>
  <si>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</si>
  <si>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</si>
  <si>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</si>
  <si>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</si>
  <si>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</si>
  <si>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</si>
  <si>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</si>
  <si>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</si>
  <si>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</si>
  <si>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</si>
  <si>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</si>
  <si>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</si>
  <si>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</si>
  <si>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</si>
  <si>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</si>
  <si>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</si>
  <si>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</si>
  <si>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</si>
  <si>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</si>
  <si>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</si>
  <si>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</si>
  <si>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</si>
  <si>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</si>
  <si>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</si>
  <si>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</si>
  <si>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</si>
  <si>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</si>
  <si>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</si>
  <si>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</si>
  <si>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</si>
  <si>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</si>
  <si>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</si>
  <si>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</si>
  <si>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</si>
  <si>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</si>
  <si>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</si>
  <si>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</si>
  <si>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</si>
  <si>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</si>
  <si>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</si>
  <si>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</si>
  <si>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</si>
  <si>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</si>
  <si>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</si>
  <si>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</si>
  <si>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</si>
  <si>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</si>
  <si>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</si>
  <si>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</si>
  <si>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</si>
  <si>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</si>
  <si>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</si>
  <si>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</si>
  <si>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</si>
  <si>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</si>
  <si>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</si>
  <si>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</si>
  <si>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</si>
  <si>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</si>
  <si>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</si>
  <si>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</si>
  <si>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</si>
  <si>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</si>
  <si>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</si>
  <si>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</si>
  <si>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</si>
  <si>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</si>
  <si>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</si>
  <si>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</si>
  <si>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</si>
  <si>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</si>
  <si>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</si>
  <si>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</si>
  <si>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</si>
  <si>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</si>
  <si>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</si>
  <si>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</si>
  <si>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</si>
  <si>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</si>
  <si>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</si>
  <si>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</si>
  <si>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</si>
  <si>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</si>
  <si>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</si>
  <si>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</si>
  <si>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</si>
  <si>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</si>
  <si>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</si>
  <si>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</si>
  <si>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</si>
  <si>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</si>
  <si>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</si>
  <si>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</si>
  <si>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</si>
  <si>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</si>
  <si>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</si>
  <si>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</si>
  <si>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</si>
  <si>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</si>
  <si>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</si>
  <si>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</si>
  <si>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</si>
  <si>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</si>
  <si>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</si>
  <si>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</si>
  <si>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</si>
  <si>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</si>
  <si>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</si>
  <si>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</si>
  <si>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</si>
  <si>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</si>
  <si>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</si>
  <si>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</si>
  <si>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</si>
  <si>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</si>
  <si>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</si>
  <si>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</si>
  <si>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</si>
  <si>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</si>
  <si>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</si>
  <si>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</si>
  <si>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</si>
  <si>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</si>
  <si>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</si>
  <si>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</si>
  <si>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</si>
  <si>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</si>
  <si>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</si>
  <si>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</si>
  <si>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</si>
  <si>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</si>
  <si>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</si>
  <si>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</si>
  <si>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Farm inputs</t>
  </si>
  <si>
    <t>Fuel consumption</t>
  </si>
  <si>
    <t>Electricity consumption</t>
  </si>
  <si>
    <t>Inbound freight use</t>
  </si>
  <si>
    <t>Outbound freight use</t>
  </si>
  <si>
    <t>Solid waste generated</t>
  </si>
  <si>
    <t>This location with spatial partitioning</t>
  </si>
  <si>
    <t>National-level data from a government or industry database/survey</t>
  </si>
  <si>
    <t>Within 4 years of this emissions calculation period</t>
  </si>
  <si>
    <t>Unknown, or more than 4 years of this emissions calculation period</t>
  </si>
  <si>
    <t>Input -Pasture Beef</t>
  </si>
  <si>
    <t>Herd movement</t>
  </si>
  <si>
    <t>South West</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</si>
  <si>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</si>
  <si>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</si>
  <si>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</si>
  <si>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</si>
  <si>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</si>
  <si>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</si>
  <si>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</si>
  <si>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</si>
  <si>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</si>
  <si>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</si>
  <si>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</si>
  <si>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</si>
  <si>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</si>
  <si>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</si>
  <si>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</si>
  <si>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</si>
  <si>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</si>
  <si>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</si>
  <si>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</si>
  <si>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</si>
  <si>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</si>
  <si>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kg/head</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</si>
  <si>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</si>
  <si>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</si>
  <si>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</si>
  <si>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</si>
  <si>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</si>
  <si>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</si>
  <si>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</si>
  <si>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</si>
  <si>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</si>
  <si>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</si>
  <si>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</si>
  <si>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</si>
  <si>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</si>
  <si>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</si>
  <si>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</si>
  <si>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</si>
  <si>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</si>
  <si>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</si>
  <si>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</si>
  <si>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</si>
  <si>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</si>
  <si>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</si>
  <si>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</si>
  <si>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</si>
  <si>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</si>
  <si>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</si>
  <si>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</si>
  <si>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</si>
  <si>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</si>
  <si>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</si>
  <si>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</si>
  <si>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</si>
  <si>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</si>
  <si>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</si>
  <si>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</si>
  <si>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</si>
  <si>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</si>
  <si>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</si>
  <si>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</si>
  <si>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</si>
  <si>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</si>
  <si>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</si>
  <si>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</si>
  <si>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</si>
  <si>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</si>
  <si>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</si>
  <si>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</si>
  <si>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</si>
  <si>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</si>
  <si>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</si>
  <si>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</si>
  <si>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</si>
  <si>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</si>
  <si>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</si>
  <si>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</si>
  <si>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</si>
  <si>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</si>
  <si>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</si>
  <si>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</si>
  <si>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</si>
  <si>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</si>
  <si>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</si>
  <si>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</si>
  <si>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</si>
  <si>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</si>
  <si>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</si>
  <si>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</si>
  <si>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</si>
  <si>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</si>
  <si>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</si>
  <si>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</si>
  <si>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</si>
  <si>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</si>
  <si>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</si>
  <si>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</si>
  <si>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</si>
  <si>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</si>
  <si>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</si>
  <si>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</si>
  <si>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</si>
  <si>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</si>
  <si>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</si>
  <si>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</si>
  <si>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</si>
  <si>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</si>
  <si>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</si>
  <si>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</si>
  <si>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</si>
  <si>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</si>
  <si>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</si>
  <si>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</si>
  <si>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</si>
  <si>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</si>
  <si>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</si>
  <si>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</si>
  <si>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</si>
  <si>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</si>
  <si>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</si>
  <si>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</si>
  <si>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</si>
  <si>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</si>
  <si>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</si>
  <si>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</si>
  <si>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</si>
  <si>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</si>
  <si>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</si>
  <si>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</si>
  <si>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</si>
  <si>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</si>
  <si>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</si>
  <si>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</si>
  <si>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</si>
  <si>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</si>
  <si>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</si>
  <si>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</si>
  <si>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</si>
  <si>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</si>
  <si>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</si>
  <si>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</si>
  <si>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</si>
  <si>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</si>
  <si>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</si>
  <si>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</si>
  <si>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</si>
  <si>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</si>
  <si>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</si>
  <si>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</si>
  <si>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</si>
  <si>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</si>
  <si>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</si>
  <si>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</si>
  <si>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</si>
  <si>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</si>
  <si>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</si>
  <si>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</si>
  <si>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</si>
  <si>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</si>
  <si>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</si>
  <si>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</si>
  <si>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</si>
  <si>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</si>
  <si>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</si>
  <si>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</si>
  <si>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</si>
  <si>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</si>
  <si>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</si>
  <si>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</si>
  <si>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</si>
  <si>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</si>
  <si>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</si>
  <si>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</si>
  <si>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</si>
  <si>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</si>
  <si>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</si>
  <si>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</si>
  <si>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</si>
  <si>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</si>
  <si>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</si>
  <si>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</si>
  <si>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</si>
  <si>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</si>
  <si>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</si>
  <si>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</si>
  <si>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</si>
  <si>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</si>
  <si>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</si>
  <si>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</si>
  <si>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</si>
  <si>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</si>
  <si>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</si>
  <si>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</si>
  <si>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</si>
  <si>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</si>
  <si>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</si>
  <si>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</si>
  <si>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</si>
  <si>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</si>
  <si>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</si>
  <si>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</si>
  <si>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</si>
  <si>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</si>
  <si>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</si>
  <si>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</si>
  <si>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</si>
  <si>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</si>
  <si>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</si>
  <si>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</si>
  <si>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</si>
  <si>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</si>
  <si>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</si>
  <si>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</si>
  <si>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</si>
  <si>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</si>
  <si>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</si>
  <si>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</si>
  <si>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</si>
  <si>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</si>
  <si>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</si>
  <si>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</si>
  <si>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</si>
  <si>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</si>
  <si>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</si>
  <si>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</si>
  <si>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</si>
  <si>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</si>
  <si>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</si>
  <si>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</si>
  <si>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</si>
  <si>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</si>
  <si>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</si>
  <si>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</si>
  <si>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</si>
  <si>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</si>
  <si>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</si>
  <si>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</si>
  <si>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</si>
  <si>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</si>
  <si>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</si>
  <si>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</si>
  <si>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</si>
  <si>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</si>
  <si>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</si>
  <si>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</si>
  <si>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</si>
  <si>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</si>
  <si>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</si>
  <si>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</si>
  <si>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</si>
  <si>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</si>
  <si>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</si>
  <si>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</si>
  <si>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</si>
  <si>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</si>
  <si>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</si>
  <si>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</si>
  <si>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</si>
  <si>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</si>
  <si>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</si>
  <si>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</si>
  <si>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</si>
  <si>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</si>
  <si>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</si>
  <si>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</si>
  <si>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</si>
  <si>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</si>
  <si>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</si>
  <si>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</si>
  <si>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</si>
  <si>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</si>
  <si>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</si>
  <si>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</si>
  <si>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</si>
  <si>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</si>
  <si>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</si>
  <si>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</si>
  <si>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</si>
  <si>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</si>
  <si>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</si>
  <si>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</si>
  <si>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</si>
  <si>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</si>
  <si>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</si>
  <si>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</si>
  <si>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</si>
  <si>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</si>
  <si>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</si>
  <si>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</si>
  <si>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</si>
  <si>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</si>
  <si>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</si>
  <si>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</si>
  <si>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</si>
  <si>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</si>
  <si>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</si>
  <si>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</si>
  <si>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</si>
  <si>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</si>
  <si>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</si>
  <si>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</si>
  <si>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</si>
  <si>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</si>
  <si>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</si>
  <si>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</si>
  <si>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</si>
  <si>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</si>
  <si>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</si>
  <si>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</si>
  <si>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</si>
  <si>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</si>
  <si>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</si>
  <si>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</si>
  <si>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</si>
  <si>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</si>
  <si>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</si>
  <si>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</si>
  <si>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</si>
  <si>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</si>
  <si>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</si>
  <si>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</si>
  <si>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</si>
  <si>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</si>
  <si>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</si>
  <si>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</si>
  <si>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</si>
  <si>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</si>
  <si>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</si>
  <si>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</si>
  <si>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</si>
  <si>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</si>
  <si>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</si>
  <si>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</si>
  <si>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</si>
  <si>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</si>
  <si>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</si>
  <si>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</si>
  <si>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</si>
  <si>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</si>
  <si>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</si>
  <si>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</si>
  <si>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</si>
  <si>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</si>
  <si>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</si>
  <si>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</si>
  <si>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</si>
  <si>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</si>
  <si>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</si>
  <si>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</si>
  <si>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</si>
  <si>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</si>
  <si>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</si>
  <si>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</si>
  <si>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</si>
  <si>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</si>
  <si>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</si>
  <si>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</si>
  <si>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</si>
  <si>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</si>
  <si>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</si>
  <si>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</si>
  <si>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</si>
  <si>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</si>
  <si>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</si>
  <si>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</si>
  <si>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</si>
  <si>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</si>
  <si>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</si>
  <si>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</si>
  <si>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</si>
  <si>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</si>
  <si>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</si>
  <si>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</si>
  <si>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</si>
  <si>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</si>
  <si>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</si>
  <si>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</si>
  <si>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</si>
  <si>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</si>
  <si>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</si>
  <si>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</si>
  <si>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</si>
  <si>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</si>
  <si>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</si>
  <si>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</si>
  <si>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</si>
  <si>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</si>
  <si>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</si>
  <si>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</si>
  <si>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</si>
  <si>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</si>
  <si>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</si>
  <si>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</si>
  <si>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</si>
  <si>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</si>
  <si>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</si>
  <si>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</si>
  <si>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</si>
  <si>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</si>
  <si>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</si>
  <si>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</si>
  <si>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</si>
  <si>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</si>
  <si>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</si>
  <si>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</si>
  <si>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</si>
  <si>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</si>
  <si>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</si>
  <si>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</si>
  <si>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</si>
  <si>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</si>
  <si>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</si>
  <si>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</si>
  <si>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</si>
  <si>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</si>
  <si>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</si>
  <si>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</si>
  <si>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</si>
  <si>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</si>
  <si>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</si>
  <si>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</si>
  <si>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</si>
  <si>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</si>
  <si>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</si>
  <si>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</si>
  <si>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</si>
  <si>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</si>
  <si>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</si>
  <si>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</si>
  <si>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</si>
  <si>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</si>
  <si>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</si>
  <si>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</si>
  <si>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</si>
  <si>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</si>
  <si>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</si>
  <si>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</si>
  <si>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</si>
  <si>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</si>
  <si>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</si>
  <si>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</si>
  <si>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</si>
  <si>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</si>
  <si>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</si>
  <si>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</si>
  <si>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</si>
  <si>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</si>
  <si>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</si>
  <si>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</si>
  <si>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</si>
  <si>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</si>
  <si>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</si>
  <si>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</si>
  <si>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</si>
  <si>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</si>
  <si>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</si>
  <si>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</si>
  <si>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</si>
  <si>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</si>
  <si>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</si>
  <si>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</si>
  <si>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</si>
  <si>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</si>
  <si>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</si>
  <si>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</si>
  <si>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</si>
  <si>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</si>
  <si>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</si>
  <si>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</si>
  <si>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</si>
  <si>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</si>
  <si>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</si>
  <si>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</si>
  <si>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</si>
  <si>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</si>
  <si>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</si>
  <si>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</si>
  <si>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</si>
  <si>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</si>
  <si>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</si>
  <si>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</si>
  <si>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</si>
  <si>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</si>
  <si>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</si>
  <si>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</si>
  <si>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</si>
  <si>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</si>
  <si>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</si>
  <si>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</si>
  <si>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</si>
  <si>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</si>
  <si>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</si>
  <si>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</si>
  <si>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</si>
  <si>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</si>
  <si>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</si>
  <si>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</si>
  <si>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</si>
  <si>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</si>
  <si>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</si>
  <si>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</si>
  <si>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</si>
  <si>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</si>
  <si>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</si>
  <si>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</si>
  <si>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</si>
  <si>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</si>
  <si>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</si>
  <si>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</si>
  <si>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</si>
  <si>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</si>
  <si>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</si>
  <si>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</si>
  <si>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</si>
  <si>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</si>
  <si>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</si>
  <si>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</si>
  <si>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</si>
  <si>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</si>
  <si>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</si>
  <si>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</si>
  <si>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</si>
  <si>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</si>
  <si>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</si>
  <si>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</si>
  <si>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</si>
  <si>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</si>
  <si>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</si>
  <si>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</si>
  <si>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</si>
  <si>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</si>
  <si>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</si>
  <si>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</si>
  <si>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</si>
  <si>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</si>
  <si>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</si>
  <si>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</si>
  <si>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</si>
  <si>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</si>
  <si>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</si>
  <si>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</si>
  <si>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</si>
  <si>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</si>
  <si>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</si>
  <si>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</si>
  <si>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</si>
  <si>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</si>
  <si>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</si>
  <si>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</si>
  <si>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</si>
  <si>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</si>
  <si>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</si>
  <si>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</si>
  <si>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</si>
  <si>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</si>
  <si>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</si>
  <si>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</si>
  <si>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</si>
  <si>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</si>
  <si>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</si>
  <si>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</si>
  <si>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</si>
  <si>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</si>
  <si>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</si>
  <si>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</si>
  <si>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</si>
  <si>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</si>
  <si>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</si>
  <si>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</si>
  <si>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</si>
  <si>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</si>
  <si>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</si>
  <si>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</si>
  <si>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</si>
  <si>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</si>
  <si>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</si>
  <si>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</si>
  <si>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</si>
  <si>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</si>
  <si>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</si>
  <si>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</si>
  <si>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</si>
  <si>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</si>
  <si>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</si>
  <si>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</si>
  <si>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</si>
  <si>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</si>
  <si>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</si>
  <si>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</si>
  <si>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</si>
  <si>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</si>
  <si>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</si>
  <si>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</si>
  <si>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</si>
  <si>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</si>
  <si>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</si>
  <si>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</si>
  <si>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</si>
  <si>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</si>
  <si>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</si>
  <si>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</si>
  <si>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</si>
  <si>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</si>
  <si>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</si>
  <si>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</si>
  <si>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</si>
  <si>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</si>
  <si>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</si>
  <si>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</si>
  <si>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</si>
  <si>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</si>
  <si>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</si>
  <si>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</si>
  <si>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</si>
  <si>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</si>
  <si>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</si>
  <si>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</si>
  <si>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</si>
  <si>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</si>
  <si>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</si>
  <si>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</si>
  <si>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</si>
  <si>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</si>
  <si>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</si>
  <si>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</si>
  <si>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</si>
  <si>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</si>
  <si>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</si>
  <si>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</si>
  <si>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</si>
  <si>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</si>
  <si>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</si>
  <si>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</si>
  <si>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</si>
  <si>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</si>
  <si>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</si>
  <si>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</si>
  <si>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</si>
  <si>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</si>
  <si>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</si>
  <si>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</si>
  <si>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</si>
  <si>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</si>
  <si>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</si>
  <si>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</si>
  <si>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</si>
  <si>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</si>
  <si>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</si>
  <si>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</si>
  <si>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</si>
  <si>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</si>
  <si>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</si>
  <si>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</si>
  <si>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</si>
  <si>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</si>
  <si>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</si>
  <si>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Grass clover mixture</t>
  </si>
  <si>
    <t>← Please select</t>
  </si>
  <si>
    <t>Hectares</t>
  </si>
  <si>
    <t>Yield</t>
  </si>
  <si>
    <t>💡 'Pasture yield' is the average amount of dry matter that is grazed.</t>
  </si>
  <si>
    <t xml:space="preserve">       A default value is provided based on pasture type. You can edit this if known.</t>
  </si>
  <si>
    <t>Tonnes dry matter / hectare</t>
  </si>
  <si>
    <t>Total pasture yield</t>
  </si>
  <si>
    <t>Tonnes</t>
  </si>
  <si>
    <t>Residue management</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</si>
  <si>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</si>
  <si>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</si>
  <si>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</si>
  <si>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</si>
  <si>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</si>
  <si>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</si>
  <si>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</si>
  <si>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</si>
  <si>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</si>
  <si>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</si>
  <si>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</si>
  <si>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</si>
  <si>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</si>
  <si>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</si>
  <si>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</si>
  <si>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</si>
  <si>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</si>
  <si>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</si>
  <si>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</si>
  <si>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</si>
  <si>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</si>
  <si>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</si>
  <si>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</si>
  <si>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</si>
  <si>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</si>
  <si>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</si>
  <si>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</si>
  <si>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</si>
  <si>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</si>
  <si>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</si>
  <si>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</si>
  <si>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</si>
  <si>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</si>
  <si>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</si>
  <si>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</si>
  <si>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</si>
  <si>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</si>
  <si>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</si>
  <si>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</si>
  <si>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</si>
  <si>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</si>
  <si>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</si>
  <si>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</si>
  <si>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</si>
  <si>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</si>
  <si>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</si>
  <si>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</si>
  <si>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</si>
  <si>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</si>
  <si>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</si>
  <si>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</si>
  <si>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</si>
  <si>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</si>
  <si>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</si>
  <si>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</si>
  <si>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</si>
  <si>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</si>
  <si>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</si>
  <si>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</si>
  <si>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</si>
  <si>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</si>
  <si>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</si>
  <si>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</si>
  <si>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</si>
  <si>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</si>
  <si>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</si>
  <si>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</si>
  <si>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</si>
  <si>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</si>
  <si>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</si>
  <si>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</si>
  <si>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</si>
  <si>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</si>
  <si>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</si>
  <si>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</si>
  <si>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</si>
  <si>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</si>
  <si>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</si>
  <si>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</si>
  <si>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</si>
  <si>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</si>
  <si>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</si>
  <si>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</si>
  <si>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</si>
  <si>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</si>
  <si>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</si>
  <si>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</si>
  <si>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</si>
  <si>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</si>
  <si>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</si>
  <si>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</si>
  <si>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</si>
  <si>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</si>
  <si>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</si>
  <si>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</si>
  <si>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</si>
  <si>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</si>
  <si>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</si>
  <si>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</si>
  <si>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</si>
  <si>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</si>
  <si>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</si>
  <si>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</si>
  <si>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</si>
  <si>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</si>
  <si>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</si>
  <si>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</si>
  <si>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</si>
  <si>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</si>
  <si>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</si>
  <si>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</si>
  <si>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</si>
  <si>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</si>
  <si>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</si>
  <si>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Livestock, wild catch fishery, aquaculture</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</si>
  <si>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</si>
  <si>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</si>
  <si>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</si>
  <si>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</si>
  <si>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</si>
  <si>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</si>
  <si>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</si>
  <si>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</si>
  <si>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</si>
  <si>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</si>
  <si>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</si>
  <si>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</si>
  <si>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</si>
  <si>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</si>
  <si>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</si>
  <si>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</si>
  <si>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</si>
  <si>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</si>
  <si>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</si>
  <si>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</si>
  <si>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</si>
  <si>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</si>
  <si>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</si>
  <si>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</si>
  <si>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</si>
  <si>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</si>
  <si>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</si>
  <si>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</si>
  <si>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</si>
  <si>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</si>
  <si>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</si>
  <si>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</si>
  <si>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</si>
  <si>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</si>
  <si>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</si>
  <si>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</si>
  <si>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</si>
  <si>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</si>
  <si>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</si>
  <si>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</si>
  <si>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</si>
  <si>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</si>
  <si>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</si>
  <si>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</si>
  <si>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</si>
  <si>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</si>
  <si>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</si>
  <si>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</si>
  <si>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</si>
  <si>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</si>
  <si>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</si>
  <si>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</si>
  <si>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</si>
  <si>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</si>
  <si>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</si>
  <si>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</si>
  <si>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</si>
  <si>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</si>
  <si>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</si>
  <si>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</si>
  <si>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</si>
  <si>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</si>
  <si>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</si>
  <si>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</si>
  <si>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</si>
  <si>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</si>
  <si>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</si>
  <si>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</si>
  <si>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</si>
  <si>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</si>
  <si>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</si>
  <si>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</si>
  <si>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</si>
  <si>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</si>
  <si>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</si>
  <si>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</si>
  <si>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</si>
  <si>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</si>
  <si>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</si>
  <si>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</si>
  <si>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</si>
  <si>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</si>
  <si>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</si>
  <si>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</si>
  <si>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</si>
  <si>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</si>
  <si>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</si>
  <si>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</si>
  <si>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</si>
  <si>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</si>
  <si>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</si>
  <si>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</si>
  <si>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</si>
  <si>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</si>
  <si>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</si>
  <si>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</si>
  <si>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</si>
  <si>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</si>
  <si>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</si>
  <si>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</si>
  <si>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</si>
  <si>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</si>
  <si>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</si>
  <si>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</si>
  <si>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</si>
  <si>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</si>
  <si>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</si>
  <si>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</si>
  <si>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</si>
  <si>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</si>
  <si>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</si>
  <si>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</si>
  <si>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</si>
  <si>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</si>
  <si>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</si>
  <si>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</si>
  <si>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</si>
  <si>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</si>
  <si>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</si>
  <si>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</si>
  <si>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</si>
  <si>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</si>
  <si>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</si>
  <si>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</si>
  <si>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</si>
  <si>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</si>
  <si>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</si>
  <si>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</si>
  <si>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</si>
  <si>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</si>
  <si>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</si>
  <si>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</si>
  <si>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</si>
  <si>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</si>
  <si>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</si>
  <si>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</si>
  <si>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</si>
  <si>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</si>
  <si>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</si>
  <si>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</si>
  <si>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</si>
  <si>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</si>
  <si>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</si>
  <si>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</si>
  <si>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</si>
  <si>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</si>
  <si>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</si>
  <si>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</si>
  <si>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</si>
  <si>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</si>
  <si>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</si>
  <si>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</si>
  <si>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</si>
  <si>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</si>
  <si>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</si>
  <si>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</si>
  <si>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</si>
  <si>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</si>
  <si>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</si>
  <si>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</si>
  <si>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</si>
  <si>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</si>
  <si>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</si>
  <si>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</si>
  <si>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</si>
  <si>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</si>
  <si>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</si>
  <si>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</si>
  <si>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</si>
  <si>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</si>
  <si>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</si>
  <si>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</si>
  <si>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</si>
  <si>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</si>
  <si>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</si>
  <si>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</si>
  <si>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</si>
  <si>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</si>
  <si>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</si>
  <si>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</si>
  <si>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</si>
  <si>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Chemicals</t>
  </si>
  <si>
    <t>Inorganic fertilisers</t>
  </si>
  <si>
    <t>Quantity</t>
  </si>
  <si>
    <t>Other agricultural inputs</t>
  </si>
  <si>
    <t>Packaging</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</si>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</sst>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2"/>
      <color theme="1"/>
      <name val="Times New Roman"/>
      <family val="2"/>
    </font>
    <font>
      <sz val="11"/>
      <color theme="1"/>
      <name val="Times New Roman"/>
      <family val="2"/>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2" fillId="4" borderId="0">
      <alignment horizontal="left" vertical="center"/>
    </xf>
    <xf numFmtId="0" fontId="42" fillId="17" borderId="2">
      <alignment horizontal="center" vertical="center"/>
    </xf>
  </cellStyleXfs>
  <cellXfs count="27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xf numFmtId="0" fontId="0" fillId="0" borderId="2" xfId="14" applyFont="1">
      <alignment horizontal="center" vertical="center"/>
    </xf>
    <xf numFmtId="0" fontId="0" fillId="0" borderId="17" xfId="14" applyFont="1" applyBorder="1">
      <alignment horizontal="center" vertical="center"/>
    </xf>
    <xf numFmtId="0" fontId="4" fillId="12" borderId="17" xfId="15" applyBorder="1">
      <alignment horizontal="center" vertical="center"/>
    </xf>
    <xf numFmtId="0" fontId="54" fillId="9" borderId="4" xfId="34" applyFont="1">
      <alignment horizontal="left" vertical="center" indent="1"/>
    </xf>
    <xf numFmtId="0" fontId="21" fillId="10" borderId="0" xfId="35">
      <alignment horizontal="left" vertical="center" indent="1"/>
    </xf>
    <xf numFmtId="0" fontId="10" fillId="0" borderId="0" xfId="55"/>
    <xf numFmtId="0" fontId="21" fillId="5" borderId="0" xfId="36">
      <alignment horizontal="left" vertical="center" indent="1"/>
    </xf>
    <xf numFmtId="0" fontId="13" fillId="6" borderId="0" xfId="28">
      <alignment horizontal="left" vertical="center" indent="1"/>
    </xf>
    <xf numFmtId="171" fontId="26" fillId="4" borderId="2" xfId="68" applyNumberFormat="1" applyFont="1" applyFill="1" applyBorder="1" applyAlignment="1">
      <alignment horizontal="center" vertical="center"/>
    </xf>
    <xf numFmtId="0" fontId="57"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8" xfId="63" applyBorder="1">
      <alignment horizontal="left" vertical="center"/>
    </xf>
    <xf numFmtId="0" fontId="26" fillId="4" borderId="19" xfId="63" applyBorder="1">
      <alignment horizontal="left" vertical="center"/>
    </xf>
    <xf numFmtId="0" fontId="26" fillId="4" borderId="20"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16" borderId="2" xfId="52" applyFill="1">
      <alignment horizontal="center" vertical="center"/>
    </xf>
    <xf numFmtId="0" fontId="30" fillId="4" borderId="1" xfId="8" applyBorder="1">
      <alignment horizontal="left" vertical="center"/>
    </xf>
    <xf numFmtId="0" fontId="60"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2" xfId="52" applyAlignment="1">
      <alignment horizontal="left" vertical="center"/>
    </xf>
    <xf numFmtId="0" fontId="26" fillId="4" borderId="18"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8" xfId="52" applyBorder="1" applyAlignment="1">
      <alignment vertical="center"/>
    </xf>
    <xf numFmtId="0" fontId="26" fillId="4" borderId="19" xfId="52" applyBorder="1" applyAlignment="1">
      <alignment vertical="center"/>
    </xf>
    <xf numFmtId="0" fontId="26" fillId="4" borderId="20" xfId="52" applyBorder="1" applyAlignment="1">
      <alignment vertical="center"/>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7" fillId="4" borderId="0" xfId="0" applyFont="1" applyFill="1" applyAlignment="1">
      <alignment horizontal="center" vertical="center"/>
    </xf>
    <xf numFmtId="0" fontId="67" fillId="4" borderId="0" xfId="0" applyFont="1" applyFill="1"/>
    <xf numFmtId="0" fontId="68" fillId="4" borderId="0" xfId="0" applyFont="1" applyFill="1"/>
    <xf numFmtId="0" fontId="33"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47" fillId="4" borderId="0" xfId="43" applyFont="1" applyFill="1" applyAlignment="1">
      <alignment horizontal="left" vertical="center" wrapText="1"/>
    </xf>
    <xf numFmtId="2" fontId="67" fillId="4" borderId="0" xfId="67" applyNumberFormat="1" applyFont="1" applyFill="1" applyBorder="1" applyAlignment="1" applyProtection="1">
      <alignment horizontal="center" wrapText="1"/>
      <protection locked="0"/>
    </xf>
    <xf numFmtId="1" fontId="67" fillId="4" borderId="0" xfId="67" applyNumberFormat="1" applyFont="1" applyFill="1" applyBorder="1" applyAlignment="1" applyProtection="1">
      <alignment horizontal="center" wrapText="1"/>
      <protection locked="0"/>
    </xf>
    <xf numFmtId="0" fontId="67" fillId="4" borderId="0" xfId="0" applyFont="1" applyFill="1" applyAlignment="1">
      <alignment horizontal="left" wrapText="1"/>
    </xf>
    <xf numFmtId="0" fontId="68"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9" fillId="12" borderId="2" xfId="15" applyFont="1">
      <alignment horizontal="center" vertical="center"/>
    </xf>
    <xf numFmtId="9" fontId="0" fillId="0" borderId="22" xfId="68" applyFont="1" applyFill="1" applyBorder="1" applyAlignment="1">
      <alignment horizontal="center" vertical="center" wrapText="1"/>
    </xf>
    <xf numFmtId="4" fontId="56" fillId="0" borderId="2" xfId="17" applyFont="1" applyAlignment="1">
      <alignment horizontal="center" vertical="center" wrapText="1"/>
    </xf>
    <xf numFmtId="0" fontId="33" fillId="13" borderId="23" xfId="39" applyBorder="1">
      <alignment horizontal="left" vertical="center"/>
    </xf>
    <xf numFmtId="0" fontId="33" fillId="13" borderId="0" xfId="39" applyBorder="1">
      <alignment horizontal="left" vertical="center"/>
    </xf>
    <xf numFmtId="0" fontId="33" fillId="13" borderId="24"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26" fillId="4" borderId="19" xfId="52" applyBorder="1" applyAlignment="1">
      <alignment horizontal="left" vertical="center"/>
    </xf>
    <xf numFmtId="0" fontId="40" fillId="4" borderId="18" xfId="62" applyBorder="1">
      <alignment horizontal="left" vertical="center"/>
    </xf>
    <xf numFmtId="0" fontId="26" fillId="4" borderId="20" xfId="52" applyBorder="1">
      <alignment horizontal="center" vertical="center"/>
    </xf>
    <xf numFmtId="0" fontId="26" fillId="4" borderId="20"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2" fillId="4" borderId="0" xfId="0" applyFont="1" applyFill="1"/>
    <xf numFmtId="0" fontId="7" fillId="4" borderId="1" xfId="12" applyBorder="1">
      <alignment horizontal="left" vertical="center" indent="1"/>
    </xf>
    <xf numFmtId="0" fontId="30" fillId="4" borderId="25"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6"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6" fillId="4" borderId="17" xfId="52" applyBorder="1">
      <alignment horizontal="center" vertical="center"/>
    </xf>
    <xf numFmtId="9" fontId="0" fillId="0" borderId="17" xfId="16" applyFont="1" applyBorder="1">
      <alignment horizontal="center" vertical="center"/>
    </xf>
    <xf numFmtId="0" fontId="29" fillId="4" borderId="0" xfId="48" applyAlignment="1">
      <alignment horizontal="left" vertical="center"/>
    </xf>
    <xf numFmtId="173" fontId="74" fillId="4" borderId="2" xfId="52" applyNumberFormat="1" applyFont="1">
      <alignment horizontal="center" vertical="center"/>
    </xf>
    <xf numFmtId="0" fontId="25" fillId="4" borderId="0" xfId="50">
      <alignment horizontal="left" vertical="center"/>
    </xf>
    <xf numFmtId="4" fontId="26" fillId="4" borderId="17" xfId="46" applyBorder="1">
      <alignment horizontal="center" vertical="center"/>
    </xf>
    <xf numFmtId="173" fontId="74" fillId="4" borderId="17"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4" fillId="4" borderId="29" xfId="52" applyNumberFormat="1" applyFont="1" applyBorder="1">
      <alignment horizontal="center" vertical="center"/>
    </xf>
    <xf numFmtId="173" fontId="74" fillId="4" borderId="27" xfId="52" applyNumberFormat="1" applyFont="1" applyBorder="1">
      <alignment horizontal="center" vertical="center"/>
    </xf>
    <xf numFmtId="0" fontId="26" fillId="4" borderId="29" xfId="52" applyBorder="1">
      <alignment horizontal="center" vertical="center"/>
    </xf>
    <xf numFmtId="0" fontId="74" fillId="4" borderId="29" xfId="52" applyFont="1" applyBorder="1">
      <alignment horizontal="center" vertical="center"/>
    </xf>
    <xf numFmtId="0" fontId="4" fillId="4" borderId="26" xfId="7" applyBorder="1">
      <alignment horizontal="left" vertical="center"/>
    </xf>
    <xf numFmtId="165" fontId="72" fillId="4" borderId="26" xfId="0" applyNumberFormat="1" applyFont="1" applyFill="1" applyBorder="1"/>
    <xf numFmtId="0" fontId="7" fillId="4" borderId="26" xfId="12" applyBorder="1">
      <alignment horizontal="left" vertical="center" indent="1"/>
    </xf>
    <xf numFmtId="168" fontId="72" fillId="4" borderId="0" xfId="0" applyNumberFormat="1" applyFont="1" applyFill="1" applyAlignment="1">
      <alignment vertical="center"/>
    </xf>
    <xf numFmtId="165" fontId="72" fillId="4" borderId="26" xfId="0" applyNumberFormat="1" applyFont="1" applyFill="1" applyBorder="1" applyAlignment="1">
      <alignment vertical="center"/>
    </xf>
    <xf numFmtId="0" fontId="72" fillId="4" borderId="0" xfId="0" applyFont="1" applyFill="1" applyAlignment="1">
      <alignment vertical="center"/>
    </xf>
    <xf numFmtId="165" fontId="75" fillId="4" borderId="26" xfId="0" applyNumberFormat="1" applyFont="1" applyFill="1" applyBorder="1" applyAlignment="1">
      <alignment vertical="center"/>
    </xf>
    <xf numFmtId="168" fontId="74" fillId="4" borderId="2" xfId="46" applyNumberFormat="1" applyFont="1">
      <alignment horizontal="center" vertical="center"/>
    </xf>
    <xf numFmtId="168" fontId="74" fillId="4" borderId="17" xfId="46" applyNumberFormat="1" applyFont="1" applyBorder="1">
      <alignment horizontal="center" vertical="center"/>
    </xf>
    <xf numFmtId="168" fontId="74" fillId="4" borderId="29" xfId="46" applyNumberFormat="1" applyFont="1" applyBorder="1">
      <alignment horizontal="center" vertical="center"/>
    </xf>
    <xf numFmtId="0" fontId="73" fillId="0" borderId="0" xfId="0" applyFont="1" applyAlignment="1">
      <alignment vertical="center" wrapText="1"/>
    </xf>
    <xf numFmtId="0" fontId="76" fillId="0" borderId="0" xfId="0" applyFont="1" applyAlignment="1">
      <alignment horizontal="left" vertical="center"/>
    </xf>
    <xf numFmtId="0" fontId="76" fillId="0" borderId="0" xfId="8" applyFont="1" applyFill="1">
      <alignment horizontal="left" vertical="center"/>
    </xf>
    <xf numFmtId="0" fontId="73"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3" fillId="4" borderId="0" xfId="0" applyFont="1" applyFill="1" applyAlignment="1">
      <alignment horizontal="left" vertical="center"/>
    </xf>
    <xf numFmtId="0" fontId="44" fillId="4" borderId="0" xfId="8" applyFont="1" applyAlignment="1">
      <alignment horizontal="right" vertical="center"/>
    </xf>
    <xf numFmtId="0" fontId="77" fillId="4" borderId="0" xfId="0" applyFont="1" applyFill="1"/>
    <xf numFmtId="0" fontId="73" fillId="0" borderId="0" xfId="0" applyFont="1"/>
    <xf numFmtId="0" fontId="73" fillId="0" borderId="0" xfId="7" applyFont="1" applyFill="1">
      <alignment horizontal="left" vertical="center"/>
    </xf>
    <xf numFmtId="0" fontId="73" fillId="4" borderId="0" xfId="0" applyFont="1" applyFill="1"/>
    <xf numFmtId="0" fontId="73" fillId="4" borderId="0" xfId="7" applyFont="1">
      <alignment horizontal="left" vertical="center"/>
    </xf>
    <xf numFmtId="0" fontId="66" fillId="2" borderId="0" xfId="8" applyFont="1" applyFill="1">
      <alignment horizontal="left" vertical="center"/>
    </xf>
    <xf numFmtId="0" fontId="78"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9" fillId="4" borderId="1" xfId="0" applyFont="1" applyFill="1" applyBorder="1"/>
    <xf numFmtId="0" fontId="81" fillId="4" borderId="1" xfId="0" applyFont="1" applyFill="1" applyBorder="1"/>
    <xf numFmtId="0" fontId="23"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2"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4" fontId="0" fillId="0" borderId="0" xfId="17" applyFont="1" applyBorder="1">
      <alignment horizontal="center" vertical="center"/>
    </xf>
    <xf numFmtId="0" fontId="67" fillId="4" borderId="0" xfId="55" applyFont="1" applyFill="1" applyAlignment="1" applyProtection="1">
      <alignment horizontal="center"/>
      <protection locked="0"/>
    </xf>
    <xf numFmtId="0" fontId="67"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42" fillId="17" borderId="2" xfId="71">
      <alignment horizontal="center" vertical="center"/>
    </xf>
    <xf numFmtId="0" fontId="55" fillId="6" borderId="0" xfId="8" applyFont="1" applyFill="1">
      <alignment horizontal="left" vertical="center"/>
    </xf>
    <xf numFmtId="0" fontId="74" fillId="4" borderId="2" xfId="52" applyFont="1">
      <alignment horizontal="center" vertical="center"/>
    </xf>
    <xf numFmtId="0" fontId="57" fillId="4" borderId="1" xfId="8" applyFont="1" applyBorder="1">
      <alignment horizontal="left" vertical="center"/>
    </xf>
    <xf numFmtId="4" fontId="26" fillId="4" borderId="2" xfId="63" applyNumberFormat="1">
      <alignment horizontal="left" vertical="center"/>
    </xf>
    <xf numFmtId="0" fontId="55" fillId="2" borderId="0" xfId="8" applyFont="1" applyFill="1">
      <alignment horizontal="left" vertical="center"/>
    </xf>
    <xf numFmtId="0" fontId="88"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2D684A08-DCD1-413A-9491-5AC2B6985D9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97B8F537-E6E8-4FCC-BC74-305E6AA7644C}"/>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6B33EF8D-3A96-499F-A6E4-78DC7AFA0AE5}"/>
    <cellStyle name="Variable type other" xfId="64" xr:uid="{105BD9DE-B567-4DA0-87E6-C60A0ECC1C65}"/>
  </cellStyles>
  <dxfs count="51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17"/>
      <tableStyleElement type="headerRow" dxfId="516"/>
      <tableStyleElement type="totalRow" dxfId="515"/>
      <tableStyleElement type="firstColumn" dxfId="514"/>
      <tableStyleElement type="firstRowStripe" dxfId="513"/>
      <tableStyleElement type="secondRowStripe" dxfId="512"/>
    </tableStyle>
    <tableStyle name="Equation table" pivot="0" count="6" xr9:uid="{B247698E-E41D-4CCD-AA0A-C14817E9DE65}">
      <tableStyleElement type="wholeTable" dxfId="511"/>
      <tableStyleElement type="headerRow" dxfId="510"/>
      <tableStyleElement type="totalRow" dxfId="509"/>
      <tableStyleElement type="firstColumn" dxfId="508"/>
      <tableStyleElement type="firstRowStripe" dxfId="507"/>
      <tableStyleElement type="secondRowStripe" dxfId="50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openxmlformats.org/officeDocument/2006/relationships/sheetMetadata" Target="metadata.xml" /><Relationship Id="rId68" Type="http://schemas.openxmlformats.org/officeDocument/2006/relationships/calcChain" Target="calcChain.xml" /><Relationship Id="rId7" Type="http://schemas.openxmlformats.org/officeDocument/2006/relationships/worksheet" Target="worksheets/sheet7.xml" /><Relationship Id="rId71"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66"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styles" Target="styl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microsoft.com/office/2022/10/relationships/richValueRel" Target="richData/richValueRel.xml" /><Relationship Id="rId69" Type="http://schemas.openxmlformats.org/officeDocument/2006/relationships/customXml" Target="../customXml/item1.xml" /><Relationship Id="rId8" Type="http://schemas.openxmlformats.org/officeDocument/2006/relationships/worksheet" Target="worksheets/sheet8.xml" /><Relationship Id="rId72" Type="http://schemas.openxmlformats.org/officeDocument/2006/relationships/customXml" Target="../customXml/item4.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microsoft.com/office/2017/06/relationships/rdRichValueTypes" Target="richData/rdRichValueTypes.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openxmlformats.org/officeDocument/2006/relationships/sharedStrings" Target="sharedStrings.xml" /><Relationship Id="rId70"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openxmlformats.org/officeDocument/2006/relationships/theme" Target="theme/theme1.xml" /><Relationship Id="rId65" Type="http://schemas.microsoft.com/office/2017/06/relationships/rdRichValue" Target="richData/rdrichvalue.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18098A-2057-463D-B989-F01A697B24CA}"/>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F718098A-2057-463D-B989-F01A697B24CA}"/>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3619369-0ED3-4F81-ADAF-49462DBD9A93}"/>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3619369-0ED3-4F81-ADAF-49462DBD9A93}"/>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CDCA57C-BB54-4C18-8F5C-A0FCB6B963AB}"/>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CDCA57C-BB54-4C18-8F5C-A0FCB6B963AB}"/>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5DF50B4-9C7F-4FCE-AA22-99BE17F9EB43}"/>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55DF50B4-9C7F-4FCE-AA22-99BE17F9EB43}"/>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3F217E7-E9EB-4230-9E87-4DF82856931C}"/>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3F217E7-E9EB-4230-9E87-4DF82856931C}"/>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7E5E6C9-1EA6-4886-B3CB-BF14DAA28D5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87E5E6C9-1EA6-4886-B3CB-BF14DAA28D5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53A641-311B-4EFD-9388-16DA503E19A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E853A641-311B-4EFD-9388-16DA503E19A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BAE55B1-4B99-4E58-B9CC-51AC874238B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2BAE55B1-4B99-4E58-B9CC-51AC874238B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6662043-32E7-450C-A917-9A70FFF56F15}"/>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6662043-32E7-450C-A917-9A70FFF56F15}"/>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F4A77BB-C053-42B5-A233-87CB536F9E84}"/>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6F4A77BB-C053-42B5-A233-87CB536F9E84}"/>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0151258-98FC-4E5D-A849-9485C22BF2AE}"/>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60151258-98FC-4E5D-A849-9485C22BF2AE}"/>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9AECFD1-8C2A-46D9-B6D6-5EBA52FAC4E6}"/>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F9AECFD1-8C2A-46D9-B6D6-5EBA52FAC4E6}"/>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E9CB18F-F292-41C5-9B95-F8FFC34437F6}"/>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8E9CB18F-F292-41C5-9B95-F8FFC34437F6}"/>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9C026EB-074A-409A-B6F3-33BD4C6875A3}"/>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79C026EB-074A-409A-B6F3-33BD4C6875A3}"/>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94368A-AD7E-41A4-A3CF-930F5A9D3EE1}"/>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694368A-AD7E-41A4-A3CF-930F5A9D3EE1}"/>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96AEFA-F9CC-4638-A985-118F1714B2D4}"/>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6D96AEFA-F9CC-4638-A985-118F1714B2D4}"/>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70650F8-448C-46B8-A65F-3E47EC3C47F5}"/>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70650F8-448C-46B8-A65F-3E47EC3C47F5}"/>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EB81395-BFFA-4E14-93F0-45E9D232B8E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EB81395-BFFA-4E14-93F0-45E9D232B8E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7B323FE-C8B7-42C6-B9FC-DA28C0AF68F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7B323FE-C8B7-42C6-B9FC-DA28C0AF68F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89CEC77-E1D7-4EB9-AFE4-8E56914EBB9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389CEC77-E1D7-4EB9-AFE4-8E56914EBB9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4340A2-9EC7-44C0-B273-7DEFDA4E6020}"/>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4340A2-9EC7-44C0-B273-7DEFDA4E6020}"/>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C5C2602-0FF8-42CE-AF49-32FDF6126935}"/>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C5C2602-0FF8-42CE-AF49-32FDF6126935}"/>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F7B3B5-0B5B-4AE4-88E7-9254D518133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F7B3B5-0B5B-4AE4-88E7-9254D518133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04D32DB-0593-4FE0-838E-885359BEDADC}"/>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04D32DB-0593-4FE0-838E-885359BEDADC}"/>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0D3E88-10E1-4C54-A2F7-611D28986F9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10D3E88-10E1-4C54-A2F7-611D28986F9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D159C33-E8E8-458D-AFAC-A7D7E012FF3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D159C33-E8E8-458D-AFAC-A7D7E012FF3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E2CF376-C60B-43AE-B9EB-FCD4AD3BB2B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E2CF376-C60B-43AE-B9EB-FCD4AD3BB2B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94C5335-CD03-4655-832B-B26F6573602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94C5335-CD03-4655-832B-B26F6573602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58F28A-CF55-4B73-92D0-8BEB8C799D8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258F28A-CF55-4B73-92D0-8BEB8C799D8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217B21-51FF-47DB-983E-A8728FF9555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5217B21-51FF-47DB-983E-A8728FF9555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C8DE586-7798-453B-8532-89637B72C60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C8DE586-7798-453B-8532-89637B72C60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2155222-B094-42FD-BF79-900888DBF737}"/>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2155222-B094-42FD-BF79-900888DBF737}"/>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9A0BD07-609A-4E62-B6BB-9109699B1BE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9A0BD07-609A-4E62-B6BB-9109699B1BE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BF4FCC3-7654-4FF6-B30B-1B58D8BA0F6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BF4FCC3-7654-4FF6-B30B-1B58D8BA0F6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53292E0-D575-450E-AAA6-95A75E1E0D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53292E0-D575-450E-AAA6-95A75E1E0D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538F29A-BF38-46C4-B83D-DB66E9CC44A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538F29A-BF38-46C4-B83D-DB66E9CC44A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B7B405-9A0C-42C7-AA2D-DDB2D308A8C9}"/>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FB7B405-9A0C-42C7-AA2D-DDB2D308A8C9}"/>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3AD68E4-D3D7-4A58-A224-7F7D079C7DD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F3AD68E4-D3D7-4A58-A224-7F7D079C7DD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C6B1BDD-4469-44B0-A86D-6C92CEF1E1A6}"/>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C6B1BDD-4469-44B0-A86D-6C92CEF1E1A6}"/>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1687E3-2BD7-4853-9B25-41235208824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841687E3-2BD7-4853-9B25-41235208824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32B1361-2BA0-409E-B971-BB39395C4BB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32B1361-2BA0-409E-B971-BB39395C4BB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83F60D9-F916-44C9-86C1-272F7793FB3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83F60D9-F916-44C9-86C1-272F7793FB3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B92ACBC-9117-4E97-B1E3-E5C866009B05}"/>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B92ACBC-9117-4E97-B1E3-E5C866009B05}"/>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FBDCB79-5BD9-4139-B0AB-6277A936809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FBDCB79-5BD9-4139-B0AB-6277A936809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6978EE-BB37-4CAC-9FD5-707A4B655E4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D6978EE-BB37-4CAC-9FD5-707A4B655E4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0801443-CC38-4DD9-B961-C97739DB982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0801443-CC38-4DD9-B961-C97739DB982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97EB6E4-3E9C-4AB3-BA3B-756A83224FB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97EB6E4-3E9C-4AB3-BA3B-756A83224FB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778117D-5149-4036-A77A-A0325CC93CB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778117D-5149-4036-A77A-A0325CC93CB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AD13686-2FA4-4A6F-A2C1-A595DF63DAD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AD13686-2FA4-4A6F-A2C1-A595DF63DAD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4BD360B-D9D5-4850-AC5B-696DDD120CD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4BD360B-D9D5-4850-AC5B-696DDD120CD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6E191DA-B6FC-4FFF-A40D-6B73FB9C2B70}"/>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6E191DA-B6FC-4FFF-A40D-6B73FB9C2B70}"/>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AD8CC8-CB21-4282-A8B8-09E7D0B43A9F}"/>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4AD8CC8-CB21-4282-A8B8-09E7D0B43A9F}"/>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B503FEA-1B69-4DA7-8E13-6514898E4174}"/>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B503FEA-1B69-4DA7-8E13-6514898E4174}"/>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2A5F9B-BC28-4BFC-9E16-1579ED7BB8C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2A5F9B-BC28-4BFC-9E16-1579ED7BB8C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1B9611C-A6D8-4489-A7B3-84F12382AE3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31B9611C-A6D8-4489-A7B3-84F12382AE3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9A6E74D-2EF2-45FF-B33A-54828E8780A7}"/>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9A6E74D-2EF2-45FF-B33A-54828E8780A7}"/>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BA99BA0-F3BF-4BCC-ABF2-875D0E4817E0}"/>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BA99BA0-F3BF-4BCC-ABF2-875D0E4817E0}"/>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21F9B08-03D9-4544-BB95-C9BEFF83C22D}"/>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621F9B08-03D9-4544-BB95-C9BEFF83C22D}"/>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B805148-0F43-41D7-B493-3C892EF240D4}"/>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2B805148-0F43-41D7-B493-3C892EF240D4}"/>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05BF686-AB46-4E64-802C-F467C8C1E9E8}"/>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805BF686-AB46-4E64-802C-F467C8C1E9E8}"/>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D96D6DA-3810-485A-86D4-8E65FA53CAA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ED96D6DA-3810-485A-86D4-8E65FA53CAA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4E94AA0E-38F9-41E4-9CED-10C8E1619E91}"/>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4E94AA0E-38F9-41E4-9CED-10C8E1619E91}"/>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21B1256E-6B2B-4E6F-907F-005644E86E9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21B1256E-6B2B-4E6F-907F-005644E86E9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70CB7B0E-D8A0-4223-BBCA-9A571B7EC602}"/>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70CB7B0E-D8A0-4223-BBCA-9A571B7EC602}"/>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D9310F7-8399-4611-8CA2-2D27A13FF51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FD9310F7-8399-4611-8CA2-2D27A13FF51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B05CC90D-45B5-4C61-A05B-06409C80376F}"/>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B05CC90D-45B5-4C61-A05B-06409C80376F}"/>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F130DD96-65C8-4DEF-A756-FB03CAF8083B}"/>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F130DD96-65C8-4DEF-A756-FB03CAF8083B}"/>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88B84F73-939D-40D1-A8C2-07BB00B297D4}"/>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88B84F73-939D-40D1-A8C2-07BB00B297D4}"/>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ECDBEBBC-F64E-4BAF-B91C-BFB4F1E5DB2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ECDBEBBC-F64E-4BAF-B91C-BFB4F1E5DB2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C38CFB-6598-49AD-BF7D-F1456F44FC2B}"/>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8DC38CFB-6598-49AD-BF7D-F1456F44FC2B}"/>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7B221-60C2-4EA3-8BBD-80112C12DE74}"/>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317B221-60C2-4EA3-8BBD-80112C12DE74}"/>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D85D29A-D690-4C34-8C5A-D3C90DFB6412}"/>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D85D29A-D690-4C34-8C5A-D3C90DFB6412}"/>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41070A1-D4A9-413D-9BBF-9CD7A7F78186}"/>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41070A1-D4A9-413D-9BBF-9CD7A7F78186}"/>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D4A6C28-2B12-494A-8561-0FC270BED9CE}"/>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D4A6C28-2B12-494A-8561-0FC270BED9CE}"/>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E95359C-1ADE-486A-82CF-19BC6912F7B3}"/>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4E95359C-1ADE-486A-82CF-19BC6912F7B3}"/>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CBDA6AC-8917-4EB5-AF25-ABB456816A0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CCBDA6AC-8917-4EB5-AF25-ABB456816A0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6C488E7-8E4E-4001-9C96-21E5037AF515}"/>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06C488E7-8E4E-4001-9C96-21E5037AF515}"/>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8C717B4-25AC-40AC-8605-BB43EB127509}"/>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D8C717B4-25AC-40AC-8605-BB43EB127509}"/>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EA0F62AF-82BD-45A1-9FE6-DF37301BCDB3}"/>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EA0F62AF-82BD-45A1-9FE6-DF37301BCDB3}"/>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1703199-019E-43AC-B4C8-D08D93CA0C9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1703199-019E-43AC-B4C8-D08D93CA0C9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B2EAAC-4B7E-4410-A1C9-FE4CB83B09EF}"/>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AB2EAAC-4B7E-4410-A1C9-FE4CB83B09EF}"/>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A462B97-C531-458B-A184-2F57A0BD24BF}"/>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A462B97-C531-458B-A184-2F57A0BD24BF}"/>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433229F-922D-44E0-8B35-D312C4F383A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433229F-922D-44E0-8B35-D312C4F383A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6E99606-D7E7-4FF2-8023-F65CBD0181BF}"/>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6E99606-D7E7-4FF2-8023-F65CBD0181BF}"/>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A1EB860-C2D4-411A-AD75-76090913A7A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A1EB860-C2D4-411A-AD75-76090913A7A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9EB42112-07BE-47A2-8460-2FA04BA680BA}"/>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E4959D07-7BCE-45C9-A8A7-F0D471D593D9}"/>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7C986EA4-D552-450E-9142-A854542F2DAF}"/>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717760EC-E9F5-4492-BC51-0DE33F2F2856}"/>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E03C6E49-B89A-4C28-AC0A-79DF8BB4864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FB60AB1B-1FCB-4DF4-AD52-8A9BDF7F9799}"/>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84AED3F3-C896-4DCE-9102-4B4E8AF86133}"/>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D1C8EC77-C68C-45A7-BC39-7ADD13DEDD49}"/>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AAFEEC83-95F0-40C8-9106-C2CEA946F3D3}"/>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F740D68C-038A-49DF-959B-6C27F115D8C2}"/>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CFD2ED19-4A76-4B6D-AE45-80D36C656187}"/>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A73BC4F0-1A5B-480A-872D-4B6EF1EAA521}"/>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ED343E3A-EB4F-422F-BCC2-7E62D5BCDAC9}"/>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D33C0585-CE4B-4AD4-A1E3-1CBCC62220E9}"/>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4E02BD67-68AC-4987-8D5D-4A73D94A4873}"/>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B2684F3C-2E0B-434F-B93F-1EC00E3508B0}"/>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46EF1F1-E92A-4B53-89AC-FB45BC96E00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6F26BAF4-F6FA-42F1-8ED8-A67495F16458}"/>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8168F3B9-7739-474E-965B-D6D681E2858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35561F6A-68B2-414B-B72D-51780BB0C33A}"/>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A959B2BD-7C64-405C-BA67-C589C478FAD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59428109-A570-4E19-8FA8-1DFE1CD8325F}"/>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8735B925-361A-4C04-95D6-393796ACB90D}"/>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C2011020-6CD4-46DB-82B2-E4EC01E7B056}"/>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5D0C214A-798E-4632-B661-FCE3C89E6CA3}"/>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EF4CBBF-4D07-4429-9DF0-FB7984EB00CE}"/>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47C744D7-ADFC-4EC0-84F4-E6106DDDB69C}"/>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7E2B6331-4161-4D8A-953D-8A06ACC1131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16064ED6-D3C4-4352-B1AE-4559F475A25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A1824D1B-9E0A-403A-BD58-3A6714B89369}"/>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A6F1D136-3438-43D4-B003-A4567C62CCB7}"/>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C2FF8540-FF44-4CC6-BC43-DA15D5634AFB}"/>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226DAAFD-7617-4F6D-BBB8-6CD3222AF5DE}"/>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D1DB7A98-47A7-4F8B-A9CF-6D247D5D7B6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FD2FD8DA-CB26-492B-82ED-D4FD39785DA2}"/>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79A2DD63-B818-4A0C-B235-14C52A19427B}"/>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F540C8E4-B831-4FBC-9EDE-D4F6A286A821}"/>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95"/>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2C462EB-72A1-4385-9BA7-7E5B7DE06BC2}"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7BB1262F-A529-4A29-8066-5A3D23D1E7FF}" name="Transaction name" dataCellStyle="Input text"/>
    <tableColumn id="13" xr3:uid="{1A284F22-0128-4D1C-88E0-BBE7A946B2B4}" name="Purchase date" dataCellStyle="Input text"/>
    <tableColumn id="11" xr3:uid="{F3148DD9-E083-4DB2-93CC-B851F7E48B51}" name="Class (select)" dataDxfId="494" dataCellStyle="Input select"/>
    <tableColumn id="2" xr3:uid="{5DF3653A-591A-414E-9A32-81C73A7AB673}" name="Purchase class (select)" dataDxfId="493" dataCellStyle="Input select"/>
    <tableColumn id="6" xr3:uid="{1BA519B4-600C-4BD8-9BC5-88ACFE4D13B2}" name="Source region (Select)" dataDxfId="492" dataCellStyle="Input select"/>
    <tableColumn id="3" xr3:uid="{11929B6E-7228-4137-8678-99A60E0F07E1}" name="Quantity (head)" dataCellStyle="Input number general"/>
    <tableColumn id="12" xr3:uid="{154F7960-D682-4594-B091-FCC1CC147B4B}" name="Liveweight (kg/head) Method 1" dataCellStyle="Input number general calculated"/>
    <tableColumn id="4" xr3:uid="{0A1EFE23-96B7-402E-BD08-5058428974D9}"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363863D-A28D-409C-8622-9A51BCF141FC}" name="Table_Input_InorganicFertiliser_Brands" displayName="Table_Input_InorganicFertiliser_Brands" ref="D11:Z21" headerRowDxfId="491" dataDxfId="490" totalsRowDxfId="48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B98F2037-49FC-4F57-8150-C9352CD5EAD8}" name="Product (select)" dataDxfId="488" totalsRowDxfId="487" dataCellStyle="Input select"/>
    <tableColumn id="23" xr3:uid="{37384314-87E0-4278-A853-A85C4E77E645}" name="Amount applied per hectare" totalsRowFunction="custom" dataDxfId="486" totalsRowDxfId="485">
      <totalsRowFormula>SUM(Table_Input_InorganicFertiliser_Brands[[#Headers],[#Data],[Amount applied per hectare]])</totalsRowFormula>
    </tableColumn>
    <tableColumn id="12" xr3:uid="{564B0E27-7E61-415B-A3EF-1F9E87581F90}" name="Application unit" dataDxfId="484" totalsRowDxfId="483" dataCellStyle="Input number 2 decimal places"/>
    <tableColumn id="6" xr3:uid="{C6F8B46D-B499-4113-84AB-825943C7793C}" name="Application area (ha)" dataDxfId="482" totalsRowDxfId="481">
      <calculatedColumnFormula>X_Cell_Fertiliser_AreaUnderCropping</calculatedColumnFormula>
    </tableColumn>
    <tableColumn id="9" xr3:uid="{F594B0AF-5956-4AEE-93F2-514F6699D7C9}" name="Density" dataDxfId="480" totalsRowDxfId="479" dataCellStyle="Input number general calculated"/>
    <tableColumn id="1" xr3:uid="{8F839228-E77C-4B4E-B4ED-E8CFD8A63093}" name="Total applied (kg)" dataDxfId="478" totalsRowDxfId="4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06558596-3CC7-431F-AF60-D0D49514A637}" name="Ingredient 1" dataDxfId="476" totalsRowDxfId="475" dataCellStyle="Input number general calculated"/>
    <tableColumn id="4" xr3:uid="{8D49B49E-1E1C-4580-94E0-9A314B0A3DEE}" name="Ingredient 1 percent" dataDxfId="474" dataCellStyle="Input number general calculated"/>
    <tableColumn id="7" xr3:uid="{8DF37BF5-1F86-491C-9832-9EF1D2A1FF2B}" name="Ingredient 2" dataDxfId="473" dataCellStyle="Input number general calculated"/>
    <tableColumn id="8" xr3:uid="{B4D2CF18-80BE-4E9F-A509-A432F4F5B432}" name="Ingredient 2 percent" dataDxfId="472" totalsRowDxfId="471" dataCellStyle="Input number general calculated"/>
    <tableColumn id="10" xr3:uid="{95136533-F220-46BB-9F99-B8084312216E}" name="Ingredient 3" dataDxfId="470" totalsRowDxfId="469" dataCellStyle="Input number general calculated"/>
    <tableColumn id="11" xr3:uid="{5B27AC1C-C66D-4964-9E35-70353F5F76CA}" name="Ingredient 3 percent" dataDxfId="468" totalsRowDxfId="467" dataCellStyle="Input number general calculated"/>
    <tableColumn id="13" xr3:uid="{59E18847-C54F-4ED8-A5CF-D3C0A0D03384}" name="Ingredient 4" dataDxfId="466" totalsRowDxfId="465" dataCellStyle="Input number general calculated"/>
    <tableColumn id="14" xr3:uid="{15C29B1D-3F4A-4D78-82B6-BD2C8EE55F29}" name="Ingredient 4 percent" dataDxfId="464" dataCellStyle="Input number general calculated"/>
    <tableColumn id="16" xr3:uid="{BF132A7F-F3A7-4F7F-9A23-C5324ACF708A}" name="Ingredient 5" dataDxfId="463" dataCellStyle="Input number general calculated"/>
    <tableColumn id="17" xr3:uid="{FEBA6688-E78B-44DD-B239-134BBA8A9EC3}" name="Ingredient 5 percent" dataDxfId="462" dataCellStyle="Input number general calculated"/>
    <tableColumn id="19" xr3:uid="{BFD15188-0A8C-4052-B1A6-836A6B322D38}" name="Ingredient 6" dataDxfId="461" dataCellStyle="Input number general calculated"/>
    <tableColumn id="20" xr3:uid="{078FA2F2-D6AB-4756-8885-66FF1F7E6FB1}" name="Ingredient 6 percent" dataDxfId="460" dataCellStyle="Input number general calculated"/>
    <tableColumn id="21" xr3:uid="{822E8500-FC52-4439-8084-8D69069F0B79}" name="% N (Ingredients)" dataDxfId="459" dataCellStyle="Input number general calculated"/>
    <tableColumn id="22" xr3:uid="{AC5C04E1-B144-4179-A023-745C7725E890}" name="% N (declared)" dataDxfId="458" dataCellStyle="Content normal"/>
    <tableColumn id="5" xr3:uid="{2AA71F88-6A46-4A5F-B440-831FA74EE0A5}" name="N application rate (kg/ha)" dataDxfId="457" totalsRowDxfId="45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7069EEE7-1E42-4F26-AB70-3739C4CC0A4C}" name="Urea source" dataDxfId="455" totalsRowDxfId="454" dataCellStyle="Input number general calculated"/>
    <tableColumn id="18" xr3:uid="{DE40389E-265D-43CA-B92F-BF02EFE63E39}" name="Ammonia source" dataDxfId="453" totalsRowDxfId="452"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451732B-370D-4C54-AFB5-392265EE3607}" name="Table_Input_InorganicFertiliser_Custom" displayName="Table_Input_InorganicFertiliser_Custom" ref="D24:R34" totalsRowShown="0" headerRowDxfId="451" dataDxfId="45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46749E7-4532-4558-861D-47C0A7C2A6CE}" name="Custom blend name" dataCellStyle="Input text"/>
    <tableColumn id="2" xr3:uid="{E474998E-3A4E-4AEC-9B91-16BDB98A7B2D}" name="Amount applied (kg / ha)" dataDxfId="449"/>
    <tableColumn id="3" xr3:uid="{AD56EFFE-FC68-488F-AF03-3BF0ACB2A49B}" name="Application area (ha)" dataDxfId="448" dataCellStyle="Input number 2 decimal places">
      <calculatedColumnFormula>X_Cell_Fertiliser_AreaUnderCropping</calculatedColumnFormula>
    </tableColumn>
    <tableColumn id="4" xr3:uid="{3E4429C4-3D1C-4591-B5BD-9F654BABDB5F}" name="Total applied (kg)" dataDxfId="447" dataCellStyle="Input number general calculated">
      <calculatedColumnFormula>Table_Input_InorganicFertiliser_Custom[[#This Row],[Amount applied (kg / ha)]]*Table_Input_InorganicFertiliser_Custom[[#This Row],[Application area (ha)]]</calculatedColumnFormula>
    </tableColumn>
    <tableColumn id="5" xr3:uid="{A7220F24-0B03-4B2F-A61F-3AC70D03B77A}" name="Ingredient 1 (select)" dataDxfId="446" dataCellStyle="Input select"/>
    <tableColumn id="6" xr3:uid="{52737845-27DC-46EF-8A6D-FA009A171D77}" name="Ingredient 1 percent" dataDxfId="445"/>
    <tableColumn id="8" xr3:uid="{A5463E2D-1897-45ED-8B5C-E220272A59EA}" name="Ingredient 2" dataDxfId="444" dataCellStyle="Input select"/>
    <tableColumn id="9" xr3:uid="{59ABCE15-A5A5-420C-9C78-063EE9D4FA88}" name="Ingredient 2 percent" dataDxfId="443"/>
    <tableColumn id="11" xr3:uid="{556EF5D6-209E-47B8-AE65-023562F037A3}" name="Ingredient 3" dataDxfId="442" dataCellStyle="Input select"/>
    <tableColumn id="12" xr3:uid="{E9B9904E-E354-42B0-B003-1A73B26C8E58}" name="Ingredient 3 percent" dataDxfId="441"/>
    <tableColumn id="14" xr3:uid="{8C8F58D0-49AA-42F6-9DEA-2E9332F14593}" name="Ingredient 4" dataDxfId="440" dataCellStyle="Input select"/>
    <tableColumn id="15" xr3:uid="{AE068E54-251E-4F3D-91DA-77B9C4E7EBA4}" name="Ingredient 4 percent" dataCellStyle="Input percent"/>
    <tableColumn id="7" xr3:uid="{F32215DB-8408-44FE-91C0-71C5AEED3841}" name="N application rate (kg/ha)" dataDxfId="439" dataCellStyle="Input number general calculated"/>
    <tableColumn id="10" xr3:uid="{009F078F-3619-4F38-8028-FC38CA0C3B8B}" name="Urea source (Select)" dataCellStyle="Input select"/>
    <tableColumn id="13" xr3:uid="{C4BD45A9-D1B0-44D2-8389-966E0EC9435F}"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88A3A72-8511-43EA-898A-211719D42B0F}" name="Table_Input_Lime" displayName="Table_Input_Lime" ref="D41:K44" totalsRowShown="0" headerRowDxfId="438" dataDxfId="43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39590AB-B6B6-4D52-80F9-F15483C88B9A}" name="Product" dataDxfId="436"/>
    <tableColumn id="2" xr3:uid="{45B7EDE1-700B-4ED3-B01B-39C3D2E1FBE1}" name="Amount applied (t/hectare)" dataDxfId="435"/>
    <tableColumn id="4" xr3:uid="{0274F319-BABD-421B-A812-15FE5A375DC2}" name="Application area (ha)" dataDxfId="434" dataCellStyle="Input number 2 decimal places">
      <calculatedColumnFormula>X_Cell_Fertiliser_AreaUnderCropping</calculatedColumnFormula>
    </tableColumn>
    <tableColumn id="3" xr3:uid="{3C20112D-DD3C-4146-8321-D93C4A704D77}" name="Total amount applied (t)" dataDxfId="433" dataCellStyle="Input number general calculated">
      <calculatedColumnFormula>IFERROR(Table_Input_Lime[[#This Row],[Amount applied (t/hectare)]]*Table_Input_Lime[[#This Row],[Application area (ha)]], 0)</calculatedColumnFormula>
    </tableColumn>
    <tableColumn id="6" xr3:uid="{5A74BBBB-F76A-4AC8-A752-471AE36C897D}" name="Percent Lime CaCO3" dataDxfId="432"/>
    <tableColumn id="8" xr3:uid="{702153A3-2F15-42FF-8AC1-5EEF659BB4C2}" name="Percent Dolomite CaMg(CO3)2" dataDxfId="431"/>
    <tableColumn id="7" xr3:uid="{18807BFC-CF57-4920-B7C9-0C1C9BAD76ED}" name="Percent Gypsum" dataDxfId="430"/>
    <tableColumn id="10" xr3:uid="{18DDE3BB-3468-4E34-9E0A-37E9E5344027}" name="Total" dataDxfId="42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273957E-AFF7-4CB1-898B-EBD9029A6A85}" name="Table_Input_OrganicFertiliser" displayName="Table_Input_OrganicFertiliser" ref="D53:J56" totalsRowShown="0" headerRowDxfId="428" dataDxfId="42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13BBB8E-8B40-4502-9A41-D54B2B273EC4}" name="Organic fertiliser type (select)" dataDxfId="426" dataCellStyle="Input select"/>
    <tableColumn id="5" xr3:uid="{14D65B70-437D-4A87-8AF9-65AEFF9CE452}" name="Percentage of N in fertiliser" dataDxfId="425"/>
    <tableColumn id="2" xr3:uid="{399DEC35-1016-4A87-BB0B-89CF0B13827E}" name="Amount applied (kg/hectare)" dataDxfId="424"/>
    <tableColumn id="11" xr3:uid="{20068F29-9251-4402-A700-1FFA95AC071E}" name="Amount N applied (kg/hectare)" dataDxfId="423" dataCellStyle="Input number general calculated">
      <calculatedColumnFormula>Table_Input_OrganicFertiliser[[#This Row],[Amount applied (kg/hectare)]]*Table_Input_OrganicFertiliser[[#This Row],[Percentage of N in fertiliser]]</calculatedColumnFormula>
    </tableColumn>
    <tableColumn id="4" xr3:uid="{57D10276-0C19-4E9B-8A70-07F41FCA6C93}" name="Application area (ha)" dataDxfId="422" dataCellStyle="Input number 2 decimal places">
      <calculatedColumnFormula>X_Cell_Fertiliser_AreaUnderCropping</calculatedColumnFormula>
    </tableColumn>
    <tableColumn id="7" xr3:uid="{CF3ADC69-4EC9-4122-9F54-3841936C6C7E}" name="Total organic fertliser applied" dataDxfId="421" dataCellStyle="Input number general calculated">
      <calculatedColumnFormula>Table_Input_OrganicFertiliser[[#This Row],[Amount applied (kg/hectare)]]*Table_Input_OrganicFertiliser[[#This Row],[Application area (ha)]]</calculatedColumnFormula>
    </tableColumn>
    <tableColumn id="3" xr3:uid="{A6239CF5-3831-489E-94D6-7B96E3D88115}" name="Total nitrogen applied (kg)" dataDxfId="42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9F28889B-FF00-4B12-942E-92EE1B7A3547}" name="Table_Input_Fuel" displayName="Table_Input_Fuel" ref="D16:J21" totalsRowDxfId="41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1968B41-99CF-4072-AD07-4FD97B385DB6}" name="Fuel use (select)" totalsRowFunction="average" totalsRowDxfId="418" dataCellStyle="Input select" totalsRowCellStyle="Input select"/>
    <tableColumn id="3" xr3:uid="{B1A16EF1-AFAD-452B-AAFA-1736A08E61FC}" name="Fuel type (select)" totalsRowDxfId="417" dataCellStyle="Input select" totalsRowCellStyle="Input select"/>
    <tableColumn id="4" xr3:uid="{AF89C25F-4005-40A2-BCA5-A054D9FA11E0}" name="Amount purchased" totalsRowDxfId="416" totalsRowCellStyle="Content bold"/>
    <tableColumn id="6" xr3:uid="{A12AABCC-10EA-46F4-8E77-25CF0F026731}" name="Amount unit" totalsRowDxfId="415" dataCellStyle="Input number general calculated" totalsRowCellStyle="Input text calculated"/>
    <tableColumn id="5" xr3:uid="{679F34D0-8756-423B-BC70-1BAB1AC8EB65}" name="Percent consumed" totalsRowDxfId="414" totalsRowCellStyle="Input percent">
      <calculatedColumnFormula>1</calculatedColumnFormula>
    </tableColumn>
    <tableColumn id="1" xr3:uid="{15BAE923-0D6B-4140-BEC1-B3297661B427}" name="Amount consumed" totalsRowFunction="custom" totalsRowDxfId="41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B129F54-C187-4154-A1F2-F556663F40A4}" name="Amount consumed unit" totalsRowDxfId="412"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E5BECE6-A19F-4554-AE82-07351EFCAFD1}"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80A6F10-8B4A-4689-9A05-FF065740D93B}" name="Description"/>
    <tableColumn id="5" xr3:uid="{0E21E6A6-3D6E-4414-ABF2-6A9E91ACDDB8}" name="Source (select)" dataCellStyle="Input select"/>
    <tableColumn id="2" xr3:uid="{1B5B2611-AA34-415B-BEA9-55B17D8C7572}" name="Generation date" dataDxfId="411"/>
    <tableColumn id="3" xr3:uid="{A0C465A3-850B-4A06-AE69-2FA2E8CA295D}" name="Number of certificates"/>
    <tableColumn id="4" xr3:uid="{C1047611-7BDF-4519-8636-3E64E8BA9E2B}" name="MWh" dataCellStyle="Input number general calculated">
      <calculatedColumnFormula>Table_Input_RECSurrendered[[#This Row],[Number of certificates]]</calculatedColumnFormula>
    </tableColumn>
    <tableColumn id="7" xr3:uid="{69F43663-586C-4323-A093-485C2A703EE7}"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3639C27-1D9C-4498-AACD-B3493F004C78}"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FCAEA967-C088-4495-80D9-34640E893F0D}" name="Description"/>
    <tableColumn id="5" xr3:uid="{F1B11D48-6953-45D0-8D35-0D1132A86A44}" name="Source" dataCellStyle="Input text calculated">
      <calculatedColumnFormula>"Issued for generated electricity"</calculatedColumnFormula>
    </tableColumn>
    <tableColumn id="2" xr3:uid="{0530C9F0-251F-49AC-A085-419321748C11}" name="Generation date" dataDxfId="410"/>
    <tableColumn id="3" xr3:uid="{064928B2-A0C8-453D-A590-8A9C218AADC1}" name="Number of certificates"/>
    <tableColumn id="4" xr3:uid="{483E4016-C04F-485B-9516-2E68309AE12C}" name="MWh" dataCellStyle="Input number general calculated">
      <calculatedColumnFormula>Table_Input_RECConsumedByEntity[[#This Row],[Number of certificates]]</calculatedColumnFormula>
    </tableColumn>
    <tableColumn id="7" xr3:uid="{D63206C7-E5E4-44C1-98C5-41184056ABE9}"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BEC3633-C14B-4E9C-8D68-49ED0E4E29C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F1E5EBA-92D9-42D7-A3F5-C6E721AA4037}" name="Product name" dataCellStyle="Input text"/>
    <tableColumn id="1" xr3:uid="{B0F9F1F1-EA3B-44B2-9840-15426C8C1127}" name="Type (select)" dataCellStyle="Input select"/>
    <tableColumn id="2" xr3:uid="{9674B828-E791-4814-AF9D-A3EC95A58A1C}"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30484A69-72BE-4A54-9DFB-7C050122FA92}"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E6EE499E-C108-4780-8A37-F1C753694BD5}" name="Product / service name" dataCellStyle="Input text"/>
    <tableColumn id="2" xr3:uid="{83B6F249-A125-4624-85CE-ADF1C874A0DC}" name="Amount" dataCellStyle="Input number general"/>
    <tableColumn id="3" xr3:uid="{DF5977F9-39E2-43E2-88F5-1F9FBC96CCCE}" name="Amount unit" dataCellStyle="Input tex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0657088-EDDD-4A02-8479-E16841EDAAEE}"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C7810D13-3CCC-4F00-9BEC-536AC2B346ED}" name="Service provider / contractor" dataCellStyle="Input text"/>
    <tableColumn id="4" xr3:uid="{B6217B00-2FDB-49C9-B316-22A4FA8DE43D}" name="Activity" dataCellStyle="Input text"/>
    <tableColumn id="2" xr3:uid="{4D52D2B6-269B-4BDF-A3F7-377DB4855E4D}" name="Total amount" dataCellStyle="Input number general"/>
    <tableColumn id="3" xr3:uid="{579433BC-0C8C-4101-8204-17DD5E511A76}"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30C434D5-8C45-4C1B-8C6A-D675ACA6DCDC}" name="Table_Input_Pesticides" displayName="Table_Input_Pesticides" ref="D9:R19" totalsRowShown="0" headerRowDxfId="409">
  <autoFilter ref="D9:R19" xr:uid="{BA52E4BB-C3D1-441A-A568-0AD50449E880}"/>
  <tableColumns count="15">
    <tableColumn id="1" xr3:uid="{EFC68C14-C128-4B98-9C37-46CF35762B57}" name="Product name"/>
    <tableColumn id="2" xr3:uid="{66D3F69D-BA74-430A-B6F0-51FE2D9CE174}" name="Amount applied per ha"/>
    <tableColumn id="7" xr3:uid="{315417C5-D560-42A2-9A44-3AB21C1E0D12}" name="Application unit (select)" dataCellStyle="Input select"/>
    <tableColumn id="6" xr3:uid="{C56F3CA5-8DB6-4041-92A4-3F1A10F7464B}" name="Application area (ha)" dataCellStyle="Input number general"/>
    <tableColumn id="3" xr3:uid="{970D1335-59CC-44B9-BCC2-12A70D0E2B39}" name="Total applied" dataCellStyle="Input number general calculated">
      <calculatedColumnFormula>Table_Input_Pesticides[[#This Row],[Amount applied per ha]]*Table_Input_Pesticides[[#This Row],[Application area (ha)]]</calculatedColumnFormula>
    </tableColumn>
    <tableColumn id="5" xr3:uid="{A57D2965-F94B-4EAD-9D79-D3489828E40D}" name="Constituent unit (select)" dataCellStyle="Input select"/>
    <tableColumn id="4" xr3:uid="{9488B011-9707-442A-9A19-2935DA3F2907}" name="Active ingredient 1 (select)" dataCellStyle="Input select"/>
    <tableColumn id="8" xr3:uid="{9626247A-375C-45DA-B7E2-04F16282315A}" name="Active ingredient 1 amount" dataCellStyle="Input number general"/>
    <tableColumn id="16" xr3:uid="{836A1A1A-5055-431E-B620-3385CCDBAFF6}"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A887C84B-7370-48EE-AA13-6C52C38B7069}" name="Active ingredient 2 (select)" dataCellStyle="Input select"/>
    <tableColumn id="11" xr3:uid="{97DB8A08-5640-4CEE-9258-8A928350BE01}" name="Active ingredient 2 amount" dataCellStyle="Input number general"/>
    <tableColumn id="17" xr3:uid="{04A961A7-608F-497A-A843-6B9FAAA254DD}"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EC5BA52B-2ABA-4D49-9A5A-66B77DEA480A}" name="Active ingredient 3 (select)" dataCellStyle="Input select"/>
    <tableColumn id="14" xr3:uid="{C7119C6C-FE94-4D66-92F1-4202A49C3655}" name="Active ingredient 3 amount" dataCellStyle="Input number general"/>
    <tableColumn id="18" xr3:uid="{610587F2-1749-4A2A-BADA-153A5D2B0900}"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6FC63F3-2FCA-4891-8C3B-0CE99B2027B4}" name="Table_Input_FeedBlends" displayName="Table_Input_FeedBlends" ref="D18:Q28" totalsRowShown="0">
  <autoFilter ref="D18:Q28" xr:uid="{6EC3622A-9CA1-4931-8AAA-6FC289090D20}"/>
  <tableColumns count="14">
    <tableColumn id="1" xr3:uid="{CA57F079-F07D-4B4E-B579-882D060965EB}" name="Feed blend name"/>
    <tableColumn id="2" xr3:uid="{001B332B-B5A1-4253-A68A-93CBB33749B8}" name="Amount fed (kg)"/>
    <tableColumn id="4" xr3:uid="{172909B5-EAD0-4F6E-95E4-EEC24F105157}" name="Ingredient 1 (select)" dataCellStyle="Input select"/>
    <tableColumn id="3" xr3:uid="{ACA8EF57-33A7-4220-A393-EA80386CC1C0}" name="Ingredient 1 source region" dataCellStyle="Input select"/>
    <tableColumn id="5" xr3:uid="{70AA40B7-98B0-4E23-9734-E2603E220D51}" name="Ingredient 1 percent"/>
    <tableColumn id="6" xr3:uid="{8F3430A7-F2F8-4983-A6B6-2E7D027A456C}" name="Ingredient 2 (select)" dataCellStyle="Input select"/>
    <tableColumn id="14" xr3:uid="{1E7A8673-6573-4313-AD0E-F84D05156ED7}" name="Ingredient 2 source region" dataCellStyle="Input select"/>
    <tableColumn id="7" xr3:uid="{1C0C798F-0ED6-4D0D-87A3-546F89F43822}" name="Ingredient 2 percent"/>
    <tableColumn id="8" xr3:uid="{B83FE8E3-CCCF-44DC-BD8A-9DCC46B2A928}" name="Ingredient 3 (select)" dataCellStyle="Input select"/>
    <tableColumn id="15" xr3:uid="{8E4A6BD8-6BC7-42B1-B475-EC21F5B6085E}" name="Ingredient 3 source region" dataCellStyle="Input select"/>
    <tableColumn id="9" xr3:uid="{53301E7C-B955-471D-978F-610278D8D082}" name="Ingredient 3 percent"/>
    <tableColumn id="10" xr3:uid="{7DFD97C1-0F6A-47B0-ADB4-72CA96D4A23E}" name="Ingredient 4 (select)" dataCellStyle="Input select"/>
    <tableColumn id="16" xr3:uid="{9198EA84-B265-4449-9B02-DAC5779D50CD}" name="Ingredient 4 source region" dataCellStyle="Input select"/>
    <tableColumn id="11" xr3:uid="{9F7107A0-B561-4BD9-BB11-078D03D2780E}"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205CD5A3-B33F-4E73-8285-C42A27B9FA63}" name="Table_Input_ChemicalsPharmacy" displayName="Table_Input_ChemicalsPharmacy" ref="D32:F42" totalsRowShown="0" headerRowCellStyle="Input table column header">
  <autoFilter ref="D32:F42" xr:uid="{F7DA8543-C7DE-49A8-A739-D82C85B7B828}"/>
  <tableColumns count="3">
    <tableColumn id="3" xr3:uid="{E214D398-4313-4113-84A4-A439E115C674}" name="Product name" dataCellStyle="Input text"/>
    <tableColumn id="1" xr3:uid="{7AAB5A46-2EB8-4BB1-B7C7-CE51405C75F7}" name="Type (select)" dataDxfId="408" dataCellStyle="Input select"/>
    <tableColumn id="2" xr3:uid="{F63DC567-D387-4CE2-A124-C749B1E5B142}" name="Number of head treated" dataDxfId="407"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2B0F0182-B1BC-42F6-900A-FD2E073AF18C}"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009AF40E-B19D-4EA7-8A80-A9203F098942}" name="Route name"/>
    <tableColumn id="2" xr3:uid="{18CDD26F-892B-4EB9-8E30-7BC13C237881}" name="Freight type (select)" dataCellStyle="Input select"/>
    <tableColumn id="3" xr3:uid="{9E7D624C-57E0-4C34-95AF-BB5BFACDD72B}" name="Route distance (km)"/>
    <tableColumn id="4" xr3:uid="{7ED1B24B-3C1A-4DA6-981E-65E1B371CBE3}" name="Average weight of freight per trip (t)"/>
    <tableColumn id="5" xr3:uid="{DCFACA81-14E4-43D7-A173-005182183420}"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64E6376-8E39-43B7-BFCB-5DBBF4C1F12C}"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84095AF9-17F6-4E9F-96EE-3305A0448F11}" name="Route name"/>
    <tableColumn id="2" xr3:uid="{E7266FC8-36A7-47B4-B1ED-BCC434E63BC9}" name="Freight type (select)" dataCellStyle="Input select"/>
    <tableColumn id="3" xr3:uid="{C25F0B14-8AD4-493B-B6AB-D17C5A88249E}" name="Route distance (km)"/>
    <tableColumn id="4" xr3:uid="{CC2D9179-4167-4EF9-A126-DD150A36FAA6}" name="Average weight of freight per trip (t)"/>
    <tableColumn id="5" xr3:uid="{CAD04E40-F18D-4A06-B615-EF41D0BE970C}"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C5036AC-9CD6-4136-B4A1-FBCEC36F156D}" name="Table_SourceData_PastureBeef_CropProdSystems" displayName="Table_SourceData_PastureBeef_CropProdSystems" ref="D7:D9" totalsRowShown="0">
  <autoFilter ref="D7:D9" xr:uid="{B6F3FE3A-A0B5-47E7-85B2-8426FB75A7C8}">
    <filterColumn colId="0" hiddenButton="1"/>
  </autoFilter>
  <tableColumns count="1">
    <tableColumn id="1" xr3:uid="{FE2F74D9-488E-4A7E-A2CA-9CFDDA2AB025}" name="Production system">
      <calculatedColumnFormula>#REF!</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21E53D-8E16-4541-A7CC-3090C9E46A49}"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29BC7456-5B42-4D74-ADFF-DDBE2A358A6E}" name="Irrigation metho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F25AC08-F70D-4E6B-9721-8572CB5D5207}"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FDA9C8-8212-457D-9B4E-B9E4108393A4}" name="State">
      <calculatedColumnFormula array="1">Common_InputFunctions.Utility_DisplayArrayInTable(SourceData_PastureBeef.SourceData_PastureBeef_Liveweight_Data(), Table_SourceData_PastureBeef_Liveweight[[#Headers],[State]], 0)</calculatedColumnFormula>
    </tableColumn>
    <tableColumn id="2" xr3:uid="{E281B1F4-DC03-4ABB-B9FC-287EC365F955}" name="Region" dataDxfId="40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F255ACE9-6247-4EEE-957F-3A076B71C7CA}" name="Season" dataDxfId="40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1EEA2F8-B7BA-430D-9FA4-344D2337A812}" name="Bull &lt; 1" dataDxfId="40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3D46A1DF-863C-4F5F-8246-7EA5B69C1F7C}" name="Bull &gt; 1" dataDxfId="40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3BD9A1C4-E84A-46D6-BC3E-3848B0DFE0A8}" name="Cow &lt; 1" dataDxfId="40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F36F95A-2649-4379-B294-53B0FFF36C68}" name="Cow 1-2" dataDxfId="40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0760CFC6-F0F0-40CC-8063-B6C1B353B1F6}" name="Cow &gt; 2" dataDxfId="40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888068D-414C-446C-843B-AE2A2C90A0BD}" name="Steer &lt; 1" dataDxfId="39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85C09185-EE02-4125-A24C-14BC4C0E6053}" name="Steer &gt; 1" dataDxfId="39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BF1C4E6-CF57-4742-BE01-2BD53E09215F}"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63D7C78-BC1D-448A-915F-21EB63D663FC}" name="State">
      <calculatedColumnFormula array="1">Common_InputFunctions.Utility_DisplayArrayInTable(SourceData_PastureBeef.SourceData_PastureBeef_LiveweightNTQLD_Data(),Table_SourceData_PastureBeef_LiveweightNTQD[[#Headers],[State]], 0)</calculatedColumnFormula>
    </tableColumn>
    <tableColumn id="2" xr3:uid="{694A76FB-A1C9-48F7-A05E-25629E33EB3E}" name="Region" dataDxfId="39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38E3CFD-AF7C-43B6-9764-03EF351ACF74}" name="Season" dataDxfId="39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77D6A646-D147-4F15-A129-8D87C456E35B}" name="Bull &lt;1" dataDxfId="39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CEEA9176-79CB-475D-8C10-56B894D862E4}" name="Bull &gt;1" dataDxfId="39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631B3CF8-43C0-4B47-9558-B8EAF21CA315}" name="Cows &lt;1" dataDxfId="39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3041B951-A37B-4621-BA1C-C031156807DF}" name="Cows 1-2" dataDxfId="39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3BD25C21-839B-48EA-8498-0169D39C69A4}" name="Cows 2-3" dataDxfId="3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7626E2F6-B976-4515-BD2D-2579DC6A1170}" name="Cows &gt;3" dataDxfId="39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FD84BCD6-A48C-41FF-AA68-EFBCA0160090}" name="Steer &lt;1" dataDxfId="38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DFFFE548-F1FC-4C59-9CF7-5AC3524A5F9E}" name="Steer 1-2" dataDxfId="38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9C3607C0-34C2-44D3-983A-1BD8F4A860A5}" name="Steer 2-3" dataDxfId="38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D9CDB98-FCF7-45ED-8D47-8019D0022482}" name="Steer &gt;3" dataDxfId="38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AF555FA-D21F-4E2F-9B91-8AADD1CC0D9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E1A4F89-8EF1-488F-A204-1AAD373EF202}" name="State"/>
    <tableColumn id="2" xr3:uid="{B3AD8F22-F57C-45B7-828B-8EB23AB9DA84}" name="Region">
      <calculatedColumnFormula>E22</calculatedColumnFormula>
    </tableColumn>
    <tableColumn id="3" xr3:uid="{FD23D2D6-EC50-41A0-ACF2-970CA5C0742C}" name="Season">
      <calculatedColumnFormula>F22</calculatedColumnFormula>
    </tableColumn>
    <tableColumn id="4" xr3:uid="{516C69C1-2D63-419F-B7D4-08A935757C39}" name="Bulls &lt; 1 year">
      <calculatedColumnFormula>G22</calculatedColumnFormula>
    </tableColumn>
    <tableColumn id="5" xr3:uid="{4677C3F2-5080-44DF-B21E-81FDA4D236A1}" name="Bulls &gt; 1 year">
      <calculatedColumnFormula>H22</calculatedColumnFormula>
    </tableColumn>
    <tableColumn id="6" xr3:uid="{B3E2ABAB-1AC4-41FB-A108-324964C585B3}" name="Cows &lt; 1 year">
      <calculatedColumnFormula>I22</calculatedColumnFormula>
    </tableColumn>
    <tableColumn id="7" xr3:uid="{338D1E0C-5C1E-49CF-8304-6C0CB79F6587}" name="Cows 1-2 years">
      <calculatedColumnFormula>J22</calculatedColumnFormula>
    </tableColumn>
    <tableColumn id="8" xr3:uid="{0346A0B4-4C73-4EDD-9C35-110C4E558465}" name="Cows 2-3 years">
      <calculatedColumnFormula>K22</calculatedColumnFormula>
    </tableColumn>
    <tableColumn id="9" xr3:uid="{7717EA93-A039-427B-8F49-6DD1268F5DBC}" name="Cows &gt; 3 years">
      <calculatedColumnFormula>L22</calculatedColumnFormula>
    </tableColumn>
    <tableColumn id="10" xr3:uid="{6F6944E4-CFD6-499C-94EF-52C68729EAE4}" name="Steers &lt; 1 year">
      <calculatedColumnFormula>M22</calculatedColumnFormula>
    </tableColumn>
    <tableColumn id="11" xr3:uid="{45770271-42CF-47BA-AAFA-EEC097B31061}" name="Steers 1-2 years">
      <calculatedColumnFormula>N22</calculatedColumnFormula>
    </tableColumn>
    <tableColumn id="12" xr3:uid="{9CAAEE68-5A4A-46DC-8DF4-293DF4D3F4CD}" name="Steers 2-3 years">
      <calculatedColumnFormula>#REF!</calculatedColumnFormula>
    </tableColumn>
    <tableColumn id="13" xr3:uid="{96FDE2CA-50E0-4C9D-8E57-9A514803B425}" name="Steers &gt;3 years">
      <calculatedColumnFormula>P22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A1BA7CF-F859-4C04-8E72-6675F3DF7A41}"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6508677E-9B10-4784-8F82-FCB92EEA2D3E}"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B8C800D-F09B-4BF2-A384-A68E3E8C29D0}"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C54FCFEA-90B1-477C-BA4B-9C1E63276670}"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D266727-1924-4710-BDD5-302BE7C449D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EB35C204-2748-42BC-9C8D-7E12B15C3E76}"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6C5F5AF-518F-40F8-90CD-68849E145867}" name="Table_SourceData_PastureBeef_Region_Victoria" displayName="Table_SourceData_PastureBeef_Region_Victoria" ref="S7:S8" totalsRowShown="0">
  <autoFilter ref="S7:S8" xr:uid="{7D474D93-C1E0-4898-A434-69585070D0B9}">
    <filterColumn colId="0" hiddenButton="1"/>
  </autoFilter>
  <tableColumns count="1">
    <tableColumn id="1" xr3:uid="{8AC49CA4-13F4-44FD-ADD4-BF83EF6B73BE}"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EE9E883-CB11-443B-960D-3D5886073EE2}"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69AEECF2-441F-4AF3-8A84-72A61A878C9B}"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472ECF2-2080-4728-A426-9DF4C6FCADE5}"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74D0B211-AA1A-4195-965C-714E5D5F26CA}"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E8FECCC-28FC-4066-8453-5DE22ACDC949}" name="Table_SourceData_PastureBeef_Region_Tasmania" displayName="Table_SourceData_PastureBeef_Region_Tasmania" ref="S22:S23" totalsRowShown="0">
  <autoFilter ref="S22:S23" xr:uid="{4E5A7E40-F6AE-4323-873A-9AB20571A18A}">
    <filterColumn colId="0" hiddenButton="1"/>
  </autoFilter>
  <tableColumns count="1">
    <tableColumn id="1" xr3:uid="{FE9F6F1B-51C2-4848-8AB0-E4468B9C824C}"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709DCEE-7D10-4CE7-A31F-D249A9DE16A8}" name="Table_SourceData_PastureBeef_Region_ACT" displayName="Table_SourceData_PastureBeef_Region_ACT" ref="S27:S28" totalsRowShown="0">
  <autoFilter ref="S27:S28" xr:uid="{3655B7FD-A2CC-4B05-9668-16F7A54ED6C1}">
    <filterColumn colId="0" hiddenButton="1"/>
  </autoFilter>
  <tableColumns count="1">
    <tableColumn id="1" xr3:uid="{0725FEDB-998E-4F68-8201-F0E973C960C6}"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E10BCA3-DD94-4519-9A6E-0141FD15A3A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96B01F5-5467-4E95-9F29-FA147888824D}" name="State">
      <calculatedColumnFormula array="1">Common_InputFunctions.Utility_DisplayArrayInTable(SourceData_PastureBeef.SourceData_PastureBeef_LiveweightGain_Data(), Table_SourceData_PastureBeef_LiveweightGain[[#Headers],[State]],0)</calculatedColumnFormula>
    </tableColumn>
    <tableColumn id="2" xr3:uid="{E1F9B719-B813-40AA-8EDA-57D3B14A696D}" name="Region" dataDxfId="38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1DD08524-33B2-4DDE-AC12-CD5907D5E881}" name="Season" dataDxfId="38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1FE47115-F41B-4330-B4AB-CE1AE670A51C}" name="Bull &lt;1" dataDxfId="38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1461F350-B914-49CC-8732-6746BABAEACA}" name="Bull &gt;1" dataDxfId="38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721B2D8C-22FB-4680-9B87-B89B599C8EAF}" name="Cow &lt;1" dataDxfId="38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EAEA094B-AEFB-417D-BC29-387824441C83}" name="Cow 1-2" dataDxfId="38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7DBB618A-BC93-441B-81EE-44185D46E362}" name="Cow &gt;2" dataDxfId="37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735BEB5-6247-4BF7-9EEA-5C07BF50D631}" name="Steer &lt;1" dataDxfId="37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B7BC203E-DBB9-4224-9CA4-F58ACBB721FF}" name="Steer &gt;1" dataDxfId="37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1BB044-CBF9-4F07-BD0A-36BE9F1FD6B9}"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A9566E-DBEB-4380-B72A-370D091DF811}" name="State">
      <calculatedColumnFormula array="1">Common_InputFunctions.Utility_DisplayArrayInTable(SourceData_PastureBeef.SourceData_PastureBeef_LiveweightGainNTQLD_Data(),Table_SourceData_PastureBeef_LiveweightGainNTQLD[[#Headers],[State]],0)</calculatedColumnFormula>
    </tableColumn>
    <tableColumn id="2" xr3:uid="{90D74246-D48F-4271-92CC-7FDA817750BF}" name="Region" dataDxfId="37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AB2731C-BEBD-4BE1-9949-1F575737CDF5}" name="Season" dataDxfId="37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F7F57E9D-508E-4534-971A-81CF3C610CA2}" name="Bull &lt;1" dataDxfId="37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A43D2F26-AFF2-48F4-A0AE-7177E4A22CAB}" name="Bull &gt;1" dataDxfId="37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000F4743-E154-4AC9-B6D7-5D3FCA2B5440}" name="Cow &lt;1" dataDxfId="37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AD8FBB33-CDC3-4734-AD57-7E3C6832DCFB}" name="Cow 1-2" dataDxfId="37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A85A369E-0B4D-48E7-AB32-EDB1C8445145}" name="Cow 2-3" dataDxfId="3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A56D89EB-D4F1-4675-B49F-39D75B38B4B5}" name="Cow &gt;3" dataDxfId="3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DF064C94-C1E5-442E-96B2-EB1464B6D187}" name="Steer &lt;1" dataDxfId="36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EBB56F4F-FDF1-414F-81C5-D715BD99A0DE}" name="Steer 1-2" dataDxfId="36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F95AC19-8DC7-48EA-934B-6B305FD77C61}" name="Steer 2-3" dataDxfId="36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D406FEF-F69D-4F27-82FF-5AAF71519BAC}" name="Steer &gt;3" dataDxfId="3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4904774-C151-41E4-8306-2224EC6EA3ED}"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A75ADC4-7240-4AED-B5AF-F6075FB8BF1D}" name="State"/>
    <tableColumn id="2" xr3:uid="{24577E7C-78EE-4902-AA31-A695AB4C7E95}" name="Region">
      <calculatedColumnFormula>E159</calculatedColumnFormula>
    </tableColumn>
    <tableColumn id="3" xr3:uid="{609B5297-6876-4572-8A93-B5BE72637CA2}" name="Season">
      <calculatedColumnFormula>F159</calculatedColumnFormula>
    </tableColumn>
    <tableColumn id="4" xr3:uid="{C64135A0-6A96-47FA-A5AF-FE266AFEBA6E}" name="Bulls &lt; 1 year">
      <calculatedColumnFormula>G159</calculatedColumnFormula>
    </tableColumn>
    <tableColumn id="5" xr3:uid="{3391FA98-B8FB-4E8C-AB74-EC11C536ABAE}" name="Bulls &gt; 1 year">
      <calculatedColumnFormula>H159</calculatedColumnFormula>
    </tableColumn>
    <tableColumn id="6" xr3:uid="{EE356A91-CD7B-4297-A63D-A1C56C4204C6}" name="Cows &lt; 1 year">
      <calculatedColumnFormula>I159</calculatedColumnFormula>
    </tableColumn>
    <tableColumn id="7" xr3:uid="{51374953-E5B4-4E84-AE1A-8C8FE478FD50}" name="Cows 1-2 years">
      <calculatedColumnFormula>J159</calculatedColumnFormula>
    </tableColumn>
    <tableColumn id="8" xr3:uid="{2088B9EE-B72D-456C-827C-F25D96BFEEEE}" name="Cows 2-3 years">
      <calculatedColumnFormula>K159</calculatedColumnFormula>
    </tableColumn>
    <tableColumn id="9" xr3:uid="{238532C5-4906-4639-8428-212C20B00617}" name="Cows &gt; 3 years">
      <calculatedColumnFormula>L159</calculatedColumnFormula>
    </tableColumn>
    <tableColumn id="10" xr3:uid="{8F517BE1-DFA9-4149-80ED-907EFD4EE5CD}" name="Steers &lt; 1 year">
      <calculatedColumnFormula>M159</calculatedColumnFormula>
    </tableColumn>
    <tableColumn id="11" xr3:uid="{73F6D7B9-2A84-43DA-AB06-73430F20C536}" name="Steers 1-2 years">
      <calculatedColumnFormula>N159</calculatedColumnFormula>
    </tableColumn>
    <tableColumn id="12" xr3:uid="{6189409D-0DB1-4B6A-8E2F-A9411C277B8E}" name="Steers 2-3 years">
      <calculatedColumnFormula>O159</calculatedColumnFormula>
    </tableColumn>
    <tableColumn id="13" xr3:uid="{F4A3D7F8-73A9-4209-97E2-2ED90BE35350}" name="Steers &gt;3 years">
      <calculatedColumnFormula>P159</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71F119D-A65F-4926-AEFC-98637C9CF81F}"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ECDE7C69-F2AA-476C-BD1E-640FFB2D660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5AF842C-B4C5-437D-AB7A-8C134EE22F67}" name="Region" dataDxfId="36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8637B244-7C0D-49B7-A557-AB28E9C65A4F}" name="Spring" dataDxfId="36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9021B2A5-074B-42D4-8FD5-CE9C6E03BF51}" name="Summer" dataDxfId="36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12A42332-ADD6-4FF2-A62B-E33F1B0721A7}" name="Autumn" dataDxfId="36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51A0F905-8437-46C3-9C15-9BFF74067AA3}" name="Winter" dataDxfId="36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52325C6-5B93-4110-8EA4-5B01BCCAAA1F}" name="Table_SourceData_PastureBeef_CrudeProtein" displayName="Table_SourceData_PastureBeef_CrudeProtein" ref="D313:I328" totalsRowShown="0" dataDxfId="35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5868DF2C-D8D8-4169-BB17-8688161DA473}" name="State" dataDxfId="35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5E83034A-0051-4C57-A9C1-7FBA45E332D0}" name="Region" dataDxfId="35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7A169D6A-2B30-452C-84F1-2C7112C099CC}" name="Spring" dataDxfId="35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03CAEF18-7DF4-48CD-9DE7-5D882553B161}" name="Summer" dataDxfId="35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0F9AF9CD-5A5B-4CE2-AB97-098834B0D93B}" name="Autumn" dataDxfId="35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52EF4850-D5B7-4833-9209-564C2C3DBAF2}" name="Winter" dataDxfId="35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0D955B3-43E7-453B-B087-FD6FEFE2DDE7}"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1509B501-880D-4777-B954-27A02D114E6F}"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6C7024-F770-4FD9-8F99-D5794CB11EC4}" name="Season" dataDxfId="35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390FCBAD-83F0-49D5-83B6-2CD18F7619C7}" name="Feed adjustment" dataDxfId="35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1240F826-9C8F-490D-8507-33D3F788D2D4}" name="Milk intake/production" dataDxfId="35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AA0ADE1-2A99-4F6D-AA66-AFBC8004A44A}"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0826F38-E9D4-43AB-A951-9AD4B7E5ACE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E1A8605D-01BF-4C4E-AFA3-EB1FE63116BD}" name="Bulls &lt;1" dataDxfId="34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EB188143-CFC3-4755-B462-B2392AE3D37A}" name="Bulls &gt;1" dataDxfId="34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82F6C302-21B0-4C0A-908C-E1544A79ECCB}" name="Cows &lt;1" dataDxfId="34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9163672-A551-4E31-9390-FDDE56EF1B1B}" name="Cows 1-2" dataDxfId="34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0920B3ED-B5E5-467C-A9F0-CA18FD3EB3ED}" name="Cows &gt;2" dataDxfId="34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7366EAFB-6224-45ED-9C01-5F2A42A5A5A6}" name="Steer &lt;1" dataDxfId="34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67A324FC-EA4D-4CFB-B90B-3DFF72EE57F1}" name="Steer &gt;1" dataDxfId="34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A3D391A6-A00C-4A54-8301-807161BF1BC0}" name="State abbreviation" dataDxfId="34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C3093D3-71CB-4DF6-839B-A087282566E9}"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24BD34B-3C96-4C38-AAEF-6E90C0A4ABA3}" name="State" dataDxfId="341" dataCellStyle="Content normal">
      <calculatedColumnFormula>D351</calculatedColumnFormula>
    </tableColumn>
    <tableColumn id="2" xr3:uid="{C2406550-FA0F-47CE-ACEF-D88C0AC4393D}" name="Bulls &lt; 1 year" dataDxfId="340" dataCellStyle="Content normal">
      <calculatedColumnFormula>E351</calculatedColumnFormula>
    </tableColumn>
    <tableColumn id="3" xr3:uid="{AE38FC77-A7E2-40EB-ADA0-AAC2CEF132BA}" name="Bulls &gt; 1 year" dataDxfId="339" dataCellStyle="Content normal">
      <calculatedColumnFormula>F351</calculatedColumnFormula>
    </tableColumn>
    <tableColumn id="4" xr3:uid="{9C5BF84D-C12F-47C3-B0E9-1330BEAD91D0}" name="Cows &lt; 1 year" dataDxfId="338" dataCellStyle="Content normal">
      <calculatedColumnFormula>G351</calculatedColumnFormula>
    </tableColumn>
    <tableColumn id="5" xr3:uid="{1567A4A5-D85C-48BE-9605-8CB04BDC82E1}" name="Cows 1-2 years" dataDxfId="337" dataCellStyle="Content normal">
      <calculatedColumnFormula>H351</calculatedColumnFormula>
    </tableColumn>
    <tableColumn id="6" xr3:uid="{8574536F-A89A-4F24-BD18-40DD8072F2CE}" name="Cows 2-3 years" dataDxfId="336" dataCellStyle="Content normal">
      <calculatedColumnFormula>I351</calculatedColumnFormula>
    </tableColumn>
    <tableColumn id="7" xr3:uid="{9208135B-D4EE-4628-8C41-ADD1BA8AB712}" name="Cows &gt; 3 years" dataDxfId="335" dataCellStyle="Content normal">
      <calculatedColumnFormula>I351</calculatedColumnFormula>
    </tableColumn>
    <tableColumn id="8" xr3:uid="{354CB79D-C26A-4449-917B-2302C97E76A4}" name="Steers &lt; 1 year" dataDxfId="334" dataCellStyle="Content normal">
      <calculatedColumnFormula>J351</calculatedColumnFormula>
    </tableColumn>
    <tableColumn id="9" xr3:uid="{DE7DDDE1-7938-4947-8BAF-E6FBE6397E9B}" name="Steers 1-2 years" dataDxfId="333" dataCellStyle="Content normal">
      <calculatedColumnFormula>K351</calculatedColumnFormula>
    </tableColumn>
    <tableColumn id="10" xr3:uid="{E1E10F54-77B5-49FF-B43B-773366D01128}" name="Steers 2-3 years" dataDxfId="332" dataCellStyle="Content normal">
      <calculatedColumnFormula>K351</calculatedColumnFormula>
    </tableColumn>
    <tableColumn id="11" xr3:uid="{6140BC5F-18BD-4334-826A-0DA7C650B5C2}" name="Steers &gt;3 years" dataDxfId="331" dataCellStyle="Content normal">
      <calculatedColumnFormula>K351</calculatedColumnFormula>
    </tableColumn>
    <tableColumn id="12" xr3:uid="{E1F0A69E-38C5-407C-AA2F-841DABA50211}" name="State abbreviation" dataDxfId="330" dataCellStyle="Content normal">
      <calculatedColumnFormula>L351</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2021CD9-1A88-49D9-AF9F-9FA415843FB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A504F50-BF33-4A00-847E-55F76874DD8D}"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B899586C-F5FD-425E-BB09-70508C0586B6}" name="Region" dataDxfId="32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4B1EFE61-4F23-433E-849E-1E2F620EDF16}" name="Pasture range and paddock" dataDxfId="32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A711A6C8-174D-4371-9203-4A1580BE7D32}" name="Uncovered Anaerobic lagoon" dataDxfId="32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6A132F7-FB76-42B8-A429-C1D2C74174E2}" name="Table_SourceData_PastureBeef_MethaneConversionFactor" displayName="Table_SourceData_PastureBeef_MethaneConversionFactor" ref="D400:G415" totalsRowShown="0" dataDxfId="32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47A763CB-0C70-4B65-A23F-6ADEE983F5B4}" name="State" dataDxfId="32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45CF945-E57B-44B6-B9E9-EA4C86B33B04}" name="Region" dataDxfId="32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57DE755F-987F-4CB8-A4CE-864DE44F07E5}" name="Pasture range and paddock" dataDxfId="32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23CDEC96-79CD-452A-8532-F4CD39490F35}" name="Uncovered Anaerobic lagoon" dataDxfId="32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6D60AD6-B564-46BA-86C4-0028A59F777F}"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9789677E-2FD5-44B4-900F-980FF8DF95ED}"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56F9AAF5-2441-490F-B8BD-9DFF2C465DD3}" name="Season" dataDxfId="32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7CD083D6-7578-4F61-A41A-397AF1B730A3}" name="Feed adjustment" dataDxfId="32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3C028D2-4DF2-4671-AC53-EF6544AE735C}" name="Milk intake/production" dataDxfId="31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775D99A-4BE5-4722-BF5E-E4A37AF05A59}" name="Table_LivestockClasses_Beefcattle" displayName="Table_LivestockClasses_Beefcattle" ref="O18:O28" totalsRowShown="0">
  <autoFilter ref="O18:O28" xr:uid="{13BB371D-1A6A-420B-8F76-A006E7FBF483}">
    <filterColumn colId="0" hiddenButton="1"/>
  </autoFilter>
  <tableColumns count="1">
    <tableColumn id="1" xr3:uid="{179C4779-CFA2-4985-BE94-9414F8FC7CD0}" name="Livestock class"/>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FDFE047-2E87-490F-9C7B-08E87BE15153}"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40D8795B-0A0E-4370-BF29-9AEE16697C3C}" name="Region"/>
    <tableColumn id="2" xr3:uid="{2833E549-7355-4357-BB10-4A57C074C7FA}" name="Scope3 regio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7994E336-93D6-4830-B7E6-007C79F00649}"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29E70EE3-FAFF-4694-B9CD-3B83462F0AD4}" name="Category" dataDxfId="318" dataCellStyle="Content normal">
      <calculatedColumnFormula array="1">Common_InputFunctions.Utility_DisplayArrayInTable(Scope3_SourceData.Scope3_Livestock_Data(), Table_SourceData_Scope3_Animals[[#Headers],[Category]], 0, 2)</calculatedColumnFormula>
    </tableColumn>
    <tableColumn id="2" xr3:uid="{E205E949-1AF9-4F19-A25D-35DBC13DCFA6}" name="Product" dataDxfId="317" dataCellStyle="Content normal">
      <calculatedColumnFormula array="1">Common_InputFunctions.Utility_DisplayArrayInTable(Scope3_SourceData.Scope3_Livestock_Data(), Table_SourceData_Scope3_Animals[[#Headers],[Category]], 0, 2)</calculatedColumnFormula>
    </tableColumn>
    <tableColumn id="3" xr3:uid="{EAC29F81-556D-4EFC-9931-45913D72CD5E}" name="Region of origin" dataDxfId="316" dataCellStyle="Content normal">
      <calculatedColumnFormula array="1">Common_InputFunctions.Utility_DisplayArrayInTable(Scope3_SourceData.Scope3_Livestock_Data(), Table_SourceData_Scope3_Animals[[#Headers],[Category]], 0, 2)</calculatedColumnFormula>
    </tableColumn>
    <tableColumn id="8" xr3:uid="{E7EC6727-7ADD-4983-9C96-094FE4642929}" name="Quantity Unit" dataDxfId="315" dataCellStyle="Content normal">
      <calculatedColumnFormula array="1">Common_InputFunctions.Utility_DisplayArrayInTable(Scope3_SourceData.Scope3_Livestock_Data(), Table_SourceData_Scope3_Animals[[#Headers],[Category]], 0, 2)</calculatedColumnFormula>
    </tableColumn>
    <tableColumn id="9" xr3:uid="{F8DC6F8A-B4C0-4CC4-A070-5079ACDE88BB}" name="AusLCI Emissions intensity" dataDxfId="314" dataCellStyle="Content normal">
      <calculatedColumnFormula array="1">Common_InputFunctions.Utility_DisplayArrayInTable(Scope3_SourceData.Scope3_Livestock_Data(), Table_SourceData_Scope3_Animals[[#Headers],[Category]], 0, 2)</calculatedColumnFormula>
    </tableColumn>
    <tableColumn id="10" xr3:uid="{0D18F2CD-18EA-491A-82C5-A1EE8630DED4}" name="System boundary" dataDxfId="31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1140953-C622-4026-A667-BC418F19696E}"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C6E0C0E-5FE2-409E-B4FB-1D151C70CD1F}" name="Crop type">
      <calculatedColumnFormula array="1">Common_InputFunctions.Utility_DisplayArrayInTable(Agresidue_SourceData.CropAttributes_Data(),Table_SourceData_CropAttributes[[#Headers],[Crop type]], -1)</calculatedColumnFormula>
    </tableColumn>
    <tableColumn id="2" xr3:uid="{3CFA71E4-A6F7-4E89-8028-DEE1DB2DBCC5}" name="Residue: Crop ratio">
      <calculatedColumnFormula array="1">Common_InputFunctions.Utility_DisplayArrayInTable(Agresidue_SourceData.CropAttributes_Data(),Table_SourceData_CropAttributes[[#Headers],[Crop type]], -1)</calculatedColumnFormula>
    </tableColumn>
    <tableColumn id="3" xr3:uid="{73FE4428-DD68-4326-9E7D-8D889BEF094A}" name="Below-ground: above-ground residue ratio">
      <calculatedColumnFormula array="1">Common_InputFunctions.Utility_DisplayArrayInTable(Agresidue_SourceData.CropAttributes_Data(),Table_SourceData_CropAttributes[[#Headers],[Crop type]], -1)</calculatedColumnFormula>
    </tableColumn>
    <tableColumn id="4" xr3:uid="{1B6DB424-D3ED-4824-AF82-671B866062E8}" name="Dry matter content">
      <calculatedColumnFormula array="1">Common_InputFunctions.Utility_DisplayArrayInTable(Agresidue_SourceData.CropAttributes_Data(),Table_SourceData_CropAttributes[[#Headers],[Crop type]], -1)</calculatedColumnFormula>
    </tableColumn>
    <tableColumn id="5" xr3:uid="{66A8353C-F0E9-40B2-B434-EA02602B2800}" name="Carbon fraction in dry matter">
      <calculatedColumnFormula array="1">Common_InputFunctions.Utility_DisplayArrayInTable(Agresidue_SourceData.CropAttributes_Data(),Table_SourceData_CropAttributes[[#Headers],[Crop type]], -1)</calculatedColumnFormula>
    </tableColumn>
    <tableColumn id="6" xr3:uid="{AE72E1C1-55DA-4442-9426-F22C07064657}" name="N content above-ground">
      <calculatedColumnFormula array="1">Common_InputFunctions.Utility_DisplayArrayInTable(Agresidue_SourceData.CropAttributes_Data(),Table_SourceData_CropAttributes[[#Headers],[Crop type]], -1)</calculatedColumnFormula>
    </tableColumn>
    <tableColumn id="7" xr3:uid="{1199913D-661A-4C29-B9E5-A44BD843AC47}" name="N content below-ground">
      <calculatedColumnFormula array="1">Common_InputFunctions.Utility_DisplayArrayInTable(Agresidue_SourceData.CropAttributes_Data(),Table_SourceData_CropAttributes[[#Headers],[Crop type]], -1)</calculatedColumnFormula>
    </tableColumn>
    <tableColumn id="8" xr3:uid="{FCD1CAB2-EC56-4847-A310-7DA260F27196}"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64B786A3-0CDE-44E2-AC56-FA8F228E912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919078D8-54FD-47CE-9CCD-6B72653125D3}" name="Table76" displayName="Table76" ref="D73:F89" totalsRowShown="0">
  <autoFilter ref="D73:F89" xr:uid="{7CD0B032-9881-4EF1-81E3-483C7C16D9D0}">
    <filterColumn colId="0" hiddenButton="1"/>
    <filterColumn colId="1" hiddenButton="1"/>
    <filterColumn colId="2" hiddenButton="1"/>
  </autoFilter>
  <tableColumns count="3">
    <tableColumn id="1" xr3:uid="{AFD7B18C-441C-4CC6-BEEE-C2AB6D1AC462}" name="Crop type c">
      <calculatedColumnFormula array="1">Common_InputFunctions.Utility_DisplayArrayInTable(Agresidue_SourceData.CropFractionRemoved_Data(), Table76[[#Headers],[Crop type c]], 0)</calculatedColumnFormula>
    </tableColumn>
    <tableColumn id="2" xr3:uid="{51625DCF-077A-40A2-BEFA-0F9F0500EBC2}" name="State" dataDxfId="312">
      <calculatedColumnFormula array="1">Common_InputFunctions.Utility_DisplayArrayInTable(Agresidue_SourceData.CropFractionRemoved_Data(), Table76[[#Headers],[Crop type c]], 0)</calculatedColumnFormula>
    </tableColumn>
    <tableColumn id="3" xr3:uid="{C48F1774-462A-43CF-9B80-3CD2456601ED}" name="Fraction removed" dataDxfId="31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B06B0B65-BADA-441F-B074-0A302FCB14DF}" name="Table77" displayName="Table77" ref="D92:F235" totalsRowShown="0">
  <autoFilter ref="D92:F235" xr:uid="{1FA7CC86-1C1E-41FA-9AA1-AAD48AA2EEF0}">
    <filterColumn colId="0" hiddenButton="1"/>
    <filterColumn colId="1" hiddenButton="1"/>
    <filterColumn colId="2" hiddenButton="1"/>
  </autoFilter>
  <tableColumns count="3">
    <tableColumn id="1" xr3:uid="{C5A6B8C0-416E-4B58-824A-8EBE0DE0BDCB}" name="Crop type c">
      <calculatedColumnFormula array="1">Common_InputFunctions.Utility_DisplayArrayInTable(Agresidue_SourceData.CropFractionRemoved_CustomisedData(), Table77[[#Headers],[Crop type c]], 0)</calculatedColumnFormula>
    </tableColumn>
    <tableColumn id="2" xr3:uid="{6508A15D-292E-4EB6-8C2D-467FD94AA0BB}" name="State" dataDxfId="310">
      <calculatedColumnFormula array="1">Common_InputFunctions.Utility_DisplayArrayInTable(Agresidue_SourceData.CropFractionRemoved_CustomisedData(), Table77[[#Headers],[Crop type c]], 0)</calculatedColumnFormula>
    </tableColumn>
    <tableColumn id="3" xr3:uid="{9E430419-9E14-4DF9-9CCB-E35648A1D68A}" name="Fraction removed" dataDxfId="30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240A55E9-5E1B-4A50-8D4E-31F151BED046}" name="Table_SourceData_N2OEFOrganicFert" displayName="Table_SourceData_N2OEFOrganicFert" ref="D43:E45" totalsRowShown="0" dataDxfId="308" dataCellStyle="Content bold">
  <autoFilter ref="D43:E45" xr:uid="{2270AB6D-D03A-4D71-95C0-00BA6BB02732}">
    <filterColumn colId="0" hiddenButton="1"/>
    <filterColumn colId="1" hiddenButton="1"/>
  </autoFilter>
  <tableColumns count="2">
    <tableColumn id="1" xr3:uid="{EC9E7134-6356-44B4-84B8-CBF7CFD97A9A}" name="Climate zone type i" dataDxfId="307" dataCellStyle="Content bold">
      <calculatedColumnFormula array="1">Common_InputFunctions.Utility_DisplayArrayInTable(Agresidue_SourceData.N2OEFOrganicFertiliser_Data(), Table_SourceData_N2OEFOrganicFert[[#Headers],[Climate zone type i]], 0)</calculatedColumnFormula>
    </tableColumn>
    <tableColumn id="2" xr3:uid="{9E650C2D-7B11-4396-8824-CA02BD0936DC}" name="EF i N2O" dataDxfId="30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EAA39FCE-EFE7-4FB7-B1AA-445938BE6E2F}" name="Table_SourceData_PastureAttributes" displayName="Table_SourceData_PastureAttributes" ref="D51:I56" totalsRowShown="0" dataDxfId="30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0F6B24DB-0A46-42D5-8B94-03CF86E1B643}" name="Pasture type" dataDxfId="304" dataCellStyle="Content normal">
      <calculatedColumnFormula array="1">Common_InputFunctions.Utility_DisplayArrayInTable(Agresidue_SourceData.PastureAttributes_Data(), Table_SourceData_PastureAttributes[[#Headers],[Pasture type]], 0)</calculatedColumnFormula>
    </tableColumn>
    <tableColumn id="2" xr3:uid="{015F0F58-3EF0-4B95-ADC7-736021799D52}" name="Average Yield (t DM ha) Yp" dataDxfId="303" dataCellStyle="Content normal">
      <calculatedColumnFormula array="1">Common_InputFunctions.Utility_DisplayArrayInTable(Agresidue_SourceData.PastureAttributes_Data(), Table_SourceData_PastureAttributes[[#Headers],[Pasture type]], 0)</calculatedColumnFormula>
    </tableColumn>
    <tableColumn id="3" xr3:uid="{52B6599A-5D9C-49BB-AEA5-32B8F70D0F28}" name="Below-ground: above-ground residue ratio RBGp" dataDxfId="302" dataCellStyle="Content normal">
      <calculatedColumnFormula array="1">Common_InputFunctions.Utility_DisplayArrayInTable(Agresidue_SourceData.PastureAttributes_Data(), Table_SourceData_PastureAttributes[[#Headers],[Pasture type]], 0)</calculatedColumnFormula>
    </tableColumn>
    <tableColumn id="4" xr3:uid="{C7C92848-2CC7-4787-A961-FCB51A7E5BEC}" name="N content Above-ground NCAGp" dataDxfId="301" dataCellStyle="Content normal">
      <calculatedColumnFormula array="1">Common_InputFunctions.Utility_DisplayArrayInTable(Agresidue_SourceData.PastureAttributes_Data(), Table_SourceData_PastureAttributes[[#Headers],[Pasture type]], 0)</calculatedColumnFormula>
    </tableColumn>
    <tableColumn id="5" xr3:uid="{4B23F583-CBF2-4918-9E4B-6DB8F14B4F2D}" name="N content Below-ground NCBGp" dataDxfId="300" dataCellStyle="Content normal">
      <calculatedColumnFormula array="1">Common_InputFunctions.Utility_DisplayArrayInTable(Agresidue_SourceData.PastureAttributes_Data(), Table_SourceData_PastureAttributes[[#Headers],[Pasture type]], 0)</calculatedColumnFormula>
    </tableColumn>
    <tableColumn id="6" xr3:uid="{6050E617-C50F-4344-B9E0-40E31621EF11}" name="Fraction of pasture yield that is removed FFODp" dataDxfId="29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E7553CB-3F1E-4E1B-A4AD-3BFF8BC800D2}"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E1658C46-7045-4675-B324-6BF2142B778E}" name="Gas species">
      <calculatedColumnFormula array="1">Common_InputFunctions.Utility_DisplayArrayInTable(AgResidues_SourceData.BurningOfAgriculturalResiduesEFs_Data(), Table_SourceData_BurningResidueEFs[[#Headers],[Gas species]], 0)</calculatedColumnFormula>
    </tableColumn>
    <tableColumn id="2" xr3:uid="{AA616E30-0559-4515-9E41-1FBDCAC2BB11}" name="Emission factor EFg (Gg element in species/ Gg element in fuel burnt)" dataDxfId="298" dataCellStyle="Content normal">
      <calculatedColumnFormula array="1">Common_InputFunctions.Utility_DisplayArrayInTable(AgResidues_SourceData.BurningOfAgriculturalResiduesEFs_Data(), Table_SourceData_BurningResidueEFs[[#Headers],[Gas species]], 0)</calculatedColumnFormula>
    </tableColumn>
    <tableColumn id="3" xr3:uid="{2D5C3EDF-46BC-4A0A-8087-5D3D8C36DD43}" name="Elemental to molecular mass conversion factor (Cg)" dataDxfId="29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B0FECF22-B060-4189-A732-F1BED5D0343A}" name="Table_SourceData_CropPurposeAndYields" displayName="Table_SourceData_CropPurposeAndYields" ref="D7:K10" totalsRowShown="0" headerRowDxfId="29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8B133BA-A5C6-42BC-B1B5-18F46672284F}" name="Purpose">
      <calculatedColumnFormula array="1">Common_InputFunctions.Utility_DisplayArrayInTable(Agresidue_SourceData.CropPurposeAndYield_Data(), Table_SourceData_CropPurposeAndYields[[#Headers],[Purpose]], 0)</calculatedColumnFormula>
    </tableColumn>
    <tableColumn id="2" xr3:uid="{B00A2971-F5E5-41A1-AE70-AA67C8D0167A}" name="Per hectare unit">
      <calculatedColumnFormula array="1">Common_InputFunctions.Utility_DisplayArrayInTable(Agresidue_SourceData.CropPurposeAndYield_Data(), Table_SourceData_CropPurposeAndYields[[#Headers],[Purpose]], 0)</calculatedColumnFormula>
    </tableColumn>
    <tableColumn id="3" xr3:uid="{1FD14265-8220-4C11-A956-B350EB189DD2}" name="harvest term">
      <calculatedColumnFormula array="1">Common_InputFunctions.Utility_DisplayArrayInTable(Agresidue_SourceData.CropPurposeAndYield_Data(), Table_SourceData_CropPurposeAndYields[[#Headers],[Purpose]], 0)</calculatedColumnFormula>
    </tableColumn>
    <tableColumn id="4" xr3:uid="{6A9C9E5F-EAAD-4BE5-BA9A-CD85E90D177B}" name="harvest endpoint">
      <calculatedColumnFormula array="1">Common_InputFunctions.Utility_DisplayArrayInTable(Agresidue_SourceData.CropPurposeAndYield_Data(), Table_SourceData_CropPurposeAndYields[[#Headers],[Purpose]], 0)</calculatedColumnFormula>
    </tableColumn>
    <tableColumn id="5" xr3:uid="{26F80B88-AB8E-4662-AD5E-4F9BD816D8CF}" name="Harvest uit">
      <calculatedColumnFormula array="1">Common_InputFunctions.Utility_DisplayArrayInTable(Agresidue_SourceData.CropPurposeAndYield_Data(), Table_SourceData_CropPurposeAndYields[[#Headers],[Purpose]], 0)</calculatedColumnFormula>
    </tableColumn>
    <tableColumn id="6" xr3:uid="{1BA24CFE-0E84-483A-AE7D-E9E395CD8A47}" name="Yield note">
      <calculatedColumnFormula array="1">Common_InputFunctions.Utility_DisplayArrayInTable(Agresidue_SourceData.CropPurposeAndYield_Data(), Table_SourceData_CropPurposeAndYields[[#Headers],[Purpose]], 0)</calculatedColumnFormula>
    </tableColumn>
    <tableColumn id="8" xr3:uid="{FDE9DBEB-51BC-43A8-8521-FADB52968F35}" name="Residue crop ratio note">
      <calculatedColumnFormula array="1">Common_InputFunctions.Utility_DisplayArrayInTable(Agresidue_SourceData.CropPurposeAndYield_Data(), Table_SourceData_CropPurposeAndYields[[#Headers],[Purpose]], 0)</calculatedColumnFormula>
    </tableColumn>
    <tableColumn id="9" xr3:uid="{B94FB7FB-3925-4BB5-B844-BF8996286A7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6986ACA8-6868-41F3-9265-DAE0C530886D}" name="Table_SourceData_Fertiliser_IrrigationMethods97" displayName="Table_SourceData_Fertiliser_IrrigationMethods97" ref="N21:N26" totalsRowShown="0">
  <autoFilter ref="N21:N26" xr:uid="{1AC5909E-E06C-4A79-81E9-C25A0B6D9E90}">
    <filterColumn colId="0" hiddenButton="1"/>
  </autoFilter>
  <tableColumns count="1">
    <tableColumn id="1" xr3:uid="{6E576083-269D-43CE-B258-296A67547CFA}" name="Irrigation method"/>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42B10F9-648A-453A-8A43-2E319418D74C}"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9A64A668-5916-46BA-A247-C9FBCA2B03DC}" name="Symbol">
      <calculatedColumnFormula array="1">Common_InputFunctions.Utility_DisplayArrayInTable(CommonLivestock_SourceData.SourceData_Livestock_Common_SymbolsMMS_Data(), Table_Data_MMSSymbols[[#Headers],[Symbol]], 0)</calculatedColumnFormula>
    </tableColumn>
    <tableColumn id="2" xr3:uid="{2DBE4AFC-17E5-4266-9674-30FF93FB661C}" name="Manure management system">
      <calculatedColumnFormula array="1">Common_InputFunctions.Utility_DisplayArrayInTable(CommonLivestock_SourceData.SourceData_Livestock_Common_SymbolsMMS_Data(), Table_Data_MMSSymbols[[#Headers],[Symbol]], 0)</calculatedColumnFormula>
    </tableColumn>
    <tableColumn id="3" xr3:uid="{B552418C-3633-491A-8675-B05AE88D978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DA8B43E2-F604-4DC3-903B-CC5A02ECBDF7}" name="Table_SourceData_LivestockProduct_Beefcattle" displayName="Table_SourceData_LivestockProduct_Beefcattle" ref="D31:E39" totalsRowShown="0">
  <autoFilter ref="D31:E39" xr:uid="{953E8E36-CE90-4001-9CFA-9307A0C836A9}"/>
  <tableColumns count="2">
    <tableColumn id="1" xr3:uid="{0BADD46F-6D17-40EA-A51C-FF08E2635DD2}" name="Product">
      <calculatedColumnFormula array="1">Common_InputFunctions.Utility_DisplayArrayInTable(CommonLivestock_SourceData.SourceData_Livestock_Product_BeefCattle_Data(),Table_SourceData_LivestockProduct_Beefcattle[[#Headers],[Product]],0)</calculatedColumnFormula>
    </tableColumn>
    <tableColumn id="2" xr3:uid="{194E55C5-0759-432B-BBEF-BDFBAAFF0BDE}" name="Source region" dataDxfId="29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5C07145C-20FF-4A67-A685-A853A49F3601}" name="Table_SourceData_LivestockProduct_Sheep" displayName="Table_SourceData_LivestockProduct_Sheep" ref="D43:E50" totalsRowShown="0" dataDxfId="294" dataCellStyle="Content normal">
  <autoFilter ref="D43:E50" xr:uid="{995536B5-6CA5-4D7D-A704-9B6B595C2491}"/>
  <tableColumns count="2">
    <tableColumn id="1" xr3:uid="{500158A0-19C2-485A-98BE-795CD3EB246F}" name="Product" dataDxfId="29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492C72E5-B837-47D8-BADF-34752E13DE7F}" name="Source region" dataDxfId="29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4876A0FC-4E19-4C80-A74B-BA1B52D963DD}" name="Table_SourceData_LivestockProduct_Chickens" displayName="Table_SourceData_LivestockProduct_Chickens" ref="D54:E55" totalsRowShown="0" dataDxfId="291" dataCellStyle="Content normal">
  <autoFilter ref="D54:E55" xr:uid="{257D8456-031C-4EEF-A8C4-474F215C3208}"/>
  <tableColumns count="2">
    <tableColumn id="1" xr3:uid="{D88FCFF2-C5A6-489B-B340-7CB6C0DA645D}" name="Product" dataDxfId="29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8B460CB-7A74-4CA6-95EB-7A745F535F3E}" name="Source region" dataDxfId="28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D0F10816-E3CE-4987-A683-4CBE07A7C568}" name="Table_SourceData_LivestockProduct_Dairycattle" displayName="Table_SourceData_LivestockProduct_Dairycattle" ref="D59:E60" totalsRowShown="0" dataDxfId="288" dataCellStyle="Content normal">
  <autoFilter ref="D59:E60" xr:uid="{71833C62-BA2B-4519-92E0-B189E393D12F}"/>
  <tableColumns count="2">
    <tableColumn id="1" xr3:uid="{ECC18DB5-7515-462F-817A-C925875F2D5D}" name="Product" dataDxfId="28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D77B7C29-01F1-44A5-97B6-AF1F8750F853}" name="Source region" dataDxfId="28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542AB36-29B0-44B1-B276-48D1C6C8DC68}" name="Table_SourceData_LivestockProduct_Pigs" displayName="Table_SourceData_LivestockProduct_Pigs" ref="D64:E65" totalsRowShown="0" dataDxfId="285" dataCellStyle="Content normal">
  <autoFilter ref="D64:E65" xr:uid="{65FF5EF6-2A75-4137-9345-8328E2DA8F9C}"/>
  <tableColumns count="2">
    <tableColumn id="1" xr3:uid="{88530A3D-654F-42D5-81A2-A5A1C15118F5}" name="Product" dataDxfId="28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039F5E9C-D4EC-408F-BDB6-F73D42694B0F}" name="Source region" dataDxfId="28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52A8B8C-25E3-4161-B520-BBCB7E02EF6B}" name="Table_SourceData_ElectricityEFs" displayName="Table_SourceData_ElectricityEFs" ref="D9:F19" totalsRowShown="0" headerRowDxfId="282">
  <autoFilter ref="D9:F19" xr:uid="{3144A982-7A4D-4CF2-8790-1A30DAE3E0A4}">
    <filterColumn colId="0" hiddenButton="1"/>
    <filterColumn colId="1" hiddenButton="1"/>
    <filterColumn colId="2" hiddenButton="1"/>
  </autoFilter>
  <tableColumns count="3">
    <tableColumn id="1" xr3:uid="{59E9AB70-781C-4CEC-8D39-354EB4000AF8}"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4382F36-6C20-46B6-BE46-E6176D5C9E3F}"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87EC43A-820C-4FFA-A987-4071BF0DAEF6}"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3B84EEE-5940-46A8-8188-4B45E981A0D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A325E034-6814-4DC7-8682-8DED42353F43}"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06CD7BEA-D216-4DA1-BA13-E00FC9758B3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BE1C7A77-1E5F-4724-BA63-0E821EFF656F}"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C4C539F4-9302-498C-8B69-862449E62517}"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04F736F-9C3B-4A6B-9CF7-879E7B956FE8}"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EC46D9E-8398-4F79-A915-43944F34F6B8}"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DBF72597-1CCC-4375-9511-285624A9AA5A}"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0AB6DB6-A994-4D87-9934-BD2044F87A30}" name="FNinorganic f">
      <calculatedColumnFormula array="1">Common_InputFunctions.Utility_DisplayArrayInTable(Fertiliser_SourceData.Fertiliser_ChemicalCompoundElements_Data(),Table_Fertiliser_ChemicalCompounds[[#Headers],[Fertiliser type f]], 0)</calculatedColumnFormula>
    </tableColumn>
    <tableColumn id="3" xr3:uid="{0EEF3D7C-385F-40E6-9246-9C83E07866DF}" name="FU f">
      <calculatedColumnFormula array="1">Common_InputFunctions.Utility_DisplayArrayInTable(Fertiliser_SourceData.Fertiliser_ChemicalCompoundElements_Data(),Table_Fertiliser_ChemicalCompounds[[#Headers],[Fertiliser type f]], 0)</calculatedColumnFormula>
    </tableColumn>
    <tableColumn id="4" xr3:uid="{E1593ECB-8E1B-4ED7-A295-21D1102B833D}" name="Basis">
      <calculatedColumnFormula array="1">Common_InputFunctions.Utility_DisplayArrayInTable(Fertiliser_SourceData.Fertiliser_ChemicalCompoundElements_Data(),Table_Fertiliser_ChemicalCompounds[[#Headers],[Fertiliser type f]], 0)</calculatedColumnFormula>
    </tableColumn>
    <tableColumn id="5" xr3:uid="{87A2D980-8E92-4DF1-81C7-DDB91EE74FE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B41A5CB-CE56-41B4-ACC4-8BA517283A70}"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BBF54382-B7DE-404C-A314-8D46E812811C}"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27B74ED2-5F13-4D32-970A-2D64B9AB42A5}" name="Company" totalsRowFunction="custom" totalsRowDxfId="281">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1DB8E16E-DDCE-478B-9225-0EDA357431D1}"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CD2FA234-B993-4547-A251-44FD690FC393}"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8F410039-41FD-4761-B903-BAEED9E1780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D56EDD5D-73C6-4F84-AE62-892EF2B35304}"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E63E0C3-7BCD-45B6-AFEF-8B5F65F387D0}"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2C15007D-9760-4A16-9C52-64B13523BCCC}"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FD2BFC05-26F8-48AD-B5F4-CF1E3BE14227}"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135BC31C-930D-4BFA-85EF-7D402CDF21A3}"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EB519AEB-2C4B-4F83-9140-948316374BC8}"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21DF88D2-7C7C-469E-8489-23326DEC7960}"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1C6BD11A-195D-42CA-91FD-C46E2B12F057}"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0173208-36F5-4BAC-A415-0D8AF2DB617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5A84813A-4BD7-45B3-B1E9-58B377E242CB}"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A4775BBE-7246-428B-BC17-28961123397C}"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1D815756-D6CE-4FAC-907D-9E7777969556}"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7D9F4A39-6AA2-4941-A500-14325453678E}"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075DDF35-2612-4F90-B4A2-74593C29DF18}"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2ED3431D-D47D-4363-83A7-08AF07D54DD7}"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958CBD10-ECD4-4254-8E89-95D966FC91B0}"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CB6E00E3-4DC0-4771-BF4D-716E6ACB1B63}"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274D6050-9284-4C30-BBED-7A57F29767D3}"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0876A9D3-9279-4A33-99ED-CF7C9C5A7486}"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192E1EFB-AF4D-4D8E-861C-58B6A25D11F4}"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641644C1-47DF-4291-B850-7C7D9010B3A7}"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575DD15E-AFBA-44F0-ACEC-CB431CBE0C4E}"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90A9E841-E36B-4D25-A50E-D45F6896FE67}"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29C3243C-E3C6-4F21-9E47-E17087F49FD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F8B18D1A-FE31-41CB-A389-0AB60B1A1B36}"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ECB4E53E-AE64-448E-974D-BD3F4D58910B}"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4844E050-BDB2-41C8-A3C4-FA798B1EC4CD}" name="Ingredient 10 percent" totalsRow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A26DC90-52CD-473A-ACE7-E402C816697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90DB3663-3757-49C8-AD5A-6E5FFD34FD75}" name="Fertiliser type f">
      <calculatedColumnFormula array="1">Common_InputFunctions.Utility_DisplayArrayInTable(Fertiliser_SourceData.Fertiliser_FracGASF_Data(), Table_SourceData_Fertiliser_FracGASF[[#Headers],[Fertiliser type f]], 0)</calculatedColumnFormula>
    </tableColumn>
    <tableColumn id="2" xr3:uid="{5245637E-6312-43FC-9F61-B6F21609A90B}" name="FracGASF f" dataDxfId="280"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02EB40D-5F02-4FD2-801B-A090C44DC20A}" name="Table_SourceData_Fertiliser_CropProdSystems" displayName="Table_SourceData_Fertiliser_CropProdSystems" ref="D41:D43" totalsRowShown="0">
  <autoFilter ref="D41:D43" xr:uid="{24F3A11E-40F5-4BB9-BFF4-A71FA2ADA0EF}">
    <filterColumn colId="0" hiddenButton="1"/>
  </autoFilter>
  <tableColumns count="1">
    <tableColumn id="1" xr3:uid="{9A0172CF-6D3D-4838-9CA0-DC0BC9760E0F}" name="Production system">
      <calculatedColumnFormula>#REF!</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5B3EC0F-870C-4497-A2B1-696A6465643D}"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E7FCD06-85C2-4C11-B411-68A2916DDA12}" name="Irrigation method"/>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3965A8C-E023-4A45-890F-3063E685B14A}" name="Table_SourceData_Fertiliser_CropTypes" displayName="Table_SourceData_Fertiliser_CropTypes" ref="F41:F45" totalsRowShown="0">
  <autoFilter ref="F41:F45" xr:uid="{CB5044B5-FA3C-4AA2-B1AB-72F7E61D072F}">
    <filterColumn colId="0" hiddenButton="1"/>
  </autoFilter>
  <tableColumns count="1">
    <tableColumn id="1" xr3:uid="{9A58A7E9-306E-4536-BA63-D358D6917DC3}" name="Production system"/>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95F962AC-ED69-419F-84DD-8D549B041345}" name="Table_SourceData_OrganicFertiliserTypes" displayName="Table_SourceData_OrganicFertiliserTypes" ref="J41:J46" totalsRowShown="0">
  <autoFilter ref="J41:J46" xr:uid="{B44627B1-537E-4ABC-92C3-57282CEE5B40}">
    <filterColumn colId="0" hiddenButton="1"/>
  </autoFilter>
  <tableColumns count="1">
    <tableColumn id="1" xr3:uid="{F2B1DD51-4417-4EBB-B42E-44E743698BD9}" name="Organic fertiliser type"/>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99DB1BF-D25D-4B57-BAE9-D3EECE54242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0563F1BC-1EAD-4A03-8196-E810A2321F5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EB592FD-CCF7-4161-A875-2ABC4E00FE67}" name="P" dataDxfId="27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BFBD885-F436-4C12-A85D-8FF59C40A706}" name="EF" dataDxfId="27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8113F523-BD8B-4C8B-9E8C-0F02383965B6}" name="Table2" displayName="Table2" ref="K19:L28" totalsRowShown="0" dataDxfId="277" dataCellStyle="Content normal">
  <autoFilter ref="K19:L28" xr:uid="{27B93029-EB1F-4C4A-A946-CD673A8A6C46}">
    <filterColumn colId="0" hiddenButton="1"/>
    <filterColumn colId="1" hiddenButton="1"/>
  </autoFilter>
  <tableColumns count="2">
    <tableColumn id="1" xr3:uid="{7EC433F4-783A-4B43-B7AC-853C04902D98}" name="Fertiliser type f" dataDxfId="276" dataCellStyle="Content normal">
      <calculatedColumnFormula array="1">Common_InputFunctions.Utility_DisplayArrayInTable(Fertiliser_SourceData.Fertiliser_FractionNCommonFertilisers_Data(), Table2[[#Headers],[Fertiliser type f]], 0)</calculatedColumnFormula>
    </tableColumn>
    <tableColumn id="2" xr3:uid="{8957F2F3-D9DF-4CFA-90A4-85DC60F053B5}" name="FNinorganic f" dataDxfId="275"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BC49CBA-1985-4248-909C-AE9953C9B22F}" name="Table28" displayName="Table28" ref="Q19:R28" totalsRowShown="0" dataDxfId="274" dataCellStyle="Content normal">
  <autoFilter ref="Q19:R28" xr:uid="{791CEA59-796C-47AB-86BC-41E8F699030C}">
    <filterColumn colId="0" hiddenButton="1"/>
    <filterColumn colId="1" hiddenButton="1"/>
  </autoFilter>
  <tableColumns count="2">
    <tableColumn id="1" xr3:uid="{47FDFF66-F446-43B6-ABE1-D3EBBA38865E}" name="Fertiliser type f" dataDxfId="273" dataCellStyle="Content normal">
      <calculatedColumnFormula array="1">Common_InputFunctions.Utility_DisplayArrayInTable(Fertiliser_SourceData.Fertiliser_FractionUreaCommonFertilisers_Data(), Table28[[#Headers],[Fertiliser type f]], 0)</calculatedColumnFormula>
    </tableColumn>
    <tableColumn id="2" xr3:uid="{4DAC9522-974F-469D-872C-0B1DC19E077B}" name="FNinorganic f" dataDxfId="272"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58688F2-B794-4FCE-BBB8-17A5D05D7E98}"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EFC6666F-FA05-48F7-9A5D-EFA32C1A18F1}"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5B7524D-6664-4A30-81B7-21601618B4EA}" name="Table_Fuel_EFs_StationaryLiquid" displayName="Table_Fuel_EFs_StationaryLiquid" ref="D53:K77" totalsRowShown="0" headerRowDxfId="271" dataDxfId="27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06271CC-94EC-463B-99C5-66B58577F9BE}" name="Fuel combusted" dataDxfId="269">
      <calculatedColumnFormula array="1">Common_InputFunctions.Utility_DisplayArrayInTable(Fuel_SourceData.Fuel_Scope1Scope3EmissionFactorsStationaryLiquid_Data(), Table_Fuel_EFs_StationaryLiquid[[#Headers],[Fuel combusted]],0)</calculatedColumnFormula>
    </tableColumn>
    <tableColumn id="2" xr3:uid="{B894412F-7835-4A1C-899C-08A2EB8463BD}" name="Energy Content Factor (GJ per unit of fuel)" dataDxfId="268">
      <calculatedColumnFormula array="1">Common_InputFunctions.Utility_DisplayArrayInTable(Fuel_SourceData.Fuel_Scope1Scope3EmissionFactorsStationaryLiquid_Data(), Table_Fuel_EFs_StationaryLiquid[[#Headers],[Fuel combusted]],0)</calculatedColumnFormula>
    </tableColumn>
    <tableColumn id="3" xr3:uid="{1DA9A596-D27C-436D-8A93-535087A9F032}" name="Fuel unit" dataDxfId="267">
      <calculatedColumnFormula array="1">Common_InputFunctions.Utility_DisplayArrayInTable(Fuel_SourceData.Fuel_Scope1Scope3EmissionFactorsStationaryLiquid_Data(), Table_Fuel_EFs_StationaryLiquid[[#Headers],[Fuel combusted]],0)</calculatedColumnFormula>
    </tableColumn>
    <tableColumn id="4" xr3:uid="{235A9790-2050-4635-A864-698EB0D2DCBE}" name="Scope 1 Emission Factor (kg CO2 - e / GJ) CO2" dataDxfId="266">
      <calculatedColumnFormula array="1">Common_InputFunctions.Utility_DisplayArrayInTable(Fuel_SourceData.Fuel_Scope1Scope3EmissionFactorsStationaryLiquid_Data(), Table_Fuel_EFs_StationaryLiquid[[#Headers],[Fuel combusted]],0)</calculatedColumnFormula>
    </tableColumn>
    <tableColumn id="5" xr3:uid="{74FAA99D-402F-4A56-B768-766078EAB476}" name="Scope 1 Emission Factor (kg CO2 - e / GJ) CH4" dataDxfId="265">
      <calculatedColumnFormula array="1">Common_InputFunctions.Utility_DisplayArrayInTable(Fuel_SourceData.Fuel_Scope1Scope3EmissionFactorsStationaryLiquid_Data(), Table_Fuel_EFs_StationaryLiquid[[#Headers],[Fuel combusted]],0)</calculatedColumnFormula>
    </tableColumn>
    <tableColumn id="6" xr3:uid="{FE475769-B9E2-44E3-AE0D-5A20EB9D4962}" name="Scope 1 Emission Factor (kg CO2 - e / GJ) N2O" dataDxfId="264">
      <calculatedColumnFormula array="1">Common_InputFunctions.Utility_DisplayArrayInTable(Fuel_SourceData.Fuel_Scope1Scope3EmissionFactorsStationaryLiquid_Data(), Table_Fuel_EFs_StationaryLiquid[[#Headers],[Fuel combusted]],0)</calculatedColumnFormula>
    </tableColumn>
    <tableColumn id="7" xr3:uid="{FA6C5ADC-D2DE-4568-B40E-F447E8E53183}" name="Scope 1 Emission Factor (kg CO2 - e / GJ) Combined gases" dataDxfId="263">
      <calculatedColumnFormula array="1">Common_InputFunctions.Utility_DisplayArrayInTable(Fuel_SourceData.Fuel_Scope1Scope3EmissionFactorsStationaryLiquid_Data(), Table_Fuel_EFs_StationaryLiquid[[#Headers],[Fuel combusted]],0)</calculatedColumnFormula>
    </tableColumn>
    <tableColumn id="8" xr3:uid="{578DD696-95DC-4BAE-B5DC-5701A39B14D6}" name="Scope 3 Emission Factor (kg CO2 - e / GJ)" dataDxfId="26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2A500E8-FA33-4536-86A6-E5825A0D33D8}" name="Table_Fuel_EFs_Transport" displayName="Table_Fuel_EFs_Transport" ref="D9:L34" totalsRowShown="0" headerRowDxfId="261" dataDxfId="26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3098DA4-396F-4A85-B851-58C3E127BC66}" name="Transport type" dataDxfId="259">
      <calculatedColumnFormula array="1">Common_InputFunctions.Utility_DisplayArrayInTable(Fuel_SourceData.Fuel_Scope1Scope3EmissionFactorsTransport_Data(), Table_Fuel_EFs_Transport[[#Headers],[Transport type]], 0)</calculatedColumnFormula>
    </tableColumn>
    <tableColumn id="2" xr3:uid="{D5102A1B-2559-4DBB-8FA9-3B6092A4C87F}" name="Fuel combusted" dataDxfId="258">
      <calculatedColumnFormula array="1">Common_InputFunctions.Utility_DisplayArrayInTable(Fuel_SourceData.Fuel_Scope1Scope3EmissionFactorsTransport_Data(), Table_Fuel_EFs_Transport[[#Headers],[Transport type]], 0)</calculatedColumnFormula>
    </tableColumn>
    <tableColumn id="3" xr3:uid="{9FC69F0D-903B-42C3-93CE-4DBCBD4196CD}" name="Energy Content Factor (GJ per unit of fuel)" dataDxfId="257">
      <calculatedColumnFormula array="1">Common_InputFunctions.Utility_DisplayArrayInTable(Fuel_SourceData.Fuel_Scope1Scope3EmissionFactorsTransport_Data(), Table_Fuel_EFs_Transport[[#Headers],[Transport type]], 0)</calculatedColumnFormula>
    </tableColumn>
    <tableColumn id="4" xr3:uid="{CB1C8B9C-1DAE-4E8A-83DE-496D66F05E67}" name="Fuel unit" dataDxfId="256">
      <calculatedColumnFormula array="1">Common_InputFunctions.Utility_DisplayArrayInTable(Fuel_SourceData.Fuel_Scope1Scope3EmissionFactorsTransport_Data(), Table_Fuel_EFs_Transport[[#Headers],[Transport type]], 0)</calculatedColumnFormula>
    </tableColumn>
    <tableColumn id="8" xr3:uid="{42384A95-90D5-409F-84DB-1C9E289518DB}" name="Scope 1 Emission Factor (kg CO2 - e / GJ) CO2" dataDxfId="255">
      <calculatedColumnFormula array="1">Common_InputFunctions.Utility_DisplayArrayInTable(Fuel_SourceData.Fuel_Scope1Scope3EmissionFactorsTransport_Data(), Table_Fuel_EFs_Transport[[#Headers],[Transport type]], 0)</calculatedColumnFormula>
    </tableColumn>
    <tableColumn id="9" xr3:uid="{063C69A0-B9C5-4CAB-B4EA-114C2E3CBAFC}" name="Scope 1 Emission Factor (kg CO2 - e / GJ) CH4" dataDxfId="254">
      <calculatedColumnFormula array="1">Common_InputFunctions.Utility_DisplayArrayInTable(Fuel_SourceData.Fuel_Scope1Scope3EmissionFactorsTransport_Data(), Table_Fuel_EFs_Transport[[#Headers],[Transport type]], 0)</calculatedColumnFormula>
    </tableColumn>
    <tableColumn id="10" xr3:uid="{20342A42-B168-4ABC-BA37-7E19208F2577}" name="Scope 1 Emission Factor (kg CO2 - e / GJ) N2O" dataDxfId="253">
      <calculatedColumnFormula array="1">Common_InputFunctions.Utility_DisplayArrayInTable(Fuel_SourceData.Fuel_Scope1Scope3EmissionFactorsTransport_Data(), Table_Fuel_EFs_Transport[[#Headers],[Transport type]], 0)</calculatedColumnFormula>
    </tableColumn>
    <tableColumn id="11" xr3:uid="{331B8095-2CB1-475A-A1A0-F614E17037DD}" name="Scope 1 Emission Factor (kg CO2 - e / GJ) Combined gases" dataDxfId="252">
      <calculatedColumnFormula array="1">Common_InputFunctions.Utility_DisplayArrayInTable(Fuel_SourceData.Fuel_Scope1Scope3EmissionFactorsTransport_Data(), Table_Fuel_EFs_Transport[[#Headers],[Transport type]], 0)</calculatedColumnFormula>
    </tableColumn>
    <tableColumn id="12" xr3:uid="{B7483BF8-06FF-45EF-8F92-29F0C4F98F5B}" name="Scope 3 Emission Factor (kg CO2 - e / GJ)" dataDxfId="25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8472FD32-7698-4ADF-AF8A-02D32AD000BC}" name="Table_FuelTypesPerUse" displayName="Table_FuelTypesPerUse" ref="D130:I139" totalsRowShown="0" headerRowDxfId="250" dataDxfId="249">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36FD1DE-A3F0-4DC6-9B8E-6AA5D35749EB}" name="Generators" dataDxfId="248"/>
    <tableColumn id="2" xr3:uid="{EBEA20F4-30D0-450B-B280-A340F9BE1142}" name="Power standalone machinery or heating" dataDxfId="247"/>
    <tableColumn id="3" xr3:uid="{BABBE618-3BCC-4FE0-B4F6-C30884EDB6AD}" name="Aviation" dataDxfId="246"/>
    <tableColumn id="5" xr3:uid="{DC4D6896-73C2-411B-A60D-2E47859CD47A}" name="Cars and light commercial vehicles" dataDxfId="245"/>
    <tableColumn id="7" xr3:uid="{36578117-38AA-448F-8232-2922E88DA8E9}" name="Off-road Agriculture and forestry equipment" dataDxfId="244" dataCellStyle="Content bold"/>
    <tableColumn id="8" xr3:uid="{D40A4B89-D3D8-4FDA-89BB-28BE685F7B6B}" name="Vessels" dataDxfId="243" dataCellStyle="Content bol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1CB911A9-B443-4226-8251-1CB9673D0247}" name="Table_Fuel_EFs_StationaryGaseous" displayName="Table_Fuel_EFs_StationaryGaseous" ref="D86:J104" totalsRowShown="0" headerRowDxfId="242" dataDxfId="241">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47DCFAB-3942-43BC-A2BE-7B122ED9D1CC}" name="Fuel combusted" dataDxfId="240">
      <calculatedColumnFormula array="1">Common_InputFunctions.Utility_DisplayArrayInTable(Fuel_SourceData.Fuel_Scope1EmissionFactorsStationaryGaseous_Data(), Table_Fuel_EFs_StationaryGaseous[[#Headers],[Fuel combusted]],0)</calculatedColumnFormula>
    </tableColumn>
    <tableColumn id="2" xr3:uid="{A2E1EA3F-B4F4-439C-89C4-3D218382A04C}" name="Energy Content Factor (GJ per unit of fuel)" dataDxfId="239">
      <calculatedColumnFormula array="1">Common_InputFunctions.Utility_DisplayArrayInTable(Fuel_SourceData.Fuel_Scope1EmissionFactorsStationaryGaseous_Data(), Table_Fuel_EFs_StationaryGaseous[[#Headers],[Fuel combusted]],0)</calculatedColumnFormula>
    </tableColumn>
    <tableColumn id="3" xr3:uid="{2DE28839-9917-488C-9A51-04CB8CCDEE04}" name="Fuel unit" dataDxfId="238">
      <calculatedColumnFormula array="1">Common_InputFunctions.Utility_DisplayArrayInTable(Fuel_SourceData.Fuel_Scope1EmissionFactorsStationaryGaseous_Data(), Table_Fuel_EFs_StationaryGaseous[[#Headers],[Fuel combusted]],0)</calculatedColumnFormula>
    </tableColumn>
    <tableColumn id="4" xr3:uid="{C8AE2EC8-90A3-4495-812A-9E37F27F49C6}" name="Scope 1 Emission Factor (kg CO2 - e / GJ) CO2" dataDxfId="237">
      <calculatedColumnFormula array="1">Common_InputFunctions.Utility_DisplayArrayInTable(Fuel_SourceData.Fuel_Scope1EmissionFactorsStationaryGaseous_Data(), Table_Fuel_EFs_StationaryGaseous[[#Headers],[Fuel combusted]],0)</calculatedColumnFormula>
    </tableColumn>
    <tableColumn id="5" xr3:uid="{FE294129-F94D-491D-8180-40F21B8D288A}" name="Scope 1 Emission Factor (kg CO2 - e / GJ) CH4" dataDxfId="236">
      <calculatedColumnFormula array="1">Common_InputFunctions.Utility_DisplayArrayInTable(Fuel_SourceData.Fuel_Scope1EmissionFactorsStationaryGaseous_Data(), Table_Fuel_EFs_StationaryGaseous[[#Headers],[Fuel combusted]],0)</calculatedColumnFormula>
    </tableColumn>
    <tableColumn id="6" xr3:uid="{7175BF3C-AC07-4C0E-B56F-024833A02AEA}" name="Scope 1 Emission Factor (kg CO2 - e / GJ) N2O" dataDxfId="235">
      <calculatedColumnFormula array="1">Common_InputFunctions.Utility_DisplayArrayInTable(Fuel_SourceData.Fuel_Scope1EmissionFactorsStationaryGaseous_Data(), Table_Fuel_EFs_StationaryGaseous[[#Headers],[Fuel combusted]],0)</calculatedColumnFormula>
    </tableColumn>
    <tableColumn id="7" xr3:uid="{E49BF933-C6C5-4B24-8FA3-10855702F4F3}" name="Scope 1 Emission Factor (kg CO2 - e / GJ) Combined gases" dataDxfId="234">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16DBAA04-0253-41B6-9D23-19DDB8971A99}" name="Table_Fuel_EFs_StationaryGaseous34" displayName="Table_Fuel_EFs_StationaryGaseous34" ref="D112:F120" headerRowDxfId="233" totalsRowDxfId="232">
  <autoFilter ref="D112:F120" xr:uid="{7D6CE29D-2354-4FAC-9965-9A66FFA42416}">
    <filterColumn colId="0" hiddenButton="1"/>
    <filterColumn colId="1" hiddenButton="1"/>
    <filterColumn colId="2" hiddenButton="1"/>
  </autoFilter>
  <tableColumns count="3">
    <tableColumn id="1" xr3:uid="{F89B3EFF-1033-4375-98E8-6B0CB1278A9E}" name="State or territory" totalsRowDxfId="231">
      <calculatedColumnFormula array="1">Common_InputFunctions.Utility_DisplayArrayInTable(Fuel_SourceData.Fuel_Scope3EmissionFactorsStationaryGaseous_Data(), Table_Fuel_EFs_StationaryGaseous34[[#Headers],[State or territory]],0)</calculatedColumnFormula>
    </tableColumn>
    <tableColumn id="2" xr3:uid="{25CE37D1-5BE1-4A6E-BDD3-76FA3898F744}" name="Metro" totalsRowDxfId="230">
      <calculatedColumnFormula array="1">Common_InputFunctions.Utility_DisplayArrayInTable(Fuel_SourceData.Fuel_Scope3EmissionFactorsStationaryGaseous_Data(), Table_Fuel_EFs_StationaryGaseous34[[#Headers],[State or territory]],0)</calculatedColumnFormula>
    </tableColumn>
    <tableColumn id="3" xr3:uid="{901BE87C-DE77-4F34-8C0F-7D60AB38BCFC}" name="Non-metro" totalsRowDxfId="229">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1FB2362-C5E8-441B-9ECE-53AFA1F1A91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CB3C53D-D87D-40C5-ACDD-0CF20D4DDE0F}" name="Fuel type"/>
    <tableColumn id="2" xr3:uid="{6C529309-742E-4BE0-A478-5CAD68B30047}" name="Unit"/>
    <tableColumn id="3" xr3:uid="{29DAD4A6-EC63-4C49-8A8E-2CB26895C77C}" name="Input Unit" dataDxfId="228"/>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5C98BEC-BBD4-4229-84A8-EA954D5C598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16647BB-87B5-40B7-8FBC-A25B90F5A9F4}"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9208103-C9F2-4586-A5F2-27B546600C67}" name="Fuel type q"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873D2709-4A9C-4CD8-87B9-D49AB6EA02AB}" name="ECTrans,q (GJ/kL)"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49A9A1B-4FE9-4A1C-A22D-8651622D60F8}" name="Scope 1 CO2 EFTran,1,tqg (kg CO2-e/GJ)"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5D6B1301-741F-4076-8704-F658F4EA3245}" name="Scope 1 CH4 EFTran,1,tg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83D1857C-8D9E-4D73-ABB5-3BE1953E2E68}" name="Scope 1 N2O EFTran,1,tgg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E29C722F-A808-4BB1-96D3-C60C1420F7CA}" name="Scope 3 EFTrans,3,q (kg CO2-e/GJ)" dataDxfId="2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C71C96D-16FE-4AD1-BCB8-83B7069DBAE6}" name="Table_SourceData_Scope3_Animals107" displayName="Table_SourceData_Scope3_Animals107"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E35F696-4FA0-4C27-A6AD-18F237FC778C}" name="Category" dataDxfId="221" dataCellStyle="Content normal">
      <calculatedColumnFormula array="1">Common_InputFunctions.Utility_DisplayArrayInTable(Scope3_SourceData.Scope3_Livestock_Data(), Table_SourceData_Scope3_Animals107[[#Headers],[Category]], 0, 2)</calculatedColumnFormula>
    </tableColumn>
    <tableColumn id="2" xr3:uid="{7F9D1E8E-E672-4623-833E-94D09FF21527}" name="Product" dataDxfId="220" dataCellStyle="Content normal">
      <calculatedColumnFormula array="1">Common_InputFunctions.Utility_DisplayArrayInTable(Scope3_SourceData.Scope3_Livestock_Data(), Table_SourceData_Scope3_Animals107[[#Headers],[Category]], 0, 2)</calculatedColumnFormula>
    </tableColumn>
    <tableColumn id="3" xr3:uid="{9AAFB7BD-635D-4F60-9EC0-D98FF5732051}" name="Region of origin" dataDxfId="219" dataCellStyle="Content normal">
      <calculatedColumnFormula array="1">Common_InputFunctions.Utility_DisplayArrayInTable(Scope3_SourceData.Scope3_Livestock_Data(), Table_SourceData_Scope3_Animals107[[#Headers],[Category]], 0, 2)</calculatedColumnFormula>
    </tableColumn>
    <tableColumn id="8" xr3:uid="{0DA6AE3D-9318-4BC7-A69F-45264218B2E3}" name="Quantity Unit" dataDxfId="218" dataCellStyle="Content normal">
      <calculatedColumnFormula array="1">Common_InputFunctions.Utility_DisplayArrayInTable(Scope3_SourceData.Scope3_Livestock_Data(), Table_SourceData_Scope3_Animals107[[#Headers],[Category]], 0, 2)</calculatedColumnFormula>
    </tableColumn>
    <tableColumn id="9" xr3:uid="{2C90BC72-072A-4EF7-BB33-4B73091A684B}" name="AusLCI Emissions intensity" dataDxfId="217" dataCellStyle="Content normal">
      <calculatedColumnFormula array="1">Common_InputFunctions.Utility_DisplayArrayInTable(Scope3_SourceData.Scope3_Livestock_Data(), Table_SourceData_Scope3_Animals107[[#Headers],[Category]], 0, 2)</calculatedColumnFormula>
    </tableColumn>
    <tableColumn id="10" xr3:uid="{DE991B19-CFF9-4382-A956-898DF7962AD8}" name="System boundary" dataDxfId="216" dataCellStyle="Content normal">
      <calculatedColumnFormula array="1">Common_InputFunctions.Utility_DisplayArrayInTable(Scope3_SourceData.Scope3_Livestock_Data(), Table_SourceData_Scope3_Animals107[[#Headers],[Category]], 0, 2)</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60B4EAE8-7B3A-4AA0-B569-CB0826563165}"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C70F751A-54D8-4E3C-980E-2D4ECD7881AC}" name="Category" dataDxfId="215" dataCellStyle="Content normal">
      <calculatedColumnFormula array="1">Common_InputFunctions.Utility_DisplayArrayInTable(Scope3_SourceData.Scope3_Chemicals_Data(), Table_SourceData_Scope3_ChemicalsCleaning[[#Headers],[Category]], 0, 2)</calculatedColumnFormula>
    </tableColumn>
    <tableColumn id="2" xr3:uid="{6303CF9F-4582-4FAA-8B1C-27701582CA51}" name="Product" dataDxfId="214" dataCellStyle="Content normal">
      <calculatedColumnFormula array="1">Common_InputFunctions.Utility_DisplayArrayInTable(Scope3_SourceData.Scope3_Chemicals_Data(), Table_SourceData_Scope3_ChemicalsCleaning[[#Headers],[Category]], 0, 2)</calculatedColumnFormula>
    </tableColumn>
    <tableColumn id="3" xr3:uid="{F169AB4B-51E3-4645-9514-ED0C05C65128}" name="Region of origin" dataDxfId="213" dataCellStyle="Content normal">
      <calculatedColumnFormula array="1">Common_InputFunctions.Utility_DisplayArrayInTable(Scope3_SourceData.Scope3_Chemicals_Data(), Table_SourceData_Scope3_ChemicalsCleaning[[#Headers],[Category]], 0, 2)</calculatedColumnFormula>
    </tableColumn>
    <tableColumn id="8" xr3:uid="{E332BC26-B32D-40BA-B7EA-88EED5D359A2}" name="Quantity Unit" dataDxfId="212" dataCellStyle="Content normal">
      <calculatedColumnFormula array="1">Common_InputFunctions.Utility_DisplayArrayInTable(Scope3_SourceData.Scope3_Chemicals_Data(), Table_SourceData_Scope3_ChemicalsCleaning[[#Headers],[Category]], 0, 2)</calculatedColumnFormula>
    </tableColumn>
    <tableColumn id="9" xr3:uid="{DEBDF1F0-41E7-4035-BC02-5529DF044910}" name="AusLCI Emissions intensity" dataDxfId="211" dataCellStyle="Content normal">
      <calculatedColumnFormula array="1">Common_InputFunctions.Utility_DisplayArrayInTable(Scope3_SourceData.Scope3_Chemicals_Data(), Table_SourceData_Scope3_ChemicalsCleaning[[#Headers],[Category]], 0, 2)</calculatedColumnFormula>
    </tableColumn>
    <tableColumn id="10" xr3:uid="{59588B7E-90F2-4BF4-B46C-7AA79FC85CD8}" name="System boundary" dataDxfId="210"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241425B5-CD61-4350-9EA7-A2FD104EA2FB}" name="Table_SourceData_Scope3_Feed" displayName="Table_SourceData_Scope3_Feed" ref="D89:I159" totalsRowShown="0" dataDxfId="209"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51127061-5EAF-40F0-8913-60671A3CFD22}" name="Category" dataDxfId="208" dataCellStyle="Content normal">
      <calculatedColumnFormula array="1">Common_InputFunctions.Utility_DisplayArrayInTable(Scope3_SourceData.Scope3_Feed_Data(), Table_SourceData_Scope3_Feed[[#Headers],[Category]], 0, 2)</calculatedColumnFormula>
    </tableColumn>
    <tableColumn id="2" xr3:uid="{3079AC57-4417-4694-AA7C-382617435350}" name="Product" dataDxfId="207" dataCellStyle="Content normal">
      <calculatedColumnFormula array="1">Common_InputFunctions.Utility_DisplayArrayInTable(Scope3_SourceData.Scope3_Feed_Data(), Table_SourceData_Scope3_Feed[[#Headers],[Category]], 0, 2)</calculatedColumnFormula>
    </tableColumn>
    <tableColumn id="3" xr3:uid="{02950A11-7C9A-4360-9DAA-227F0AACF2C2}" name="Region of origin" dataDxfId="206" dataCellStyle="Content normal">
      <calculatedColumnFormula array="1">Common_InputFunctions.Utility_DisplayArrayInTable(Scope3_SourceData.Scope3_Feed_Data(), Table_SourceData_Scope3_Feed[[#Headers],[Category]], 0, 2)</calculatedColumnFormula>
    </tableColumn>
    <tableColumn id="8" xr3:uid="{7AF66C59-5C29-4F23-9CD9-044113CE8719}" name="Quantity Unit" dataDxfId="205" dataCellStyle="Content normal">
      <calculatedColumnFormula array="1">Common_InputFunctions.Utility_DisplayArrayInTable(Scope3_SourceData.Scope3_Feed_Data(), Table_SourceData_Scope3_Feed[[#Headers],[Category]], 0, 2)</calculatedColumnFormula>
    </tableColumn>
    <tableColumn id="9" xr3:uid="{1E6F5618-D571-4A86-B121-4369DDE53933}" name="AusLCI Emissions intensity" dataDxfId="204" dataCellStyle="Content normal">
      <calculatedColumnFormula array="1">Common_InputFunctions.Utility_DisplayArrayInTable(Scope3_SourceData.Scope3_Feed_Data(), Table_SourceData_Scope3_Feed[[#Headers],[Category]], 0, 2)</calculatedColumnFormula>
    </tableColumn>
    <tableColumn id="10" xr3:uid="{8D1B4DDF-7413-4903-9906-924FD3C3871D}" name="System boundary" dataDxfId="203"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63E3EA9-8A07-4451-B13C-B2E34D1107FC}"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5E9DCBD-FE9E-407E-9CA2-76C5A06B4BCC}" name="Category">
      <calculatedColumnFormula array="1">Common_InputFunctions.Utility_DisplayArrayInTable(Scope3_SourceData.Scope3_InorganicFertilisers_Data(), Table_SourceData_Scope3_InorganicFertiliser[[#Headers],[Category]], 0, 2)</calculatedColumnFormula>
    </tableColumn>
    <tableColumn id="2" xr3:uid="{31A6651B-9C1D-4708-81CA-0798520D8A0E}" name="Product">
      <calculatedColumnFormula array="1">Common_InputFunctions.Utility_DisplayArrayInTable(Scope3_SourceData.Scope3_InorganicFertilisers_Data(), Table_SourceData_Scope3_InorganicFertiliser[[#Headers],[Category]], 0, 2)</calculatedColumnFormula>
    </tableColumn>
    <tableColumn id="3" xr3:uid="{2C58CA77-C0DC-4B36-A34A-C79AC6DD22CC}" name="Region of origin">
      <calculatedColumnFormula array="1">Common_InputFunctions.Utility_DisplayArrayInTable(Scope3_SourceData.Scope3_InorganicFertilisers_Data(), Table_SourceData_Scope3_InorganicFertiliser[[#Headers],[Category]], 0, 2)</calculatedColumnFormula>
    </tableColumn>
    <tableColumn id="4" xr3:uid="{F2D06B28-A251-41DF-ACF3-D94ED016D407}" name="Chemical compound"/>
    <tableColumn id="5" xr3:uid="{1CEE260D-E8EE-49EC-83F9-1F1CB3E521E0}" name="Urea source"/>
    <tableColumn id="6" xr3:uid="{BD361A2E-410C-4FE8-A60A-6D9A1A49F3F7}" name="Ammonia source"/>
    <tableColumn id="7" xr3:uid="{D62BB0E0-FBE8-4B54-A872-5D822C520327}" name="Quantity"/>
    <tableColumn id="8" xr3:uid="{6F980A20-5FD7-4338-BEF5-7F20318B529B}" name="Quantity Unit">
      <calculatedColumnFormula array="1">Common_InputFunctions.Utility_DisplayArrayInTable(Scope3_SourceData.Scope3_InorganicFertilisers_Data(), Table_SourceData_Scope3_InorganicFertiliser[[#Headers],[Category]], 0, -2)</calculatedColumnFormula>
    </tableColumn>
    <tableColumn id="9" xr3:uid="{811B6F57-ADC8-4C15-AE79-2DBDCCA68A3D}"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58EC3F9A-CAA5-4F35-910A-CE8B5B479F9F}" name="System boundary" dataDxfId="202"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5DBC8CB9-DB1C-4636-A3C1-71E2547B1640}" name="Table_SourceData_Scope3_Other" displayName="Table_SourceData_Scope3_Other" ref="D201:I209" totalsRowShown="0" dataDxfId="201"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70187F29-07C1-4C9A-81C1-0CA21C11F00F}" name="Category" dataDxfId="200" dataCellStyle="Content normal">
      <calculatedColumnFormula array="1">Common_InputFunctions.Utility_DisplayArrayInTable(Scope3_SourceData.Scope3_Other_Data(), Table_SourceData_Scope3_Other[[#Headers],[Category]], 0, 2)</calculatedColumnFormula>
    </tableColumn>
    <tableColumn id="2" xr3:uid="{315286A7-7EF0-4D39-9196-DA3AF4D3118C}" name="Product" dataDxfId="199" dataCellStyle="Content normal">
      <calculatedColumnFormula array="1">Common_InputFunctions.Utility_DisplayArrayInTable(Scope3_SourceData.Scope3_Other_Data(), Table_SourceData_Scope3_Other[[#Headers],[Category]], 0, 2)</calculatedColumnFormula>
    </tableColumn>
    <tableColumn id="3" xr3:uid="{0EB37BF7-A8E9-441B-91D7-06C932C1CC3A}" name="Region of origin" dataDxfId="198" dataCellStyle="Content normal">
      <calculatedColumnFormula array="1">Common_InputFunctions.Utility_DisplayArrayInTable(Scope3_SourceData.Scope3_Other_Data(), Table_SourceData_Scope3_Other[[#Headers],[Category]], 0, 2)</calculatedColumnFormula>
    </tableColumn>
    <tableColumn id="8" xr3:uid="{3CF48DD7-E5E7-4311-80CA-9517CADE0E97}" name="Quantity Unit" dataDxfId="197" dataCellStyle="Content normal">
      <calculatedColumnFormula array="1">Common_InputFunctions.Utility_DisplayArrayInTable(Scope3_SourceData.Scope3_Other_Data(), Table_SourceData_Scope3_Other[[#Headers],[Category]], 0, 2)</calculatedColumnFormula>
    </tableColumn>
    <tableColumn id="9" xr3:uid="{56179B9E-8DFD-42CA-80F7-1459967B1D67}" name="AusLCI Emissions intensity" dataDxfId="196" dataCellStyle="Content normal">
      <calculatedColumnFormula array="1">Common_InputFunctions.Utility_DisplayArrayInTable(Scope3_SourceData.Scope3_Other_Data(), Table_SourceData_Scope3_Other[[#Headers],[Category]], 0, 2)</calculatedColumnFormula>
    </tableColumn>
    <tableColumn id="10" xr3:uid="{7720C456-BC1F-4F3C-BA41-A3344B57813A}" name="System boundary" dataDxfId="195"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CB7D406-6053-4A08-88C8-58150735B4CA}" name="Table_SourceData_Scope3_Packaging" displayName="Table_SourceData_Scope3_Packaging" ref="D212:I216" totalsRowShown="0" dataDxfId="194"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59B5FDB9-447E-40D4-A937-1422914BB2E7}" name="Category" dataDxfId="193" dataCellStyle="Content normal">
      <calculatedColumnFormula array="1">Common_InputFunctions.Utility_DisplayArrayInTable(Scope3_SourceData.Scope3_Packaging_Data(), Table_SourceData_Scope3_Packaging[[#Headers],[Category]], 0, 2)</calculatedColumnFormula>
    </tableColumn>
    <tableColumn id="2" xr3:uid="{371C465D-BD2F-41A5-B3BA-98C5AC710D67}" name="Product" dataDxfId="192" dataCellStyle="Content normal">
      <calculatedColumnFormula array="1">Common_InputFunctions.Utility_DisplayArrayInTable(Scope3_SourceData.Scope3_Packaging_Data(), Table_SourceData_Scope3_Packaging[[#Headers],[Category]], 0, 2)</calculatedColumnFormula>
    </tableColumn>
    <tableColumn id="3" xr3:uid="{08A60E62-93C7-4321-8725-E8E157BBA127}" name="Region of origin" dataDxfId="191" dataCellStyle="Content normal">
      <calculatedColumnFormula array="1">Common_InputFunctions.Utility_DisplayArrayInTable(Scope3_SourceData.Scope3_Packaging_Data(), Table_SourceData_Scope3_Packaging[[#Headers],[Category]], 0, 2)</calculatedColumnFormula>
    </tableColumn>
    <tableColumn id="8" xr3:uid="{502F865F-9F9A-4B1C-9A9D-0202EFB4CE4A}" name="Quantity Unit" dataDxfId="190" dataCellStyle="Content normal">
      <calculatedColumnFormula array="1">Common_InputFunctions.Utility_DisplayArrayInTable(Scope3_SourceData.Scope3_Packaging_Data(), Table_SourceData_Scope3_Packaging[[#Headers],[Category]], 0, 2)</calculatedColumnFormula>
    </tableColumn>
    <tableColumn id="9" xr3:uid="{00A2C665-116F-4FC1-A222-7F42449BEED1}" name="AusLCI Emissions intensity" dataDxfId="189" dataCellStyle="Content normal">
      <calculatedColumnFormula array="1">Common_InputFunctions.Utility_DisplayArrayInTable(Scope3_SourceData.Scope3_Packaging_Data(), Table_SourceData_Scope3_Packaging[[#Headers],[Category]], 0, 2)</calculatedColumnFormula>
    </tableColumn>
    <tableColumn id="10" xr3:uid="{44162853-19AD-4BCF-9456-86636311F087}" name="System boundary" dataDxfId="188"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5A9D4481-A739-4505-81BE-4E4C6380D99C}" name="Table_SourceData_Scope3_Pesticides" displayName="Table_SourceData_Scope3_Pesticides" ref="D219:I231" totalsRowShown="0" dataDxfId="187"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65CA3C63-118E-470F-8E98-2C4CDDD230A4}" name="Category" dataDxfId="186" dataCellStyle="Content normal">
      <calculatedColumnFormula array="1">Common_InputFunctions.Utility_DisplayArrayInTable(Scope3_SourceData.Scope3_Pesticides_Data(), Table_SourceData_Scope3_Pesticides[[#Headers],[Category]], 0, 2)</calculatedColumnFormula>
    </tableColumn>
    <tableColumn id="2" xr3:uid="{0E6729E9-44C8-4628-81A2-312A28425702}" name="Product" dataDxfId="185" dataCellStyle="Content normal">
      <calculatedColumnFormula array="1">Common_InputFunctions.Utility_DisplayArrayInTable(Scope3_SourceData.Scope3_Pesticides_Data(), Table_SourceData_Scope3_Pesticides[[#Headers],[Category]], 0, 2)</calculatedColumnFormula>
    </tableColumn>
    <tableColumn id="3" xr3:uid="{2A8C723E-845B-4A5B-993F-9EFCD27E70D9}" name="Region of origin" dataDxfId="184" dataCellStyle="Content normal">
      <calculatedColumnFormula array="1">Common_InputFunctions.Utility_DisplayArrayInTable(Scope3_SourceData.Scope3_Pesticides_Data(), Table_SourceData_Scope3_Pesticides[[#Headers],[Category]], 0, 2)</calculatedColumnFormula>
    </tableColumn>
    <tableColumn id="8" xr3:uid="{15BACDD6-50A2-41F6-A639-F7AA06D55F90}" name="Quantity Unit" dataDxfId="183" dataCellStyle="Content normal">
      <calculatedColumnFormula array="1">Common_InputFunctions.Utility_DisplayArrayInTable(Scope3_SourceData.Scope3_Pesticides_Data(), Table_SourceData_Scope3_Pesticides[[#Headers],[Category]], 0, 2)</calculatedColumnFormula>
    </tableColumn>
    <tableColumn id="9" xr3:uid="{58CB1214-AF57-4377-AD5C-2FDF042AB683}" name="AusLCI Emissions intensity" dataDxfId="182" dataCellStyle="Content normal">
      <calculatedColumnFormula array="1">Common_InputFunctions.Utility_DisplayArrayInTable(Scope3_SourceData.Scope3_Pesticides_Data(), Table_SourceData_Scope3_Pesticides[[#Headers],[Category]], 0, 2)</calculatedColumnFormula>
    </tableColumn>
    <tableColumn id="10" xr3:uid="{531AD4C2-2FC3-4967-A2FF-A94DEE2BF15D}" name="System boundary" dataDxfId="181"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FABECAD-EC93-4CB1-87BB-1AE6D52ED466}" name="Table_SourceData_Scope3_SoilAmeliorants" displayName="Table_SourceData_Scope3_SoilAmeliorants" ref="D234:I237" totalsRowShown="0" dataDxfId="180"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0EA046B1-60FB-4AC6-8126-DDE9FAD5F790}" name="Category" dataDxfId="179" dataCellStyle="Content normal">
      <calculatedColumnFormula array="1">Common_InputFunctions.Utility_DisplayArrayInTable(Scope3_SourceData.Scope3_SoilAmendments_Data(), Table_SourceData_Scope3_SoilAmeliorants[[#Headers],[Category]], 0, 2)</calculatedColumnFormula>
    </tableColumn>
    <tableColumn id="2" xr3:uid="{9AE2157E-5462-4CFC-A3FD-BB81E7B2C039}" name="Product" dataDxfId="178" dataCellStyle="Content normal">
      <calculatedColumnFormula array="1">Common_InputFunctions.Utility_DisplayArrayInTable(Scope3_SourceData.Scope3_SoilAmendments_Data(), Table_SourceData_Scope3_SoilAmeliorants[[#Headers],[Category]], 0, 2)</calculatedColumnFormula>
    </tableColumn>
    <tableColumn id="3" xr3:uid="{469322DB-A05B-4305-8316-3066DB905017}" name="Region of origin" dataDxfId="177" dataCellStyle="Content normal">
      <calculatedColumnFormula array="1">Common_InputFunctions.Utility_DisplayArrayInTable(Scope3_SourceData.Scope3_SoilAmendments_Data(), Table_SourceData_Scope3_SoilAmeliorants[[#Headers],[Category]], 0, 2)</calculatedColumnFormula>
    </tableColumn>
    <tableColumn id="8" xr3:uid="{6093272D-5182-474C-85D5-5882495894A0}" name="Quantity Unit" dataDxfId="176" dataCellStyle="Content normal">
      <calculatedColumnFormula array="1">Common_InputFunctions.Utility_DisplayArrayInTable(Scope3_SourceData.Scope3_SoilAmendments_Data(), Table_SourceData_Scope3_SoilAmeliorants[[#Headers],[Category]], 0, 2)</calculatedColumnFormula>
    </tableColumn>
    <tableColumn id="9" xr3:uid="{1B19F7E2-FEC3-4C6D-B541-4A58294802FF}" name="AusLCI Emissions intensity" dataDxfId="175" dataCellStyle="Content normal">
      <calculatedColumnFormula array="1">Common_InputFunctions.Utility_DisplayArrayInTable(Scope3_SourceData.Scope3_SoilAmendments_Data(), Table_SourceData_Scope3_SoilAmeliorants[[#Headers],[Category]], 0, 2)</calculatedColumnFormula>
    </tableColumn>
    <tableColumn id="10" xr3:uid="{244AB323-C695-4F1F-8394-C6510DD37CEA}" name="System boundary" dataDxfId="174"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327D9990-6FF0-4E68-A187-B21815E5B814}" name="Table_SourceData_Scope3_ChemicalsPharmacy" displayName="Table_SourceData_Scope3_ChemicalsPharmacy" ref="D82:I86" totalsRowShown="0" dataDxfId="173"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342FC578-367C-4ED6-8BF7-6BBAFDCDE0CA}" name="Category" dataDxfId="172" dataCellStyle="Content normal">
      <calculatedColumnFormula array="1">Common_InputFunctions.Utility_DisplayArrayInTable(Scope3_SourceData.Scope3_Chemicals_Data(), Table_SourceData_Scope3_ChemicalsPharmacy[[#Headers],[Category]], -3, 2)</calculatedColumnFormula>
    </tableColumn>
    <tableColumn id="2" xr3:uid="{F1F705DA-1589-45C0-96F9-197BD109AB60}" name="Product" dataDxfId="171" dataCellStyle="Content normal">
      <calculatedColumnFormula array="1">Common_InputFunctions.Utility_DisplayArrayInTable(Scope3_SourceData.Scope3_Chemicals_Data(), Table_SourceData_Scope3_ChemicalsPharmacy[[#Headers],[Category]], -3, 2)</calculatedColumnFormula>
    </tableColumn>
    <tableColumn id="3" xr3:uid="{891E908F-DC99-43F9-B299-10F439E7AB57}" name="Region of origin" dataDxfId="170" dataCellStyle="Content normal">
      <calculatedColumnFormula array="1">Common_InputFunctions.Utility_DisplayArrayInTable(Scope3_SourceData.Scope3_Chemicals_Data(), Table_SourceData_Scope3_ChemicalsPharmacy[[#Headers],[Category]], -3, 2)</calculatedColumnFormula>
    </tableColumn>
    <tableColumn id="8" xr3:uid="{09B53465-E5EB-40AF-9B4D-88D71F596FE6}" name="Quantity Unit" dataDxfId="169" dataCellStyle="Content normal">
      <calculatedColumnFormula array="1">Common_InputFunctions.Utility_DisplayArrayInTable(Scope3_SourceData.Scope3_Chemicals_Data(), Table_SourceData_Scope3_ChemicalsPharmacy[[#Headers],[Category]], -3, 2)</calculatedColumnFormula>
    </tableColumn>
    <tableColumn id="9" xr3:uid="{6B35D980-1847-40D0-BD4F-5B7E63EE39D7}" name="AusLCI Emissions intensity" dataDxfId="168" dataCellStyle="Content normal">
      <calculatedColumnFormula array="1">Common_InputFunctions.Utility_DisplayArrayInTable(Scope3_SourceData.Scope3_Chemicals_Data(), Table_SourceData_Scope3_ChemicalsPharmacy[[#Headers],[Category]], -3, 2)</calculatedColumnFormula>
    </tableColumn>
    <tableColumn id="10" xr3:uid="{0985456E-F9ED-429B-BF64-62BB95509533}" name="System boundary" dataDxfId="167"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9170A098-FAF8-4485-A70F-D9C05CF60BB5}" name="Table_SourceData_Scope3_LickBlocks" displayName="Table_SourceData_Scope3_LickBlocks" ref="D167:I170" totalsRowShown="0" headerRowDxfId="166"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AAC72385-6C52-4570-96F5-6F0569DD7729}" name="Category" dataDxfId="165" dataCellStyle="Content normal">
      <calculatedColumnFormula array="1">Common_InputFunctions.Utility_DisplayArrayInTable(Scope3_SourceData.Scope3_Feed_Data(), Table_SourceData_Scope3_LickBlocks[[#Headers],[Category]], -73, 2)</calculatedColumnFormula>
    </tableColumn>
    <tableColumn id="2" xr3:uid="{5B4AF4B1-6B54-44FA-923E-4E3223094D16}" name="Product" dataDxfId="164" dataCellStyle="Content normal">
      <calculatedColumnFormula array="1">Common_InputFunctions.Utility_DisplayArrayInTable(Scope3_SourceData.Scope3_Feed_Data(), Table_SourceData_Scope3_LickBlocks[[#Headers],[Category]], -73, 2)</calculatedColumnFormula>
    </tableColumn>
    <tableColumn id="3" xr3:uid="{5DDBFF9A-6A6C-4280-ACA0-22D6DDA23136}" name="Region of origin" dataDxfId="163" dataCellStyle="Content normal">
      <calculatedColumnFormula array="1">Common_InputFunctions.Utility_DisplayArrayInTable(Scope3_SourceData.Scope3_Feed_Data(), Table_SourceData_Scope3_LickBlocks[[#Headers],[Category]], -73, 2)</calculatedColumnFormula>
    </tableColumn>
    <tableColumn id="4" xr3:uid="{82751419-7DB0-4F44-9CCE-F4039AB91EF6}" name="Quantity Unit" dataDxfId="162" dataCellStyle="Content normal">
      <calculatedColumnFormula array="1">Common_InputFunctions.Utility_DisplayArrayInTable(Scope3_SourceData.Scope3_Feed_Data(), Table_SourceData_Scope3_LickBlocks[[#Headers],[Category]], -73, 2)</calculatedColumnFormula>
    </tableColumn>
    <tableColumn id="5" xr3:uid="{3DEA8A03-011D-4080-8409-60FBB8986644}" name="AusLCI Emissions intensity" dataDxfId="161" dataCellStyle="Content normal">
      <calculatedColumnFormula array="1">Common_InputFunctions.Utility_DisplayArrayInTable(Scope3_SourceData.Scope3_Feed_Data(), Table_SourceData_Scope3_LickBlocks[[#Headers],[Category]], -73, 2)</calculatedColumnFormula>
    </tableColumn>
    <tableColumn id="6" xr3:uid="{041A2760-5032-40CB-B7D0-FADAD1132286}" name="System boundary" dataDxfId="160"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75DBC92C-EB9A-4127-B628-7389CDFB622B}" name="Table_SourceData_Scope3_MixedRations" displayName="Table_SourceData_Scope3_MixedRations" ref="D161:I165" totalsRowShown="0" headerRowDxfId="159"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08643CDD-508D-49EA-8C19-D3C16C46FDB4}" name="Category" dataDxfId="158" dataCellStyle="Content normal">
      <calculatedColumnFormula array="1">Common_InputFunctions.Utility_DisplayArrayInTable(Scope3_SourceData.Scope3_Feed_Data(), Table_SourceData_Scope3_MixedRations[[#Headers],[Category]], -66, 2)</calculatedColumnFormula>
    </tableColumn>
    <tableColumn id="2" xr3:uid="{F923B8AA-9D19-41EE-AD6E-C78D93AFF501}" name="Product" dataDxfId="157" dataCellStyle="Content normal">
      <calculatedColumnFormula array="1">Common_InputFunctions.Utility_DisplayArrayInTable(Scope3_SourceData.Scope3_Feed_Data(), Table_SourceData_Scope3_MixedRations[[#Headers],[Category]], -66, 2)</calculatedColumnFormula>
    </tableColumn>
    <tableColumn id="3" xr3:uid="{6C0FE2C1-05F8-4328-A1FA-8765CBCD692B}" name="Region of origin" dataDxfId="156" dataCellStyle="Content normal">
      <calculatedColumnFormula array="1">Common_InputFunctions.Utility_DisplayArrayInTable(Scope3_SourceData.Scope3_Feed_Data(), Table_SourceData_Scope3_MixedRations[[#Headers],[Category]], -66, 2)</calculatedColumnFormula>
    </tableColumn>
    <tableColumn id="4" xr3:uid="{14906422-33B6-43A2-99D2-17507AECAC9B}" name="Quantity Unit" dataDxfId="155" dataCellStyle="Content normal">
      <calculatedColumnFormula array="1">Common_InputFunctions.Utility_DisplayArrayInTable(Scope3_SourceData.Scope3_Feed_Data(), Table_SourceData_Scope3_MixedRations[[#Headers],[Category]], -66, 2)</calculatedColumnFormula>
    </tableColumn>
    <tableColumn id="5" xr3:uid="{670F9974-31F0-416B-AF0E-4524427515CE}" name="AusLCI Emissions intensity" dataDxfId="154" dataCellStyle="Content normal">
      <calculatedColumnFormula array="1">Common_InputFunctions.Utility_DisplayArrayInTable(Scope3_SourceData.Scope3_Feed_Data(), Table_SourceData_Scope3_MixedRations[[#Headers],[Category]], -66, 2)</calculatedColumnFormula>
    </tableColumn>
    <tableColumn id="6" xr3:uid="{F84C0815-B049-4861-9065-5900274D0A0C}" name="System boundary" dataDxfId="153"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8A8D6495-0E49-418D-99C9-A65F861E74A1}"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30239325-9411-4211-8042-14E3F346526E}" name="Product">
      <calculatedColumnFormula>Table_SourceData_Scope3_Feed[[#This Row],[Product]]</calculatedColumnFormula>
    </tableColumn>
    <tableColumn id="2" xr3:uid="{05286EF0-BAB5-4B06-9CB6-8D21CA5AA346}"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5BD548E5-B1DE-4661-99E4-D085426DBFC3}"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B12A2B48-F41E-4517-B5D9-03149120C8A4}" name="Product">
      <calculatedColumnFormula>Table_SourceData_Scope3_Feed[[#This Row],[Product]]</calculatedColumnFormula>
    </tableColumn>
    <tableColumn id="2" xr3:uid="{CE6C92E5-8DC8-44B7-AC80-A10896B59396}"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77250EC3-0C13-4CD4-A52B-8C93B2B3A7D0}" name="Table_ProductRegions_Maizegrain" displayName="Table_ProductRegions_Maizegrain" ref="K98:L105" totalsRowShown="0" headerRowDxfId="152" headerRowCellStyle="Content normal">
  <autoFilter ref="K98:L105" xr:uid="{70F320A7-5DBE-4A83-91E4-C9B3BDA564BD}">
    <filterColumn colId="0" hiddenButton="1"/>
    <filterColumn colId="1" hiddenButton="1"/>
  </autoFilter>
  <tableColumns count="2">
    <tableColumn id="1" xr3:uid="{2E7FEA5C-8083-47DF-9C99-FCAE1F0E7437}" name="Product">
      <calculatedColumnFormula>Table_SourceData_Scope3_Feed[[#This Row],[Product]]</calculatedColumnFormula>
    </tableColumn>
    <tableColumn id="2" xr3:uid="{28C5AB64-C36A-4A2C-A914-511ED1689F3A}"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495B04B9-E76D-4432-8A8E-091CC6AF857F}" name="Table_ProductRegions_Sorghumgrain" displayName="Table_ProductRegions_Sorghumgrain" ref="N105:O110" totalsRowShown="0" headerRowDxfId="151" headerRowCellStyle="Content normal">
  <autoFilter ref="N105:O110" xr:uid="{90205417-8A77-41A3-A4E2-624BD92B7269}">
    <filterColumn colId="0" hiddenButton="1"/>
    <filterColumn colId="1" hiddenButton="1"/>
  </autoFilter>
  <tableColumns count="2">
    <tableColumn id="1" xr3:uid="{5EABD177-90C3-4A6C-8399-C15121C0C603}" name="Product">
      <calculatedColumnFormula>Table_SourceData_Scope3_Feed[[#This Row],[Product]]</calculatedColumnFormula>
    </tableColumn>
    <tableColumn id="2" xr3:uid="{176AA623-8BA8-4AD9-9975-CE3A2EE789DF}"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4DED84B-5C84-430C-8497-303FB12AD0B0}" name="Table_ProductRegions_Wheatgrain" displayName="Table_ProductRegions_Wheatgrain" ref="K110:L118" totalsRowShown="0" headerRowDxfId="150" headerRowCellStyle="Content normal">
  <autoFilter ref="K110:L118" xr:uid="{9DD7D3AD-59A1-48FC-B80D-99C25A2A79F5}">
    <filterColumn colId="0" hiddenButton="1"/>
    <filterColumn colId="1" hiddenButton="1"/>
  </autoFilter>
  <tableColumns count="2">
    <tableColumn id="1" xr3:uid="{EBDB56AE-4AB0-4E45-A0B2-31AEB2E52EB2}" name="Product">
      <calculatedColumnFormula>Table_SourceData_Scope3_Feed[[#This Row],[Product]]</calculatedColumnFormula>
    </tableColumn>
    <tableColumn id="2" xr3:uid="{7B13DF26-5A04-4F83-A928-63FD63AFA79B}"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AC2E6DF-65FD-44ED-98D5-B0AB41907553}"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425DAFC5-0033-4619-A9B9-959ABCB885DC}" name="Product">
      <calculatedColumnFormula>Table_SourceData_Scope3_Feed[[#This Row],[Product]]</calculatedColumnFormula>
    </tableColumn>
    <tableColumn id="2" xr3:uid="{8D2F5F06-8588-4081-B19C-18000D6EBAD9}"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783EFA1-91D9-445C-B065-914636BD6ECC}"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49283DDF-6540-4C34-BD3B-DDEC479D195B}" name="Product">
      <calculatedColumnFormula>Table_SourceData_Scope3_Feed[[#This Row],[Product]]</calculatedColumnFormula>
    </tableColumn>
    <tableColumn id="2" xr3:uid="{52BB471B-C367-4EE1-9FE9-8584EF13D061}"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3EF8E121-A49F-4BB5-B052-69F9302A008F}"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85B5E34F-477B-411E-9F6D-E7C7CB0DBA9B}" name="Product">
      <calculatedColumnFormula>Table_SourceData_Scope3_Feed[[#This Row],[Product]]</calculatedColumnFormula>
    </tableColumn>
    <tableColumn id="2" xr3:uid="{9E3D766E-E574-49FB-8184-02C2F9BE0C50}"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87AA1D33-E11D-4D46-996E-34CB9D7286A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11D08F3A-2433-4269-838A-F6B2B5645462}" name="Product">
      <calculatedColumnFormula>Table_SourceData_Scope3_Feed[[#This Row],[Product]]</calculatedColumnFormula>
    </tableColumn>
    <tableColumn id="2" xr3:uid="{4D98884F-0451-43D2-B759-889F8FAB0335}"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6CFE1AD3-5147-403F-9A09-827881EEBCF5}"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8CBF5569-3E17-44D9-8DDB-C9E2CF7E7B2A}" name="Product">
      <calculatedColumnFormula>Table_SourceData_Scope3_Feed[[#This Row],[Product]]</calculatedColumnFormula>
    </tableColumn>
    <tableColumn id="2" xr3:uid="{5BF85117-0BDD-4234-AF96-10B74B69B009}"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362DABB9-0DAF-4D50-BDE4-ECAAC096EF4F}" name="Table_ProductRegions_Canolameal" displayName="Table_ProductRegions_Canolameal" ref="K151:L152" totalsRowShown="0" headerRowDxfId="149" headerRowCellStyle="Content normal" dataCellStyle="Content normal">
  <autoFilter ref="K151:L152" xr:uid="{58F78B6F-294E-4D4E-8E3B-BFE4FA85583E}">
    <filterColumn colId="0" hiddenButton="1"/>
    <filterColumn colId="1" hiddenButton="1"/>
  </autoFilter>
  <tableColumns count="2">
    <tableColumn id="1" xr3:uid="{118EB5D1-20A2-4F43-8B31-4BA21E5E9F97}" name="Product" dataCellStyle="Content normal">
      <calculatedColumnFormula>Table_SourceData_Scope3_Feed[[#This Row],[Product]]</calculatedColumnFormula>
    </tableColumn>
    <tableColumn id="2" xr3:uid="{D4560157-F551-4285-9DB4-B3C74E86CDAE}"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D148EB6F-A2B7-4ED8-A8A5-87F30CF9EC1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8D77A443-58CC-4224-9B43-7B13682E8DD1}" name="Product">
      <calculatedColumnFormula>Table_SourceData_Scope3_Feed[[#This Row],[Product]]</calculatedColumnFormula>
    </tableColumn>
    <tableColumn id="2" xr3:uid="{ACE25645-C3AF-439B-9A31-42F6DF2959AA}"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7819F2FD-4B4A-4550-BB9D-4A15EF251EA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518E45A1-3071-41B6-89E1-74D09495CFEB}" name="Product">
      <calculatedColumnFormula>Table_SourceData_Scope3_Feed[[#This Row],[Product]]</calculatedColumnFormula>
    </tableColumn>
    <tableColumn id="2" xr3:uid="{58A6CF68-F86F-4CBC-AD71-A01B4DDDD9CA}"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C1119384-3220-41A1-ABE2-C86933C748F2}"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D45690CA-0721-4A5F-B2F9-DF240ADD5DD6}" name="Product">
      <calculatedColumnFormula>Table_SourceData_Scope3_Feed[[#This Row],[Product]]</calculatedColumnFormula>
    </tableColumn>
    <tableColumn id="2" xr3:uid="{B67E03E2-3A49-4B81-920B-265D7A5B11BB}"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AB79C21A-1624-428E-AC2C-7A563F02BE2F}"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C31294BF-4153-47A2-86C1-CA85D5ACC378}" name="Product">
      <calculatedColumnFormula>Table_SourceData_Scope3_Feed[[#This Row],[Product]]</calculatedColumnFormula>
    </tableColumn>
    <tableColumn id="2" xr3:uid="{03F31F56-121D-4358-A376-E67D61B13C23}"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B6BD3178-9584-4FBF-8A09-0721441552BD}"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03787D9E-13AA-4C56-8F62-7212852C9888}" name="Product">
      <calculatedColumnFormula>Table_SourceData_Scope3_Feed[[#This Row],[Product]]</calculatedColumnFormula>
    </tableColumn>
    <tableColumn id="2" xr3:uid="{7D688D7D-1C69-4F79-9C92-31D71DFE99D5}"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72A02609-B5CF-495B-81D5-2A19D4F5778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5A916145-7189-4144-BE1C-B6A155CB128F}" name="Product">
      <calculatedColumnFormula>Table_SourceData_Scope3_Feed[[#This Row],[Product]]</calculatedColumnFormula>
    </tableColumn>
    <tableColumn id="2" xr3:uid="{B9D6BAFF-67BC-462F-B0DA-87DDBB211F7D}"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6A3D29C0-933F-470B-9D1F-3C24EC7A6AA9}"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7BD42547-B234-46E2-8F65-25634B2CCE1B}" name="Product">
      <calculatedColumnFormula>Table_SourceData_Scope3_Feed[[#This Row],[Product]]</calculatedColumnFormula>
    </tableColumn>
    <tableColumn id="2" xr3:uid="{BDE707F7-0E5F-4C16-BBD9-695998057EE9}"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451FACC7-2D8A-429C-A52D-2F5006F23747}" name="Table_ProductRegions_Beefcattle136" displayName="Table_ProductRegions_Beefcattle136" ref="K33:L49" totalsRowShown="0">
  <autoFilter ref="K33:L49" xr:uid="{77539992-728B-4655-965B-FB28372E4BBC}">
    <filterColumn colId="0" hiddenButton="1"/>
    <filterColumn colId="1" hiddenButton="1"/>
  </autoFilter>
  <tableColumns count="2">
    <tableColumn id="1" xr3:uid="{E7828DB2-29D4-4FA2-8789-0A3C0CE24A71}" name="Region"/>
    <tableColumn id="2" xr3:uid="{E132DD9A-8FCC-4BA0-A057-1C0F13A71C4E}" name="Scope3 regio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1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B5C0130-8C56-4920-AC12-9A8601CC1D07}" name="Description" dataDxfId="112"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8D2A06D8-0789-4023-A763-BE76F3AB3C2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E1FE107-D054-44E4-8EEF-DB69AC22A81F}" name="Description"/>
    <tableColumn id="5" xr3:uid="{28F873EA-9DBF-445D-937E-1DF73659D57F}" name="Treatment type (select)" dataCellStyle="Input select"/>
    <tableColumn id="2" xr3:uid="{E9337B53-9AD7-4C7C-819D-F016D0645808}" name="Waste type (select)" dataCellStyle="Input select"/>
    <tableColumn id="3" xr3:uid="{CC92E4A7-E5B0-48D1-85E2-6EC6FB74B010}" name="Treatment location (select)" dataCellStyle="Input select"/>
    <tableColumn id="4" xr3:uid="{7187B650-BE51-4183-A4C4-76AD61177724}" name="Amount" dataCellStyle="Input number general"/>
    <tableColumn id="7" xr3:uid="{E8A5F29D-DC73-42C2-B322-E30D3ABB1DDC}" name="Amount unit (select)" dataCellStyle="Input select"/>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A3757662-AC89-4C44-8BC0-71036C77EE30}"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F232F681-C2CC-4A31-83FA-F85550A47DC3}"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D75F8D9-8252-4522-92A0-111B5D2AB279}" name="Waste type w"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4BA7C376-CAEB-4991-91C4-307C3F602A39}" name="EFwt" dataDxfId="1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C1679A1-AC1F-47A3-9514-BDF2FD7A0277}" name="EF source" dataDxfId="1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EBA71068-4FE2-4A89-BCF9-8A5C9D2DC24C}"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52F16BF-82CF-4300-BE96-6BE123315A7B}"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979D254B-4E0A-4DE7-B107-6686F23C65D3}" name="VTMw" dataDxfId="10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DB4FC47-880F-4215-BEC9-AADA4C85AAC6}" name="Table_WasteTypes_Landfill" displayName="Table_WasteTypes_Landfill" ref="I16:I27" totalsRowShown="0">
  <autoFilter ref="I16:I27" xr:uid="{99B942E3-1D24-4166-921C-DCC10960718D}">
    <filterColumn colId="0" hiddenButton="1"/>
  </autoFilter>
  <tableColumns count="1">
    <tableColumn id="1" xr3:uid="{42EED62D-ED22-4776-9723-68D9FEED4C71}"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C2E9D7-58FB-4FB5-B9F8-0114A007AD83}" name="Table_WasteTypes_Incineration" displayName="Table_WasteTypes_Incineration" ref="K16:K26" totalsRowShown="0" headerRowDxfId="107" headerRowCellStyle="Content normal" dataCellStyle="Content normal">
  <autoFilter ref="K16:K26" xr:uid="{9A900595-7035-4239-9059-ACC16835BF72}">
    <filterColumn colId="0" hiddenButton="1"/>
  </autoFilter>
  <tableColumns count="1">
    <tableColumn id="1" xr3:uid="{D859263F-B368-4C2E-AA9F-29B61C159760}" name="Waste type w" dataCellStyle="Content normal">
      <calculatedColumnFormula>E29</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754BF85-EB19-4480-8314-05C5B25623C3}" name="Table_WasteTypes_Composting" displayName="Table_WasteTypes_Composting" ref="M16:M21" totalsRowShown="0" headerRowDxfId="106" headerRowCellStyle="Content normal" dataCellStyle="Content normal">
  <autoFilter ref="M16:M21" xr:uid="{5C8D39D3-1330-49EB-B431-1B2B8C8238DC}">
    <filterColumn colId="0" hiddenButton="1"/>
  </autoFilter>
  <tableColumns count="1">
    <tableColumn id="1" xr3:uid="{6626CBA6-7E94-4BB7-891D-BE5581361800}" name="Waste type w" totalsRowDxfId="105" dataCellStyle="Content normal">
      <calculatedColumnFormula>E40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61F7D4A-A875-4557-BA66-D581D7BFA3A8}" name="Table_WasteTypes_Anaerobicdigestion" displayName="Table_WasteTypes_Anaerobicdigestion" ref="O16:O21" totalsRowShown="0" headerRowDxfId="104" headerRowCellStyle="Content normal" dataCellStyle="Content normal">
  <autoFilter ref="O16:O21" xr:uid="{331EC43E-DF68-429F-A2A4-58BFE6216EC3}">
    <filterColumn colId="0" hiddenButton="1"/>
  </autoFilter>
  <tableColumns count="1">
    <tableColumn id="1" xr3:uid="{16B568CB-3D0B-4D89-9A51-2695EAE090A6}" name="Waste type w" totalsRowDxfId="103" dataCellStyle="Content normal">
      <calculatedColumnFormula>E46</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Input"/>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505"/>
    <tableColumn id="6" xr3:uid="{11350DC8-38DD-4ED1-9576-EFE00DF98F4A}" name="Evidence files" dataDxfId="504"/>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Input"/>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503"/>
    <tableColumn id="6" xr3:uid="{AB44CE99-224A-437D-A5B1-932D9C46AAB8}" name="Evidence files" dataDxfId="502"/>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Input"/>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501"/>
    <tableColumn id="6" xr3:uid="{8407DCE3-2C71-4594-89B2-6C5DC5A27F02}" name="Evidence files" dataDxfId="500"/>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Input"/>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99"/>
    <tableColumn id="6" xr3:uid="{4E8DFB0B-42BF-4238-AE47-4694D0ABF414}" name="Evidence files" dataDxfId="498"/>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Input"/>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97"/>
    <tableColumn id="6" xr3:uid="{59BA769D-6DE0-45F8-9AE4-CE630F78ADD3}" name="Evidence files" dataDxfId="496"/>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8.bin"/><Relationship Id="rId4"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25.xml"/><Relationship Id="rId13" Type="http://schemas.openxmlformats.org/officeDocument/2006/relationships/table" Target="../tables/table30.xml"/><Relationship Id="rId18" Type="http://schemas.openxmlformats.org/officeDocument/2006/relationships/table" Target="../tables/table35.xml"/><Relationship Id="rId26" Type="http://schemas.openxmlformats.org/officeDocument/2006/relationships/table" Target="../tables/table43.xml"/><Relationship Id="rId3" Type="http://schemas.openxmlformats.org/officeDocument/2006/relationships/table" Target="../tables/table20.xml"/><Relationship Id="rId21" Type="http://schemas.openxmlformats.org/officeDocument/2006/relationships/table" Target="../tables/table38.xml"/><Relationship Id="rId7" Type="http://schemas.openxmlformats.org/officeDocument/2006/relationships/table" Target="../tables/table24.xml"/><Relationship Id="rId12" Type="http://schemas.openxmlformats.org/officeDocument/2006/relationships/table" Target="../tables/table29.xml"/><Relationship Id="rId17" Type="http://schemas.openxmlformats.org/officeDocument/2006/relationships/table" Target="../tables/table34.xml"/><Relationship Id="rId25" Type="http://schemas.openxmlformats.org/officeDocument/2006/relationships/table" Target="../tables/table42.xml"/><Relationship Id="rId2" Type="http://schemas.openxmlformats.org/officeDocument/2006/relationships/table" Target="../tables/table19.xml"/><Relationship Id="rId16" Type="http://schemas.openxmlformats.org/officeDocument/2006/relationships/table" Target="../tables/table33.xml"/><Relationship Id="rId20" Type="http://schemas.openxmlformats.org/officeDocument/2006/relationships/table" Target="../tables/table37.xml"/><Relationship Id="rId1" Type="http://schemas.openxmlformats.org/officeDocument/2006/relationships/table" Target="../tables/table18.xml"/><Relationship Id="rId6" Type="http://schemas.openxmlformats.org/officeDocument/2006/relationships/table" Target="../tables/table23.xml"/><Relationship Id="rId11" Type="http://schemas.openxmlformats.org/officeDocument/2006/relationships/table" Target="../tables/table28.xml"/><Relationship Id="rId24" Type="http://schemas.openxmlformats.org/officeDocument/2006/relationships/table" Target="../tables/table41.xml"/><Relationship Id="rId5" Type="http://schemas.openxmlformats.org/officeDocument/2006/relationships/table" Target="../tables/table22.xml"/><Relationship Id="rId15" Type="http://schemas.openxmlformats.org/officeDocument/2006/relationships/table" Target="../tables/table32.xml"/><Relationship Id="rId23" Type="http://schemas.openxmlformats.org/officeDocument/2006/relationships/table" Target="../tables/table40.xml"/><Relationship Id="rId10" Type="http://schemas.openxmlformats.org/officeDocument/2006/relationships/table" Target="../tables/table27.xml"/><Relationship Id="rId19" Type="http://schemas.openxmlformats.org/officeDocument/2006/relationships/table" Target="../tables/table36.xml"/><Relationship Id="rId4" Type="http://schemas.openxmlformats.org/officeDocument/2006/relationships/table" Target="../tables/table21.xml"/><Relationship Id="rId9" Type="http://schemas.openxmlformats.org/officeDocument/2006/relationships/table" Target="../tables/table26.xml"/><Relationship Id="rId14" Type="http://schemas.openxmlformats.org/officeDocument/2006/relationships/table" Target="../tables/table31.xml"/><Relationship Id="rId22" Type="http://schemas.openxmlformats.org/officeDocument/2006/relationships/table" Target="../tables/table39.xml"/><Relationship Id="rId27" Type="http://schemas.openxmlformats.org/officeDocument/2006/relationships/table" Target="../tables/table4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51.xml"/><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24.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 Id="rId9" Type="http://schemas.openxmlformats.org/officeDocument/2006/relationships/table" Target="../tables/table52.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25.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60.xml"/><Relationship Id="rId1" Type="http://schemas.openxmlformats.org/officeDocument/2006/relationships/table" Target="../tables/table59.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12" Type="http://schemas.openxmlformats.org/officeDocument/2006/relationships/table" Target="../tables/table71.xml"/><Relationship Id="rId2" Type="http://schemas.openxmlformats.org/officeDocument/2006/relationships/table" Target="../tables/table61.xml"/><Relationship Id="rId1" Type="http://schemas.openxmlformats.org/officeDocument/2006/relationships/printerSettings" Target="../printerSettings/printerSettings26.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41.xml.rels><?xml version="1.0" encoding="UTF-8" standalone="yes"?>
<Relationships xmlns="http://schemas.openxmlformats.org/package/2006/relationships"><Relationship Id="rId3" Type="http://schemas.openxmlformats.org/officeDocument/2006/relationships/table" Target="../tables/table74.xml"/><Relationship Id="rId7" Type="http://schemas.openxmlformats.org/officeDocument/2006/relationships/table" Target="../tables/table78.xml"/><Relationship Id="rId2" Type="http://schemas.openxmlformats.org/officeDocument/2006/relationships/table" Target="../tables/table73.xml"/><Relationship Id="rId1" Type="http://schemas.openxmlformats.org/officeDocument/2006/relationships/table" Target="../tables/table72.xml"/><Relationship Id="rId6" Type="http://schemas.openxmlformats.org/officeDocument/2006/relationships/table" Target="../tables/table77.xml"/><Relationship Id="rId5" Type="http://schemas.openxmlformats.org/officeDocument/2006/relationships/table" Target="../tables/table76.xml"/><Relationship Id="rId4" Type="http://schemas.openxmlformats.org/officeDocument/2006/relationships/table" Target="../tables/table75.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18" Type="http://schemas.openxmlformats.org/officeDocument/2006/relationships/table" Target="../tables/table96.xml"/><Relationship Id="rId26" Type="http://schemas.openxmlformats.org/officeDocument/2006/relationships/table" Target="../tables/table104.xml"/><Relationship Id="rId3" Type="http://schemas.openxmlformats.org/officeDocument/2006/relationships/table" Target="../tables/table81.xml"/><Relationship Id="rId21" Type="http://schemas.openxmlformats.org/officeDocument/2006/relationships/table" Target="../tables/table99.xml"/><Relationship Id="rId7" Type="http://schemas.openxmlformats.org/officeDocument/2006/relationships/table" Target="../tables/table85.xml"/><Relationship Id="rId12" Type="http://schemas.openxmlformats.org/officeDocument/2006/relationships/table" Target="../tables/table90.xml"/><Relationship Id="rId17" Type="http://schemas.openxmlformats.org/officeDocument/2006/relationships/table" Target="../tables/table95.xml"/><Relationship Id="rId25" Type="http://schemas.openxmlformats.org/officeDocument/2006/relationships/table" Target="../tables/table103.xml"/><Relationship Id="rId2" Type="http://schemas.openxmlformats.org/officeDocument/2006/relationships/table" Target="../tables/table80.xml"/><Relationship Id="rId16" Type="http://schemas.openxmlformats.org/officeDocument/2006/relationships/table" Target="../tables/table94.xml"/><Relationship Id="rId20" Type="http://schemas.openxmlformats.org/officeDocument/2006/relationships/table" Target="../tables/table98.xml"/><Relationship Id="rId29" Type="http://schemas.openxmlformats.org/officeDocument/2006/relationships/table" Target="../tables/table107.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24" Type="http://schemas.openxmlformats.org/officeDocument/2006/relationships/table" Target="../tables/table102.xml"/><Relationship Id="rId5" Type="http://schemas.openxmlformats.org/officeDocument/2006/relationships/table" Target="../tables/table83.xml"/><Relationship Id="rId15" Type="http://schemas.openxmlformats.org/officeDocument/2006/relationships/table" Target="../tables/table93.xml"/><Relationship Id="rId23" Type="http://schemas.openxmlformats.org/officeDocument/2006/relationships/table" Target="../tables/table101.xml"/><Relationship Id="rId28" Type="http://schemas.openxmlformats.org/officeDocument/2006/relationships/table" Target="../tables/table106.xml"/><Relationship Id="rId10" Type="http://schemas.openxmlformats.org/officeDocument/2006/relationships/table" Target="../tables/table88.xml"/><Relationship Id="rId19" Type="http://schemas.openxmlformats.org/officeDocument/2006/relationships/table" Target="../tables/table97.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 Id="rId22" Type="http://schemas.openxmlformats.org/officeDocument/2006/relationships/table" Target="../tables/table100.xml"/><Relationship Id="rId27" Type="http://schemas.openxmlformats.org/officeDocument/2006/relationships/table" Target="../tables/table105.xml"/><Relationship Id="rId30" Type="http://schemas.openxmlformats.org/officeDocument/2006/relationships/table" Target="../tables/table108.xml"/></Relationships>
</file>

<file path=xl/worksheets/_rels/sheet43.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printerSettings" Target="../printerSettings/printerSettings27.bin"/><Relationship Id="rId6" Type="http://schemas.openxmlformats.org/officeDocument/2006/relationships/table" Target="../tables/table113.xml"/><Relationship Id="rId11" Type="http://schemas.openxmlformats.org/officeDocument/2006/relationships/table" Target="../tables/table118.xml"/><Relationship Id="rId5" Type="http://schemas.openxmlformats.org/officeDocument/2006/relationships/table" Target="../tables/table112.xml"/><Relationship Id="rId15" Type="http://schemas.openxmlformats.org/officeDocument/2006/relationships/table" Target="../tables/table122.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s>
</file>

<file path=xl/worksheets/_rels/sheet45.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printerSettings" Target="../printerSettings/printerSettings2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8.xml.rels><?xml version="1.0" encoding="UTF-8" standalone="yes"?>
<Relationships xmlns="http://schemas.openxmlformats.org/package/2006/relationships"><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31.bin"/><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50.xml.rels><?xml version="1.0" encoding="UTF-8" standalone="yes"?>
<Relationships xmlns="http://schemas.openxmlformats.org/package/2006/relationships"><Relationship Id="rId3" Type="http://schemas.openxmlformats.org/officeDocument/2006/relationships/table" Target="../tables/table139.xml"/><Relationship Id="rId2" Type="http://schemas.openxmlformats.org/officeDocument/2006/relationships/table" Target="../tables/table138.xml"/><Relationship Id="rId1" Type="http://schemas.openxmlformats.org/officeDocument/2006/relationships/table" Target="../tables/table137.xml"/><Relationship Id="rId5" Type="http://schemas.openxmlformats.org/officeDocument/2006/relationships/table" Target="../tables/table141.xml"/><Relationship Id="rId4" Type="http://schemas.openxmlformats.org/officeDocument/2006/relationships/table" Target="../tables/table1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1"/>
  <sheetViews>
    <sheetView workbookViewId="0" zoomScale="100" zoomScaleNormal="100">
      <selection activeCell="A61" sqref="A61"/>
    </sheetView>
  </sheetViews>
  <sheetFormatPr defaultRowHeight="15" x14ac:dyDescent="0.25"/>
  <sheetData>
    <row r="1" spans="1:1" ht="25.5" x14ac:dyDescent="0.35">
      <c r="A1" s="16" t="e" vm="1">
        <v>#VALUE!</v>
      </c>
    </row>
    <row r="3" spans="1:1" ht="15.75" x14ac:dyDescent="0.25">
      <c r="A3" s="274"/>
    </row>
    <row r="4" spans="1:1" ht="15.75" x14ac:dyDescent="0.25">
      <c r="A4" s="5"/>
    </row>
    <row r="5" spans="1:1" ht="15.75" x14ac:dyDescent="0.25">
      <c r="A5" s="5"/>
    </row>
    <row r="8" spans="1:1" x14ac:dyDescent="0.25">
      <c r="A8" s="7"/>
    </row>
    <row r="9" spans="1:1" ht="15.75" x14ac:dyDescent="0.25">
      <c r="A9" s="5"/>
    </row>
    <row r="10" spans="1:1" ht="15.75" x14ac:dyDescent="0.25">
      <c r="A10" s="5"/>
    </row>
    <row r="11" spans="1:1" ht="15.75" x14ac:dyDescent="0.25">
      <c r="A11" s="5"/>
    </row>
    <row r="12" spans="1:1" ht="15.75" x14ac:dyDescent="0.25">
      <c r="A12" s="5"/>
    </row>
    <row r="13" spans="1:1" ht="15.75" x14ac:dyDescent="0.25">
      <c r="A13" s="5"/>
    </row>
    <row r="14" spans="1:1" ht="15.75" x14ac:dyDescent="0.25">
      <c r="A14" s="5"/>
    </row>
    <row r="15" spans="1:1" ht="15.75" x14ac:dyDescent="0.25">
      <c r="A15" s="5"/>
    </row>
    <row r="16" spans="1:1" ht="15.75" x14ac:dyDescent="0.25">
      <c r="A16" s="5"/>
    </row>
    <row r="17" spans="1:1" ht="15.75" x14ac:dyDescent="0.25">
      <c r="A17" s="5"/>
    </row>
    <row r="18" spans="1:1" ht="15.75" x14ac:dyDescent="0.25">
      <c r="A18" s="5"/>
    </row>
    <row r="19" spans="1:1" ht="15.75" x14ac:dyDescent="0.25">
      <c r="A19" s="5"/>
    </row>
    <row r="20" spans="1:1" ht="15.75" x14ac:dyDescent="0.25">
      <c r="A20" s="5"/>
    </row>
    <row r="21" spans="1:1" ht="15.75" x14ac:dyDescent="0.25">
      <c r="A21" s="5"/>
    </row>
    <row r="22" spans="1:1" ht="15.75" x14ac:dyDescent="0.25">
      <c r="A22" s="5"/>
    </row>
    <row r="23" spans="1:1" ht="15.75" x14ac:dyDescent="0.25">
      <c r="A23" s="5"/>
    </row>
    <row r="24" spans="1:1" ht="15.75" x14ac:dyDescent="0.25">
      <c r="A24" s="5"/>
    </row>
    <row r="25" spans="1:1" ht="15.75" x14ac:dyDescent="0.25">
      <c r="A25" s="5"/>
    </row>
    <row r="26" spans="1:1" ht="15.75" x14ac:dyDescent="0.25">
      <c r="A26" s="5"/>
    </row>
    <row r="29" spans="1:1" x14ac:dyDescent="0.25">
      <c r="A29" s="6"/>
    </row>
    <row r="30" spans="1:1" ht="15.75" x14ac:dyDescent="0.25">
      <c r="A30" s="5"/>
    </row>
    <row r="31" spans="1:1" ht="15.75" x14ac:dyDescent="0.25">
      <c r="A31" s="5"/>
    </row>
    <row r="32" spans="1:1" ht="15.75" x14ac:dyDescent="0.25">
      <c r="A32" s="5"/>
    </row>
    <row r="33" spans="1:1" ht="15.75" x14ac:dyDescent="0.25">
      <c r="A33" s="5"/>
    </row>
    <row r="34" spans="1:1" ht="15.75" x14ac:dyDescent="0.25">
      <c r="A34" s="5"/>
    </row>
    <row r="35" spans="1:1" ht="15.75" x14ac:dyDescent="0.25">
      <c r="A35" s="5"/>
    </row>
    <row r="36" spans="1:1" ht="15.75" x14ac:dyDescent="0.25">
      <c r="A36" s="5"/>
    </row>
    <row r="37" spans="1:1" ht="15.75" x14ac:dyDescent="0.25">
      <c r="A37" s="5"/>
    </row>
    <row r="38" spans="1:1" ht="15.75" x14ac:dyDescent="0.25">
      <c r="A38" s="5"/>
    </row>
    <row r="39" spans="1:1" ht="15.75" x14ac:dyDescent="0.25">
      <c r="A39" s="5"/>
    </row>
    <row r="40" spans="1:1" ht="15.75" x14ac:dyDescent="0.25">
      <c r="A40" s="5"/>
    </row>
    <row r="41" spans="1:1" ht="15.75" x14ac:dyDescent="0.25">
      <c r="A41" s="5"/>
    </row>
    <row r="42" spans="1:1" ht="15.75" x14ac:dyDescent="0.25">
      <c r="A42" s="5"/>
    </row>
    <row r="43" spans="1:1" ht="15.75" x14ac:dyDescent="0.25">
      <c r="A43" s="5"/>
    </row>
    <row r="44" spans="1:1" ht="15.75" x14ac:dyDescent="0.25">
      <c r="A44" s="5"/>
    </row>
    <row r="45" spans="1:1" ht="15.75" x14ac:dyDescent="0.25">
      <c r="A45" s="5"/>
    </row>
    <row r="46" spans="1:1" ht="15.75" x14ac:dyDescent="0.25">
      <c r="A46" s="5"/>
    </row>
    <row r="47" spans="1:1" ht="15.75" x14ac:dyDescent="0.25">
      <c r="A47" s="5"/>
    </row>
    <row r="48" spans="1:1" ht="15.75" x14ac:dyDescent="0.25">
      <c r="A48" s="5"/>
    </row>
    <row r="51" spans="1:1" x14ac:dyDescent="0.25">
      <c r="A51" s="100"/>
    </row>
    <row r="52" spans="1:1" ht="15.75" x14ac:dyDescent="0.25">
      <c r="A52" s="5"/>
    </row>
    <row r="53" spans="1:1" ht="15.75" x14ac:dyDescent="0.25">
      <c r="A53" s="5"/>
    </row>
    <row r="54" spans="1:1" ht="15.75" x14ac:dyDescent="0.25">
      <c r="A54" s="5"/>
    </row>
    <row r="55" spans="1:1" ht="15.75" x14ac:dyDescent="0.25">
      <c r="A55" s="5"/>
    </row>
    <row r="56" spans="1:1" ht="15.75" x14ac:dyDescent="0.25">
      <c r="A56" s="5"/>
    </row>
    <row r="57" spans="1:1" ht="15.75" x14ac:dyDescent="0.25">
      <c r="A57" s="5"/>
    </row>
    <row r="58" spans="1:1" ht="15.75" x14ac:dyDescent="0.25">
      <c r="A58" s="5"/>
    </row>
    <row r="59" spans="1:1" ht="15.75" x14ac:dyDescent="0.25">
      <c r="A59" s="5"/>
    </row>
    <row r="60" spans="1:1" ht="15.75" x14ac:dyDescent="0.25">
      <c r="A60" s="5"/>
    </row>
    <row r="61" spans="1:1" ht="15.75" x14ac:dyDescent="0.25">
      <c r="A61"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workbookViewId="0" zoomScale="100" zoomScaleNormal="100">
      <selection activeCell="A61" sqref="A6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183</v>
      </c>
    </row>
    <row r="2" spans="1:11" ht="20.100000000000001" customHeight="1" x14ac:dyDescent="0.25">
      <c r="C2" s="3"/>
    </row>
    <row r="3" spans="1:11" ht="20.100000000000001" customHeight="1" x14ac:dyDescent="0.25">
      <c r="A3" s="5"/>
      <c r="C3" s="8"/>
      <c r="D3" s="8"/>
      <c r="E3" s="8"/>
      <c r="F3" s="8"/>
      <c r="G3" s="8"/>
      <c r="H3" s="8"/>
      <c r="I3" s="8"/>
      <c r="J3" s="8"/>
      <c r="K3" s="8"/>
    </row>
    <row r="4" spans="1:11" ht="20.100000000000001" customHeight="1" x14ac:dyDescent="0.25">
      <c r="A4" s="5"/>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4"/>
      <c r="C5" s="8"/>
      <c r="D5" s="12"/>
      <c r="E5" s="13"/>
      <c r="F5" s="13"/>
      <c r="G5" s="13"/>
      <c r="H5" s="10"/>
      <c r="I5" s="8"/>
      <c r="J5" s="8"/>
      <c r="K5" s="8"/>
    </row>
    <row r="6" spans="1:11" ht="20.100000000000001" customHeight="1" x14ac:dyDescent="0.25">
      <c r="C6" s="8"/>
      <c r="D6" s="20" t="s">
        <v>0</v>
      </c>
      <c r="E6" s="20" t="s">
        <v>5</v>
      </c>
      <c r="F6" s="20" t="s">
        <v>6</v>
      </c>
      <c r="G6" s="20" t="s">
        <v>2</v>
      </c>
      <c r="H6" s="20" t="s">
        <v>7</v>
      </c>
      <c r="I6" s="20" t="s">
        <v>8</v>
      </c>
      <c r="J6" s="2"/>
      <c r="K6" s="8"/>
    </row>
    <row r="7" spans="1:11" ht="20.100000000000001" customHeight="1" x14ac:dyDescent="0.25">
      <c r="C7" s="8"/>
      <c r="D7" s="1" t="s">
        <v>151</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3</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4</v>
      </c>
      <c r="K7" s="8"/>
    </row>
    <row r="8" spans="1:11" ht="20.100000000000001" customHeight="1" x14ac:dyDescent="0.25">
      <c r="A8" s="7"/>
      <c r="C8" s="8"/>
      <c r="D8" s="1" t="s">
        <v>9</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3</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4</v>
      </c>
      <c r="K8" s="8"/>
    </row>
    <row r="9" spans="1:11" ht="20.100000000000001" customHeight="1" x14ac:dyDescent="0.25">
      <c r="A9" s="5"/>
      <c r="C9" s="8"/>
      <c r="D9" s="1" t="s">
        <v>11</v>
      </c>
      <c r="E9" s="18" cm="1">
        <f t="array" aca="1" ref="E9" ca="1">VEERG_4_2_1_3__1_DirectNitrousOxideEmissionsOnPasture_Result_Method1</f>
        <v>0.19011252663030423</v>
      </c>
      <c r="F9" s="18" cm="1">
        <f t="array" aca="1" ref="F9" ca="1">VEERG_4_2_1_3__1_DirectNitrousOxideEmissionsOnPasture_Result_Method2</f>
        <v>0.18424525527410571</v>
      </c>
      <c r="G9" s="15" t="s">
        <v>10</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4</v>
      </c>
      <c r="K9" s="8"/>
    </row>
    <row r="10" spans="1:11" ht="20.100000000000001" customHeight="1" x14ac:dyDescent="0.25">
      <c r="A10" s="5"/>
      <c r="C10" s="8"/>
      <c r="D10" s="1" t="s">
        <v>12</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10</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4</v>
      </c>
      <c r="K10" s="8"/>
    </row>
    <row r="11" spans="1:11" ht="20.100000000000001" customHeight="1" x14ac:dyDescent="0.25">
      <c r="A11" s="5"/>
      <c r="C11" s="8"/>
      <c r="D11" s="1" t="s">
        <v>13</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10</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4</v>
      </c>
      <c r="K11" s="8"/>
    </row>
    <row r="12" spans="1:11" ht="20.100000000000001" customHeight="1" x14ac:dyDescent="0.25">
      <c r="A12" s="5"/>
      <c r="C12" s="8"/>
      <c r="D12" s="1" t="s">
        <v>152</v>
      </c>
      <c r="E12" s="18" cm="1">
        <f t="array" ref="E12">VEERG_5_1_1_1__1_InorganicFertiliserApplicationN2OEmissions_Result_Method1</f>
        <v>1.6950488729428572</v>
      </c>
      <c r="F12" s="18" cm="1">
        <f t="array" ref="F12">VEERG_5_1_1_1__1_InorganicFertiliserApplicationN2OEmissions_Result_Method2</f>
        <v>1.6950489285714285</v>
      </c>
      <c r="G12" s="15" t="s">
        <v>10</v>
      </c>
      <c r="H12" s="18" cm="1">
        <f t="array" ref="H12">Common_Equations.Common_ConvertN2OToCO2e(E12,_xlfn.XLOOKUP("N2O", Table_GWPData[Gas],Table_GWPData[CO2-e factor]))</f>
        <v>449.18795132985719</v>
      </c>
      <c r="I12" s="18" cm="1">
        <f t="array" ref="I12">Common_Equations.Common_ConvertN2OToCO2e(F12,_xlfn.XLOOKUP("N2O", Table_GWPData[Gas],Table_GWPData[CO2-e factor]))</f>
        <v>449.18796607142855</v>
      </c>
      <c r="J12" s="15" t="s">
        <v>4</v>
      </c>
      <c r="K12" s="8"/>
    </row>
    <row r="13" spans="1:11" ht="20.100000000000001" customHeight="1" x14ac:dyDescent="0.25">
      <c r="A13" s="5"/>
      <c r="C13" s="8"/>
      <c r="D13" s="1" t="s">
        <v>153</v>
      </c>
      <c r="E13" s="18" cm="1">
        <f t="array" ref="E13">VEERG_5_1_1_3__1_InorganicFertiliserApplicationCO2Emissions_Result_Method1</f>
        <v>184.92752666666664</v>
      </c>
      <c r="F13" s="18">
        <f>E13</f>
        <v>184.92752666666664</v>
      </c>
      <c r="G13" s="15" t="s">
        <v>141</v>
      </c>
      <c r="H13" s="18">
        <f>E13</f>
        <v>184.92752666666664</v>
      </c>
      <c r="I13" s="18">
        <f>F13</f>
        <v>184.92752666666664</v>
      </c>
      <c r="J13" s="15" t="s">
        <v>4</v>
      </c>
      <c r="K13" s="8"/>
    </row>
    <row r="14" spans="1:11" ht="20.100000000000001" customHeight="1" x14ac:dyDescent="0.25">
      <c r="A14" s="5"/>
      <c r="C14" s="8"/>
      <c r="D14" s="1" t="s">
        <v>154</v>
      </c>
      <c r="E14" s="18" cm="1">
        <f t="array" ref="E14">VEERG_5_2_1_1__2_MassOfNitrogenInOrganicFertiliser_Result_Method1</f>
        <v>5.5785714285714286E-2</v>
      </c>
      <c r="F14" s="18">
        <f>E14</f>
        <v>5.5785714285714286E-2</v>
      </c>
      <c r="G14" s="15" t="s">
        <v>10</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4</v>
      </c>
      <c r="K14" s="8"/>
    </row>
    <row r="15" spans="1:11" ht="20.100000000000001" customHeight="1" x14ac:dyDescent="0.25">
      <c r="A15" s="5"/>
      <c r="C15" s="8"/>
      <c r="D15" s="1" t="s">
        <v>155</v>
      </c>
      <c r="E15" s="18" cm="1">
        <f t="array" ref="E15">VEERG_5_3_1_1__1_LimeApplicationCO2Emissions_Result_Method1</f>
        <v>758.08333333333326</v>
      </c>
      <c r="F15" s="18">
        <f>E15</f>
        <v>758.08333333333326</v>
      </c>
      <c r="G15" s="15" t="s">
        <v>141</v>
      </c>
      <c r="H15" s="18">
        <f>E15</f>
        <v>758.08333333333326</v>
      </c>
      <c r="I15" s="18">
        <f>F15</f>
        <v>758.08333333333326</v>
      </c>
      <c r="J15" s="15" t="s">
        <v>4</v>
      </c>
      <c r="K15" s="8"/>
    </row>
    <row r="16" spans="1:11" ht="20.100000000000001" customHeight="1" x14ac:dyDescent="0.25">
      <c r="A16" s="5"/>
      <c r="C16" s="8"/>
      <c r="D16" s="1" t="s">
        <v>156</v>
      </c>
      <c r="E16" s="18" cm="1">
        <f t="array" ref="E16">VEERG_5_4_1_3__1_OrganicFertiliserAtmosphericDepositionN2OEmissions_Result_Method1</f>
        <v>1.38237E-2</v>
      </c>
      <c r="F16" s="18">
        <f>E16</f>
        <v>1.38237E-2</v>
      </c>
      <c r="G16" s="15" t="s">
        <v>10</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4</v>
      </c>
      <c r="K16" s="8"/>
    </row>
    <row r="17" spans="1:11" ht="20.100000000000001" customHeight="1" x14ac:dyDescent="0.25">
      <c r="A17" s="5"/>
      <c r="C17" s="8"/>
      <c r="D17" s="1" t="s">
        <v>157</v>
      </c>
      <c r="E17" s="18" cm="1">
        <f t="array" ref="E17">VEERG_5_5_1_1__1_FertiliserLeachingAndRunoffN2OEmissions_result_Method1</f>
        <v>0.78791740368000007</v>
      </c>
      <c r="F17" s="18">
        <f>E17</f>
        <v>0.78791740368000007</v>
      </c>
      <c r="G17" s="15" t="s">
        <v>10</v>
      </c>
      <c r="H17" s="18" cm="1">
        <f t="array" ref="H17">Common_Equations.Common_ConvertN2OToCO2e(E17,_xlfn.XLOOKUP("N2O", Table_GWPData[Gas],Table_GWPData[CO2-e factor]))</f>
        <v>208.79811197520002</v>
      </c>
      <c r="I17" s="18" cm="1">
        <f t="array" ref="I17">Common_Equations.Common_ConvertN2OToCO2e(F17,_xlfn.XLOOKUP("N2O", Table_GWPData[Gas],Table_GWPData[CO2-e factor]))</f>
        <v>208.79811197520002</v>
      </c>
      <c r="J17" s="15" t="s">
        <v>4</v>
      </c>
      <c r="K17" s="8"/>
    </row>
    <row r="18" spans="1:11" ht="20.100000000000001" customHeight="1" x14ac:dyDescent="0.25">
      <c r="A18" s="5"/>
      <c r="C18" s="8"/>
      <c r="D18" s="1" t="s">
        <v>158</v>
      </c>
      <c r="E18" s="18" cm="1">
        <f t="array" ref="E18">VEERG_6_2_1_1__1__NitrousOxideEmissionsFromPastureResidues_Result_Method1</f>
        <v>5.8320428571428569E-7</v>
      </c>
      <c r="F18" s="18" cm="1">
        <f t="array" ref="F18">VEERG_6_2_1_1__1__NitrousOxideEmissionsFromPastureResidues_Result_Method2</f>
        <v>5.8320428571428569E-7</v>
      </c>
      <c r="G18" s="15" t="s">
        <v>10</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4</v>
      </c>
      <c r="K18" s="8"/>
    </row>
    <row r="19" spans="1:11" ht="20.100000000000001" customHeight="1" x14ac:dyDescent="0.25">
      <c r="A19" s="5"/>
      <c r="C19" s="8"/>
      <c r="D19" s="1" t="s">
        <v>159</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10</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4</v>
      </c>
      <c r="K19" s="8"/>
    </row>
    <row r="20" spans="1:11" ht="20.100000000000001" customHeight="1" x14ac:dyDescent="0.25">
      <c r="A20" s="5"/>
      <c r="C20" s="8"/>
      <c r="D20" s="1" t="s">
        <v>160</v>
      </c>
      <c r="E20" s="18" cm="1">
        <f t="array" ref="E20">VEERG_8_1_1_1__1_FuelCombustionTransport_Result_CO2</f>
        <v>83.182000000000002</v>
      </c>
      <c r="F20" s="18">
        <f>E20</f>
        <v>83.182000000000002</v>
      </c>
      <c r="G20" s="15" t="s">
        <v>141</v>
      </c>
      <c r="H20" s="18">
        <f>E20</f>
        <v>83.182000000000002</v>
      </c>
      <c r="I20" s="18">
        <f>F20</f>
        <v>83.182000000000002</v>
      </c>
      <c r="J20" s="15" t="s">
        <v>4</v>
      </c>
      <c r="K20" s="8"/>
    </row>
    <row r="21" spans="1:11" ht="20.100000000000001" customHeight="1" x14ac:dyDescent="0.25">
      <c r="A21" s="5"/>
      <c r="C21" s="8"/>
      <c r="D21" s="1" t="s">
        <v>162</v>
      </c>
      <c r="E21" s="18" cm="1">
        <f t="array" ref="E21">VEERG_8_1_1_1__1_FuelCombustionTransport_Result_CH4</f>
        <v>0.19906000000000001</v>
      </c>
      <c r="F21" s="18">
        <f>E21</f>
        <v>0.19906000000000001</v>
      </c>
      <c r="G21" s="15" t="s">
        <v>3</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4</v>
      </c>
      <c r="K21" s="8"/>
    </row>
    <row r="22" spans="1:11" ht="20.100000000000001" customHeight="1" x14ac:dyDescent="0.25">
      <c r="A22" s="5"/>
      <c r="C22" s="8"/>
      <c r="D22" s="1" t="s">
        <v>161</v>
      </c>
      <c r="E22" s="18" cm="1">
        <f t="array" ref="E22">VEERG_8_1_1_1__1_FuelCombustionTransport_Result_N2O</f>
        <v>0.58450000000000002</v>
      </c>
      <c r="F22" s="18">
        <f>E22</f>
        <v>0.58450000000000002</v>
      </c>
      <c r="G22" s="15" t="s">
        <v>10</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4</v>
      </c>
      <c r="K22" s="8"/>
    </row>
    <row r="23" spans="1:11" ht="20.100000000000001" customHeight="1" x14ac:dyDescent="0.25">
      <c r="A23" s="5"/>
      <c r="C23" s="8"/>
      <c r="D23" s="1" t="s">
        <v>163</v>
      </c>
      <c r="E23" s="18" cm="1">
        <f t="array" ref="E23">VEERG_8_2_1_1__1_FuelCombustionStationary_Result_CO2</f>
        <v>29.070800000000002</v>
      </c>
      <c r="F23" s="18">
        <f>E23</f>
        <v>29.070800000000002</v>
      </c>
      <c r="G23" s="15" t="s">
        <v>141</v>
      </c>
      <c r="H23" s="18">
        <f>E23</f>
        <v>29.070800000000002</v>
      </c>
      <c r="I23" s="18">
        <f>F23</f>
        <v>29.070800000000002</v>
      </c>
      <c r="J23" s="15" t="s">
        <v>4</v>
      </c>
      <c r="K23" s="8"/>
    </row>
    <row r="24" spans="1:11" ht="20.100000000000001" customHeight="1" x14ac:dyDescent="0.25">
      <c r="A24" s="5"/>
      <c r="C24" s="8"/>
      <c r="D24" s="1" t="s">
        <v>164</v>
      </c>
      <c r="E24" s="18" cm="1">
        <f t="array" ref="E24">VEERG_8_2_1_1__1_FuelCombustionStationary_Result_CH4</f>
        <v>7.2400000000000006E-2</v>
      </c>
      <c r="F24" s="18">
        <f t="shared" ref="F24:F27" si="0">E24</f>
        <v>7.2400000000000006E-2</v>
      </c>
      <c r="G24" s="15" t="s">
        <v>3</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4</v>
      </c>
      <c r="K24" s="8"/>
    </row>
    <row r="25" spans="1:11" ht="20.100000000000001" customHeight="1" x14ac:dyDescent="0.25">
      <c r="A25" s="5"/>
      <c r="C25" s="8"/>
      <c r="D25" s="1" t="s">
        <v>165</v>
      </c>
      <c r="E25" s="18" cm="1">
        <f t="array" ref="E25">VEERG_8_2_1_1__1_FuelCombustionStationary_Result_N2O</f>
        <v>7.1400000000000005E-2</v>
      </c>
      <c r="F25" s="18">
        <f t="shared" si="0"/>
        <v>7.1400000000000005E-2</v>
      </c>
      <c r="G25" s="15" t="s">
        <v>10</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4</v>
      </c>
      <c r="K25" s="8"/>
    </row>
    <row r="26" spans="1:11" ht="20.100000000000001" customHeight="1" x14ac:dyDescent="0.25">
      <c r="A26" s="5"/>
      <c r="C26" s="8"/>
      <c r="D26" s="1" t="s">
        <v>166</v>
      </c>
      <c r="E26" s="18" cm="1">
        <f t="array" ref="E26">VEERG_14_1_1__1_LocationBasedScopeElectricityEmissions_Result_Method1</f>
        <v>16.8</v>
      </c>
      <c r="F26" s="18">
        <f t="shared" si="0"/>
        <v>16.8</v>
      </c>
      <c r="G26" s="15" t="s">
        <v>4</v>
      </c>
      <c r="H26" s="18">
        <f>E26</f>
        <v>16.8</v>
      </c>
      <c r="I26" s="18">
        <f>F26</f>
        <v>16.8</v>
      </c>
      <c r="J26" s="15" t="s">
        <v>4</v>
      </c>
      <c r="K26" s="8"/>
    </row>
    <row r="27" spans="1:11" ht="20.100000000000001" customHeight="1" x14ac:dyDescent="0.25">
      <c r="C27" s="8"/>
      <c r="D27" s="1" t="s">
        <v>167</v>
      </c>
      <c r="E27" s="18" cm="1">
        <f t="array" ref="E27">VEERG_14_1_2__1_MarketBasedScopeElectricityEmissionsVariation_Result_Method1</f>
        <v>14.580000000000002</v>
      </c>
      <c r="F27" s="18">
        <f t="shared" si="0"/>
        <v>14.580000000000002</v>
      </c>
      <c r="G27" s="15" t="s">
        <v>4</v>
      </c>
      <c r="H27" s="18">
        <f>E27</f>
        <v>14.580000000000002</v>
      </c>
      <c r="I27" s="18">
        <f>F27</f>
        <v>14.580000000000002</v>
      </c>
      <c r="J27" s="15" t="s">
        <v>4</v>
      </c>
      <c r="K27" s="8"/>
    </row>
    <row r="28" spans="1:11" ht="20.100000000000001" customHeight="1" x14ac:dyDescent="0.3">
      <c r="C28" s="8"/>
      <c r="D28" s="14" t="s">
        <v>1</v>
      </c>
      <c r="E28" s="9"/>
      <c r="F28" s="9"/>
      <c r="G28" s="14"/>
      <c r="H28" s="19">
        <f ca="1">SUM(H7:H27)</f>
        <v>3646.0794547026085</v>
      </c>
      <c r="I28" s="19">
        <f ca="1">SUM(I7:I27)</f>
        <v>636713.10381237033</v>
      </c>
      <c r="J28" s="15" t="s">
        <v>4</v>
      </c>
      <c r="K28" s="8"/>
    </row>
    <row r="29" spans="1:11" ht="20.100000000000001" customHeight="1" x14ac:dyDescent="0.3">
      <c r="A29" s="6"/>
      <c r="C29" s="8"/>
      <c r="D29" s="1"/>
      <c r="E29" s="1"/>
      <c r="F29" s="1"/>
      <c r="G29" s="1"/>
      <c r="H29" s="13"/>
      <c r="I29" s="8"/>
      <c r="J29" s="8"/>
      <c r="K29" s="8"/>
    </row>
    <row r="30" spans="1:11" ht="20.100000000000001" customHeight="1" x14ac:dyDescent="0.3">
      <c r="A30" s="5"/>
      <c r="C30" s="8"/>
      <c r="D30" s="1"/>
      <c r="E30" s="1"/>
      <c r="F30" s="1"/>
      <c r="G30" s="1"/>
      <c r="H30" s="13"/>
      <c r="I30" s="8"/>
      <c r="J30" s="8"/>
      <c r="K30" s="8"/>
    </row>
    <row r="31" spans="1:11" ht="20.100000000000001" customHeight="1" x14ac:dyDescent="0.3">
      <c r="A31" s="5"/>
      <c r="C31" s="8"/>
      <c r="D31" s="1"/>
      <c r="E31" s="1"/>
      <c r="F31" s="1"/>
      <c r="G31" s="1"/>
      <c r="H31" s="13"/>
      <c r="I31" s="8"/>
      <c r="J31" s="8"/>
      <c r="K31" s="8"/>
    </row>
    <row r="32" spans="1:11" ht="20.100000000000001" customHeight="1" x14ac:dyDescent="0.3">
      <c r="A32" s="5"/>
      <c r="C32" s="8"/>
      <c r="D32" s="2" t="s">
        <v>122</v>
      </c>
      <c r="E32" s="1"/>
      <c r="F32" s="1"/>
      <c r="G32" s="1"/>
      <c r="H32" s="13"/>
      <c r="I32" s="8"/>
      <c r="J32" s="8"/>
      <c r="K32" s="8"/>
    </row>
    <row r="33" spans="1:11" ht="20.100000000000001" customHeight="1" x14ac:dyDescent="0.3">
      <c r="A33" s="5"/>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c r="C34" s="8"/>
      <c r="D34" s="1" t="s">
        <v>124</v>
      </c>
      <c r="E34" s="1"/>
      <c r="F34" s="1"/>
      <c r="G34" s="1"/>
      <c r="H34" s="13"/>
      <c r="I34" s="8"/>
      <c r="J34" s="8"/>
      <c r="K34" s="8"/>
    </row>
    <row r="35" spans="1:11" ht="20.100000000000001" customHeight="1" x14ac:dyDescent="0.3">
      <c r="A35" s="5"/>
      <c r="C35" s="8"/>
      <c r="D35" s="1"/>
      <c r="E35" s="1"/>
      <c r="F35" s="1"/>
      <c r="G35" s="1"/>
      <c r="H35" s="13"/>
      <c r="I35" s="8"/>
      <c r="J35" s="8"/>
      <c r="K35" s="8"/>
    </row>
    <row r="36" spans="1:11" ht="20.100000000000001" customHeight="1" x14ac:dyDescent="0.3">
      <c r="A36" s="5"/>
      <c r="C36" s="8"/>
      <c r="D36" s="20" t="s">
        <v>123</v>
      </c>
      <c r="E36" s="20" t="s">
        <v>7</v>
      </c>
      <c r="F36" s="20" t="s">
        <v>8</v>
      </c>
      <c r="G36" s="1"/>
      <c r="H36" s="13"/>
      <c r="I36" s="8"/>
      <c r="J36" s="8"/>
      <c r="K36" s="8"/>
    </row>
    <row r="37" spans="1:11" ht="20.100000000000001" customHeight="1" x14ac:dyDescent="0.3">
      <c r="A37" s="5"/>
      <c r="C37" s="8"/>
      <c r="D37" s="1" t="str" cm="1">
        <f t="array" ref="D37:D39">Common_InputFunctions.getOverlappingReportingPeriods(X_Cell_Enterprise_ProductionTimeframeStart,X_Cell_Enterprise_ProductionTimeframeEnd,X_Cell_Site_StartDate)</f>
        <v>01 Jan 2023 to 31 Dec 2023</v>
      </c>
      <c r="E37" s="86" t="str">
        <f>IF(ISBLANK($D37), 0, IF(ISNUMBER(SEARCH("reporting", $D37)), Result_Enterprise_Method1, "Enter value"))</f>
        <v>Enter value</v>
      </c>
      <c r="F37" s="86" t="str">
        <f>IF(ISBLANK($D37), 0, IF(ISNUMBER(SEARCH("reporting", $D37)), Result_Enterprise_Method2, "Enter value"))</f>
        <v>Enter value</v>
      </c>
      <c r="G37" s="15" t="s">
        <v>4</v>
      </c>
      <c r="H37" s="13"/>
      <c r="I37" s="8"/>
      <c r="J37" s="8"/>
      <c r="K37" s="8"/>
    </row>
    <row r="38" spans="1:11" ht="20.100000000000001" customHeight="1" x14ac:dyDescent="0.3">
      <c r="A38" s="5"/>
      <c r="C38" s="8"/>
      <c r="D38" s="1" t="str">
        <v>01 Jan 2024 to 31 Dec 2024 (This reporting cycle)</v>
      </c>
      <c r="E38" s="86">
        <f ca="1">IF(ISBLANK($D38), 0, IF(ISNUMBER(SEARCH("reporting", $D38)), Result_Enterprise_Method1, "Enter value"))</f>
        <v>3646.0794547026085</v>
      </c>
      <c r="F38" s="86">
        <f ca="1">IF(ISBLANK($D38), 0, IF(ISNUMBER(SEARCH("reporting", $D38)), Result_Enterprise_Method2, "Enter value"))</f>
        <v>636713.10381237033</v>
      </c>
      <c r="G38" s="15" t="s">
        <v>4</v>
      </c>
      <c r="H38" s="13"/>
      <c r="I38" s="8"/>
      <c r="J38" s="8"/>
      <c r="K38" s="8"/>
    </row>
    <row r="39" spans="1:11" ht="20.100000000000001" customHeight="1" x14ac:dyDescent="0.3">
      <c r="A39" s="5"/>
      <c r="C39" s="8"/>
      <c r="D39" s="1" t="str">
        <v>01 Jan 2025 to 31 Dec 2025</v>
      </c>
      <c r="E39" s="86" t="str">
        <f>IF(ISBLANK($D39), 0, IF(ISNUMBER(SEARCH("reporting", $D39)), Result_Enterprise_Method1, "Enter value"))</f>
        <v>Enter value</v>
      </c>
      <c r="F39" s="86" t="str">
        <f>IF(ISBLANK($D39), 0, IF(ISNUMBER(SEARCH("reporting", $D39)), Result_Enterprise_Method2, "Enter value"))</f>
        <v>Enter value</v>
      </c>
      <c r="G39" s="15" t="s">
        <v>4</v>
      </c>
      <c r="H39" s="13"/>
      <c r="I39" s="8"/>
      <c r="J39" s="8"/>
      <c r="K39" s="8"/>
    </row>
    <row r="40" spans="1:11" ht="20.100000000000001" customHeight="1" x14ac:dyDescent="0.3">
      <c r="A40" s="5"/>
      <c r="C40" s="8"/>
      <c r="D40" s="1"/>
      <c r="E40" s="86">
        <f>IF(ISBLANK($D40), 0, IF(ISNUMBER(SEARCH("reporting", $D40)), Result_Enterprise_Method1, "Enter value"))</f>
        <v>0</v>
      </c>
      <c r="F40" s="86">
        <f>IF(ISBLANK($D40), 0, IF(ISNUMBER(SEARCH("reporting", $D40)), Result_Enterprise_Method2, "Enter value"))</f>
        <v>0</v>
      </c>
      <c r="G40" s="15" t="s">
        <v>4</v>
      </c>
      <c r="H40" s="13"/>
      <c r="I40" s="8"/>
      <c r="J40" s="8"/>
      <c r="K40" s="8"/>
    </row>
    <row r="41" spans="1:11" ht="20.100000000000001" customHeight="1" x14ac:dyDescent="0.3">
      <c r="A41" s="5"/>
      <c r="C41" s="8"/>
      <c r="D41" s="88"/>
      <c r="E41" s="86">
        <f>IF(ISBLANK($D41), 0, IF(ISNUMBER(SEARCH("reporting", $D41)), Result_Enterprise_Method1, "Enter value"))</f>
        <v>0</v>
      </c>
      <c r="F41" s="86">
        <f>IF(ISBLANK($D41), 0, IF(ISNUMBER(SEARCH("reporting", $D41)), Result_Enterprise_Method2, "Enter value"))</f>
        <v>0</v>
      </c>
      <c r="G41" s="15" t="s">
        <v>4</v>
      </c>
      <c r="H41" s="13"/>
      <c r="I41" s="8"/>
      <c r="J41" s="8"/>
      <c r="K41" s="8"/>
    </row>
    <row r="42" spans="1:11" ht="20.100000000000001" customHeight="1" x14ac:dyDescent="0.3">
      <c r="A42" s="5"/>
      <c r="C42" s="8"/>
      <c r="D42" s="14" t="s">
        <v>142</v>
      </c>
      <c r="E42" s="19">
        <f ca="1">SUM(E37:E41)</f>
        <v>3646.0794547026085</v>
      </c>
      <c r="F42" s="19">
        <f ca="1">SUM(F37:F41)</f>
        <v>636713.10381237033</v>
      </c>
      <c r="G42" s="1"/>
      <c r="H42" s="1"/>
      <c r="I42" s="1"/>
      <c r="J42" s="8"/>
      <c r="K42" s="8"/>
    </row>
    <row r="43" spans="1:11" ht="20.100000000000001" customHeight="1" x14ac:dyDescent="0.25">
      <c r="A43" s="5"/>
      <c r="C43" s="8"/>
      <c r="D43" s="1"/>
      <c r="E43" s="1"/>
      <c r="F43" s="1"/>
      <c r="G43" s="1"/>
      <c r="H43" s="1"/>
      <c r="I43" s="1"/>
      <c r="J43" s="8"/>
      <c r="K43" s="8"/>
    </row>
    <row r="44" spans="1:11" ht="20.100000000000001" customHeight="1" x14ac:dyDescent="0.25">
      <c r="A44" s="5"/>
      <c r="C44" s="8"/>
      <c r="D44" s="1"/>
      <c r="E44" s="1"/>
      <c r="F44" s="1"/>
      <c r="G44" s="1"/>
      <c r="H44" s="1"/>
      <c r="I44" s="1"/>
      <c r="J44" s="8"/>
      <c r="K44" s="8"/>
    </row>
    <row r="45" spans="1:11" ht="20.100000000000001" customHeight="1" x14ac:dyDescent="0.25">
      <c r="A45" s="5"/>
      <c r="C45" s="8"/>
      <c r="D45" s="2" t="s">
        <v>139</v>
      </c>
      <c r="E45" s="1"/>
      <c r="F45" s="1"/>
      <c r="G45" s="1"/>
      <c r="H45" s="1"/>
      <c r="I45" s="1"/>
      <c r="J45" s="8"/>
      <c r="K45" s="8"/>
    </row>
    <row r="46" spans="1:11" ht="20.100000000000001" customHeight="1" x14ac:dyDescent="0.25">
      <c r="A46" s="5"/>
      <c r="C46" s="8"/>
      <c r="D46" s="1"/>
      <c r="E46" s="1"/>
      <c r="F46" s="1"/>
      <c r="G46" s="1"/>
      <c r="H46" s="1"/>
      <c r="I46" s="1"/>
      <c r="J46" s="1"/>
      <c r="K46" s="8"/>
    </row>
    <row r="47" spans="1:11" ht="20.100000000000001" customHeight="1" x14ac:dyDescent="0.25">
      <c r="A47" s="5"/>
      <c r="C47" s="8"/>
      <c r="D47" s="20" t="s">
        <v>123</v>
      </c>
      <c r="E47" s="20" t="s">
        <v>140</v>
      </c>
      <c r="F47" s="1"/>
      <c r="G47" s="1"/>
      <c r="H47" s="1"/>
      <c r="I47" s="1"/>
      <c r="J47" s="1"/>
      <c r="K47" s="8"/>
    </row>
    <row r="48" spans="1:11" ht="20.100000000000001" customHeight="1" x14ac:dyDescent="0.25">
      <c r="A48" s="5"/>
      <c r="C48" s="8"/>
      <c r="D48" s="1" t="str" cm="1">
        <f t="array" ref="D48:D50">Common_InputFunctions.getOverlappingReportingPeriods(X_Cell_Enterprise_ProductionTimeframeStart,X_Cell_Enterprise_ProductionTimeframeEnd,X_Cell_Site_StartDate)</f>
        <v>01 Jan 2023 to 31 Dec 2023</v>
      </c>
      <c r="E48" s="86" t="str">
        <f>IF(ISBLANK(D48), 0, "Enter value")</f>
        <v>Enter value</v>
      </c>
      <c r="F48" s="15" t="s">
        <v>141</v>
      </c>
      <c r="G48" s="1"/>
      <c r="H48" s="1"/>
      <c r="I48" s="1"/>
      <c r="J48" s="1"/>
      <c r="K48" s="8"/>
    </row>
    <row r="49" spans="1:11" ht="20.100000000000001" customHeight="1" x14ac:dyDescent="0.25">
      <c r="C49" s="8"/>
      <c r="D49" s="1" t="str">
        <v>01 Jan 2024 to 31 Dec 2024 (This reporting cycle)</v>
      </c>
      <c r="E49" s="86" t="str">
        <f t="shared" ref="E49:E52" si="1">IF(ISBLANK(D49), 0, "Enter value")</f>
        <v>Enter value</v>
      </c>
      <c r="F49" s="15" t="s">
        <v>141</v>
      </c>
      <c r="G49" s="1"/>
      <c r="H49" s="1"/>
      <c r="I49" s="1"/>
      <c r="J49" s="1"/>
      <c r="K49" s="8"/>
    </row>
    <row r="50" spans="1:11" ht="20.100000000000001" customHeight="1" x14ac:dyDescent="0.25">
      <c r="C50" s="8"/>
      <c r="D50" s="1" t="str">
        <v>01 Jan 2025 to 31 Dec 2025</v>
      </c>
      <c r="E50" s="86" t="str">
        <f t="shared" si="1"/>
        <v>Enter value</v>
      </c>
      <c r="F50" s="15" t="s">
        <v>141</v>
      </c>
      <c r="G50" s="1"/>
      <c r="H50" s="1"/>
      <c r="I50" s="1"/>
      <c r="J50" s="1"/>
      <c r="K50" s="8"/>
    </row>
    <row r="51" spans="1:11" ht="20.100000000000001" customHeight="1" x14ac:dyDescent="0.25">
      <c r="A51" s="100"/>
      <c r="C51" s="8"/>
      <c r="D51" s="1"/>
      <c r="E51" s="86">
        <f t="shared" si="1"/>
        <v>0</v>
      </c>
      <c r="F51" s="15" t="s">
        <v>141</v>
      </c>
      <c r="G51" s="1"/>
      <c r="H51" s="1"/>
      <c r="I51" s="1"/>
      <c r="J51" s="1"/>
      <c r="K51" s="8"/>
    </row>
    <row r="52" spans="1:11" ht="20.100000000000001" customHeight="1" x14ac:dyDescent="0.25">
      <c r="A52" s="5"/>
      <c r="C52" s="8"/>
      <c r="D52" s="1"/>
      <c r="E52" s="86">
        <f t="shared" si="1"/>
        <v>0</v>
      </c>
      <c r="F52" s="15" t="s">
        <v>141</v>
      </c>
      <c r="G52" s="1"/>
      <c r="H52" s="1"/>
      <c r="I52" s="8"/>
      <c r="J52" s="8"/>
      <c r="K52" s="8"/>
    </row>
    <row r="53" spans="1:11" ht="20.100000000000001" customHeight="1" x14ac:dyDescent="0.3">
      <c r="A53" s="5"/>
      <c r="C53" s="8"/>
      <c r="D53" s="14" t="s">
        <v>143</v>
      </c>
      <c r="E53" s="19">
        <f>SUM(E48:E52)</f>
        <v>0</v>
      </c>
      <c r="F53" s="1"/>
      <c r="G53" s="1"/>
      <c r="H53" s="1"/>
      <c r="I53" s="1"/>
      <c r="J53" s="1"/>
      <c r="K53" s="8"/>
    </row>
    <row r="54" spans="1:11" ht="20.100000000000001" customHeight="1" x14ac:dyDescent="0.25">
      <c r="A54" s="5"/>
      <c r="C54" s="8"/>
      <c r="D54" s="1"/>
      <c r="E54" s="1"/>
      <c r="F54" s="1"/>
      <c r="G54" s="1"/>
      <c r="H54" s="1"/>
      <c r="I54" s="1"/>
      <c r="J54" s="1"/>
      <c r="K54" s="8"/>
    </row>
    <row r="55" spans="1:11" ht="20.100000000000001" customHeight="1" x14ac:dyDescent="0.25">
      <c r="A55" s="5"/>
      <c r="C55" s="8"/>
      <c r="D55" s="1"/>
      <c r="E55" s="1"/>
      <c r="F55" s="1"/>
      <c r="G55" s="1"/>
      <c r="H55" s="1"/>
      <c r="I55" s="1"/>
      <c r="J55" s="1"/>
      <c r="K55" s="8"/>
    </row>
    <row r="56" spans="1:11" ht="20.100000000000001" customHeight="1" x14ac:dyDescent="0.25">
      <c r="A56" s="5"/>
      <c r="C56" s="8"/>
      <c r="D56" s="2" t="s">
        <v>126</v>
      </c>
      <c r="E56" s="1"/>
      <c r="F56" s="1"/>
      <c r="G56" s="1"/>
      <c r="H56" s="1"/>
      <c r="I56" s="1"/>
      <c r="J56" s="8"/>
      <c r="K56" s="8"/>
    </row>
    <row r="57" spans="1:11" ht="20.100000000000001" customHeight="1" x14ac:dyDescent="0.25">
      <c r="A57" s="5"/>
      <c r="C57" s="8"/>
      <c r="D57" s="1"/>
      <c r="E57" s="1"/>
      <c r="F57" s="1"/>
      <c r="G57" s="1"/>
      <c r="H57" s="1"/>
      <c r="I57" s="1"/>
      <c r="J57" s="1"/>
      <c r="K57" s="8"/>
    </row>
    <row r="58" spans="1:11" ht="20.100000000000001" customHeight="1" x14ac:dyDescent="0.25">
      <c r="A58" s="5"/>
      <c r="C58" s="8"/>
      <c r="D58" s="20"/>
      <c r="E58" s="20" t="s">
        <v>145</v>
      </c>
      <c r="F58" s="20" t="s">
        <v>146</v>
      </c>
      <c r="G58" s="1"/>
      <c r="H58" s="1"/>
      <c r="I58" s="1"/>
      <c r="J58" s="1"/>
      <c r="K58" s="8"/>
    </row>
    <row r="59" spans="1:11" ht="20.100000000000001" customHeight="1" x14ac:dyDescent="0.3">
      <c r="A59" s="5"/>
      <c r="C59" s="8"/>
      <c r="D59" s="89" t="s">
        <v>144</v>
      </c>
      <c r="E59" s="87">
        <f ca="1">E42-E53</f>
        <v>3646.0794547026085</v>
      </c>
      <c r="F59" s="87">
        <f ca="1">F42-E53</f>
        <v>636713.10381237033</v>
      </c>
      <c r="G59" s="1"/>
      <c r="H59" s="1"/>
      <c r="I59" s="1"/>
      <c r="J59" s="1"/>
      <c r="K59" s="8"/>
    </row>
    <row r="60" spans="1:11" ht="20.100000000000001" customHeight="1" x14ac:dyDescent="0.25">
      <c r="A60" s="5"/>
      <c r="C60" s="8"/>
      <c r="D60" s="1"/>
      <c r="E60" s="1"/>
      <c r="F60" s="1"/>
      <c r="G60" s="1"/>
      <c r="H60" s="1"/>
      <c r="I60" s="1"/>
      <c r="J60" s="1"/>
      <c r="K60" s="8"/>
    </row>
    <row r="61" spans="1:11" ht="20.100000000000001" customHeight="1" x14ac:dyDescent="0.25">
      <c r="A61" s="5"/>
      <c r="C61" s="8"/>
      <c r="D61" s="1"/>
      <c r="E61" s="1"/>
      <c r="F61" s="1"/>
      <c r="G61" s="1"/>
      <c r="H61" s="1"/>
      <c r="I61" s="1"/>
      <c r="J61" s="1"/>
      <c r="K61" s="8"/>
    </row>
    <row r="62" spans="1:11" ht="20.100000000000001" customHeight="1" x14ac:dyDescent="0.25">
      <c r="C62" s="8"/>
      <c r="D62" s="91" t="s">
        <v>174</v>
      </c>
      <c r="E62" s="1"/>
      <c r="F62" s="1"/>
      <c r="G62" s="1"/>
      <c r="H62" s="1"/>
      <c r="I62" s="1"/>
      <c r="J62" s="1"/>
      <c r="K62" s="8"/>
    </row>
    <row r="63" spans="1:11" ht="20.100000000000001" customHeight="1" x14ac:dyDescent="0.25">
      <c r="C63" s="8"/>
      <c r="D63" s="20" t="s">
        <v>149</v>
      </c>
      <c r="E63" s="20" t="s">
        <v>133</v>
      </c>
      <c r="F63" s="20" t="s">
        <v>127</v>
      </c>
      <c r="G63" s="20" t="s">
        <v>176</v>
      </c>
      <c r="H63" s="20" t="s">
        <v>131</v>
      </c>
      <c r="I63" s="20" t="s">
        <v>132</v>
      </c>
      <c r="J63" s="20" t="s">
        <v>128</v>
      </c>
      <c r="K63" s="8"/>
    </row>
    <row r="64" spans="1:11" ht="20.100000000000001" customHeight="1" x14ac:dyDescent="0.25">
      <c r="C64" s="8"/>
      <c r="D64" s="1" t="s">
        <v>179</v>
      </c>
      <c r="E64" s="1" t="s">
        <v>134</v>
      </c>
      <c r="F64" s="18">
        <f>'Input - Enterprise'!E22</f>
        <v>5</v>
      </c>
      <c r="G64" s="18">
        <f ca="1">F64/(F64+F66)</f>
        <v>6.0391865213221472E-6</v>
      </c>
      <c r="H64" s="18">
        <f ca="1">(Result_EmissionsForWholeProductionCycle_Method1/F64)*G64</f>
        <v>4.40387077970192E-3</v>
      </c>
      <c r="I64" s="18">
        <f ca="1">(Result_EmissionsForWholeProductionCycle_Method2/F64)*G64</f>
        <v>0.76904583889857114</v>
      </c>
      <c r="J64" s="15" t="s">
        <v>129</v>
      </c>
      <c r="K64" s="8"/>
    </row>
    <row r="65" spans="3:11" ht="20.100000000000001" customHeight="1" x14ac:dyDescent="0.25">
      <c r="C65" s="8"/>
      <c r="D65" s="1" t="s">
        <v>180</v>
      </c>
      <c r="E65" s="1" t="s">
        <v>134</v>
      </c>
      <c r="F65" s="18">
        <f>F64</f>
        <v>5</v>
      </c>
      <c r="G65" s="18">
        <f ca="1">G64</f>
        <v>6.0391865213221472E-6</v>
      </c>
      <c r="H65" s="18">
        <f ca="1">(Result_NetEmissions_Method1/F65)*G65</f>
        <v>4.40387077970192E-3</v>
      </c>
      <c r="I65" s="18">
        <f ca="1">(Result_NetEmissions_Method2/F65)*G65</f>
        <v>0.76904583889857114</v>
      </c>
      <c r="J65" s="15" t="s">
        <v>129</v>
      </c>
      <c r="K65" s="8"/>
    </row>
    <row r="66" spans="3:11" ht="20.100000000000001" customHeight="1" x14ac:dyDescent="0.25">
      <c r="C66" s="8"/>
      <c r="D66" s="1" t="s">
        <v>181</v>
      </c>
      <c r="E66" s="1" t="s">
        <v>135</v>
      </c>
      <c r="F66" s="18">
        <f ca="1">'Input - Enterprise'!E25*'Input - Enterprise'!E26</f>
        <v>827921.07619367912</v>
      </c>
      <c r="G66" s="18">
        <f ca="1">F66/(F64+F66)</f>
        <v>0.99999396081347869</v>
      </c>
      <c r="H66" s="18">
        <f ca="1">(Result_EmissionsForWholeProductionCycle_Method1/F66)*G66</f>
        <v>4.4038707797019192E-3</v>
      </c>
      <c r="I66" s="18">
        <f ca="1">(Result_EmissionsForWholeProductionCycle_Method2/F66)*G66</f>
        <v>0.76904583889857125</v>
      </c>
      <c r="J66" s="15" t="s">
        <v>130</v>
      </c>
      <c r="K66" s="8"/>
    </row>
    <row r="67" spans="3:11" ht="20.100000000000001" customHeight="1" x14ac:dyDescent="0.25">
      <c r="C67" s="8"/>
      <c r="D67" s="1" t="s">
        <v>182</v>
      </c>
      <c r="E67" s="1" t="s">
        <v>135</v>
      </c>
      <c r="F67" s="18">
        <f ca="1">F66</f>
        <v>827921.07619367912</v>
      </c>
      <c r="G67" s="18">
        <f ca="1">G66</f>
        <v>0.99999396081347869</v>
      </c>
      <c r="H67" s="18">
        <f ca="1">(Result_NetEmissions_Method1/F67)*G67</f>
        <v>4.4038707797019192E-3</v>
      </c>
      <c r="I67" s="18">
        <f ca="1">(Result_NetEmissions_Method2/F67)*G67</f>
        <v>0.76904583889857125</v>
      </c>
      <c r="J67" s="15" t="s">
        <v>130</v>
      </c>
      <c r="K67" s="8"/>
    </row>
    <row r="68" spans="3:11" ht="20.100000000000001" customHeight="1" x14ac:dyDescent="0.25">
      <c r="C68" s="8"/>
      <c r="D68" s="1" t="s">
        <v>136</v>
      </c>
      <c r="E68" s="1" t="s">
        <v>138</v>
      </c>
      <c r="F68" s="18">
        <f ca="1">'Input - Enterprise'!E25*'Input - Enterprise'!E27</f>
        <v>91.01179696172197</v>
      </c>
      <c r="G68" s="18" t="s">
        <v>137</v>
      </c>
      <c r="H68" s="18" t="s">
        <v>137</v>
      </c>
      <c r="I68" s="18" t="s">
        <v>137</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175</v>
      </c>
      <c r="E70" s="1"/>
      <c r="F70" s="1"/>
      <c r="G70" s="1"/>
      <c r="H70" s="1"/>
      <c r="I70" s="1"/>
      <c r="J70" s="1"/>
      <c r="K70" s="8"/>
    </row>
    <row r="71" spans="3:11" ht="20.100000000000001" customHeight="1" x14ac:dyDescent="0.25">
      <c r="C71" s="8"/>
      <c r="D71" s="20" t="s">
        <v>149</v>
      </c>
      <c r="E71" s="20" t="s">
        <v>133</v>
      </c>
      <c r="F71" s="20" t="s">
        <v>127</v>
      </c>
      <c r="G71" s="20" t="s">
        <v>177</v>
      </c>
      <c r="H71" s="20" t="s">
        <v>131</v>
      </c>
      <c r="I71" s="20" t="s">
        <v>132</v>
      </c>
      <c r="J71" s="20" t="s">
        <v>128</v>
      </c>
      <c r="K71" s="8"/>
    </row>
    <row r="72" spans="3:11" ht="20.100000000000001" customHeight="1" x14ac:dyDescent="0.25">
      <c r="C72" s="8"/>
      <c r="D72" s="1" t="s">
        <v>179</v>
      </c>
      <c r="E72" s="1" t="s">
        <v>134</v>
      </c>
      <c r="F72" s="18">
        <f>F64</f>
        <v>5</v>
      </c>
      <c r="G72" s="18">
        <f>'Input - Enterprise'!E31</f>
        <v>0.8</v>
      </c>
      <c r="H72" s="18">
        <f ca="1">(Result_EmissionsForWholeProductionCycle_Method1/F72)*G72</f>
        <v>583.37271275241744</v>
      </c>
      <c r="I72" s="18">
        <f ca="1">(Result_EmissionsForWholeProductionCycle_Method2/F72)*G72</f>
        <v>101874.09660997926</v>
      </c>
      <c r="J72" s="15" t="s">
        <v>129</v>
      </c>
      <c r="K72" s="8"/>
    </row>
    <row r="73" spans="3:11" ht="20.100000000000001" customHeight="1" x14ac:dyDescent="0.25">
      <c r="C73" s="8"/>
      <c r="D73" s="1" t="s">
        <v>180</v>
      </c>
      <c r="E73" s="1" t="s">
        <v>134</v>
      </c>
      <c r="F73" s="18">
        <f>F64</f>
        <v>5</v>
      </c>
      <c r="G73" s="18">
        <f>G72</f>
        <v>0.8</v>
      </c>
      <c r="H73" s="18">
        <f ca="1">(Result_NetEmissions_Method1/F73)*G73</f>
        <v>583.37271275241744</v>
      </c>
      <c r="I73" s="18">
        <f ca="1">(Result_NetEmissions_Method2/F73)*G73</f>
        <v>101874.09660997926</v>
      </c>
      <c r="J73" s="15" t="s">
        <v>129</v>
      </c>
      <c r="K73" s="8"/>
    </row>
    <row r="74" spans="3:11" ht="20.100000000000001" customHeight="1" x14ac:dyDescent="0.25">
      <c r="C74" s="8"/>
      <c r="D74" s="1" t="s">
        <v>181</v>
      </c>
      <c r="E74" s="1" t="s">
        <v>135</v>
      </c>
      <c r="F74" s="18">
        <f ca="1">F66</f>
        <v>827921.07619367912</v>
      </c>
      <c r="G74" s="18">
        <f>'Input - Enterprise'!E32</f>
        <v>0.2</v>
      </c>
      <c r="H74" s="18">
        <f ca="1">(Result_EmissionsForWholeProductionCycle_Method1/F74)*G74</f>
        <v>8.8077947513191834E-4</v>
      </c>
      <c r="I74" s="18">
        <f ca="1">(Result_EmissionsForWholeProductionCycle_Method2/F74)*G74</f>
        <v>0.15381009666757689</v>
      </c>
      <c r="J74" s="15" t="s">
        <v>130</v>
      </c>
      <c r="K74" s="8"/>
    </row>
    <row r="75" spans="3:11" ht="20.100000000000001" customHeight="1" x14ac:dyDescent="0.25">
      <c r="C75" s="8"/>
      <c r="D75" s="1" t="s">
        <v>182</v>
      </c>
      <c r="E75" s="1" t="s">
        <v>135</v>
      </c>
      <c r="F75" s="18">
        <f ca="1">F67</f>
        <v>827921.07619367912</v>
      </c>
      <c r="G75" s="18">
        <f>G74</f>
        <v>0.2</v>
      </c>
      <c r="H75" s="18">
        <f ca="1">(Result_NetEmissions_Method1/F75)*G75</f>
        <v>8.8077947513191834E-4</v>
      </c>
      <c r="I75" s="18">
        <f ca="1">(Result_NetEmissions_Method2/F75)*G75</f>
        <v>0.15381009666757689</v>
      </c>
      <c r="J75" s="15" t="s">
        <v>130</v>
      </c>
      <c r="K75" s="8"/>
    </row>
    <row r="76" spans="3:11" ht="15.75" x14ac:dyDescent="0.25">
      <c r="C76" s="8"/>
      <c r="D76" s="1" t="s">
        <v>136</v>
      </c>
      <c r="E76" s="1" t="s">
        <v>138</v>
      </c>
      <c r="F76" s="18">
        <f ca="1">F68</f>
        <v>91.01179696172197</v>
      </c>
      <c r="G76" s="18" t="s">
        <v>137</v>
      </c>
      <c r="H76" s="18" t="s">
        <v>137</v>
      </c>
      <c r="I76" s="18" t="s">
        <v>137</v>
      </c>
      <c r="J76" s="8"/>
      <c r="K76" s="8"/>
    </row>
    <row r="77" spans="3:11" ht="15.75" x14ac:dyDescent="0.25">
      <c r="C77" s="8"/>
      <c r="D77" s="1"/>
      <c r="E77" s="1"/>
      <c r="F77" s="1"/>
      <c r="G77" s="1"/>
      <c r="H77" s="1"/>
      <c r="I77" s="1"/>
      <c r="J77" s="1"/>
      <c r="K77" s="8"/>
    </row>
    <row r="78" spans="3:11" ht="18.75" x14ac:dyDescent="0.25">
      <c r="C78" s="8"/>
      <c r="D78" s="91" t="s">
        <v>178</v>
      </c>
      <c r="E78" s="1"/>
      <c r="F78" s="1"/>
      <c r="G78" s="1"/>
      <c r="H78" s="1"/>
      <c r="I78" s="1"/>
      <c r="J78" s="1"/>
      <c r="K78" s="8"/>
    </row>
    <row r="79" spans="3:11" ht="15.75" x14ac:dyDescent="0.25">
      <c r="C79" s="8"/>
      <c r="D79" s="20" t="s">
        <v>149</v>
      </c>
      <c r="E79" s="20" t="s">
        <v>133</v>
      </c>
      <c r="F79" s="20" t="s">
        <v>127</v>
      </c>
      <c r="G79" s="20" t="s">
        <v>177</v>
      </c>
      <c r="H79" s="20" t="s">
        <v>131</v>
      </c>
      <c r="I79" s="20" t="s">
        <v>132</v>
      </c>
      <c r="J79" s="20" t="s">
        <v>128</v>
      </c>
      <c r="K79" s="8"/>
    </row>
    <row r="80" spans="3:11" ht="15.75" x14ac:dyDescent="0.25">
      <c r="C80" s="8"/>
      <c r="D80" s="1" t="s">
        <v>147</v>
      </c>
      <c r="E80" s="1" t="s">
        <v>137</v>
      </c>
      <c r="F80" s="18">
        <f>'Input - Enterprise'!E23</f>
        <v>154.76</v>
      </c>
      <c r="G80" s="18" t="s">
        <v>137</v>
      </c>
      <c r="H80" s="18">
        <f ca="1">E59/F80</f>
        <v>23.559572594356478</v>
      </c>
      <c r="I80" s="18" t="s">
        <v>137</v>
      </c>
      <c r="J80" s="15" t="s">
        <v>150</v>
      </c>
      <c r="K80" s="8"/>
    </row>
    <row r="81" spans="3:11" ht="15.75" x14ac:dyDescent="0.25">
      <c r="C81" s="8"/>
      <c r="D81" s="1" t="s">
        <v>148</v>
      </c>
      <c r="E81" s="1" t="s">
        <v>137</v>
      </c>
      <c r="F81" s="18">
        <f>'Input - Enterprise'!E24</f>
        <v>154.86799999999999</v>
      </c>
      <c r="G81" s="18" t="s">
        <v>137</v>
      </c>
      <c r="H81" s="18" t="s">
        <v>137</v>
      </c>
      <c r="I81" s="18">
        <f ca="1">F59/F81</f>
        <v>4111.3277359581734</v>
      </c>
      <c r="J81" s="15" t="s">
        <v>150</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1"/>
  <sheetViews>
    <sheetView showGridLines="0" topLeftCell="A4" workbookViewId="0" zoomScale="100" zoomScaleNormal="100">
      <selection activeCell="A61" sqref="A6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168</v>
      </c>
      <c r="D1" s="32"/>
      <c r="E1" s="32"/>
      <c r="F1" s="32"/>
      <c r="G1" s="32"/>
      <c r="H1" s="32"/>
      <c r="I1" s="32"/>
      <c r="J1" s="32"/>
    </row>
    <row r="2" spans="1:10" x14ac:dyDescent="0.25">
      <c r="C2" s="3"/>
      <c r="D2" s="3"/>
      <c r="E2" s="3"/>
      <c r="F2" s="3"/>
      <c r="G2" s="3"/>
      <c r="H2" s="3"/>
      <c r="I2" s="3"/>
      <c r="J2" s="3"/>
    </row>
    <row r="3" spans="1:10" ht="20.25" x14ac:dyDescent="0.25">
      <c r="A3" s="5"/>
      <c r="C3" s="39"/>
      <c r="D3" s="39"/>
      <c r="E3" s="39"/>
      <c r="F3" s="39"/>
      <c r="G3" s="39"/>
      <c r="H3" s="39"/>
      <c r="I3" s="39"/>
      <c r="J3" s="39"/>
    </row>
    <row r="4" spans="1:10" x14ac:dyDescent="0.25">
      <c r="A4" s="5"/>
    </row>
    <row r="5" spans="1:10" ht="23.25" x14ac:dyDescent="0.25">
      <c r="A5" s="5"/>
      <c r="D5" s="2" t="s">
        <v>94</v>
      </c>
      <c r="E5" s="35"/>
      <c r="F5" s="35"/>
      <c r="G5" s="35"/>
    </row>
    <row r="6" spans="1:10" x14ac:dyDescent="0.25">
      <c r="D6" s="42"/>
      <c r="E6" s="35"/>
      <c r="F6" s="35"/>
      <c r="G6" s="35"/>
    </row>
    <row r="7" spans="1:10" x14ac:dyDescent="0.25">
      <c r="D7" s="1" t="s">
        <v>95</v>
      </c>
      <c r="E7" s="44" t="s">
        <v>96</v>
      </c>
      <c r="F7" s="26"/>
      <c r="G7" s="35"/>
    </row>
    <row r="8" spans="1:10" x14ac:dyDescent="0.25">
      <c r="A8" s="7"/>
      <c r="D8" s="22" t="s">
        <v>97</v>
      </c>
      <c r="E8" s="44" t="s">
        <v>98</v>
      </c>
      <c r="F8" s="35"/>
      <c r="G8" s="35"/>
    </row>
    <row r="9" spans="1:10" x14ac:dyDescent="0.25">
      <c r="A9" s="103"/>
      <c r="D9" s="35"/>
      <c r="E9" s="35"/>
      <c r="F9" s="35"/>
      <c r="G9" s="35"/>
    </row>
    <row r="10" spans="1:10" x14ac:dyDescent="0.25">
      <c r="A10" s="5"/>
      <c r="D10" s="46" t="s">
        <v>99</v>
      </c>
      <c r="E10" s="47"/>
      <c r="F10" s="48"/>
      <c r="G10" s="49"/>
    </row>
    <row r="11" spans="1:10" x14ac:dyDescent="0.25">
      <c r="A11" s="5"/>
      <c r="D11" s="35"/>
      <c r="E11" s="35"/>
      <c r="F11" s="35"/>
      <c r="G11" s="35"/>
    </row>
    <row r="12" spans="1:10" x14ac:dyDescent="0.25">
      <c r="A12" s="5"/>
      <c r="D12" s="22" t="s">
        <v>17</v>
      </c>
      <c r="E12" s="24">
        <v>45292</v>
      </c>
      <c r="F12" s="26" t="s">
        <v>100</v>
      </c>
      <c r="G12" s="35"/>
    </row>
    <row r="13" spans="1:10" x14ac:dyDescent="0.25">
      <c r="A13" s="5"/>
      <c r="D13" s="22" t="s">
        <v>18</v>
      </c>
      <c r="E13" s="51">
        <f>DATE(YEAR(E12)+1,MONTH(E12),DAY(E12))-1</f>
        <v>45657</v>
      </c>
      <c r="F13" s="26" t="s">
        <v>101</v>
      </c>
      <c r="G13" s="35"/>
    </row>
    <row r="14" spans="1:10" x14ac:dyDescent="0.25">
      <c r="A14" s="5"/>
      <c r="F14" s="35"/>
      <c r="G14" s="35"/>
    </row>
    <row r="15" spans="1:10" x14ac:dyDescent="0.25">
      <c r="A15" s="5"/>
    </row>
    <row r="16" spans="1:10" ht="23.25" x14ac:dyDescent="0.25">
      <c r="A16" s="5"/>
      <c r="D16" s="2" t="s">
        <v>19</v>
      </c>
    </row>
    <row r="17" spans="1:7" x14ac:dyDescent="0.25">
      <c r="A17" s="5"/>
    </row>
    <row r="18" spans="1:7" x14ac:dyDescent="0.25">
      <c r="A18" s="5"/>
      <c r="D18" s="1" t="s">
        <v>14</v>
      </c>
      <c r="E18" s="24">
        <v>45231</v>
      </c>
      <c r="F18" s="26" t="s">
        <v>100</v>
      </c>
    </row>
    <row r="19" spans="1:7" x14ac:dyDescent="0.25">
      <c r="A19" s="5"/>
      <c r="D19" s="1" t="s">
        <v>15</v>
      </c>
      <c r="E19" s="24">
        <v>45747</v>
      </c>
      <c r="F19" s="26" t="s">
        <v>100</v>
      </c>
    </row>
    <row r="20" spans="1:7" x14ac:dyDescent="0.25">
      <c r="A20" s="5"/>
      <c r="D20" s="1" t="s">
        <v>16</v>
      </c>
      <c r="E20" s="25">
        <f>DATEDIF(E18,E19+1,"m")</f>
        <v>17</v>
      </c>
      <c r="F20" s="26" t="s">
        <v>125</v>
      </c>
    </row>
    <row r="21" spans="1:7" x14ac:dyDescent="0.25">
      <c r="A21" s="5"/>
    </row>
    <row r="22" spans="1:7" x14ac:dyDescent="0.25">
      <c r="A22" s="5"/>
      <c r="D22" s="1" t="s">
        <v>20</v>
      </c>
      <c r="E22" s="90">
        <f>SUM(Table_Input_LivestockSales[Total liveweight sold])*10^-3</f>
        <v>5</v>
      </c>
      <c r="G22" s="26" t="s">
        <v>26</v>
      </c>
    </row>
    <row r="23" spans="1:7" x14ac:dyDescent="0.25">
      <c r="A23" s="5"/>
      <c r="D23" s="1" t="s">
        <v>21</v>
      </c>
      <c r="E23" s="90">
        <f>SUM(Enterprise_PastureBeef_InputFunctions.multiplyCorrespondingCells([0]!X_Table_PastureBeef_Head_Method1, [0]!X_Table_PastureBeef_Duration_Method1, [0]!X_Table_PastureBeef_LiveweightGain_Method1))*10^-3</f>
        <v>154.76</v>
      </c>
      <c r="G23" s="26" t="s">
        <v>26</v>
      </c>
    </row>
    <row r="24" spans="1:7" x14ac:dyDescent="0.25">
      <c r="A24" s="5"/>
      <c r="D24" s="1" t="s">
        <v>22</v>
      </c>
      <c r="E24" s="90">
        <f>SUM(Enterprise_PastureBeef_InputFunctions.multiplyCorrespondingCells([0]!X_Table_PastureBeef_Head_Method2, [0]!X_Table_PastureBeef_Duration_Method2, [0]!X_Table_PastureBeef_LiveweightGain_Method2))*10^-3</f>
        <v>154.86799999999999</v>
      </c>
      <c r="G24" s="26" t="s">
        <v>26</v>
      </c>
    </row>
    <row r="25" spans="1:7" x14ac:dyDescent="0.25">
      <c r="A25" s="5"/>
      <c r="D25" s="1" t="s">
        <v>170</v>
      </c>
      <c r="E25" s="90">
        <f ca="1">SUM(Enterprise_PastureBeef_InputFunctions.multiplyCorrespondingCells([0]!X_Table_PastureBeef_Head_Method1, [0]!X_Table_PastureBeef_Duration_Method1, [0]!M1_Table_VS_j_k_l))*10^-3</f>
        <v>910.11796961721961</v>
      </c>
      <c r="G25" s="26" t="s">
        <v>26</v>
      </c>
    </row>
    <row r="26" spans="1:7" x14ac:dyDescent="0.25">
      <c r="A26" s="5"/>
      <c r="D26" s="1" t="s">
        <v>171</v>
      </c>
      <c r="E26" s="90">
        <f ca="1">SUM(Enterprise_PastureBeef_InputFunctions.multiplyCorrespondingCells([0]!X_Table_PastureBeef_Head_Method2, [0]!X_Table_PastureBeef_Duration_Method2, M2_Table_VS_j_k_l))*10^-3</f>
        <v>909.68545159248845</v>
      </c>
      <c r="G26" s="26" t="s">
        <v>26</v>
      </c>
    </row>
    <row r="27" spans="1:7" x14ac:dyDescent="0.25">
      <c r="D27" s="1" t="s">
        <v>23</v>
      </c>
      <c r="E27" s="28">
        <v>0.1</v>
      </c>
      <c r="G27" s="26" t="s">
        <v>169</v>
      </c>
    </row>
    <row r="28" spans="1:7" x14ac:dyDescent="0.25">
      <c r="D28" s="1" t="s">
        <v>24</v>
      </c>
      <c r="E28" s="28">
        <v>0.2</v>
      </c>
      <c r="G28" s="26" t="s">
        <v>169</v>
      </c>
    </row>
    <row r="29" spans="1:7" x14ac:dyDescent="0.25">
      <c r="A29" s="6"/>
      <c r="D29" s="1" t="s">
        <v>25</v>
      </c>
      <c r="E29" s="29">
        <f>100%-E27-E28</f>
        <v>0.7</v>
      </c>
      <c r="G29" s="26" t="s">
        <v>169</v>
      </c>
    </row>
    <row r="30" spans="1:7" x14ac:dyDescent="0.25">
      <c r="A30" s="5"/>
    </row>
    <row r="31" spans="1:7" x14ac:dyDescent="0.25">
      <c r="A31" s="5"/>
      <c r="D31" s="1" t="s">
        <v>172</v>
      </c>
      <c r="E31" s="28">
        <v>0.8</v>
      </c>
      <c r="G31" s="26" t="s">
        <v>169</v>
      </c>
    </row>
    <row r="32" spans="1:7" x14ac:dyDescent="0.25">
      <c r="A32" s="5"/>
      <c r="D32" s="1" t="s">
        <v>173</v>
      </c>
      <c r="E32" s="28">
        <v>0.2</v>
      </c>
      <c r="G32" s="26" t="s">
        <v>169</v>
      </c>
    </row>
    <row r="33" spans="1:1" x14ac:dyDescent="0.25">
      <c r="A33" s="5"/>
    </row>
    <row r="34" spans="1:1" x14ac:dyDescent="0.25">
      <c r="A34" s="5"/>
    </row>
    <row r="35" spans="1:1" x14ac:dyDescent="0.25">
      <c r="A35" s="5"/>
    </row>
    <row r="36" spans="1:1" x14ac:dyDescent="0.25">
      <c r="A36" s="5"/>
    </row>
    <row r="37" spans="1:1" x14ac:dyDescent="0.25">
      <c r="A37" s="5"/>
    </row>
    <row r="38" spans="1:1" x14ac:dyDescent="0.25">
      <c r="A38" s="5"/>
    </row>
    <row r="39" spans="1:1" x14ac:dyDescent="0.25">
      <c r="A39" s="5"/>
    </row>
    <row r="40" spans="1:1" x14ac:dyDescent="0.25">
      <c r="A40" s="5"/>
    </row>
    <row r="41" spans="1:1" x14ac:dyDescent="0.25">
      <c r="A41" s="5"/>
    </row>
    <row r="42" spans="1:1" x14ac:dyDescent="0.25">
      <c r="A42" s="5"/>
    </row>
    <row r="43" spans="1:1" x14ac:dyDescent="0.25">
      <c r="A43" s="5"/>
    </row>
    <row r="44" spans="1:1" x14ac:dyDescent="0.25">
      <c r="A44" s="5"/>
    </row>
    <row r="45" spans="1:1" x14ac:dyDescent="0.25">
      <c r="A45" s="5"/>
    </row>
    <row r="46" spans="1:1" x14ac:dyDescent="0.25">
      <c r="A46" s="5"/>
    </row>
    <row r="47" spans="1:1" x14ac:dyDescent="0.25">
      <c r="A47" s="5"/>
    </row>
    <row r="48" spans="1:1" x14ac:dyDescent="0.25">
      <c r="A48" s="5"/>
    </row>
    <row r="51" spans="1: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61" sqref="A61"/>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93</v>
      </c>
    </row>
    <row r="2" spans="1:24" s="32" customFormat="1" ht="20.100000000000001" customHeight="1" x14ac:dyDescent="0.25">
      <c r="A2"/>
      <c r="C2" s="3"/>
      <c r="D2" s="3"/>
      <c r="E2" s="3"/>
      <c r="F2" s="3"/>
      <c r="G2" s="3"/>
      <c r="H2" s="3"/>
      <c r="I2" s="3"/>
      <c r="J2" s="3"/>
    </row>
    <row r="3" spans="1:24" ht="20.100000000000001" customHeight="1" x14ac:dyDescent="0.25">
      <c r="A3" s="5"/>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c r="C4" s="40"/>
      <c r="D4" s="40"/>
      <c r="E4" s="40"/>
      <c r="F4" s="40"/>
      <c r="G4" s="40"/>
      <c r="H4" s="40"/>
      <c r="I4" s="40"/>
      <c r="J4" s="40"/>
      <c r="K4" s="40"/>
    </row>
    <row r="5" spans="1:24" ht="20.100000000000001" customHeight="1" x14ac:dyDescent="0.25">
      <c r="A5" s="5"/>
      <c r="D5" s="2" t="s">
        <v>102</v>
      </c>
      <c r="N5" s="41"/>
    </row>
    <row r="6" spans="1:24" ht="20.100000000000001" customHeight="1" x14ac:dyDescent="0.25">
      <c r="A6"/>
      <c r="N6" s="43"/>
    </row>
    <row r="7" spans="1:24" ht="20.100000000000001" customHeight="1" x14ac:dyDescent="0.25">
      <c r="A7"/>
      <c r="D7" s="53" t="s">
        <v>103</v>
      </c>
      <c r="E7" s="54"/>
      <c r="F7" s="54"/>
      <c r="G7" s="55"/>
    </row>
    <row r="8" spans="1:24" ht="20.100000000000001" customHeight="1" x14ac:dyDescent="0.25">
      <c r="A8" s="7"/>
      <c r="D8" s="56" t="s">
        <v>104</v>
      </c>
      <c r="E8" s="57"/>
      <c r="F8" s="57"/>
      <c r="G8" s="58"/>
    </row>
    <row r="9" spans="1:24" ht="20.100000000000001" customHeight="1" x14ac:dyDescent="0.25">
      <c r="A9" s="5"/>
      <c r="D9" s="1"/>
      <c r="E9" s="59"/>
      <c r="F9" s="26"/>
      <c r="N9" s="45"/>
    </row>
    <row r="10" spans="1:24" ht="20.100000000000001" customHeight="1" x14ac:dyDescent="0.25">
      <c r="A10" s="103"/>
      <c r="D10" s="1" t="s">
        <v>105</v>
      </c>
      <c r="E10" s="23" t="s">
        <v>106</v>
      </c>
      <c r="F10" s="26" t="s">
        <v>107</v>
      </c>
      <c r="N10" s="45"/>
    </row>
    <row r="11" spans="1:24" ht="20.100000000000001" customHeight="1" x14ac:dyDescent="0.25">
      <c r="A11" s="5"/>
      <c r="D11" s="1" t="s">
        <v>108</v>
      </c>
      <c r="E11" s="23" t="s">
        <v>109</v>
      </c>
      <c r="F11" s="26" t="s">
        <v>107</v>
      </c>
      <c r="G11" s="1"/>
      <c r="N11" s="50"/>
    </row>
    <row r="12" spans="1:24" ht="20.100000000000001" customHeight="1" x14ac:dyDescent="0.25">
      <c r="A12" s="5"/>
      <c r="D12" s="1" t="s">
        <v>110</v>
      </c>
      <c r="E12" s="23" t="s">
        <v>111</v>
      </c>
      <c r="F12" s="26" t="s">
        <v>107</v>
      </c>
    </row>
    <row r="13" spans="1:24" ht="20.100000000000001" customHeight="1" x14ac:dyDescent="0.25">
      <c r="A13" s="5"/>
      <c r="D13" s="1" t="s">
        <v>43</v>
      </c>
      <c r="E13" s="44">
        <v>307.7</v>
      </c>
      <c r="F13" s="26" t="s">
        <v>112</v>
      </c>
      <c r="N13" s="52"/>
      <c r="O13" s="52"/>
    </row>
    <row r="14" spans="1:24" ht="20.100000000000001" customHeight="1" x14ac:dyDescent="0.25">
      <c r="A14" s="5"/>
      <c r="D14" s="1" t="s">
        <v>113</v>
      </c>
      <c r="E14" s="44">
        <v>18</v>
      </c>
      <c r="F14" s="26" t="s">
        <v>114</v>
      </c>
      <c r="N14" s="52"/>
      <c r="O14" s="52"/>
    </row>
    <row r="15" spans="1:24" ht="20.100000000000001" customHeight="1" x14ac:dyDescent="0.25">
      <c r="A15" s="5"/>
      <c r="D15" s="1" t="s">
        <v>115</v>
      </c>
      <c r="E15" s="44">
        <v>601</v>
      </c>
      <c r="F15" s="26" t="s">
        <v>116</v>
      </c>
      <c r="N15" s="52"/>
      <c r="O15" s="52"/>
    </row>
    <row r="16" spans="1:24" ht="20.100000000000001" customHeight="1" x14ac:dyDescent="0.25">
      <c r="A16" s="5"/>
      <c r="D16" s="22" t="s">
        <v>117</v>
      </c>
      <c r="E16" s="44">
        <v>1326</v>
      </c>
      <c r="F16" s="26" t="s">
        <v>116</v>
      </c>
      <c r="N16" s="52"/>
      <c r="O16" s="52"/>
    </row>
    <row r="17" spans="1:25" ht="20.100000000000001" customHeight="1" x14ac:dyDescent="0.25">
      <c r="A17" s="5"/>
      <c r="D17" s="1" t="s">
        <v>118</v>
      </c>
      <c r="E17" s="44">
        <v>7</v>
      </c>
      <c r="F17" s="26" t="s">
        <v>119</v>
      </c>
    </row>
    <row r="18" spans="1:25" ht="20.100000000000001" customHeight="1" x14ac:dyDescent="0.25">
      <c r="A18" s="5"/>
      <c r="D18" s="22" t="s">
        <v>120</v>
      </c>
      <c r="E18" s="25">
        <f>E15/E16</f>
        <v>0.45324283559577677</v>
      </c>
      <c r="F18" s="26"/>
    </row>
    <row r="19" spans="1:25" ht="20.100000000000001" customHeight="1" x14ac:dyDescent="0.25">
      <c r="A19" s="5"/>
      <c r="D19" s="22" t="s">
        <v>71</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c r="D20" s="1" t="s">
        <v>38</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c r="D21" s="1" t="s">
        <v>121</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c r="D22" s="1" t="s">
        <v>75</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row>
    <row r="24" spans="1:25" ht="20.100000000000001" customHeight="1" x14ac:dyDescent="0.25">
      <c r="A24" s="5"/>
    </row>
    <row r="25" spans="1:25" ht="20.100000000000001" customHeight="1" x14ac:dyDescent="0.25">
      <c r="A25" s="5"/>
      <c r="N25" s="43"/>
    </row>
    <row r="26" spans="1:25" ht="20.100000000000001" customHeight="1" x14ac:dyDescent="0.25">
      <c r="A26" s="5"/>
    </row>
    <row r="27" spans="1:25" ht="20.100000000000001" customHeight="1" x14ac:dyDescent="0.25">
      <c r="A27"/>
    </row>
    <row r="28" spans="1:25" ht="20.100000000000001" customHeight="1" x14ac:dyDescent="0.25">
      <c r="A28"/>
    </row>
    <row r="29" spans="1:25" ht="20.100000000000001" customHeight="1" x14ac:dyDescent="0.25">
      <c r="A29" s="6"/>
    </row>
    <row r="30" spans="1:25" ht="20.100000000000001" customHeight="1" x14ac:dyDescent="0.25">
      <c r="A30" s="5"/>
      <c r="L30" s="61"/>
      <c r="M30" s="61"/>
      <c r="N30" s="61"/>
      <c r="O30" s="61"/>
      <c r="P30" s="61"/>
      <c r="Q30" s="61"/>
      <c r="R30" s="61"/>
      <c r="S30" s="61"/>
      <c r="T30" s="61"/>
      <c r="U30" s="61"/>
      <c r="V30" s="61"/>
      <c r="W30" s="61"/>
      <c r="X30" s="61"/>
      <c r="Y30" s="61"/>
    </row>
    <row r="31" spans="1:25" ht="20.100000000000001" customHeight="1" x14ac:dyDescent="0.25">
      <c r="A31" s="5"/>
      <c r="L31" s="62"/>
      <c r="M31" s="62"/>
      <c r="N31" s="62"/>
      <c r="O31" s="62"/>
      <c r="P31" s="62"/>
      <c r="Q31" s="62"/>
      <c r="R31" s="62"/>
      <c r="S31" s="62"/>
      <c r="T31" s="62"/>
      <c r="U31" s="62"/>
      <c r="V31" s="62"/>
      <c r="W31" s="62"/>
      <c r="X31" s="62"/>
      <c r="Y31" s="62"/>
    </row>
    <row r="32" spans="1:25" ht="20.100000000000001" customHeight="1" x14ac:dyDescent="0.25">
      <c r="A32" s="5"/>
      <c r="L32" s="62"/>
      <c r="M32" s="62"/>
      <c r="N32" s="62"/>
      <c r="O32" s="62"/>
      <c r="P32" s="62"/>
      <c r="Q32" s="62"/>
      <c r="R32" s="62"/>
      <c r="S32" s="62"/>
      <c r="T32" s="62"/>
      <c r="U32" s="62"/>
      <c r="V32" s="62"/>
      <c r="W32" s="62"/>
      <c r="X32" s="62"/>
      <c r="Y32" s="62"/>
    </row>
    <row r="33" spans="1:25" ht="20.100000000000001" customHeight="1" x14ac:dyDescent="0.25">
      <c r="A33" s="5"/>
      <c r="L33" s="62"/>
      <c r="M33" s="62"/>
      <c r="N33" s="62"/>
      <c r="O33" s="62"/>
      <c r="P33" s="62"/>
      <c r="Q33" s="62"/>
      <c r="R33" s="62"/>
      <c r="S33" s="62"/>
      <c r="T33" s="62"/>
      <c r="U33" s="62"/>
      <c r="V33" s="62"/>
      <c r="W33" s="62"/>
      <c r="X33" s="62"/>
      <c r="Y33" s="62"/>
    </row>
    <row r="34" spans="1:25" ht="20.100000000000001" customHeight="1" x14ac:dyDescent="0.25">
      <c r="A34" s="5"/>
      <c r="J34" s="64"/>
      <c r="K34" s="65"/>
      <c r="L34" s="62"/>
      <c r="M34" s="62"/>
      <c r="N34" s="62"/>
      <c r="O34" s="62"/>
      <c r="P34" s="62"/>
      <c r="Q34" s="62"/>
      <c r="R34" s="62"/>
      <c r="S34" s="62"/>
      <c r="T34" s="62"/>
      <c r="U34" s="62"/>
      <c r="V34" s="62"/>
      <c r="W34" s="62"/>
      <c r="X34" s="62"/>
      <c r="Y34" s="62"/>
    </row>
    <row r="35" spans="1:25" ht="20.100000000000001" customHeight="1" x14ac:dyDescent="0.25">
      <c r="A35" s="5"/>
      <c r="J35" s="64"/>
      <c r="K35" s="65"/>
      <c r="L35" s="62"/>
      <c r="M35" s="62"/>
      <c r="N35" s="62"/>
      <c r="O35" s="62"/>
      <c r="P35" s="62"/>
      <c r="Q35" s="62"/>
      <c r="R35" s="62"/>
      <c r="S35" s="62"/>
      <c r="T35" s="62"/>
      <c r="U35" s="62"/>
      <c r="V35" s="62"/>
      <c r="W35" s="62"/>
      <c r="X35" s="62"/>
      <c r="Y35" s="62"/>
    </row>
    <row r="36" spans="1:25" ht="20.100000000000001" customHeight="1" x14ac:dyDescent="0.25">
      <c r="A36" s="5"/>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row>
    <row r="42" spans="1:25" ht="20.100000000000001" customHeight="1" x14ac:dyDescent="0.25">
      <c r="A42" s="5"/>
    </row>
    <row r="43" spans="1:25" ht="20.100000000000001" customHeight="1" x14ac:dyDescent="0.25">
      <c r="A43" s="5"/>
    </row>
    <row r="44" spans="1:25" ht="20.100000000000001" customHeight="1" x14ac:dyDescent="0.25">
      <c r="A44" s="5"/>
    </row>
    <row r="45" spans="1:25" ht="20.100000000000001" customHeight="1" x14ac:dyDescent="0.25">
      <c r="A45" s="5"/>
      <c r="D45" s="2"/>
    </row>
    <row r="46" spans="1:25" ht="20.100000000000001" customHeight="1" x14ac:dyDescent="0.25">
      <c r="A46" s="5"/>
      <c r="D46" s="2"/>
    </row>
    <row r="47" spans="1:25" ht="20.100000000000001" customHeight="1" x14ac:dyDescent="0.25">
      <c r="A47" s="5"/>
      <c r="D47" s="73"/>
      <c r="E47" s="73"/>
      <c r="F47" s="73"/>
      <c r="G47" s="73"/>
      <c r="H47" s="73"/>
    </row>
    <row r="48" spans="1:25" ht="20.100000000000001" customHeight="1" x14ac:dyDescent="0.25">
      <c r="A48" s="5"/>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s="100"/>
      <c r="D51" s="76"/>
      <c r="E51" s="77"/>
      <c r="F51" s="77"/>
      <c r="G51" s="77"/>
      <c r="H51" s="78"/>
    </row>
    <row r="52" spans="1:8" ht="20.100000000000001" customHeight="1" x14ac:dyDescent="0.25">
      <c r="A52" s="5"/>
    </row>
    <row r="53" spans="1:8" ht="20.100000000000001" customHeight="1" x14ac:dyDescent="0.25">
      <c r="A53" s="5"/>
    </row>
    <row r="54" spans="1:8" ht="20.100000000000001" customHeight="1" x14ac:dyDescent="0.25">
      <c r="A54" s="5"/>
      <c r="G54" s="79"/>
    </row>
    <row r="55" spans="1:8" ht="20.100000000000001" customHeight="1" x14ac:dyDescent="0.25">
      <c r="A55" s="5"/>
      <c r="D55" s="2"/>
    </row>
    <row r="56" spans="1:8" ht="20.100000000000001" customHeight="1" x14ac:dyDescent="0.25">
      <c r="A56" s="5"/>
    </row>
    <row r="57" spans="1:8" ht="20.100000000000001" customHeight="1" x14ac:dyDescent="0.25">
      <c r="A57" s="5"/>
      <c r="D57" s="80"/>
      <c r="F57" s="81"/>
    </row>
    <row r="58" spans="1:8" ht="20.100000000000001" customHeight="1" x14ac:dyDescent="0.25">
      <c r="A58" s="5"/>
      <c r="D58" s="1"/>
      <c r="E58" s="82"/>
    </row>
    <row r="59" spans="1:8" ht="20.100000000000001" customHeight="1" x14ac:dyDescent="0.25">
      <c r="A59" s="5"/>
      <c r="D59" s="1"/>
      <c r="E59" s="82"/>
    </row>
    <row r="60" spans="1:8" ht="20.100000000000001" customHeight="1" x14ac:dyDescent="0.25">
      <c r="A60" s="5"/>
      <c r="D60" s="1"/>
      <c r="E60" s="83"/>
    </row>
    <row r="61" spans="1:8" ht="20.100000000000001" customHeight="1" x14ac:dyDescent="0.25">
      <c r="A61" s="5"/>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60E46-7509-470D-B51D-13F4593B814F}">
  <dimension ref="A1:AA334"/>
  <sheetViews>
    <sheetView showGridLines="0" topLeftCell="A13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102" customWidth="1"/>
    <col min="19" max="24" width="30.7109375" style="102" customWidth="1"/>
    <col min="25" max="25" width="4.7109375" style="102" customWidth="1"/>
  </cols>
  <sheetData>
    <row r="1" spans="1:25" s="16" customFormat="1" ht="30" customHeight="1" x14ac:dyDescent="0.35">
      <c r="A1" s="16" t="e" vm="1">
        <v>#VALUE!</v>
      </c>
      <c r="C1" s="16" t="s">
        <v>305</v>
      </c>
      <c r="Q1" s="102"/>
      <c r="R1" s="102"/>
      <c r="S1" s="102"/>
      <c r="T1" s="102"/>
      <c r="U1" s="102"/>
      <c r="V1" s="102"/>
      <c r="W1" s="102"/>
      <c r="X1" s="102"/>
      <c r="Y1" s="102"/>
    </row>
    <row r="2" spans="1:25" s="3" customFormat="1" ht="20.100000000000001" customHeight="1" x14ac:dyDescent="0.25">
      <c r="A2"/>
      <c r="Q2" s="102"/>
      <c r="R2" s="102"/>
      <c r="S2" s="102"/>
      <c r="T2" s="102"/>
      <c r="U2" s="102"/>
      <c r="V2" s="102"/>
      <c r="W2" s="102"/>
      <c r="X2" s="102"/>
      <c r="Y2" s="102"/>
    </row>
    <row r="3" spans="1:25" ht="20.100000000000001" customHeight="1" x14ac:dyDescent="0.25">
      <c r="A3" s="5"/>
      <c r="C3" s="39"/>
      <c r="D3" s="39"/>
      <c r="E3" s="39"/>
      <c r="F3" s="39"/>
      <c r="G3" s="39"/>
      <c r="H3" s="39"/>
      <c r="I3" s="39"/>
      <c r="J3" s="39"/>
      <c r="K3" s="39"/>
      <c r="L3" s="39"/>
      <c r="M3" s="39"/>
      <c r="N3" s="39"/>
      <c r="O3" s="39"/>
      <c r="P3" s="39"/>
    </row>
    <row r="4" spans="1:25" ht="20.100000000000001" customHeight="1" x14ac:dyDescent="0.25">
      <c r="A4" s="5"/>
    </row>
    <row r="5" spans="1:25" ht="20.100000000000001" customHeight="1" x14ac:dyDescent="0.25">
      <c r="A5" s="5"/>
      <c r="D5" s="2" t="s">
        <v>306</v>
      </c>
      <c r="P5" s="35"/>
      <c r="T5" s="32"/>
    </row>
    <row r="6" spans="1:25" ht="20.100000000000001" customHeight="1" x14ac:dyDescent="0.25">
      <c r="P6" s="35"/>
      <c r="T6" s="32"/>
    </row>
    <row r="7" spans="1:25" ht="20.100000000000001" customHeight="1" x14ac:dyDescent="0.25">
      <c r="D7" s="1" t="s">
        <v>105</v>
      </c>
      <c r="E7" s="25" t="str">
        <f>X_Cell_Site_State</f>
        <v>Western Australia</v>
      </c>
      <c r="P7" s="35"/>
      <c r="T7" s="32"/>
    </row>
    <row r="8" spans="1:25" ht="20.100000000000001" customHeight="1" x14ac:dyDescent="0.25">
      <c r="A8" s="7"/>
      <c r="D8" s="1" t="s">
        <v>270</v>
      </c>
      <c r="E8" s="23" t="s">
        <v>307</v>
      </c>
      <c r="F8" s="26" t="s">
        <v>107</v>
      </c>
      <c r="P8" s="35"/>
      <c r="T8" s="32"/>
    </row>
    <row r="9" spans="1:25" ht="20.100000000000001" customHeight="1" x14ac:dyDescent="0.25">
      <c r="A9" s="5"/>
      <c r="D9" s="1" t="s">
        <v>271</v>
      </c>
      <c r="E9" s="23" t="s">
        <v>308</v>
      </c>
      <c r="F9" s="26" t="s">
        <v>107</v>
      </c>
      <c r="T9" s="32"/>
    </row>
    <row r="10" spans="1:25" ht="20.100000000000001" customHeight="1" x14ac:dyDescent="0.25">
      <c r="A10" s="5"/>
      <c r="T10" s="32"/>
    </row>
    <row r="11" spans="1:25" ht="20.100000000000001" customHeight="1" x14ac:dyDescent="0.25">
      <c r="A11" s="103"/>
      <c r="T11" s="32"/>
    </row>
    <row r="12" spans="1:25" ht="20.100000000000001" customHeight="1" x14ac:dyDescent="0.25">
      <c r="A12" s="5"/>
      <c r="T12" s="32"/>
    </row>
    <row r="13" spans="1:25" ht="20.100000000000001" customHeight="1" x14ac:dyDescent="0.25">
      <c r="A13" s="5"/>
      <c r="D13" s="46" t="s">
        <v>309</v>
      </c>
      <c r="E13" s="48"/>
      <c r="F13" s="48"/>
      <c r="G13" s="49"/>
      <c r="T13" s="52"/>
    </row>
    <row r="14" spans="1:25" ht="20.100000000000001" customHeight="1" x14ac:dyDescent="0.25">
      <c r="A14" s="5"/>
      <c r="T14" s="52"/>
    </row>
    <row r="15" spans="1:25" ht="20.100000000000001" customHeight="1" x14ac:dyDescent="0.25">
      <c r="A15" s="5"/>
      <c r="D15" s="91" t="s">
        <v>310</v>
      </c>
      <c r="T15" s="52"/>
    </row>
    <row r="16" spans="1:25" ht="20.100000000000001" customHeight="1" x14ac:dyDescent="0.25">
      <c r="A16" s="5"/>
      <c r="D16" s="104" t="s">
        <v>311</v>
      </c>
      <c r="E16" s="104" t="s">
        <v>312</v>
      </c>
      <c r="F16" s="104" t="s">
        <v>198</v>
      </c>
      <c r="G16" s="104" t="s">
        <v>313</v>
      </c>
      <c r="H16" s="104" t="s">
        <v>314</v>
      </c>
      <c r="I16" s="104" t="s">
        <v>315</v>
      </c>
      <c r="J16" s="104" t="s">
        <v>316</v>
      </c>
      <c r="K16" s="104" t="s">
        <v>317</v>
      </c>
      <c r="L16" s="104" t="s">
        <v>318</v>
      </c>
      <c r="M16" s="104" t="s">
        <v>319</v>
      </c>
      <c r="N16" s="104" t="s">
        <v>320</v>
      </c>
      <c r="T16" s="52"/>
    </row>
    <row r="17" spans="1:20" ht="20.100000000000001" customHeight="1" x14ac:dyDescent="0.25">
      <c r="A17" s="5"/>
      <c r="D17" s="1" t="s">
        <v>321</v>
      </c>
      <c r="E17" s="25">
        <v>91.25</v>
      </c>
      <c r="F17" s="25">
        <v>91.25</v>
      </c>
      <c r="G17" s="25">
        <v>91.25</v>
      </c>
      <c r="H17" s="25">
        <v>91.25</v>
      </c>
      <c r="I17" s="25">
        <v>91.25</v>
      </c>
      <c r="J17" s="25">
        <v>91.25</v>
      </c>
      <c r="K17" s="25">
        <v>91.25</v>
      </c>
      <c r="L17" s="25">
        <v>91.25</v>
      </c>
      <c r="M17" s="25">
        <v>91.25</v>
      </c>
      <c r="N17" s="25">
        <v>91.25</v>
      </c>
      <c r="O17" s="26" t="s">
        <v>119</v>
      </c>
      <c r="T17" s="32"/>
    </row>
    <row r="18" spans="1:20" ht="20.100000000000001" customHeight="1" x14ac:dyDescent="0.25">
      <c r="A18" s="5"/>
      <c r="D18" s="1" t="s">
        <v>322</v>
      </c>
      <c r="E18" s="25">
        <v>91.25</v>
      </c>
      <c r="F18" s="25">
        <v>91.25</v>
      </c>
      <c r="G18" s="25">
        <v>91.25</v>
      </c>
      <c r="H18" s="25">
        <v>91.25</v>
      </c>
      <c r="I18" s="25">
        <v>91.25</v>
      </c>
      <c r="J18" s="25">
        <v>91.25</v>
      </c>
      <c r="K18" s="25">
        <v>91.25</v>
      </c>
      <c r="L18" s="25">
        <v>91.25</v>
      </c>
      <c r="M18" s="25">
        <v>91.25</v>
      </c>
      <c r="N18" s="25">
        <v>91.25</v>
      </c>
      <c r="O18" s="26" t="s">
        <v>119</v>
      </c>
      <c r="T18" s="32"/>
    </row>
    <row r="19" spans="1:20" ht="20.100000000000001" customHeight="1" x14ac:dyDescent="0.25">
      <c r="A19" s="5"/>
      <c r="D19" s="1" t="s">
        <v>323</v>
      </c>
      <c r="E19" s="25">
        <v>91.25</v>
      </c>
      <c r="F19" s="25">
        <v>91.25</v>
      </c>
      <c r="G19" s="25">
        <v>91.25</v>
      </c>
      <c r="H19" s="25">
        <v>91.25</v>
      </c>
      <c r="I19" s="25">
        <v>91.25</v>
      </c>
      <c r="J19" s="25">
        <v>91.25</v>
      </c>
      <c r="K19" s="25">
        <v>91.25</v>
      </c>
      <c r="L19" s="25">
        <v>91.25</v>
      </c>
      <c r="M19" s="25">
        <v>91.25</v>
      </c>
      <c r="N19" s="25">
        <v>91.25</v>
      </c>
      <c r="O19" s="26" t="s">
        <v>119</v>
      </c>
      <c r="T19" s="32"/>
    </row>
    <row r="20" spans="1:20" ht="20.100000000000001" customHeight="1" x14ac:dyDescent="0.25">
      <c r="A20" s="5"/>
      <c r="D20" s="1" t="s">
        <v>324</v>
      </c>
      <c r="E20" s="25">
        <v>91.25</v>
      </c>
      <c r="F20" s="25">
        <v>91.25</v>
      </c>
      <c r="G20" s="25">
        <v>91.25</v>
      </c>
      <c r="H20" s="25">
        <v>91.25</v>
      </c>
      <c r="I20" s="25">
        <v>91.25</v>
      </c>
      <c r="J20" s="25">
        <v>91.25</v>
      </c>
      <c r="K20" s="25">
        <v>91.25</v>
      </c>
      <c r="L20" s="25">
        <v>91.25</v>
      </c>
      <c r="M20" s="25">
        <v>91.25</v>
      </c>
      <c r="N20" s="25">
        <v>91.25</v>
      </c>
      <c r="O20" s="26" t="s">
        <v>119</v>
      </c>
      <c r="T20" s="32"/>
    </row>
    <row r="21" spans="1:20" ht="20.100000000000001" customHeight="1" x14ac:dyDescent="0.25">
      <c r="A21" s="5"/>
      <c r="T21" s="32"/>
    </row>
    <row r="22" spans="1:20" ht="20.100000000000001" customHeight="1" x14ac:dyDescent="0.25">
      <c r="A22" s="5"/>
      <c r="D22" s="104" t="s">
        <v>325</v>
      </c>
      <c r="E22" s="104" t="s">
        <v>312</v>
      </c>
      <c r="F22" s="104" t="s">
        <v>198</v>
      </c>
      <c r="G22" s="104" t="s">
        <v>313</v>
      </c>
      <c r="H22" s="104" t="s">
        <v>314</v>
      </c>
      <c r="I22" s="104" t="s">
        <v>315</v>
      </c>
      <c r="J22" s="104" t="s">
        <v>316</v>
      </c>
      <c r="K22" s="104" t="s">
        <v>317</v>
      </c>
      <c r="L22" s="104" t="s">
        <v>318</v>
      </c>
      <c r="M22" s="104" t="s">
        <v>319</v>
      </c>
      <c r="N22" s="104" t="s">
        <v>320</v>
      </c>
      <c r="T22" s="32"/>
    </row>
    <row r="23" spans="1:20" ht="20.100000000000001" customHeight="1" x14ac:dyDescent="0.25">
      <c r="A23" s="5"/>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119</v>
      </c>
      <c r="T23" s="32"/>
    </row>
    <row r="24" spans="1:20" ht="20.100000000000001" customHeight="1" x14ac:dyDescent="0.25">
      <c r="A24" s="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119</v>
      </c>
      <c r="T24" s="32"/>
    </row>
    <row r="25" spans="1:20" ht="20.100000000000001" customHeight="1" x14ac:dyDescent="0.25">
      <c r="A25" s="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119</v>
      </c>
      <c r="T25" s="32"/>
    </row>
    <row r="26" spans="1:20" ht="20.100000000000001" customHeight="1" x14ac:dyDescent="0.25">
      <c r="A26" s="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119</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119</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119</v>
      </c>
      <c r="T28" s="32"/>
    </row>
    <row r="29" spans="1:20" ht="20.100000000000001" customHeight="1" x14ac:dyDescent="0.25">
      <c r="A29" s="6"/>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119</v>
      </c>
      <c r="T29" s="32"/>
    </row>
    <row r="30" spans="1:20" ht="20.100000000000001" customHeight="1" x14ac:dyDescent="0.25">
      <c r="A30" s="5"/>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119</v>
      </c>
      <c r="T30" s="32"/>
    </row>
    <row r="31" spans="1:20" ht="20.100000000000001" customHeight="1" x14ac:dyDescent="0.25">
      <c r="A31" s="5"/>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119</v>
      </c>
      <c r="T31" s="32"/>
    </row>
    <row r="32" spans="1:20" ht="20.100000000000001" customHeight="1" x14ac:dyDescent="0.25">
      <c r="A32" s="5"/>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119</v>
      </c>
      <c r="T32" s="32"/>
    </row>
    <row r="33" spans="1:20" ht="20.100000000000001" customHeight="1" x14ac:dyDescent="0.25">
      <c r="A33" s="5"/>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119</v>
      </c>
      <c r="T33" s="32"/>
    </row>
    <row r="34" spans="1:20" ht="20.100000000000001" customHeight="1" x14ac:dyDescent="0.25">
      <c r="A34" s="5"/>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119</v>
      </c>
      <c r="T34" s="32"/>
    </row>
    <row r="35" spans="1:20" ht="20.100000000000001" customHeight="1" x14ac:dyDescent="0.25">
      <c r="A35" s="5"/>
      <c r="T35" s="32"/>
    </row>
    <row r="36" spans="1:20" ht="20.100000000000001" customHeight="1" x14ac:dyDescent="0.25">
      <c r="A36" s="5"/>
      <c r="T36" s="32"/>
    </row>
    <row r="37" spans="1:20" ht="20.100000000000001" customHeight="1" x14ac:dyDescent="0.25">
      <c r="A37" s="5"/>
      <c r="D37" s="91" t="s">
        <v>326</v>
      </c>
      <c r="T37" s="32"/>
    </row>
    <row r="38" spans="1:20" ht="20.100000000000001" customHeight="1" x14ac:dyDescent="0.25">
      <c r="A38" s="5"/>
      <c r="D38" s="104" t="s">
        <v>327</v>
      </c>
      <c r="E38" s="104" t="s">
        <v>312</v>
      </c>
      <c r="F38" s="104" t="s">
        <v>198</v>
      </c>
      <c r="G38" s="104" t="s">
        <v>313</v>
      </c>
      <c r="H38" s="104" t="s">
        <v>314</v>
      </c>
      <c r="I38" s="104" t="s">
        <v>315</v>
      </c>
      <c r="J38" s="104" t="s">
        <v>316</v>
      </c>
      <c r="K38" s="104" t="s">
        <v>317</v>
      </c>
      <c r="L38" s="104" t="s">
        <v>318</v>
      </c>
      <c r="M38" s="104" t="s">
        <v>319</v>
      </c>
      <c r="N38" s="104" t="s">
        <v>320</v>
      </c>
      <c r="T38" s="32"/>
    </row>
    <row r="39" spans="1:20" ht="20.100000000000001" customHeight="1" x14ac:dyDescent="0.25">
      <c r="A39" s="5"/>
      <c r="D39" s="1" t="s">
        <v>321</v>
      </c>
      <c r="E39" s="86">
        <v>100</v>
      </c>
      <c r="F39" s="86">
        <v>100</v>
      </c>
      <c r="G39" s="86">
        <v>100</v>
      </c>
      <c r="H39" s="86">
        <v>100</v>
      </c>
      <c r="I39" s="86">
        <v>100</v>
      </c>
      <c r="J39" s="86">
        <v>100</v>
      </c>
      <c r="K39" s="86">
        <v>100</v>
      </c>
      <c r="L39" s="86">
        <v>100</v>
      </c>
      <c r="M39" s="86">
        <v>100</v>
      </c>
      <c r="N39" s="86">
        <v>100</v>
      </c>
      <c r="O39" s="26" t="s">
        <v>326</v>
      </c>
      <c r="T39" s="32"/>
    </row>
    <row r="40" spans="1:20" ht="20.100000000000001" customHeight="1" x14ac:dyDescent="0.25">
      <c r="A40" s="5"/>
      <c r="D40" s="1" t="s">
        <v>322</v>
      </c>
      <c r="E40" s="86">
        <v>100</v>
      </c>
      <c r="F40" s="86">
        <v>100</v>
      </c>
      <c r="G40" s="86">
        <v>100</v>
      </c>
      <c r="H40" s="86">
        <v>100</v>
      </c>
      <c r="I40" s="86">
        <v>100</v>
      </c>
      <c r="J40" s="86">
        <v>100</v>
      </c>
      <c r="K40" s="86">
        <v>100</v>
      </c>
      <c r="L40" s="86">
        <v>100</v>
      </c>
      <c r="M40" s="86">
        <v>100</v>
      </c>
      <c r="N40" s="86">
        <v>100</v>
      </c>
      <c r="O40" s="26" t="s">
        <v>326</v>
      </c>
      <c r="T40" s="32"/>
    </row>
    <row r="41" spans="1:20" ht="20.100000000000001" customHeight="1" x14ac:dyDescent="0.25">
      <c r="A41" s="5"/>
      <c r="D41" s="1" t="s">
        <v>323</v>
      </c>
      <c r="E41" s="86">
        <v>100</v>
      </c>
      <c r="F41" s="86">
        <v>100</v>
      </c>
      <c r="G41" s="86">
        <v>100</v>
      </c>
      <c r="H41" s="86">
        <v>100</v>
      </c>
      <c r="I41" s="86">
        <v>100</v>
      </c>
      <c r="J41" s="86">
        <v>100</v>
      </c>
      <c r="K41" s="86">
        <v>100</v>
      </c>
      <c r="L41" s="86">
        <v>100</v>
      </c>
      <c r="M41" s="86">
        <v>100</v>
      </c>
      <c r="N41" s="86">
        <v>100</v>
      </c>
      <c r="O41" s="26" t="s">
        <v>326</v>
      </c>
      <c r="T41" s="32"/>
    </row>
    <row r="42" spans="1:20" ht="20.100000000000001" customHeight="1" x14ac:dyDescent="0.25">
      <c r="A42" s="5"/>
      <c r="D42" s="1" t="s">
        <v>324</v>
      </c>
      <c r="E42" s="86">
        <v>100</v>
      </c>
      <c r="F42" s="86">
        <v>100</v>
      </c>
      <c r="G42" s="86">
        <v>100</v>
      </c>
      <c r="H42" s="86">
        <v>100</v>
      </c>
      <c r="I42" s="86">
        <v>100</v>
      </c>
      <c r="J42" s="86">
        <v>100</v>
      </c>
      <c r="K42" s="86">
        <v>100</v>
      </c>
      <c r="L42" s="86">
        <v>100</v>
      </c>
      <c r="M42" s="86">
        <v>100</v>
      </c>
      <c r="N42" s="86">
        <v>100</v>
      </c>
      <c r="O42" s="26" t="s">
        <v>326</v>
      </c>
      <c r="T42" s="32"/>
    </row>
    <row r="43" spans="1:20" ht="20.100000000000001" customHeight="1" x14ac:dyDescent="0.25">
      <c r="A43" s="5"/>
      <c r="O43" s="26"/>
      <c r="T43" s="32"/>
    </row>
    <row r="44" spans="1:20" ht="20.100000000000001" customHeight="1" x14ac:dyDescent="0.25">
      <c r="A44" s="5"/>
      <c r="D44" s="104" t="s">
        <v>328</v>
      </c>
      <c r="E44" s="104" t="s">
        <v>312</v>
      </c>
      <c r="F44" s="104" t="s">
        <v>198</v>
      </c>
      <c r="G44" s="104" t="s">
        <v>313</v>
      </c>
      <c r="H44" s="104" t="s">
        <v>314</v>
      </c>
      <c r="I44" s="104" t="s">
        <v>315</v>
      </c>
      <c r="J44" s="104" t="s">
        <v>316</v>
      </c>
      <c r="K44" s="104" t="s">
        <v>317</v>
      </c>
      <c r="L44" s="104" t="s">
        <v>318</v>
      </c>
      <c r="M44" s="104" t="s">
        <v>319</v>
      </c>
      <c r="N44" s="104" t="s">
        <v>320</v>
      </c>
      <c r="O44" s="26"/>
      <c r="T44" s="32"/>
    </row>
    <row r="45" spans="1:20" ht="20.100000000000001" customHeight="1" x14ac:dyDescent="0.25">
      <c r="A45" s="5"/>
      <c r="D45" s="1" t="str">
        <f>TEXT(X_Cell_Site_StartDate, "mmmm yyyy")</f>
        <v>January 2024</v>
      </c>
      <c r="E45" s="86">
        <v>100</v>
      </c>
      <c r="F45" s="86">
        <v>100</v>
      </c>
      <c r="G45" s="86">
        <v>100</v>
      </c>
      <c r="H45" s="86">
        <v>100</v>
      </c>
      <c r="I45" s="86">
        <v>100</v>
      </c>
      <c r="J45" s="86">
        <v>100</v>
      </c>
      <c r="K45" s="86">
        <v>100</v>
      </c>
      <c r="L45" s="86">
        <v>100</v>
      </c>
      <c r="M45" s="86">
        <v>100</v>
      </c>
      <c r="N45" s="86">
        <v>100</v>
      </c>
      <c r="O45" s="26" t="s">
        <v>326</v>
      </c>
      <c r="T45" s="32"/>
    </row>
    <row r="46" spans="1:20" ht="20.100000000000001" customHeight="1" x14ac:dyDescent="0.25">
      <c r="A46" s="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326</v>
      </c>
      <c r="T46" s="32"/>
    </row>
    <row r="47" spans="1:20" ht="20.100000000000001" customHeight="1" x14ac:dyDescent="0.25">
      <c r="A47" s="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326</v>
      </c>
      <c r="T47" s="32"/>
    </row>
    <row r="48" spans="1:20" ht="20.100000000000001" customHeight="1" x14ac:dyDescent="0.25">
      <c r="A48" s="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326</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326</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326</v>
      </c>
      <c r="P50" s="35"/>
      <c r="T50" s="32"/>
    </row>
    <row r="51" spans="1:20" ht="20.100000000000001" customHeight="1" x14ac:dyDescent="0.25">
      <c r="A51" s="100"/>
      <c r="D51" s="1" t="str">
        <f>TEXT(EDATE(X_Cell_Site_StartDate,6), "mmmm yyyy")</f>
        <v>July 2024</v>
      </c>
      <c r="E51" s="86">
        <v>100</v>
      </c>
      <c r="F51" s="86">
        <v>100</v>
      </c>
      <c r="G51" s="86">
        <v>100</v>
      </c>
      <c r="H51" s="86">
        <v>100</v>
      </c>
      <c r="I51" s="86">
        <v>100</v>
      </c>
      <c r="J51" s="86">
        <v>100</v>
      </c>
      <c r="K51" s="86">
        <v>100</v>
      </c>
      <c r="L51" s="86">
        <v>100</v>
      </c>
      <c r="M51" s="86">
        <v>100</v>
      </c>
      <c r="N51" s="86">
        <v>100</v>
      </c>
      <c r="O51" s="26" t="s">
        <v>326</v>
      </c>
      <c r="P51" s="35"/>
      <c r="T51" s="32"/>
    </row>
    <row r="52" spans="1:20" ht="20.100000000000001" customHeight="1" x14ac:dyDescent="0.25">
      <c r="A52" s="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326</v>
      </c>
      <c r="P52" s="35"/>
      <c r="T52" s="32"/>
    </row>
    <row r="53" spans="1:20" ht="20.100000000000001" customHeight="1" x14ac:dyDescent="0.25">
      <c r="A53" s="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326</v>
      </c>
      <c r="P53" s="35"/>
      <c r="T53" s="32"/>
    </row>
    <row r="54" spans="1:20" ht="20.100000000000001" customHeight="1" x14ac:dyDescent="0.25">
      <c r="A54" s="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326</v>
      </c>
      <c r="P54" s="35"/>
      <c r="T54" s="32"/>
    </row>
    <row r="55" spans="1:20" ht="20.100000000000001" customHeight="1" x14ac:dyDescent="0.25">
      <c r="A55" s="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326</v>
      </c>
      <c r="P55" s="35"/>
      <c r="T55" s="32"/>
    </row>
    <row r="56" spans="1:20" ht="20.100000000000001" customHeight="1" x14ac:dyDescent="0.25">
      <c r="A56" s="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326</v>
      </c>
      <c r="P56" s="35"/>
      <c r="T56" s="32"/>
    </row>
    <row r="57" spans="1:20" ht="20.100000000000001" customHeight="1" x14ac:dyDescent="0.25">
      <c r="A57" s="5"/>
      <c r="P57" s="35"/>
      <c r="T57" s="32"/>
    </row>
    <row r="58" spans="1:20" ht="20.100000000000001" customHeight="1" x14ac:dyDescent="0.25">
      <c r="A58" s="5"/>
      <c r="P58" s="35"/>
      <c r="T58" s="32"/>
    </row>
    <row r="59" spans="1:20" ht="20.100000000000001" customHeight="1" x14ac:dyDescent="0.25">
      <c r="A59" s="5"/>
      <c r="D59" s="91" t="s">
        <v>273</v>
      </c>
      <c r="P59" s="35"/>
      <c r="T59" s="32"/>
    </row>
    <row r="60" spans="1:20" ht="20.100000000000001" customHeight="1" x14ac:dyDescent="0.25">
      <c r="A60" s="5"/>
      <c r="D60" s="104" t="s">
        <v>311</v>
      </c>
      <c r="E60" s="104" t="s">
        <v>312</v>
      </c>
      <c r="F60" s="104" t="s">
        <v>198</v>
      </c>
      <c r="G60" s="104" t="s">
        <v>313</v>
      </c>
      <c r="H60" s="104" t="s">
        <v>314</v>
      </c>
      <c r="I60" s="104" t="s">
        <v>315</v>
      </c>
      <c r="J60" s="104" t="s">
        <v>316</v>
      </c>
      <c r="K60" s="104" t="s">
        <v>317</v>
      </c>
      <c r="L60" s="104" t="s">
        <v>318</v>
      </c>
      <c r="M60" s="104" t="s">
        <v>319</v>
      </c>
      <c r="N60" s="104" t="s">
        <v>320</v>
      </c>
      <c r="P60" s="35"/>
      <c r="T60" s="32"/>
    </row>
    <row r="61" spans="1:20" ht="20.100000000000001" customHeight="1" x14ac:dyDescent="0.25">
      <c r="A61" s="5"/>
      <c r="D61" s="1" t="s">
        <v>321</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329</v>
      </c>
      <c r="P61" s="35"/>
      <c r="T61" s="32"/>
    </row>
    <row r="62" spans="1:20" ht="20.100000000000001" customHeight="1" x14ac:dyDescent="0.25">
      <c r="D62" s="1" t="s">
        <v>322</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329</v>
      </c>
      <c r="P62" s="35"/>
      <c r="T62" s="32"/>
    </row>
    <row r="63" spans="1:20" ht="20.100000000000001" customHeight="1" x14ac:dyDescent="0.25">
      <c r="D63" s="1" t="s">
        <v>323</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329</v>
      </c>
      <c r="P63" s="35"/>
      <c r="T63" s="32"/>
    </row>
    <row r="64" spans="1:20" ht="20.100000000000001" customHeight="1" x14ac:dyDescent="0.25">
      <c r="D64" s="1" t="s">
        <v>324</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329</v>
      </c>
      <c r="P64" s="35"/>
      <c r="T64" s="32"/>
    </row>
    <row r="65" spans="4:20" ht="20.100000000000001" customHeight="1" x14ac:dyDescent="0.25">
      <c r="O65" s="26"/>
      <c r="P65" s="35"/>
      <c r="T65" s="32"/>
    </row>
    <row r="66" spans="4:20" ht="20.100000000000001" customHeight="1" x14ac:dyDescent="0.25">
      <c r="D66" s="104" t="s">
        <v>325</v>
      </c>
      <c r="E66" s="104" t="s">
        <v>312</v>
      </c>
      <c r="F66" s="104" t="s">
        <v>198</v>
      </c>
      <c r="G66" s="104" t="s">
        <v>313</v>
      </c>
      <c r="H66" s="104" t="s">
        <v>314</v>
      </c>
      <c r="I66" s="104" t="s">
        <v>315</v>
      </c>
      <c r="J66" s="104" t="s">
        <v>316</v>
      </c>
      <c r="K66" s="104" t="s">
        <v>317</v>
      </c>
      <c r="L66" s="104" t="s">
        <v>318</v>
      </c>
      <c r="M66" s="104" t="s">
        <v>319</v>
      </c>
      <c r="N66" s="104" t="s">
        <v>320</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329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329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329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329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329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329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329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329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329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329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329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329</v>
      </c>
      <c r="T78" s="32"/>
    </row>
    <row r="79" spans="4:20" ht="20.100000000000001" customHeight="1" x14ac:dyDescent="0.25">
      <c r="T79" s="32"/>
    </row>
    <row r="80" spans="4:20" ht="20.100000000000001" customHeight="1" x14ac:dyDescent="0.25">
      <c r="T80" s="32"/>
    </row>
    <row r="81" spans="4:20" ht="20.100000000000001" customHeight="1" x14ac:dyDescent="0.25">
      <c r="D81" s="91" t="s">
        <v>274</v>
      </c>
      <c r="T81" s="32"/>
    </row>
    <row r="82" spans="4:20" ht="20.100000000000001" customHeight="1" x14ac:dyDescent="0.25">
      <c r="D82" s="104" t="s">
        <v>311</v>
      </c>
      <c r="E82" s="104" t="s">
        <v>312</v>
      </c>
      <c r="F82" s="104" t="s">
        <v>198</v>
      </c>
      <c r="G82" s="104" t="s">
        <v>313</v>
      </c>
      <c r="H82" s="104" t="s">
        <v>314</v>
      </c>
      <c r="I82" s="104" t="s">
        <v>315</v>
      </c>
      <c r="J82" s="104" t="s">
        <v>316</v>
      </c>
      <c r="K82" s="104" t="s">
        <v>317</v>
      </c>
      <c r="L82" s="104" t="s">
        <v>318</v>
      </c>
      <c r="M82" s="104" t="s">
        <v>319</v>
      </c>
      <c r="N82" s="104" t="s">
        <v>320</v>
      </c>
      <c r="T82" s="32"/>
    </row>
    <row r="83" spans="4:20" ht="20.100000000000001" customHeight="1" x14ac:dyDescent="0.25">
      <c r="D83" s="1" t="s">
        <v>321</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330</v>
      </c>
      <c r="T83" s="32"/>
    </row>
    <row r="84" spans="4:20" ht="20.100000000000001" customHeight="1" x14ac:dyDescent="0.25">
      <c r="D84" s="1" t="s">
        <v>322</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330</v>
      </c>
      <c r="T84" s="32"/>
    </row>
    <row r="85" spans="4:20" ht="20.100000000000001" customHeight="1" x14ac:dyDescent="0.25">
      <c r="D85" s="1" t="s">
        <v>323</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330</v>
      </c>
      <c r="T85" s="32"/>
    </row>
    <row r="86" spans="4:20" ht="20.100000000000001" customHeight="1" x14ac:dyDescent="0.25">
      <c r="D86" s="1" t="s">
        <v>324</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330</v>
      </c>
      <c r="T86" s="32"/>
    </row>
    <row r="87" spans="4:20" ht="20.100000000000001" customHeight="1" x14ac:dyDescent="0.25">
      <c r="O87" s="26"/>
      <c r="T87" s="32"/>
    </row>
    <row r="88" spans="4:20" ht="20.100000000000001" customHeight="1" x14ac:dyDescent="0.25">
      <c r="D88" s="104" t="s">
        <v>325</v>
      </c>
      <c r="E88" s="104" t="s">
        <v>312</v>
      </c>
      <c r="F88" s="104" t="s">
        <v>198</v>
      </c>
      <c r="G88" s="104" t="s">
        <v>313</v>
      </c>
      <c r="H88" s="104" t="s">
        <v>314</v>
      </c>
      <c r="I88" s="104" t="s">
        <v>315</v>
      </c>
      <c r="J88" s="104" t="s">
        <v>316</v>
      </c>
      <c r="K88" s="104" t="s">
        <v>317</v>
      </c>
      <c r="L88" s="104" t="s">
        <v>318</v>
      </c>
      <c r="M88" s="104" t="s">
        <v>319</v>
      </c>
      <c r="N88" s="104" t="s">
        <v>320</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330</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330</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330</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330</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330</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330</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330</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330</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330</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330</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330</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330</v>
      </c>
      <c r="T100" s="32"/>
    </row>
    <row r="101" spans="4:20" ht="20.100000000000001" customHeight="1" x14ac:dyDescent="0.25">
      <c r="T101" s="32"/>
    </row>
    <row r="102" spans="4:20" ht="20.100000000000001" customHeight="1" x14ac:dyDescent="0.25">
      <c r="T102" s="32"/>
    </row>
    <row r="103" spans="4:20" ht="20.100000000000001" customHeight="1" x14ac:dyDescent="0.25">
      <c r="D103" s="91" t="s">
        <v>331</v>
      </c>
      <c r="K103" s="26"/>
      <c r="L103" s="26"/>
      <c r="M103" s="26"/>
      <c r="N103" s="26"/>
      <c r="O103" s="26"/>
      <c r="T103" s="32"/>
    </row>
    <row r="104" spans="4:20" ht="20.100000000000001" customHeight="1" x14ac:dyDescent="0.25">
      <c r="D104" s="104" t="s">
        <v>311</v>
      </c>
      <c r="E104" s="104" t="s">
        <v>312</v>
      </c>
      <c r="F104" s="104" t="s">
        <v>198</v>
      </c>
      <c r="G104" s="104" t="s">
        <v>313</v>
      </c>
      <c r="H104" s="104" t="s">
        <v>314</v>
      </c>
      <c r="I104" s="104" t="s">
        <v>315</v>
      </c>
      <c r="J104" s="104" t="s">
        <v>316</v>
      </c>
      <c r="K104" s="104" t="s">
        <v>317</v>
      </c>
      <c r="L104" s="104" t="s">
        <v>318</v>
      </c>
      <c r="M104" s="104" t="s">
        <v>319</v>
      </c>
      <c r="N104" s="104" t="s">
        <v>320</v>
      </c>
      <c r="T104" s="32"/>
    </row>
    <row r="105" spans="4:20" ht="20.100000000000001" customHeight="1" x14ac:dyDescent="0.25">
      <c r="D105" s="1" t="s">
        <v>321</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332</v>
      </c>
      <c r="T105" s="32"/>
    </row>
    <row r="106" spans="4:20" ht="20.100000000000001" customHeight="1" x14ac:dyDescent="0.25">
      <c r="D106" s="1" t="s">
        <v>322</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332</v>
      </c>
      <c r="T106" s="32"/>
    </row>
    <row r="107" spans="4:20" ht="20.100000000000001" customHeight="1" x14ac:dyDescent="0.25">
      <c r="D107" s="1" t="s">
        <v>323</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332</v>
      </c>
    </row>
    <row r="108" spans="4:20" ht="20.100000000000001" customHeight="1" x14ac:dyDescent="0.25">
      <c r="D108" s="1" t="s">
        <v>324</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332</v>
      </c>
    </row>
    <row r="109" spans="4:20" ht="20.100000000000001" customHeight="1" x14ac:dyDescent="0.25"/>
    <row r="110" spans="4:20" ht="20.100000000000001" customHeight="1" x14ac:dyDescent="0.25">
      <c r="D110" s="104" t="s">
        <v>325</v>
      </c>
      <c r="E110" s="104" t="s">
        <v>312</v>
      </c>
      <c r="F110" s="104" t="s">
        <v>198</v>
      </c>
      <c r="G110" s="104" t="s">
        <v>313</v>
      </c>
      <c r="H110" s="104" t="s">
        <v>314</v>
      </c>
      <c r="I110" s="104" t="s">
        <v>315</v>
      </c>
      <c r="J110" s="104" t="s">
        <v>316</v>
      </c>
      <c r="K110" s="104" t="s">
        <v>317</v>
      </c>
      <c r="L110" s="104" t="s">
        <v>318</v>
      </c>
      <c r="M110" s="104" t="s">
        <v>319</v>
      </c>
      <c r="N110" s="104" t="s">
        <v>320</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332</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332</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332</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332</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332</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332</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332</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332</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332</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332</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332</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332</v>
      </c>
    </row>
    <row r="123" spans="4:15" ht="20.100000000000001" customHeight="1" x14ac:dyDescent="0.25"/>
    <row r="124" spans="4:15" ht="20.100000000000001" customHeight="1" x14ac:dyDescent="0.25"/>
    <row r="125" spans="4:15" ht="20.100000000000001" customHeight="1" x14ac:dyDescent="0.25">
      <c r="D125" s="91" t="s">
        <v>333</v>
      </c>
      <c r="K125" s="26"/>
      <c r="L125" s="26"/>
      <c r="M125" s="26"/>
      <c r="N125" s="26"/>
      <c r="O125" s="26"/>
    </row>
    <row r="126" spans="4:15" ht="20.100000000000001" customHeight="1" x14ac:dyDescent="0.25">
      <c r="D126" s="104" t="s">
        <v>311</v>
      </c>
      <c r="E126" s="104" t="s">
        <v>312</v>
      </c>
      <c r="F126" s="104" t="s">
        <v>198</v>
      </c>
      <c r="G126" s="104" t="s">
        <v>313</v>
      </c>
      <c r="H126" s="104" t="s">
        <v>314</v>
      </c>
      <c r="I126" s="104" t="s">
        <v>315</v>
      </c>
      <c r="J126" s="104" t="s">
        <v>316</v>
      </c>
      <c r="K126" s="104" t="s">
        <v>317</v>
      </c>
      <c r="L126" s="104" t="s">
        <v>318</v>
      </c>
      <c r="M126" s="104" t="s">
        <v>319</v>
      </c>
      <c r="N126" s="104" t="s">
        <v>320</v>
      </c>
    </row>
    <row r="127" spans="4:15" ht="20.100000000000001" customHeight="1" x14ac:dyDescent="0.25">
      <c r="D127" s="1" t="s">
        <v>321</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332</v>
      </c>
    </row>
    <row r="128" spans="4:15" ht="20.100000000000001" customHeight="1" x14ac:dyDescent="0.25">
      <c r="D128" s="1" t="s">
        <v>322</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332</v>
      </c>
    </row>
    <row r="129" spans="4:15" ht="20.100000000000001" customHeight="1" x14ac:dyDescent="0.25">
      <c r="D129" s="1" t="s">
        <v>323</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332</v>
      </c>
    </row>
    <row r="130" spans="4:15" ht="20.100000000000001" customHeight="1" x14ac:dyDescent="0.25">
      <c r="D130" s="1" t="s">
        <v>324</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332</v>
      </c>
    </row>
    <row r="131" spans="4:15" ht="20.100000000000001" customHeight="1" x14ac:dyDescent="0.25"/>
    <row r="132" spans="4:15" ht="20.100000000000001" customHeight="1" x14ac:dyDescent="0.25">
      <c r="D132" s="104" t="s">
        <v>325</v>
      </c>
      <c r="E132" s="104" t="s">
        <v>312</v>
      </c>
      <c r="F132" s="104" t="s">
        <v>198</v>
      </c>
      <c r="G132" s="104" t="s">
        <v>313</v>
      </c>
      <c r="H132" s="104" t="s">
        <v>314</v>
      </c>
      <c r="I132" s="104" t="s">
        <v>315</v>
      </c>
      <c r="J132" s="104" t="s">
        <v>316</v>
      </c>
      <c r="K132" s="104" t="s">
        <v>317</v>
      </c>
      <c r="L132" s="104" t="s">
        <v>318</v>
      </c>
      <c r="M132" s="104" t="s">
        <v>319</v>
      </c>
      <c r="N132" s="104" t="s">
        <v>320</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332</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332</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332</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332</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332</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332</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332</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332</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332</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332</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332</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332</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334</v>
      </c>
      <c r="L147" s="26"/>
      <c r="M147" s="26"/>
      <c r="N147" s="26"/>
      <c r="O147" s="26"/>
    </row>
    <row r="148" spans="4:15" ht="20.100000000000001" customHeight="1" x14ac:dyDescent="0.25"/>
    <row r="149" spans="4:15" ht="20.100000000000001" customHeight="1" x14ac:dyDescent="0.25">
      <c r="D149" s="1" t="s">
        <v>335</v>
      </c>
      <c r="E149" s="23" t="s">
        <v>336</v>
      </c>
      <c r="F149" s="26" t="s">
        <v>107</v>
      </c>
      <c r="L149" s="26"/>
      <c r="M149" s="26"/>
      <c r="N149" s="26"/>
      <c r="O149" s="26"/>
    </row>
    <row r="150" spans="4:15" ht="20.100000000000001" customHeight="1" x14ac:dyDescent="0.25"/>
    <row r="151" spans="4:15" ht="20.100000000000001" customHeight="1" x14ac:dyDescent="0.25">
      <c r="D151" s="104" t="s">
        <v>337</v>
      </c>
      <c r="E151" s="104" t="s">
        <v>338</v>
      </c>
      <c r="L151" s="26"/>
      <c r="M151" s="26"/>
      <c r="N151" s="26"/>
      <c r="O151" s="26"/>
    </row>
    <row r="152" spans="4:15" ht="20.100000000000001" customHeight="1" x14ac:dyDescent="0.25">
      <c r="D152" s="1" t="s">
        <v>89</v>
      </c>
      <c r="E152" s="105">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339</v>
      </c>
      <c r="L152" s="26"/>
      <c r="M152" s="26"/>
      <c r="N152" s="26"/>
      <c r="O152" s="26"/>
    </row>
    <row r="153" spans="4:15" ht="20.100000000000001" customHeight="1" x14ac:dyDescent="0.25">
      <c r="D153" s="1" t="s">
        <v>77</v>
      </c>
      <c r="E153" s="105">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339</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340</v>
      </c>
      <c r="E156" s="23" t="s">
        <v>188</v>
      </c>
      <c r="F156" s="26" t="s">
        <v>107</v>
      </c>
      <c r="L156" s="26"/>
      <c r="M156" s="26"/>
      <c r="N156" s="26"/>
      <c r="O156" s="26"/>
    </row>
    <row r="157" spans="4:15" ht="20.100000000000001" customHeight="1" x14ac:dyDescent="0.25">
      <c r="E157" s="23" t="s">
        <v>341</v>
      </c>
      <c r="F157" s="26" t="s">
        <v>107</v>
      </c>
    </row>
    <row r="158" spans="4:15" ht="20.100000000000001" customHeight="1" x14ac:dyDescent="0.25"/>
    <row r="159" spans="4:15" ht="20.100000000000001" customHeight="1" x14ac:dyDescent="0.25"/>
    <row r="160" spans="4:15" ht="20.100000000000001" customHeight="1" x14ac:dyDescent="0.25">
      <c r="D160" s="91" t="s">
        <v>342</v>
      </c>
      <c r="K160" s="26"/>
      <c r="L160" s="26"/>
      <c r="M160" s="26"/>
      <c r="N160" s="26"/>
      <c r="O160" s="26"/>
    </row>
    <row r="161" spans="4:15" ht="20.100000000000001" customHeight="1" x14ac:dyDescent="0.25">
      <c r="D161" s="104" t="s">
        <v>327</v>
      </c>
      <c r="E161" s="104"/>
      <c r="F161" s="104"/>
      <c r="G161" s="104"/>
    </row>
    <row r="162" spans="4:15" ht="20.100000000000001" customHeight="1" x14ac:dyDescent="0.25">
      <c r="D162" s="1" t="s">
        <v>343</v>
      </c>
      <c r="E162" s="23" t="s">
        <v>324</v>
      </c>
      <c r="F162" s="26" t="s">
        <v>107</v>
      </c>
    </row>
    <row r="163" spans="4:15" ht="20.100000000000001" customHeight="1" x14ac:dyDescent="0.25"/>
    <row r="164" spans="4:15" ht="20.100000000000001" customHeight="1" x14ac:dyDescent="0.25"/>
    <row r="165" spans="4:15" ht="20.100000000000001" customHeight="1" x14ac:dyDescent="0.25">
      <c r="K165" s="1" t="s">
        <v>344</v>
      </c>
    </row>
    <row r="166" spans="4:15" ht="20.100000000000001" customHeight="1" x14ac:dyDescent="0.25"/>
    <row r="167" spans="4:15" ht="20.100000000000001" customHeight="1" x14ac:dyDescent="0.25">
      <c r="E167" s="104" t="s">
        <v>345</v>
      </c>
      <c r="F167" s="104" t="s">
        <v>314</v>
      </c>
      <c r="G167" s="104" t="s">
        <v>315</v>
      </c>
      <c r="H167" s="104" t="s">
        <v>316</v>
      </c>
      <c r="L167" s="1" t="s">
        <v>313</v>
      </c>
      <c r="M167" s="1" t="s">
        <v>317</v>
      </c>
      <c r="N167" s="26"/>
      <c r="O167" s="26"/>
    </row>
    <row r="168" spans="4:15" ht="20.100000000000001" customHeight="1" x14ac:dyDescent="0.25">
      <c r="D168" s="1" t="str">
        <f>"Proportion of cows &gt; 1 years in calf in " &amp; E162</f>
        <v>Proportion of cows &gt; 1 years in calf in Winter</v>
      </c>
      <c r="E168" s="23" t="s">
        <v>346</v>
      </c>
      <c r="F168" s="28">
        <v>0.7</v>
      </c>
      <c r="G168" s="28">
        <v>0.5</v>
      </c>
      <c r="H168" s="28">
        <v>0.5</v>
      </c>
      <c r="I168" s="26" t="s">
        <v>339</v>
      </c>
      <c r="L168" s="25">
        <f>MAX(0, G42-G41)</f>
        <v>0</v>
      </c>
      <c r="M168" s="25">
        <f>MAX(0,K42-K41)</f>
        <v>0</v>
      </c>
      <c r="N168" s="26"/>
      <c r="O168" s="26"/>
    </row>
    <row r="169" spans="4:15" ht="20.100000000000001" customHeight="1" x14ac:dyDescent="0.25">
      <c r="D169" s="1" t="s">
        <v>321</v>
      </c>
      <c r="E169" s="23" t="s">
        <v>346</v>
      </c>
      <c r="F169" s="28">
        <v>0.1</v>
      </c>
      <c r="G169" s="28">
        <v>0.4</v>
      </c>
      <c r="H169" s="28">
        <v>0.4</v>
      </c>
      <c r="I169" s="26" t="s">
        <v>339</v>
      </c>
      <c r="L169" s="25">
        <f>MAX(0, G39-G42)</f>
        <v>0</v>
      </c>
      <c r="M169" s="25">
        <f>MAX(0,K39-K42)</f>
        <v>0</v>
      </c>
    </row>
    <row r="170" spans="4:15" ht="20.100000000000001" customHeight="1" x14ac:dyDescent="0.25">
      <c r="D170" s="1" t="s">
        <v>322</v>
      </c>
      <c r="E170" s="23" t="s">
        <v>346</v>
      </c>
      <c r="F170" s="28">
        <v>0.1</v>
      </c>
      <c r="G170" s="28">
        <v>0</v>
      </c>
      <c r="H170" s="28">
        <v>0</v>
      </c>
      <c r="I170" s="26" t="s">
        <v>339</v>
      </c>
      <c r="L170" s="25">
        <f>MAX(0, G40-G39)</f>
        <v>0</v>
      </c>
      <c r="M170" s="25">
        <f>MAX(0,K40-K39)</f>
        <v>0</v>
      </c>
    </row>
    <row r="171" spans="4:15" ht="20.100000000000001" customHeight="1" x14ac:dyDescent="0.25">
      <c r="D171" s="1" t="s">
        <v>323</v>
      </c>
      <c r="E171" s="23" t="s">
        <v>336</v>
      </c>
      <c r="F171" s="28">
        <v>0</v>
      </c>
      <c r="G171" s="28">
        <v>0</v>
      </c>
      <c r="H171" s="28">
        <v>0</v>
      </c>
      <c r="I171" s="26" t="s">
        <v>339</v>
      </c>
      <c r="L171" s="25">
        <f>MAX(0,G41-G40)</f>
        <v>0</v>
      </c>
      <c r="M171" s="25">
        <f>MAX(0,K41-K40)</f>
        <v>0</v>
      </c>
    </row>
    <row r="172" spans="4:15" ht="20.100000000000001" customHeight="1" x14ac:dyDescent="0.25">
      <c r="J172" s="1" t="s">
        <v>347</v>
      </c>
    </row>
    <row r="173" spans="4:15" ht="20.100000000000001" customHeight="1" x14ac:dyDescent="0.25"/>
    <row r="174" spans="4:15" ht="20.100000000000001" customHeight="1" x14ac:dyDescent="0.25"/>
    <row r="175" spans="4:15" ht="20.100000000000001" customHeight="1" x14ac:dyDescent="0.25">
      <c r="D175" s="104" t="s">
        <v>328</v>
      </c>
      <c r="E175" s="104"/>
      <c r="F175" s="104"/>
      <c r="G175" s="104"/>
      <c r="L175" s="106" t="s">
        <v>348</v>
      </c>
    </row>
    <row r="176" spans="4:15" ht="20.100000000000001" customHeight="1" x14ac:dyDescent="0.25">
      <c r="D176" s="1" t="s">
        <v>349</v>
      </c>
      <c r="E176" s="23" t="s">
        <v>350</v>
      </c>
      <c r="F176" s="26" t="s">
        <v>107</v>
      </c>
      <c r="J176" s="88" t="s">
        <v>312</v>
      </c>
    </row>
    <row r="177" spans="4:15" ht="20.100000000000001" customHeight="1" x14ac:dyDescent="0.25">
      <c r="D177" s="1" t="s">
        <v>351</v>
      </c>
      <c r="E177" s="25" t="str">
        <f>TEXT(EDATE(E176,1), "mmmm yyyy")</f>
        <v>September 2024</v>
      </c>
      <c r="J177" s="1" t="s">
        <v>326</v>
      </c>
      <c r="K177" s="1" t="s">
        <v>352</v>
      </c>
      <c r="L177" s="1" t="s">
        <v>347</v>
      </c>
      <c r="M177" s="1" t="s">
        <v>353</v>
      </c>
      <c r="N177" s="1" t="s">
        <v>354</v>
      </c>
      <c r="O177" s="1" t="s">
        <v>355</v>
      </c>
    </row>
    <row r="178" spans="4:15" ht="20.100000000000001" customHeight="1" x14ac:dyDescent="0.25">
      <c r="D178" s="1" t="s">
        <v>356</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104" t="s">
        <v>314</v>
      </c>
      <c r="F181" s="104" t="s">
        <v>315</v>
      </c>
      <c r="G181" s="104" t="s">
        <v>316</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339</v>
      </c>
      <c r="L182" s="26"/>
      <c r="M182" s="26"/>
      <c r="N182" s="26"/>
      <c r="O182" s="26"/>
    </row>
    <row r="183" spans="4:15" ht="20.100000000000001" customHeight="1" x14ac:dyDescent="0.25">
      <c r="D183" s="1" t="str">
        <f>E177</f>
        <v>September 2024</v>
      </c>
      <c r="E183" s="28">
        <v>0.25</v>
      </c>
      <c r="F183" s="28">
        <v>0.25</v>
      </c>
      <c r="G183" s="28">
        <v>0.25</v>
      </c>
      <c r="H183" s="26" t="s">
        <v>339</v>
      </c>
    </row>
    <row r="184" spans="4:15" ht="20.100000000000001" customHeight="1" x14ac:dyDescent="0.25">
      <c r="D184" s="1" t="str">
        <f>E178</f>
        <v>October 2024</v>
      </c>
      <c r="E184" s="28">
        <v>0.25</v>
      </c>
      <c r="F184" s="28">
        <v>0.25</v>
      </c>
      <c r="G184" s="28">
        <v>0.25</v>
      </c>
      <c r="H184" s="26" t="s">
        <v>339</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339</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102"/>
    </row>
    <row r="206" spans="11:27" ht="20.100000000000001" customHeight="1" x14ac:dyDescent="0.25">
      <c r="Z206" s="102"/>
      <c r="AA206" s="102"/>
    </row>
    <row r="207" spans="11:27" ht="20.100000000000001" customHeight="1" x14ac:dyDescent="0.25">
      <c r="Z207" s="102"/>
      <c r="AA207" s="102"/>
    </row>
    <row r="208" spans="11:27" ht="20.100000000000001" customHeight="1" x14ac:dyDescent="0.25">
      <c r="Z208" s="102"/>
      <c r="AA208" s="102"/>
    </row>
    <row r="209" spans="26:27" ht="20.100000000000001" customHeight="1" x14ac:dyDescent="0.25">
      <c r="Z209" s="102"/>
      <c r="AA209" s="102"/>
    </row>
    <row r="210" spans="26:27" ht="20.100000000000001" customHeight="1" x14ac:dyDescent="0.25">
      <c r="Z210" s="102"/>
      <c r="AA210" s="102"/>
    </row>
    <row r="211" spans="26:27" ht="20.100000000000001" customHeight="1" x14ac:dyDescent="0.25">
      <c r="Z211" s="102"/>
      <c r="AA211" s="102"/>
    </row>
    <row r="212" spans="26:27" ht="20.100000000000001" customHeight="1" x14ac:dyDescent="0.25">
      <c r="Z212" s="102"/>
      <c r="AA212" s="102"/>
    </row>
    <row r="213" spans="26:27" ht="20.100000000000001" customHeight="1" x14ac:dyDescent="0.25">
      <c r="Z213" s="102"/>
      <c r="AA213" s="102"/>
    </row>
    <row r="214" spans="26:27" ht="20.100000000000001" customHeight="1" x14ac:dyDescent="0.25">
      <c r="Z214" s="102"/>
      <c r="AA214" s="102"/>
    </row>
    <row r="215" spans="26:27" ht="20.100000000000001" customHeight="1" x14ac:dyDescent="0.25">
      <c r="Z215" s="102"/>
      <c r="AA215" s="102"/>
    </row>
    <row r="216" spans="26:27" ht="20.100000000000001" customHeight="1" x14ac:dyDescent="0.25">
      <c r="Z216" s="102"/>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08201B71-E93D-48C0-93E6-224FBB6D52BC}">
      <formula1>$D$23:$D$34</formula1>
    </dataValidation>
    <dataValidation type="list" allowBlank="1" showInputMessage="1" showErrorMessage="1" sqref="E162" xr:uid="{FB5212D6-6267-47C5-9D84-2E87FCFF2CE8}">
      <formula1>"Spring, Summer, Autumn, Winter"</formula1>
    </dataValidation>
    <dataValidation type="list" allowBlank="1" showInputMessage="1" showErrorMessage="1" sqref="E156" xr:uid="{6F720634-1E22-46D8-8559-1EE406C048B8}">
      <formula1>INDIRECT("Table_SourceData_PastureBeef_CropProdSystems[Production system]")</formula1>
    </dataValidation>
    <dataValidation type="list" allowBlank="1" showInputMessage="1" showErrorMessage="1" sqref="E157" xr:uid="{5628860F-42DB-4CDE-ACC5-183D95E554BD}">
      <formula1>INDIRECT("Table_SourceData_PastureBeef_IrrigationMethods[Irrigation method]")</formula1>
    </dataValidation>
    <dataValidation type="list" allowBlank="1" showInputMessage="1" showErrorMessage="1" sqref="E9" xr:uid="{F4F268CE-A552-4251-A45A-99E3431C6FE7}">
      <formula1>INDIRECT("Table_SourceData_PastureBeef_FeedIntakeAdjustment[Breed]")</formula1>
    </dataValidation>
    <dataValidation type="list" allowBlank="1" showInputMessage="1" showErrorMessage="1" sqref="E8" xr:uid="{0B00CABF-872E-46CC-BBFD-5A0249608C49}">
      <formula1>INDIRECT("Table_SourceData_PastureBeef_Region_" &amp; SUBSTITUTE($E$7, " ", "") &amp; "[Region]")</formula1>
    </dataValidation>
    <dataValidation type="list" allowBlank="1" showInputMessage="1" showErrorMessage="1" sqref="E15 E37 E59 E81" xr:uid="{D0B057BE-9A03-4722-8765-6C6E6CEF034B}">
      <formula1>INDIRECT("Table_SourceData_Dairy_WjCowsHeifers[Breed]")</formula1>
    </dataValidation>
    <dataValidation type="list" allowBlank="1" showInputMessage="1" showErrorMessage="1" sqref="E188 E193 E226 E260 E255 E250 E149" xr:uid="{665D5EC1-B2EE-452F-8ED7-C8009FD32137}">
      <formula1>"Yes, No"</formula1>
    </dataValidation>
    <dataValidation type="list" allowBlank="1" showInputMessage="1" showErrorMessage="1" sqref="D244" xr:uid="{DB2C976A-A104-43D8-9566-10C360658026}">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CBC5D-5DD9-4D09-B54D-19EAF6499618}">
  <dimension ref="A1:AA334"/>
  <sheetViews>
    <sheetView showGridLines="0" topLeftCell="A154"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102" customWidth="1"/>
    <col min="19" max="24" width="30.7109375" style="102" customWidth="1"/>
    <col min="25" max="25" width="4.7109375" style="102" customWidth="1"/>
  </cols>
  <sheetData>
    <row r="1" spans="1:25" s="16" customFormat="1" ht="30" customHeight="1" x14ac:dyDescent="0.35">
      <c r="A1" s="16" t="e" vm="1">
        <v>#VALUE!</v>
      </c>
      <c r="C1" s="16" t="s">
        <v>305</v>
      </c>
      <c r="Q1" s="102"/>
      <c r="R1" s="102"/>
      <c r="S1" s="102"/>
      <c r="T1" s="102"/>
      <c r="U1" s="102"/>
      <c r="V1" s="102"/>
      <c r="W1" s="102"/>
      <c r="X1" s="102"/>
      <c r="Y1" s="102"/>
    </row>
    <row r="2" spans="1:25" s="3" customFormat="1" ht="20.100000000000001" customHeight="1" x14ac:dyDescent="0.25">
      <c r="A2"/>
      <c r="Q2" s="102"/>
      <c r="R2" s="102"/>
      <c r="S2" s="102"/>
      <c r="T2" s="102"/>
      <c r="U2" s="102"/>
      <c r="V2" s="102"/>
      <c r="W2" s="102"/>
      <c r="X2" s="102"/>
      <c r="Y2" s="102"/>
    </row>
    <row r="3" spans="1:25" ht="20.100000000000001" customHeight="1" x14ac:dyDescent="0.25">
      <c r="A3" s="5"/>
      <c r="C3" s="39"/>
      <c r="D3" s="39"/>
      <c r="E3" s="39"/>
      <c r="F3" s="39"/>
      <c r="G3" s="39"/>
      <c r="H3" s="39"/>
      <c r="I3" s="39"/>
      <c r="J3" s="39"/>
      <c r="K3" s="39"/>
      <c r="L3" s="39"/>
      <c r="M3" s="39"/>
      <c r="N3" s="39"/>
      <c r="O3" s="39"/>
      <c r="P3" s="39"/>
    </row>
    <row r="4" spans="1:25" ht="20.100000000000001" customHeight="1" x14ac:dyDescent="0.25">
      <c r="A4" s="5"/>
    </row>
    <row r="5" spans="1:25" ht="20.100000000000001" customHeight="1" x14ac:dyDescent="0.25">
      <c r="A5" s="5"/>
      <c r="D5" s="2" t="s">
        <v>306</v>
      </c>
      <c r="P5" s="35"/>
      <c r="T5" s="32"/>
    </row>
    <row r="6" spans="1:25" ht="20.100000000000001" customHeight="1" x14ac:dyDescent="0.25">
      <c r="P6" s="35"/>
      <c r="T6" s="32"/>
    </row>
    <row r="7" spans="1:25" ht="20.100000000000001" customHeight="1" x14ac:dyDescent="0.25">
      <c r="D7" s="1" t="s">
        <v>105</v>
      </c>
      <c r="E7" s="25" t="str">
        <f>X_Cell_Site_State</f>
        <v>Western Australia</v>
      </c>
      <c r="P7" s="35"/>
      <c r="T7" s="32"/>
    </row>
    <row r="8" spans="1:25" ht="20.100000000000001" customHeight="1" x14ac:dyDescent="0.25">
      <c r="A8" s="7"/>
      <c r="D8" s="1" t="s">
        <v>270</v>
      </c>
      <c r="E8" s="23" t="s">
        <v>307</v>
      </c>
      <c r="F8" s="26" t="s">
        <v>107</v>
      </c>
      <c r="P8" s="35"/>
      <c r="T8" s="32"/>
    </row>
    <row r="9" spans="1:25" ht="20.100000000000001" customHeight="1" x14ac:dyDescent="0.25">
      <c r="A9" s="5"/>
      <c r="D9" s="1" t="s">
        <v>271</v>
      </c>
      <c r="E9" s="23" t="s">
        <v>308</v>
      </c>
      <c r="F9" s="26" t="s">
        <v>107</v>
      </c>
      <c r="T9" s="32"/>
    </row>
    <row r="10" spans="1:25" ht="20.100000000000001" customHeight="1" x14ac:dyDescent="0.25">
      <c r="A10" s="5"/>
      <c r="T10" s="32"/>
    </row>
    <row r="11" spans="1:25" ht="20.100000000000001" customHeight="1" x14ac:dyDescent="0.25">
      <c r="A11" s="5"/>
      <c r="T11" s="32"/>
    </row>
    <row r="12" spans="1:25" ht="20.100000000000001" customHeight="1" x14ac:dyDescent="0.25">
      <c r="A12" s="103"/>
      <c r="T12" s="32"/>
    </row>
    <row r="13" spans="1:25" ht="20.100000000000001" customHeight="1" x14ac:dyDescent="0.25">
      <c r="A13" s="5"/>
      <c r="D13" s="46" t="s">
        <v>309</v>
      </c>
      <c r="E13" s="48"/>
      <c r="F13" s="48"/>
      <c r="G13" s="49"/>
      <c r="T13" s="52"/>
    </row>
    <row r="14" spans="1:25" ht="20.100000000000001" customHeight="1" x14ac:dyDescent="0.25">
      <c r="A14" s="5"/>
      <c r="T14" s="52"/>
    </row>
    <row r="15" spans="1:25" ht="20.100000000000001" customHeight="1" x14ac:dyDescent="0.25">
      <c r="A15" s="5"/>
      <c r="D15" s="91" t="s">
        <v>310</v>
      </c>
      <c r="T15" s="52"/>
    </row>
    <row r="16" spans="1:25" ht="20.100000000000001" customHeight="1" x14ac:dyDescent="0.25">
      <c r="A16" s="5"/>
      <c r="D16" s="104" t="s">
        <v>311</v>
      </c>
      <c r="E16" s="104" t="s">
        <v>312</v>
      </c>
      <c r="F16" s="104" t="s">
        <v>198</v>
      </c>
      <c r="G16" s="104" t="s">
        <v>313</v>
      </c>
      <c r="H16" s="104" t="s">
        <v>314</v>
      </c>
      <c r="I16" s="104" t="s">
        <v>315</v>
      </c>
      <c r="J16" s="104" t="s">
        <v>316</v>
      </c>
      <c r="K16" s="104" t="s">
        <v>317</v>
      </c>
      <c r="L16" s="104" t="s">
        <v>318</v>
      </c>
      <c r="M16" s="104" t="s">
        <v>319</v>
      </c>
      <c r="N16" s="104" t="s">
        <v>320</v>
      </c>
      <c r="T16" s="52"/>
    </row>
    <row r="17" spans="1:20" ht="20.100000000000001" customHeight="1" x14ac:dyDescent="0.25">
      <c r="A17" s="5"/>
      <c r="D17" s="1" t="s">
        <v>321</v>
      </c>
      <c r="E17" s="25">
        <v>91.25</v>
      </c>
      <c r="F17" s="25">
        <v>91.25</v>
      </c>
      <c r="G17" s="25">
        <v>91.25</v>
      </c>
      <c r="H17" s="25">
        <v>91.25</v>
      </c>
      <c r="I17" s="25">
        <v>91.25</v>
      </c>
      <c r="J17" s="25">
        <v>91.25</v>
      </c>
      <c r="K17" s="25">
        <v>91.25</v>
      </c>
      <c r="L17" s="25">
        <v>91.25</v>
      </c>
      <c r="M17" s="25">
        <v>91.25</v>
      </c>
      <c r="N17" s="25">
        <v>91.25</v>
      </c>
      <c r="O17" s="26" t="s">
        <v>119</v>
      </c>
      <c r="T17" s="32"/>
    </row>
    <row r="18" spans="1:20" ht="20.100000000000001" customHeight="1" x14ac:dyDescent="0.25">
      <c r="A18" s="5"/>
      <c r="D18" s="1" t="s">
        <v>322</v>
      </c>
      <c r="E18" s="25">
        <v>91.25</v>
      </c>
      <c r="F18" s="25">
        <v>91.25</v>
      </c>
      <c r="G18" s="25">
        <v>91.25</v>
      </c>
      <c r="H18" s="25">
        <v>91.25</v>
      </c>
      <c r="I18" s="25">
        <v>91.25</v>
      </c>
      <c r="J18" s="25">
        <v>91.25</v>
      </c>
      <c r="K18" s="25">
        <v>91.25</v>
      </c>
      <c r="L18" s="25">
        <v>91.25</v>
      </c>
      <c r="M18" s="25">
        <v>91.25</v>
      </c>
      <c r="N18" s="25">
        <v>91.25</v>
      </c>
      <c r="O18" s="26" t="s">
        <v>119</v>
      </c>
      <c r="T18" s="32"/>
    </row>
    <row r="19" spans="1:20" ht="20.100000000000001" customHeight="1" x14ac:dyDescent="0.25">
      <c r="A19" s="5"/>
      <c r="D19" s="1" t="s">
        <v>323</v>
      </c>
      <c r="E19" s="25">
        <v>91.25</v>
      </c>
      <c r="F19" s="25">
        <v>91.25</v>
      </c>
      <c r="G19" s="25">
        <v>91.25</v>
      </c>
      <c r="H19" s="25">
        <v>91.25</v>
      </c>
      <c r="I19" s="25">
        <v>91.25</v>
      </c>
      <c r="J19" s="25">
        <v>91.25</v>
      </c>
      <c r="K19" s="25">
        <v>91.25</v>
      </c>
      <c r="L19" s="25">
        <v>91.25</v>
      </c>
      <c r="M19" s="25">
        <v>91.25</v>
      </c>
      <c r="N19" s="25">
        <v>91.25</v>
      </c>
      <c r="O19" s="26" t="s">
        <v>119</v>
      </c>
      <c r="T19" s="32"/>
    </row>
    <row r="20" spans="1:20" ht="20.100000000000001" customHeight="1" x14ac:dyDescent="0.25">
      <c r="A20" s="5"/>
      <c r="D20" s="1" t="s">
        <v>324</v>
      </c>
      <c r="E20" s="25">
        <v>91.25</v>
      </c>
      <c r="F20" s="25">
        <v>91.25</v>
      </c>
      <c r="G20" s="25">
        <v>91.25</v>
      </c>
      <c r="H20" s="25">
        <v>91.25</v>
      </c>
      <c r="I20" s="25">
        <v>91.25</v>
      </c>
      <c r="J20" s="25">
        <v>91.25</v>
      </c>
      <c r="K20" s="25">
        <v>91.25</v>
      </c>
      <c r="L20" s="25">
        <v>91.25</v>
      </c>
      <c r="M20" s="25">
        <v>91.25</v>
      </c>
      <c r="N20" s="25">
        <v>91.25</v>
      </c>
      <c r="O20" s="26" t="s">
        <v>119</v>
      </c>
      <c r="T20" s="32"/>
    </row>
    <row r="21" spans="1:20" ht="20.100000000000001" customHeight="1" x14ac:dyDescent="0.25">
      <c r="A21" s="5"/>
      <c r="T21" s="32"/>
    </row>
    <row r="22" spans="1:20" ht="20.100000000000001" customHeight="1" x14ac:dyDescent="0.25">
      <c r="A22" s="5"/>
      <c r="D22" s="104" t="s">
        <v>325</v>
      </c>
      <c r="E22" s="104" t="s">
        <v>312</v>
      </c>
      <c r="F22" s="104" t="s">
        <v>198</v>
      </c>
      <c r="G22" s="104" t="s">
        <v>313</v>
      </c>
      <c r="H22" s="104" t="s">
        <v>314</v>
      </c>
      <c r="I22" s="104" t="s">
        <v>315</v>
      </c>
      <c r="J22" s="104" t="s">
        <v>316</v>
      </c>
      <c r="K22" s="104" t="s">
        <v>317</v>
      </c>
      <c r="L22" s="104" t="s">
        <v>318</v>
      </c>
      <c r="M22" s="104" t="s">
        <v>319</v>
      </c>
      <c r="N22" s="104" t="s">
        <v>320</v>
      </c>
      <c r="T22" s="32"/>
    </row>
    <row r="23" spans="1:20" ht="20.100000000000001" customHeight="1" x14ac:dyDescent="0.25">
      <c r="A23" s="5"/>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119</v>
      </c>
      <c r="T23" s="32"/>
    </row>
    <row r="24" spans="1:20" ht="20.100000000000001" customHeight="1" x14ac:dyDescent="0.25">
      <c r="A24" s="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119</v>
      </c>
      <c r="T24" s="32"/>
    </row>
    <row r="25" spans="1:20" ht="20.100000000000001" customHeight="1" x14ac:dyDescent="0.25">
      <c r="A25" s="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119</v>
      </c>
      <c r="T25" s="32"/>
    </row>
    <row r="26" spans="1:20" ht="20.100000000000001" customHeight="1" x14ac:dyDescent="0.25">
      <c r="A26" s="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119</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119</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119</v>
      </c>
      <c r="T28" s="32"/>
    </row>
    <row r="29" spans="1:20" ht="20.100000000000001" customHeight="1" x14ac:dyDescent="0.25">
      <c r="A29" s="6"/>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119</v>
      </c>
      <c r="T29" s="32"/>
    </row>
    <row r="30" spans="1:20" ht="20.100000000000001" customHeight="1" x14ac:dyDescent="0.25">
      <c r="A30" s="5"/>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119</v>
      </c>
      <c r="T30" s="32"/>
    </row>
    <row r="31" spans="1:20" ht="20.100000000000001" customHeight="1" x14ac:dyDescent="0.25">
      <c r="A31" s="5"/>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119</v>
      </c>
      <c r="T31" s="32"/>
    </row>
    <row r="32" spans="1:20" ht="20.100000000000001" customHeight="1" x14ac:dyDescent="0.25">
      <c r="A32" s="5"/>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119</v>
      </c>
      <c r="T32" s="32"/>
    </row>
    <row r="33" spans="1:20" ht="20.100000000000001" customHeight="1" x14ac:dyDescent="0.25">
      <c r="A33" s="5"/>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119</v>
      </c>
      <c r="T33" s="32"/>
    </row>
    <row r="34" spans="1:20" ht="20.100000000000001" customHeight="1" x14ac:dyDescent="0.25">
      <c r="A34" s="5"/>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119</v>
      </c>
      <c r="T34" s="32"/>
    </row>
    <row r="35" spans="1:20" ht="20.100000000000001" customHeight="1" x14ac:dyDescent="0.25">
      <c r="A35" s="5"/>
      <c r="T35" s="32"/>
    </row>
    <row r="36" spans="1:20" ht="20.100000000000001" customHeight="1" x14ac:dyDescent="0.25">
      <c r="A36" s="5"/>
      <c r="T36" s="32"/>
    </row>
    <row r="37" spans="1:20" ht="20.100000000000001" customHeight="1" x14ac:dyDescent="0.25">
      <c r="A37" s="5"/>
      <c r="D37" s="91" t="s">
        <v>326</v>
      </c>
      <c r="T37" s="32"/>
    </row>
    <row r="38" spans="1:20" ht="20.100000000000001" customHeight="1" x14ac:dyDescent="0.25">
      <c r="A38" s="5"/>
      <c r="D38" s="104" t="s">
        <v>327</v>
      </c>
      <c r="E38" s="104" t="s">
        <v>312</v>
      </c>
      <c r="F38" s="104" t="s">
        <v>198</v>
      </c>
      <c r="G38" s="104" t="s">
        <v>313</v>
      </c>
      <c r="H38" s="104" t="s">
        <v>314</v>
      </c>
      <c r="I38" s="104" t="s">
        <v>315</v>
      </c>
      <c r="J38" s="104" t="s">
        <v>316</v>
      </c>
      <c r="K38" s="104" t="s">
        <v>317</v>
      </c>
      <c r="L38" s="104" t="s">
        <v>318</v>
      </c>
      <c r="M38" s="104" t="s">
        <v>319</v>
      </c>
      <c r="N38" s="104" t="s">
        <v>320</v>
      </c>
      <c r="T38" s="32"/>
    </row>
    <row r="39" spans="1:20" ht="20.100000000000001" customHeight="1" x14ac:dyDescent="0.25">
      <c r="A39" s="5"/>
      <c r="D39" s="1" t="s">
        <v>321</v>
      </c>
      <c r="E39" s="86">
        <v>100</v>
      </c>
      <c r="F39" s="86">
        <v>100</v>
      </c>
      <c r="G39" s="86">
        <v>100</v>
      </c>
      <c r="H39" s="86">
        <v>100</v>
      </c>
      <c r="I39" s="86">
        <v>100</v>
      </c>
      <c r="J39" s="86">
        <v>100</v>
      </c>
      <c r="K39" s="86">
        <v>100</v>
      </c>
      <c r="L39" s="86">
        <v>100</v>
      </c>
      <c r="M39" s="86">
        <v>100</v>
      </c>
      <c r="N39" s="86">
        <v>100</v>
      </c>
      <c r="O39" s="26" t="s">
        <v>326</v>
      </c>
      <c r="T39" s="32"/>
    </row>
    <row r="40" spans="1:20" ht="20.100000000000001" customHeight="1" x14ac:dyDescent="0.25">
      <c r="A40" s="5"/>
      <c r="D40" s="1" t="s">
        <v>322</v>
      </c>
      <c r="E40" s="86">
        <v>100</v>
      </c>
      <c r="F40" s="86">
        <v>100</v>
      </c>
      <c r="G40" s="86">
        <v>100</v>
      </c>
      <c r="H40" s="86">
        <v>100</v>
      </c>
      <c r="I40" s="86">
        <v>100</v>
      </c>
      <c r="J40" s="86">
        <v>100</v>
      </c>
      <c r="K40" s="86">
        <v>100</v>
      </c>
      <c r="L40" s="86">
        <v>100</v>
      </c>
      <c r="M40" s="86">
        <v>100</v>
      </c>
      <c r="N40" s="86">
        <v>100</v>
      </c>
      <c r="O40" s="26" t="s">
        <v>326</v>
      </c>
      <c r="T40" s="32"/>
    </row>
    <row r="41" spans="1:20" ht="20.100000000000001" customHeight="1" x14ac:dyDescent="0.25">
      <c r="A41" s="5"/>
      <c r="D41" s="1" t="s">
        <v>323</v>
      </c>
      <c r="E41" s="86">
        <v>100</v>
      </c>
      <c r="F41" s="86">
        <v>100</v>
      </c>
      <c r="G41" s="86">
        <v>100</v>
      </c>
      <c r="H41" s="86">
        <v>100</v>
      </c>
      <c r="I41" s="86">
        <v>100</v>
      </c>
      <c r="J41" s="86">
        <v>100</v>
      </c>
      <c r="K41" s="86">
        <v>100</v>
      </c>
      <c r="L41" s="86">
        <v>100</v>
      </c>
      <c r="M41" s="86">
        <v>100</v>
      </c>
      <c r="N41" s="86">
        <v>100</v>
      </c>
      <c r="O41" s="26" t="s">
        <v>326</v>
      </c>
      <c r="T41" s="32"/>
    </row>
    <row r="42" spans="1:20" ht="20.100000000000001" customHeight="1" x14ac:dyDescent="0.25">
      <c r="A42" s="5"/>
      <c r="D42" s="1" t="s">
        <v>324</v>
      </c>
      <c r="E42" s="86">
        <v>100</v>
      </c>
      <c r="F42" s="86">
        <v>100</v>
      </c>
      <c r="G42" s="86">
        <v>100</v>
      </c>
      <c r="H42" s="86">
        <v>100</v>
      </c>
      <c r="I42" s="86">
        <v>100</v>
      </c>
      <c r="J42" s="86">
        <v>100</v>
      </c>
      <c r="K42" s="86">
        <v>100</v>
      </c>
      <c r="L42" s="86">
        <v>100</v>
      </c>
      <c r="M42" s="86">
        <v>100</v>
      </c>
      <c r="N42" s="86">
        <v>100</v>
      </c>
      <c r="O42" s="26" t="s">
        <v>326</v>
      </c>
      <c r="T42" s="32"/>
    </row>
    <row r="43" spans="1:20" ht="20.100000000000001" customHeight="1" x14ac:dyDescent="0.25">
      <c r="A43" s="5"/>
      <c r="O43" s="26"/>
      <c r="T43" s="32"/>
    </row>
    <row r="44" spans="1:20" ht="20.100000000000001" customHeight="1" x14ac:dyDescent="0.25">
      <c r="A44" s="5"/>
      <c r="D44" s="104" t="s">
        <v>328</v>
      </c>
      <c r="E44" s="104" t="s">
        <v>312</v>
      </c>
      <c r="F44" s="104" t="s">
        <v>198</v>
      </c>
      <c r="G44" s="104" t="s">
        <v>313</v>
      </c>
      <c r="H44" s="104" t="s">
        <v>314</v>
      </c>
      <c r="I44" s="104" t="s">
        <v>315</v>
      </c>
      <c r="J44" s="104" t="s">
        <v>316</v>
      </c>
      <c r="K44" s="104" t="s">
        <v>317</v>
      </c>
      <c r="L44" s="104" t="s">
        <v>318</v>
      </c>
      <c r="M44" s="104" t="s">
        <v>319</v>
      </c>
      <c r="N44" s="104" t="s">
        <v>320</v>
      </c>
      <c r="O44" s="26"/>
      <c r="T44" s="32"/>
    </row>
    <row r="45" spans="1:20" ht="20.100000000000001" customHeight="1" x14ac:dyDescent="0.25">
      <c r="A45" s="5"/>
      <c r="D45" s="1" t="str">
        <f>TEXT(X_Cell_Site_StartDate, "mmmm yyyy")</f>
        <v>January 2024</v>
      </c>
      <c r="E45" s="86">
        <v>100</v>
      </c>
      <c r="F45" s="86">
        <v>100</v>
      </c>
      <c r="G45" s="86">
        <v>100</v>
      </c>
      <c r="H45" s="86">
        <v>100</v>
      </c>
      <c r="I45" s="86">
        <v>100</v>
      </c>
      <c r="J45" s="86">
        <v>100</v>
      </c>
      <c r="K45" s="86">
        <v>100</v>
      </c>
      <c r="L45" s="86">
        <v>100</v>
      </c>
      <c r="M45" s="86">
        <v>100</v>
      </c>
      <c r="N45" s="86">
        <v>100</v>
      </c>
      <c r="O45" s="26" t="s">
        <v>326</v>
      </c>
      <c r="T45" s="32"/>
    </row>
    <row r="46" spans="1:20" ht="20.100000000000001" customHeight="1" x14ac:dyDescent="0.25">
      <c r="A46" s="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326</v>
      </c>
      <c r="T46" s="32"/>
    </row>
    <row r="47" spans="1:20" ht="20.100000000000001" customHeight="1" x14ac:dyDescent="0.25">
      <c r="A47" s="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326</v>
      </c>
      <c r="T47" s="32"/>
    </row>
    <row r="48" spans="1:20" ht="20.100000000000001" customHeight="1" x14ac:dyDescent="0.25">
      <c r="A48" s="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326</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326</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326</v>
      </c>
      <c r="P50" s="35"/>
      <c r="T50" s="32"/>
    </row>
    <row r="51" spans="1:20" ht="20.100000000000001" customHeight="1" x14ac:dyDescent="0.25">
      <c r="A51" s="100"/>
      <c r="D51" s="1" t="str">
        <f>TEXT(EDATE(X_Cell_Site_StartDate,6), "mmmm yyyy")</f>
        <v>July 2024</v>
      </c>
      <c r="E51" s="86">
        <v>100</v>
      </c>
      <c r="F51" s="86">
        <v>100</v>
      </c>
      <c r="G51" s="86">
        <v>100</v>
      </c>
      <c r="H51" s="86">
        <v>100</v>
      </c>
      <c r="I51" s="86">
        <v>100</v>
      </c>
      <c r="J51" s="86">
        <v>100</v>
      </c>
      <c r="K51" s="86">
        <v>100</v>
      </c>
      <c r="L51" s="86">
        <v>100</v>
      </c>
      <c r="M51" s="86">
        <v>100</v>
      </c>
      <c r="N51" s="86">
        <v>100</v>
      </c>
      <c r="O51" s="26" t="s">
        <v>326</v>
      </c>
      <c r="P51" s="35"/>
      <c r="T51" s="32"/>
    </row>
    <row r="52" spans="1:20" ht="20.100000000000001" customHeight="1" x14ac:dyDescent="0.25">
      <c r="A52" s="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326</v>
      </c>
      <c r="P52" s="35"/>
      <c r="T52" s="32"/>
    </row>
    <row r="53" spans="1:20" ht="20.100000000000001" customHeight="1" x14ac:dyDescent="0.25">
      <c r="A53" s="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326</v>
      </c>
      <c r="P53" s="35"/>
      <c r="T53" s="32"/>
    </row>
    <row r="54" spans="1:20" ht="20.100000000000001" customHeight="1" x14ac:dyDescent="0.25">
      <c r="A54" s="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326</v>
      </c>
      <c r="P54" s="35"/>
      <c r="T54" s="32"/>
    </row>
    <row r="55" spans="1:20" ht="20.100000000000001" customHeight="1" x14ac:dyDescent="0.25">
      <c r="A55" s="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326</v>
      </c>
      <c r="P55" s="35"/>
      <c r="T55" s="32"/>
    </row>
    <row r="56" spans="1:20" ht="20.100000000000001" customHeight="1" x14ac:dyDescent="0.25">
      <c r="A56" s="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326</v>
      </c>
      <c r="P56" s="35"/>
      <c r="T56" s="32"/>
    </row>
    <row r="57" spans="1:20" ht="20.100000000000001" customHeight="1" x14ac:dyDescent="0.25">
      <c r="A57" s="5"/>
      <c r="P57" s="35"/>
      <c r="T57" s="32"/>
    </row>
    <row r="58" spans="1:20" ht="20.100000000000001" customHeight="1" x14ac:dyDescent="0.25">
      <c r="A58" s="5"/>
      <c r="P58" s="35"/>
      <c r="T58" s="32"/>
    </row>
    <row r="59" spans="1:20" ht="20.100000000000001" customHeight="1" x14ac:dyDescent="0.25">
      <c r="A59" s="5"/>
      <c r="D59" s="91" t="s">
        <v>273</v>
      </c>
      <c r="P59" s="35"/>
      <c r="T59" s="32"/>
    </row>
    <row r="60" spans="1:20" ht="20.100000000000001" customHeight="1" x14ac:dyDescent="0.25">
      <c r="A60" s="5"/>
      <c r="D60" s="104" t="s">
        <v>311</v>
      </c>
      <c r="E60" s="104" t="s">
        <v>312</v>
      </c>
      <c r="F60" s="104" t="s">
        <v>198</v>
      </c>
      <c r="G60" s="104" t="s">
        <v>313</v>
      </c>
      <c r="H60" s="104" t="s">
        <v>314</v>
      </c>
      <c r="I60" s="104" t="s">
        <v>315</v>
      </c>
      <c r="J60" s="104" t="s">
        <v>316</v>
      </c>
      <c r="K60" s="104" t="s">
        <v>317</v>
      </c>
      <c r="L60" s="104" t="s">
        <v>318</v>
      </c>
      <c r="M60" s="104" t="s">
        <v>319</v>
      </c>
      <c r="N60" s="104" t="s">
        <v>320</v>
      </c>
      <c r="P60" s="35"/>
      <c r="T60" s="32"/>
    </row>
    <row r="61" spans="1:20" ht="20.100000000000001" customHeight="1" x14ac:dyDescent="0.25">
      <c r="A61" s="5"/>
      <c r="D61" s="1" t="s">
        <v>321</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329</v>
      </c>
      <c r="P61" s="35"/>
      <c r="T61" s="32"/>
    </row>
    <row r="62" spans="1:20" ht="20.100000000000001" customHeight="1" x14ac:dyDescent="0.25">
      <c r="D62" s="1" t="s">
        <v>322</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329</v>
      </c>
      <c r="P62" s="35"/>
      <c r="T62" s="32"/>
    </row>
    <row r="63" spans="1:20" ht="20.100000000000001" customHeight="1" x14ac:dyDescent="0.25">
      <c r="D63" s="1" t="s">
        <v>323</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329</v>
      </c>
      <c r="P63" s="35"/>
      <c r="T63" s="32"/>
    </row>
    <row r="64" spans="1:20" ht="20.100000000000001" customHeight="1" x14ac:dyDescent="0.25">
      <c r="D64" s="1" t="s">
        <v>324</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329</v>
      </c>
      <c r="P64" s="35"/>
      <c r="T64" s="32"/>
    </row>
    <row r="65" spans="4:20" ht="20.100000000000001" customHeight="1" x14ac:dyDescent="0.25">
      <c r="O65" s="26"/>
      <c r="P65" s="35"/>
      <c r="T65" s="32"/>
    </row>
    <row r="66" spans="4:20" ht="20.100000000000001" customHeight="1" x14ac:dyDescent="0.25">
      <c r="D66" s="104" t="s">
        <v>325</v>
      </c>
      <c r="E66" s="104" t="s">
        <v>312</v>
      </c>
      <c r="F66" s="104" t="s">
        <v>198</v>
      </c>
      <c r="G66" s="104" t="s">
        <v>313</v>
      </c>
      <c r="H66" s="104" t="s">
        <v>314</v>
      </c>
      <c r="I66" s="104" t="s">
        <v>315</v>
      </c>
      <c r="J66" s="104" t="s">
        <v>316</v>
      </c>
      <c r="K66" s="104" t="s">
        <v>317</v>
      </c>
      <c r="L66" s="104" t="s">
        <v>318</v>
      </c>
      <c r="M66" s="104" t="s">
        <v>319</v>
      </c>
      <c r="N66" s="104" t="s">
        <v>320</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329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329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329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329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329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329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329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329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329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329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329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329</v>
      </c>
      <c r="T78" s="32"/>
    </row>
    <row r="79" spans="4:20" ht="20.100000000000001" customHeight="1" x14ac:dyDescent="0.25">
      <c r="T79" s="32"/>
    </row>
    <row r="80" spans="4:20" ht="20.100000000000001" customHeight="1" x14ac:dyDescent="0.25">
      <c r="T80" s="32"/>
    </row>
    <row r="81" spans="4:20" ht="20.100000000000001" customHeight="1" x14ac:dyDescent="0.25">
      <c r="D81" s="91" t="s">
        <v>274</v>
      </c>
      <c r="T81" s="32"/>
    </row>
    <row r="82" spans="4:20" ht="20.100000000000001" customHeight="1" x14ac:dyDescent="0.25">
      <c r="D82" s="104" t="s">
        <v>311</v>
      </c>
      <c r="E82" s="104" t="s">
        <v>312</v>
      </c>
      <c r="F82" s="104" t="s">
        <v>198</v>
      </c>
      <c r="G82" s="104" t="s">
        <v>313</v>
      </c>
      <c r="H82" s="104" t="s">
        <v>314</v>
      </c>
      <c r="I82" s="104" t="s">
        <v>315</v>
      </c>
      <c r="J82" s="104" t="s">
        <v>316</v>
      </c>
      <c r="K82" s="104" t="s">
        <v>317</v>
      </c>
      <c r="L82" s="104" t="s">
        <v>318</v>
      </c>
      <c r="M82" s="104" t="s">
        <v>319</v>
      </c>
      <c r="N82" s="104" t="s">
        <v>320</v>
      </c>
      <c r="T82" s="32"/>
    </row>
    <row r="83" spans="4:20" ht="20.100000000000001" customHeight="1" x14ac:dyDescent="0.25">
      <c r="D83" s="1" t="s">
        <v>321</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330</v>
      </c>
      <c r="T83" s="32"/>
    </row>
    <row r="84" spans="4:20" ht="20.100000000000001" customHeight="1" x14ac:dyDescent="0.25">
      <c r="D84" s="1" t="s">
        <v>322</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330</v>
      </c>
      <c r="T84" s="32"/>
    </row>
    <row r="85" spans="4:20" ht="20.100000000000001" customHeight="1" x14ac:dyDescent="0.25">
      <c r="D85" s="1" t="s">
        <v>323</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330</v>
      </c>
      <c r="T85" s="32"/>
    </row>
    <row r="86" spans="4:20" ht="20.100000000000001" customHeight="1" x14ac:dyDescent="0.25">
      <c r="D86" s="1" t="s">
        <v>324</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330</v>
      </c>
      <c r="T86" s="32"/>
    </row>
    <row r="87" spans="4:20" ht="20.100000000000001" customHeight="1" x14ac:dyDescent="0.25">
      <c r="O87" s="26"/>
      <c r="T87" s="32"/>
    </row>
    <row r="88" spans="4:20" ht="20.100000000000001" customHeight="1" x14ac:dyDescent="0.25">
      <c r="D88" s="104" t="s">
        <v>325</v>
      </c>
      <c r="E88" s="104" t="s">
        <v>312</v>
      </c>
      <c r="F88" s="104" t="s">
        <v>198</v>
      </c>
      <c r="G88" s="104" t="s">
        <v>313</v>
      </c>
      <c r="H88" s="104" t="s">
        <v>314</v>
      </c>
      <c r="I88" s="104" t="s">
        <v>315</v>
      </c>
      <c r="J88" s="104" t="s">
        <v>316</v>
      </c>
      <c r="K88" s="104" t="s">
        <v>317</v>
      </c>
      <c r="L88" s="104" t="s">
        <v>318</v>
      </c>
      <c r="M88" s="104" t="s">
        <v>319</v>
      </c>
      <c r="N88" s="104" t="s">
        <v>320</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330</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330</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330</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330</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330</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330</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330</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330</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330</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330</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330</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330</v>
      </c>
      <c r="T100" s="32"/>
    </row>
    <row r="101" spans="4:20" ht="20.100000000000001" customHeight="1" x14ac:dyDescent="0.25">
      <c r="T101" s="32"/>
    </row>
    <row r="102" spans="4:20" ht="20.100000000000001" customHeight="1" x14ac:dyDescent="0.25">
      <c r="T102" s="32"/>
    </row>
    <row r="103" spans="4:20" ht="20.100000000000001" customHeight="1" x14ac:dyDescent="0.25">
      <c r="D103" s="91" t="s">
        <v>331</v>
      </c>
      <c r="K103" s="26"/>
      <c r="L103" s="26"/>
      <c r="M103" s="26"/>
      <c r="N103" s="26"/>
      <c r="O103" s="26"/>
      <c r="T103" s="32"/>
    </row>
    <row r="104" spans="4:20" ht="20.100000000000001" customHeight="1" x14ac:dyDescent="0.25">
      <c r="D104" s="104" t="s">
        <v>311</v>
      </c>
      <c r="E104" s="104" t="s">
        <v>312</v>
      </c>
      <c r="F104" s="104" t="s">
        <v>198</v>
      </c>
      <c r="G104" s="104" t="s">
        <v>313</v>
      </c>
      <c r="H104" s="104" t="s">
        <v>314</v>
      </c>
      <c r="I104" s="104" t="s">
        <v>315</v>
      </c>
      <c r="J104" s="104" t="s">
        <v>316</v>
      </c>
      <c r="K104" s="104" t="s">
        <v>317</v>
      </c>
      <c r="L104" s="104" t="s">
        <v>318</v>
      </c>
      <c r="M104" s="104" t="s">
        <v>319</v>
      </c>
      <c r="N104" s="104" t="s">
        <v>320</v>
      </c>
      <c r="T104" s="32"/>
    </row>
    <row r="105" spans="4:20" ht="20.100000000000001" customHeight="1" x14ac:dyDescent="0.25">
      <c r="D105" s="1" t="s">
        <v>321</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332</v>
      </c>
      <c r="T105" s="32"/>
    </row>
    <row r="106" spans="4:20" ht="20.100000000000001" customHeight="1" x14ac:dyDescent="0.25">
      <c r="D106" s="1" t="s">
        <v>322</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332</v>
      </c>
      <c r="T106" s="32"/>
    </row>
    <row r="107" spans="4:20" ht="20.100000000000001" customHeight="1" x14ac:dyDescent="0.25">
      <c r="D107" s="1" t="s">
        <v>323</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332</v>
      </c>
    </row>
    <row r="108" spans="4:20" ht="20.100000000000001" customHeight="1" x14ac:dyDescent="0.25">
      <c r="D108" s="1" t="s">
        <v>324</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332</v>
      </c>
    </row>
    <row r="109" spans="4:20" ht="20.100000000000001" customHeight="1" x14ac:dyDescent="0.25"/>
    <row r="110" spans="4:20" ht="20.100000000000001" customHeight="1" x14ac:dyDescent="0.25">
      <c r="D110" s="104" t="s">
        <v>325</v>
      </c>
      <c r="E110" s="104" t="s">
        <v>312</v>
      </c>
      <c r="F110" s="104" t="s">
        <v>198</v>
      </c>
      <c r="G110" s="104" t="s">
        <v>313</v>
      </c>
      <c r="H110" s="104" t="s">
        <v>314</v>
      </c>
      <c r="I110" s="104" t="s">
        <v>315</v>
      </c>
      <c r="J110" s="104" t="s">
        <v>316</v>
      </c>
      <c r="K110" s="104" t="s">
        <v>317</v>
      </c>
      <c r="L110" s="104" t="s">
        <v>318</v>
      </c>
      <c r="M110" s="104" t="s">
        <v>319</v>
      </c>
      <c r="N110" s="104" t="s">
        <v>320</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332</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332</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332</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332</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332</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332</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332</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332</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332</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332</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332</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332</v>
      </c>
    </row>
    <row r="123" spans="4:15" ht="20.100000000000001" customHeight="1" x14ac:dyDescent="0.25"/>
    <row r="124" spans="4:15" ht="20.100000000000001" customHeight="1" x14ac:dyDescent="0.25"/>
    <row r="125" spans="4:15" ht="20.100000000000001" customHeight="1" x14ac:dyDescent="0.25">
      <c r="D125" s="91" t="s">
        <v>333</v>
      </c>
      <c r="K125" s="26"/>
      <c r="L125" s="26"/>
      <c r="M125" s="26"/>
      <c r="N125" s="26"/>
      <c r="O125" s="26"/>
    </row>
    <row r="126" spans="4:15" ht="20.100000000000001" customHeight="1" x14ac:dyDescent="0.25">
      <c r="D126" s="104" t="s">
        <v>311</v>
      </c>
      <c r="E126" s="104" t="s">
        <v>312</v>
      </c>
      <c r="F126" s="104" t="s">
        <v>198</v>
      </c>
      <c r="G126" s="104" t="s">
        <v>313</v>
      </c>
      <c r="H126" s="104" t="s">
        <v>314</v>
      </c>
      <c r="I126" s="104" t="s">
        <v>315</v>
      </c>
      <c r="J126" s="104" t="s">
        <v>316</v>
      </c>
      <c r="K126" s="104" t="s">
        <v>317</v>
      </c>
      <c r="L126" s="104" t="s">
        <v>318</v>
      </c>
      <c r="M126" s="104" t="s">
        <v>319</v>
      </c>
      <c r="N126" s="104" t="s">
        <v>320</v>
      </c>
    </row>
    <row r="127" spans="4:15" ht="20.100000000000001" customHeight="1" x14ac:dyDescent="0.25">
      <c r="D127" s="1" t="s">
        <v>321</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332</v>
      </c>
    </row>
    <row r="128" spans="4:15" ht="20.100000000000001" customHeight="1" x14ac:dyDescent="0.25">
      <c r="D128" s="1" t="s">
        <v>322</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332</v>
      </c>
    </row>
    <row r="129" spans="4:15" ht="20.100000000000001" customHeight="1" x14ac:dyDescent="0.25">
      <c r="D129" s="1" t="s">
        <v>323</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332</v>
      </c>
    </row>
    <row r="130" spans="4:15" ht="20.100000000000001" customHeight="1" x14ac:dyDescent="0.25">
      <c r="D130" s="1" t="s">
        <v>324</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332</v>
      </c>
    </row>
    <row r="131" spans="4:15" ht="20.100000000000001" customHeight="1" x14ac:dyDescent="0.25"/>
    <row r="132" spans="4:15" ht="20.100000000000001" customHeight="1" x14ac:dyDescent="0.25">
      <c r="D132" s="104" t="s">
        <v>325</v>
      </c>
      <c r="E132" s="104" t="s">
        <v>312</v>
      </c>
      <c r="F132" s="104" t="s">
        <v>198</v>
      </c>
      <c r="G132" s="104" t="s">
        <v>313</v>
      </c>
      <c r="H132" s="104" t="s">
        <v>314</v>
      </c>
      <c r="I132" s="104" t="s">
        <v>315</v>
      </c>
      <c r="J132" s="104" t="s">
        <v>316</v>
      </c>
      <c r="K132" s="104" t="s">
        <v>317</v>
      </c>
      <c r="L132" s="104" t="s">
        <v>318</v>
      </c>
      <c r="M132" s="104" t="s">
        <v>319</v>
      </c>
      <c r="N132" s="104" t="s">
        <v>320</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332</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332</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332</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332</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332</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332</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332</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332</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332</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332</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332</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332</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334</v>
      </c>
      <c r="L147" s="26"/>
      <c r="M147" s="26"/>
      <c r="N147" s="26"/>
      <c r="O147" s="26"/>
    </row>
    <row r="148" spans="4:15" ht="20.100000000000001" customHeight="1" x14ac:dyDescent="0.25"/>
    <row r="149" spans="4:15" ht="20.100000000000001" customHeight="1" x14ac:dyDescent="0.25">
      <c r="D149" s="1" t="s">
        <v>335</v>
      </c>
      <c r="E149" s="23" t="s">
        <v>336</v>
      </c>
      <c r="F149" s="26" t="s">
        <v>107</v>
      </c>
      <c r="L149" s="26"/>
      <c r="M149" s="26"/>
      <c r="N149" s="26"/>
      <c r="O149" s="26"/>
    </row>
    <row r="150" spans="4:15" ht="20.100000000000001" customHeight="1" x14ac:dyDescent="0.25"/>
    <row r="151" spans="4:15" ht="20.100000000000001" customHeight="1" x14ac:dyDescent="0.25">
      <c r="D151" s="104" t="s">
        <v>337</v>
      </c>
      <c r="E151" s="104" t="s">
        <v>338</v>
      </c>
      <c r="L151" s="26"/>
      <c r="M151" s="26"/>
      <c r="N151" s="26"/>
      <c r="O151" s="26"/>
    </row>
    <row r="152" spans="4:15" ht="20.100000000000001" customHeight="1" x14ac:dyDescent="0.25">
      <c r="D152" s="1" t="s">
        <v>89</v>
      </c>
      <c r="E152" s="105">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339</v>
      </c>
      <c r="L152" s="26"/>
      <c r="M152" s="26"/>
      <c r="N152" s="26"/>
      <c r="O152" s="26"/>
    </row>
    <row r="153" spans="4:15" ht="20.100000000000001" customHeight="1" x14ac:dyDescent="0.25">
      <c r="D153" s="1" t="s">
        <v>77</v>
      </c>
      <c r="E153" s="105">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339</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340</v>
      </c>
      <c r="E156" s="23" t="s">
        <v>188</v>
      </c>
      <c r="F156" s="26" t="s">
        <v>107</v>
      </c>
      <c r="L156" s="26"/>
      <c r="M156" s="26"/>
      <c r="N156" s="26"/>
      <c r="O156" s="26"/>
    </row>
    <row r="157" spans="4:15" ht="20.100000000000001" customHeight="1" x14ac:dyDescent="0.25">
      <c r="E157" s="23" t="s">
        <v>341</v>
      </c>
      <c r="F157" s="26" t="s">
        <v>107</v>
      </c>
    </row>
    <row r="158" spans="4:15" ht="20.100000000000001" customHeight="1" x14ac:dyDescent="0.25"/>
    <row r="159" spans="4:15" ht="20.100000000000001" customHeight="1" x14ac:dyDescent="0.25"/>
    <row r="160" spans="4:15" ht="20.100000000000001" customHeight="1" x14ac:dyDescent="0.25">
      <c r="D160" s="91" t="s">
        <v>342</v>
      </c>
      <c r="K160" s="26"/>
      <c r="L160" s="26"/>
      <c r="M160" s="26"/>
      <c r="N160" s="26"/>
      <c r="O160" s="26"/>
    </row>
    <row r="161" spans="4:15" ht="20.100000000000001" customHeight="1" x14ac:dyDescent="0.25">
      <c r="D161" s="104" t="s">
        <v>327</v>
      </c>
      <c r="E161" s="104"/>
      <c r="F161" s="104"/>
      <c r="G161" s="104"/>
    </row>
    <row r="162" spans="4:15" ht="20.100000000000001" customHeight="1" x14ac:dyDescent="0.25">
      <c r="D162" s="1" t="s">
        <v>343</v>
      </c>
      <c r="E162" s="23" t="s">
        <v>324</v>
      </c>
      <c r="F162" s="26" t="s">
        <v>107</v>
      </c>
    </row>
    <row r="163" spans="4:15" ht="20.100000000000001" customHeight="1" x14ac:dyDescent="0.25"/>
    <row r="164" spans="4:15" ht="20.100000000000001" customHeight="1" x14ac:dyDescent="0.25"/>
    <row r="165" spans="4:15" ht="20.100000000000001" customHeight="1" x14ac:dyDescent="0.25">
      <c r="K165" s="1" t="s">
        <v>344</v>
      </c>
    </row>
    <row r="166" spans="4:15" ht="20.100000000000001" customHeight="1" x14ac:dyDescent="0.25"/>
    <row r="167" spans="4:15" ht="20.100000000000001" customHeight="1" x14ac:dyDescent="0.25">
      <c r="E167" s="104" t="s">
        <v>345</v>
      </c>
      <c r="F167" s="104" t="s">
        <v>314</v>
      </c>
      <c r="G167" s="104" t="s">
        <v>315</v>
      </c>
      <c r="H167" s="104" t="s">
        <v>316</v>
      </c>
      <c r="L167" s="1" t="s">
        <v>313</v>
      </c>
      <c r="M167" s="1" t="s">
        <v>317</v>
      </c>
      <c r="N167" s="26"/>
      <c r="O167" s="26"/>
    </row>
    <row r="168" spans="4:15" ht="20.100000000000001" customHeight="1" x14ac:dyDescent="0.25">
      <c r="D168" s="1" t="str">
        <f>"Proportion of cows &gt; 1 years in calf in " &amp; E162</f>
        <v>Proportion of cows &gt; 1 years in calf in Winter</v>
      </c>
      <c r="E168" s="23" t="s">
        <v>346</v>
      </c>
      <c r="F168" s="28">
        <v>0.7</v>
      </c>
      <c r="G168" s="28">
        <v>0.5</v>
      </c>
      <c r="H168" s="28">
        <v>0.5</v>
      </c>
      <c r="I168" s="26" t="s">
        <v>339</v>
      </c>
      <c r="L168" s="25">
        <f>MAX(0, G42-G41)</f>
        <v>0</v>
      </c>
      <c r="M168" s="25">
        <f>MAX(0,K42-K41)</f>
        <v>0</v>
      </c>
      <c r="N168" s="26"/>
      <c r="O168" s="26"/>
    </row>
    <row r="169" spans="4:15" ht="20.100000000000001" customHeight="1" x14ac:dyDescent="0.25">
      <c r="D169" s="1" t="s">
        <v>321</v>
      </c>
      <c r="E169" s="23" t="s">
        <v>346</v>
      </c>
      <c r="F169" s="28">
        <v>0.1</v>
      </c>
      <c r="G169" s="28">
        <v>0.4</v>
      </c>
      <c r="H169" s="28">
        <v>0.4</v>
      </c>
      <c r="I169" s="26" t="s">
        <v>339</v>
      </c>
      <c r="L169" s="25">
        <f>MAX(0, G39-G42)</f>
        <v>0</v>
      </c>
      <c r="M169" s="25">
        <f>MAX(0,K39-K42)</f>
        <v>0</v>
      </c>
    </row>
    <row r="170" spans="4:15" ht="20.100000000000001" customHeight="1" x14ac:dyDescent="0.25">
      <c r="D170" s="1" t="s">
        <v>322</v>
      </c>
      <c r="E170" s="23" t="s">
        <v>346</v>
      </c>
      <c r="F170" s="28">
        <v>0.1</v>
      </c>
      <c r="G170" s="28">
        <v>0</v>
      </c>
      <c r="H170" s="28">
        <v>0</v>
      </c>
      <c r="I170" s="26" t="s">
        <v>339</v>
      </c>
      <c r="L170" s="25">
        <f>MAX(0, G40-G39)</f>
        <v>0</v>
      </c>
      <c r="M170" s="25">
        <f>MAX(0,K40-K39)</f>
        <v>0</v>
      </c>
    </row>
    <row r="171" spans="4:15" ht="20.100000000000001" customHeight="1" x14ac:dyDescent="0.25">
      <c r="D171" s="1" t="s">
        <v>323</v>
      </c>
      <c r="E171" s="23" t="s">
        <v>336</v>
      </c>
      <c r="F171" s="28">
        <v>0</v>
      </c>
      <c r="G171" s="28">
        <v>0</v>
      </c>
      <c r="H171" s="28">
        <v>0</v>
      </c>
      <c r="I171" s="26" t="s">
        <v>339</v>
      </c>
      <c r="L171" s="25">
        <f>MAX(0,G41-G40)</f>
        <v>0</v>
      </c>
      <c r="M171" s="25">
        <f>MAX(0,K41-K40)</f>
        <v>0</v>
      </c>
    </row>
    <row r="172" spans="4:15" ht="20.100000000000001" customHeight="1" x14ac:dyDescent="0.25">
      <c r="J172" s="1" t="s">
        <v>347</v>
      </c>
    </row>
    <row r="173" spans="4:15" ht="20.100000000000001" customHeight="1" x14ac:dyDescent="0.25"/>
    <row r="174" spans="4:15" ht="20.100000000000001" customHeight="1" x14ac:dyDescent="0.25"/>
    <row r="175" spans="4:15" ht="20.100000000000001" customHeight="1" x14ac:dyDescent="0.25">
      <c r="D175" s="104" t="s">
        <v>328</v>
      </c>
      <c r="E175" s="104"/>
      <c r="F175" s="104"/>
      <c r="G175" s="104"/>
      <c r="L175" s="106" t="s">
        <v>348</v>
      </c>
    </row>
    <row r="176" spans="4:15" ht="20.100000000000001" customHeight="1" x14ac:dyDescent="0.25">
      <c r="D176" s="1" t="s">
        <v>349</v>
      </c>
      <c r="E176" s="23" t="s">
        <v>350</v>
      </c>
      <c r="F176" s="26" t="s">
        <v>107</v>
      </c>
      <c r="J176" s="88" t="s">
        <v>312</v>
      </c>
    </row>
    <row r="177" spans="4:15" ht="20.100000000000001" customHeight="1" x14ac:dyDescent="0.25">
      <c r="D177" s="1" t="s">
        <v>351</v>
      </c>
      <c r="E177" s="25" t="str">
        <f>TEXT(EDATE(E176,1), "mmmm yyyy")</f>
        <v>September 2024</v>
      </c>
      <c r="J177" s="1" t="s">
        <v>326</v>
      </c>
      <c r="K177" s="1" t="s">
        <v>352</v>
      </c>
      <c r="L177" s="1" t="s">
        <v>347</v>
      </c>
      <c r="M177" s="1" t="s">
        <v>353</v>
      </c>
      <c r="N177" s="1" t="s">
        <v>354</v>
      </c>
      <c r="O177" s="1" t="s">
        <v>355</v>
      </c>
    </row>
    <row r="178" spans="4:15" ht="20.100000000000001" customHeight="1" x14ac:dyDescent="0.25">
      <c r="D178" s="1" t="s">
        <v>356</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104" t="s">
        <v>314</v>
      </c>
      <c r="F181" s="104" t="s">
        <v>315</v>
      </c>
      <c r="G181" s="104" t="s">
        <v>316</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339</v>
      </c>
      <c r="L182" s="26"/>
      <c r="M182" s="26"/>
      <c r="N182" s="26"/>
      <c r="O182" s="26"/>
    </row>
    <row r="183" spans="4:15" ht="20.100000000000001" customHeight="1" x14ac:dyDescent="0.25">
      <c r="D183" s="1" t="str">
        <f>E177</f>
        <v>September 2024</v>
      </c>
      <c r="E183" s="28">
        <v>0.25</v>
      </c>
      <c r="F183" s="28">
        <v>0.25</v>
      </c>
      <c r="G183" s="28">
        <v>0.25</v>
      </c>
      <c r="H183" s="26" t="s">
        <v>339</v>
      </c>
    </row>
    <row r="184" spans="4:15" ht="20.100000000000001" customHeight="1" x14ac:dyDescent="0.25">
      <c r="D184" s="1" t="str">
        <f>E178</f>
        <v>October 2024</v>
      </c>
      <c r="E184" s="28">
        <v>0.25</v>
      </c>
      <c r="F184" s="28">
        <v>0.25</v>
      </c>
      <c r="G184" s="28">
        <v>0.25</v>
      </c>
      <c r="H184" s="26" t="s">
        <v>339</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339</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102"/>
    </row>
    <row r="206" spans="17:27" ht="20.100000000000001" customHeight="1" x14ac:dyDescent="0.25">
      <c r="Q206" s="1"/>
      <c r="R206" s="1"/>
      <c r="Z206" s="102"/>
      <c r="AA206" s="102"/>
    </row>
    <row r="207" spans="17:27" ht="20.100000000000001" customHeight="1" x14ac:dyDescent="0.25">
      <c r="Q207" s="1"/>
      <c r="R207" s="1"/>
      <c r="Z207" s="102"/>
      <c r="AA207" s="102"/>
    </row>
    <row r="208" spans="17:27" ht="20.100000000000001" customHeight="1" x14ac:dyDescent="0.25">
      <c r="Q208" s="1"/>
      <c r="R208" s="1"/>
      <c r="Z208" s="102"/>
      <c r="AA208" s="102"/>
    </row>
    <row r="209" spans="11:27" ht="20.100000000000001" customHeight="1" x14ac:dyDescent="0.25">
      <c r="Q209" s="1"/>
      <c r="R209" s="1"/>
      <c r="Z209" s="102"/>
      <c r="AA209" s="102"/>
    </row>
    <row r="210" spans="11:27" ht="20.100000000000001" customHeight="1" x14ac:dyDescent="0.25">
      <c r="Q210" s="1"/>
      <c r="R210" s="1"/>
      <c r="Z210" s="102"/>
      <c r="AA210" s="102"/>
    </row>
    <row r="211" spans="11:27" ht="20.100000000000001" customHeight="1" x14ac:dyDescent="0.25">
      <c r="Q211" s="1"/>
      <c r="R211" s="1"/>
      <c r="Z211" s="102"/>
      <c r="AA211" s="102"/>
    </row>
    <row r="212" spans="11:27" ht="20.100000000000001" customHeight="1" x14ac:dyDescent="0.25">
      <c r="Q212" s="1"/>
      <c r="R212" s="1"/>
      <c r="Z212" s="102"/>
      <c r="AA212" s="102"/>
    </row>
    <row r="213" spans="11:27" ht="20.100000000000001" customHeight="1" x14ac:dyDescent="0.25">
      <c r="Q213" s="1"/>
      <c r="R213" s="1"/>
      <c r="Z213" s="102"/>
      <c r="AA213" s="102"/>
    </row>
    <row r="214" spans="11:27" ht="20.100000000000001" customHeight="1" x14ac:dyDescent="0.25">
      <c r="Q214" s="1"/>
      <c r="R214" s="1"/>
      <c r="Z214" s="102"/>
      <c r="AA214" s="102"/>
    </row>
    <row r="215" spans="11:27" ht="20.100000000000001" customHeight="1" x14ac:dyDescent="0.25">
      <c r="Q215" s="1"/>
      <c r="R215" s="1"/>
      <c r="Z215" s="102"/>
      <c r="AA215" s="102"/>
    </row>
    <row r="216" spans="11:27" ht="20.100000000000001" customHeight="1" x14ac:dyDescent="0.25">
      <c r="Q216" s="1"/>
      <c r="Z216" s="102"/>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B6C22297-D064-4293-ACBA-CAFDE79D7116}">
      <formula1>$D$23:$D$34</formula1>
    </dataValidation>
    <dataValidation type="list" allowBlank="1" showInputMessage="1" showErrorMessage="1" sqref="E162" xr:uid="{6E825178-277C-4B50-9874-6494D9109C50}">
      <formula1>"Spring, Summer, Autumn, Winter"</formula1>
    </dataValidation>
    <dataValidation type="list" allowBlank="1" showInputMessage="1" showErrorMessage="1" sqref="E156" xr:uid="{A778A602-F338-4CD8-8153-0A04DB5E7087}">
      <formula1>INDIRECT("Table_SourceData_PastureBeef_CropProdSystems[Production system]")</formula1>
    </dataValidation>
    <dataValidation type="list" allowBlank="1" showInputMessage="1" showErrorMessage="1" sqref="E157" xr:uid="{2A8B038B-4F28-4D31-AF89-18429972B09A}">
      <formula1>INDIRECT("Table_SourceData_PastureBeef_IrrigationMethods[Irrigation method]")</formula1>
    </dataValidation>
    <dataValidation type="list" allowBlank="1" showInputMessage="1" showErrorMessage="1" sqref="E9" xr:uid="{2E4A7094-1C8E-4FE7-A8FF-4023FAEC6B6E}">
      <formula1>INDIRECT("Table_SourceData_PastureBeef_FeedIntakeAdjustment[Breed]")</formula1>
    </dataValidation>
    <dataValidation type="list" allowBlank="1" showInputMessage="1" showErrorMessage="1" sqref="E8" xr:uid="{8789EDEF-19C7-45D0-848D-16E39ED93288}">
      <formula1>INDIRECT("Table_SourceData_PastureBeef_Region_" &amp; SUBSTITUTE($E$7, " ", "") &amp; "[Region]")</formula1>
    </dataValidation>
    <dataValidation type="list" allowBlank="1" showInputMessage="1" showErrorMessage="1" sqref="E15 E37 E59 E81" xr:uid="{A1F8C240-2456-4B97-A278-A811E55B3490}">
      <formula1>INDIRECT("Table_SourceData_Dairy_WjCowsHeifers[Breed]")</formula1>
    </dataValidation>
    <dataValidation type="list" allowBlank="1" showInputMessage="1" showErrorMessage="1" sqref="E216 E221 E226 E260 E255 E250 E149" xr:uid="{45F8741C-ABF6-44F0-B822-E543C05132EB}">
      <formula1>"Yes, No"</formula1>
    </dataValidation>
    <dataValidation type="list" allowBlank="1" showInputMessage="1" showErrorMessage="1" sqref="D244" xr:uid="{6FF1AD39-3E37-4290-AB31-236A1204DAB1}">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190</v>
      </c>
    </row>
    <row r="2" spans="1:13" s="3" customFormat="1" x14ac:dyDescent="0.25">
      <c r="A2"/>
    </row>
    <row r="3" spans="1:13" ht="20.25" x14ac:dyDescent="0.25">
      <c r="A3" s="5"/>
      <c r="C3" s="39"/>
      <c r="D3" s="39"/>
      <c r="E3" s="39"/>
      <c r="F3" s="39"/>
      <c r="G3" s="39"/>
      <c r="H3" s="39"/>
      <c r="I3" s="39"/>
      <c r="J3" s="39"/>
      <c r="K3" s="39"/>
      <c r="L3" s="39"/>
      <c r="M3" s="39"/>
    </row>
    <row r="4" spans="1:13" x14ac:dyDescent="0.25">
      <c r="A4" s="5"/>
    </row>
    <row r="5" spans="1:13" x14ac:dyDescent="0.25">
      <c r="A5" s="5"/>
      <c r="D5" s="92" t="s">
        <v>191</v>
      </c>
    </row>
    <row r="6" spans="1:13" x14ac:dyDescent="0.25">
      <c r="D6" s="30" t="s">
        <v>192</v>
      </c>
      <c r="E6" s="30" t="s">
        <v>193</v>
      </c>
      <c r="F6" s="30" t="s">
        <v>194</v>
      </c>
      <c r="G6" s="30" t="s">
        <v>195</v>
      </c>
      <c r="H6" s="30" t="s">
        <v>196</v>
      </c>
      <c r="I6" s="30" t="s">
        <v>197</v>
      </c>
    </row>
    <row r="7" spans="1:13" x14ac:dyDescent="0.25">
      <c r="D7" s="44"/>
      <c r="E7" s="23" t="s">
        <v>198</v>
      </c>
      <c r="F7" s="93">
        <v>45566</v>
      </c>
      <c r="G7" s="30">
        <v>10</v>
      </c>
      <c r="H7" s="30">
        <v>500</v>
      </c>
      <c r="I7" s="25">
        <f t="shared" ref="I7:I16" si="0">G7*H7</f>
        <v>5000</v>
      </c>
    </row>
    <row r="8" spans="1:13" x14ac:dyDescent="0.25">
      <c r="A8" s="7"/>
      <c r="D8" s="44"/>
      <c r="E8" s="23"/>
      <c r="F8" s="93"/>
      <c r="G8" s="30"/>
      <c r="H8" s="30"/>
      <c r="I8" s="25">
        <f t="shared" si="0"/>
        <v>0</v>
      </c>
    </row>
    <row r="9" spans="1:13" x14ac:dyDescent="0.25">
      <c r="A9" s="5"/>
      <c r="D9" s="44"/>
      <c r="E9" s="23"/>
      <c r="F9" s="93"/>
      <c r="G9" s="30"/>
      <c r="H9" s="30"/>
      <c r="I9" s="25">
        <f t="shared" si="0"/>
        <v>0</v>
      </c>
    </row>
    <row r="10" spans="1:13" x14ac:dyDescent="0.25">
      <c r="A10" s="5"/>
      <c r="D10" s="44"/>
      <c r="E10" s="23"/>
      <c r="F10" s="93"/>
      <c r="G10" s="30"/>
      <c r="H10" s="30"/>
      <c r="I10" s="25">
        <f t="shared" si="0"/>
        <v>0</v>
      </c>
    </row>
    <row r="11" spans="1:13" x14ac:dyDescent="0.25">
      <c r="A11" s="5"/>
      <c r="D11" s="44"/>
      <c r="E11" s="23"/>
      <c r="F11" s="93"/>
      <c r="G11" s="30"/>
      <c r="H11" s="30"/>
      <c r="I11" s="25">
        <f t="shared" si="0"/>
        <v>0</v>
      </c>
    </row>
    <row r="12" spans="1:13" x14ac:dyDescent="0.25">
      <c r="A12" s="5"/>
      <c r="D12" s="44"/>
      <c r="E12" s="23"/>
      <c r="F12" s="93"/>
      <c r="G12" s="30"/>
      <c r="H12" s="30"/>
      <c r="I12" s="25">
        <f t="shared" si="0"/>
        <v>0</v>
      </c>
    </row>
    <row r="13" spans="1:13" x14ac:dyDescent="0.25">
      <c r="A13" s="103"/>
      <c r="D13" s="44"/>
      <c r="E13" s="23"/>
      <c r="F13" s="93"/>
      <c r="G13" s="30"/>
      <c r="H13" s="30"/>
      <c r="I13" s="25">
        <f t="shared" si="0"/>
        <v>0</v>
      </c>
    </row>
    <row r="14" spans="1:13" x14ac:dyDescent="0.25">
      <c r="A14" s="5"/>
      <c r="D14" s="44"/>
      <c r="E14" s="23"/>
      <c r="F14" s="93"/>
      <c r="G14" s="30"/>
      <c r="H14" s="30"/>
      <c r="I14" s="25">
        <f t="shared" si="0"/>
        <v>0</v>
      </c>
    </row>
    <row r="15" spans="1:13" x14ac:dyDescent="0.25">
      <c r="A15" s="5"/>
      <c r="D15" s="44"/>
      <c r="E15" s="23"/>
      <c r="F15" s="93"/>
      <c r="G15" s="30"/>
      <c r="H15" s="30"/>
      <c r="I15" s="25">
        <f t="shared" si="0"/>
        <v>0</v>
      </c>
    </row>
    <row r="16" spans="1:13" x14ac:dyDescent="0.25">
      <c r="A16" s="5"/>
      <c r="D16" s="44"/>
      <c r="E16" s="23"/>
      <c r="F16" s="93"/>
      <c r="G16" s="30"/>
      <c r="H16" s="30"/>
      <c r="I16" s="25">
        <f t="shared" si="0"/>
        <v>0</v>
      </c>
    </row>
    <row r="17" spans="1:1" x14ac:dyDescent="0.25">
      <c r="A17" s="5"/>
    </row>
    <row r="18" spans="1:1" x14ac:dyDescent="0.25">
      <c r="A18" s="5"/>
    </row>
    <row r="19" spans="1:1" x14ac:dyDescent="0.25">
      <c r="A19" s="5"/>
    </row>
    <row r="20" spans="1:1" x14ac:dyDescent="0.25">
      <c r="A20" s="5"/>
    </row>
    <row r="21" spans="1:1" x14ac:dyDescent="0.25">
      <c r="A21" s="5"/>
    </row>
    <row r="22" spans="1:1" x14ac:dyDescent="0.25">
      <c r="A22" s="5"/>
    </row>
    <row r="23" spans="1:1" x14ac:dyDescent="0.25">
      <c r="A23" s="5"/>
    </row>
    <row r="24" spans="1:1" x14ac:dyDescent="0.25">
      <c r="A24" s="5"/>
    </row>
    <row r="25" spans="1:1" x14ac:dyDescent="0.25">
      <c r="A25" s="5"/>
    </row>
    <row r="26" spans="1:1" x14ac:dyDescent="0.25">
      <c r="A26" s="5"/>
    </row>
    <row r="29" spans="1:1" x14ac:dyDescent="0.25">
      <c r="A29" s="6"/>
    </row>
    <row r="30" spans="1:1" x14ac:dyDescent="0.25">
      <c r="A30" s="5"/>
    </row>
    <row r="31" spans="1:1" x14ac:dyDescent="0.25">
      <c r="A31" s="5"/>
    </row>
    <row r="32" spans="1:1" x14ac:dyDescent="0.25">
      <c r="A32" s="5"/>
    </row>
    <row r="33" spans="1:1" x14ac:dyDescent="0.25">
      <c r="A33" s="5"/>
    </row>
    <row r="34" spans="1:1" x14ac:dyDescent="0.25">
      <c r="A34" s="5"/>
    </row>
    <row r="35" spans="1:1" x14ac:dyDescent="0.25">
      <c r="A35" s="5"/>
    </row>
    <row r="36" spans="1:1" x14ac:dyDescent="0.25">
      <c r="A36" s="5"/>
    </row>
    <row r="37" spans="1:1" x14ac:dyDescent="0.25">
      <c r="A37" s="5"/>
    </row>
    <row r="38" spans="1:1" x14ac:dyDescent="0.25">
      <c r="A38" s="5"/>
    </row>
    <row r="39" spans="1:1" x14ac:dyDescent="0.25">
      <c r="A39" s="5"/>
    </row>
    <row r="40" spans="1:1" x14ac:dyDescent="0.25">
      <c r="A40" s="5"/>
    </row>
    <row r="41" spans="1:1" x14ac:dyDescent="0.25">
      <c r="A41" s="5"/>
    </row>
    <row r="42" spans="1:1" x14ac:dyDescent="0.25">
      <c r="A42" s="5"/>
    </row>
    <row r="43" spans="1:1" x14ac:dyDescent="0.25">
      <c r="A43" s="5"/>
    </row>
    <row r="44" spans="1:1" x14ac:dyDescent="0.25">
      <c r="A44" s="5"/>
    </row>
    <row r="45" spans="1:1" x14ac:dyDescent="0.25">
      <c r="A45" s="5"/>
    </row>
    <row r="46" spans="1:1" x14ac:dyDescent="0.25">
      <c r="A46" s="5"/>
    </row>
    <row r="47" spans="1:1" x14ac:dyDescent="0.25">
      <c r="A47" s="5"/>
    </row>
    <row r="48" spans="1:1" x14ac:dyDescent="0.25">
      <c r="A48" s="5"/>
    </row>
    <row r="51" spans="1: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FD8BE-853B-4BBF-AE76-5039D56BC153}">
  <sheetPr>
    <tabColor theme="5" tint="-0.249977111117893"/>
  </sheetPr>
  <dimension ref="A1:L160"/>
  <sheetViews>
    <sheetView showGridLines="0"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11" width="35" style="1" customWidth="1"/>
    <col min="12" max="12" width="5.28515625" style="1" customWidth="1"/>
    <col min="13" max="16" width="35" style="249" customWidth="1"/>
    <col min="17" max="16384" width="9.140625" style="249"/>
  </cols>
  <sheetData>
    <row r="1" spans="1:12" ht="25.5" x14ac:dyDescent="0.35">
      <c r="A1" s="16" t="e" vm="1">
        <v>#VALUE!</v>
      </c>
      <c r="B1" s="102"/>
      <c r="C1" s="16" t="s">
        <v>1019</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c r="C3" s="39"/>
      <c r="D3" s="39"/>
      <c r="E3" s="39"/>
      <c r="F3" s="39"/>
      <c r="G3" s="39"/>
      <c r="H3" s="39"/>
      <c r="I3" s="39"/>
      <c r="J3" s="39"/>
      <c r="K3" s="39"/>
      <c r="L3" s="39"/>
    </row>
    <row r="4" spans="1:12" x14ac:dyDescent="0.25">
      <c r="A4" s="5"/>
    </row>
    <row r="5" spans="1:12" x14ac:dyDescent="0.25">
      <c r="A5" s="5"/>
      <c r="D5" s="92" t="s">
        <v>1020</v>
      </c>
      <c r="E5" s="250"/>
      <c r="F5" s="250"/>
      <c r="G5" s="250"/>
      <c r="H5" s="250"/>
      <c r="I5" s="250"/>
      <c r="J5" s="250"/>
    </row>
    <row r="6" spans="1:12" x14ac:dyDescent="0.25">
      <c r="A6"/>
      <c r="D6" s="30" t="s">
        <v>192</v>
      </c>
      <c r="E6" s="30" t="s">
        <v>1021</v>
      </c>
      <c r="F6" s="30" t="s">
        <v>193</v>
      </c>
      <c r="G6" s="30" t="s">
        <v>1022</v>
      </c>
      <c r="H6" s="30" t="s">
        <v>1023</v>
      </c>
      <c r="I6" s="30" t="s">
        <v>1024</v>
      </c>
      <c r="J6" s="251" t="s">
        <v>1025</v>
      </c>
      <c r="K6" s="251" t="s">
        <v>1026</v>
      </c>
    </row>
    <row r="7" spans="1:12" x14ac:dyDescent="0.25">
      <c r="A7"/>
      <c r="D7" s="44" t="s">
        <v>1027</v>
      </c>
      <c r="E7" s="252">
        <v>45547</v>
      </c>
      <c r="F7" s="23" t="s">
        <v>317</v>
      </c>
      <c r="G7" s="143" t="s">
        <v>1028</v>
      </c>
      <c r="H7" s="23" t="s">
        <v>514</v>
      </c>
      <c r="I7" s="86">
        <v>100</v>
      </c>
      <c r="J7" s="2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86">
        <v>205</v>
      </c>
    </row>
    <row r="8" spans="1:12" x14ac:dyDescent="0.25">
      <c r="A8" s="7"/>
      <c r="D8" s="44"/>
      <c r="E8" s="252">
        <v>45292</v>
      </c>
      <c r="F8" s="99" t="s">
        <v>318</v>
      </c>
      <c r="G8" s="143" t="s">
        <v>1029</v>
      </c>
      <c r="H8" s="23" t="s">
        <v>511</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86">
        <v>465</v>
      </c>
    </row>
    <row r="9" spans="1:12" x14ac:dyDescent="0.25">
      <c r="A9" s="5"/>
      <c r="D9" s="44"/>
      <c r="E9" s="44"/>
      <c r="F9" s="99"/>
      <c r="G9" s="143"/>
      <c r="H9" s="23"/>
      <c r="I9" s="86"/>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86"/>
    </row>
    <row r="10" spans="1:12" x14ac:dyDescent="0.25">
      <c r="A10" s="5"/>
      <c r="D10" s="44"/>
      <c r="E10" s="44"/>
      <c r="F10" s="99"/>
      <c r="G10" s="143"/>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c r="D11" s="44"/>
      <c r="E11" s="44"/>
      <c r="F11" s="99"/>
      <c r="G11" s="143"/>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c r="D12" s="44"/>
      <c r="E12" s="44"/>
      <c r="F12" s="99"/>
      <c r="G12" s="143"/>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c r="D13" s="44"/>
      <c r="E13" s="44"/>
      <c r="F13" s="99"/>
      <c r="G13" s="143"/>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103"/>
      <c r="D14" s="44"/>
      <c r="E14" s="44"/>
      <c r="F14" s="99"/>
      <c r="G14" s="143"/>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c r="D15" s="44"/>
      <c r="E15" s="44"/>
      <c r="F15" s="99"/>
      <c r="G15" s="143"/>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c r="D16" s="44"/>
      <c r="E16" s="44"/>
      <c r="F16" s="99"/>
      <c r="G16" s="143"/>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0" x14ac:dyDescent="0.25">
      <c r="A17" s="5"/>
    </row>
    <row r="18" spans="1:10" x14ac:dyDescent="0.25">
      <c r="A18" s="5"/>
      <c r="D18" s="250"/>
      <c r="E18" s="250"/>
      <c r="F18" s="250"/>
      <c r="G18" s="250"/>
      <c r="H18" s="250"/>
      <c r="I18" s="250"/>
      <c r="J18" s="250"/>
    </row>
    <row r="19" spans="1:10" x14ac:dyDescent="0.25">
      <c r="A19" s="5"/>
      <c r="J19" s="250"/>
    </row>
    <row r="20" spans="1:10" x14ac:dyDescent="0.25">
      <c r="A20" s="5"/>
      <c r="J20" s="250"/>
    </row>
    <row r="21" spans="1:10" x14ac:dyDescent="0.25">
      <c r="A21" s="5"/>
      <c r="J21" s="250"/>
    </row>
    <row r="22" spans="1:10" x14ac:dyDescent="0.25">
      <c r="A22" s="5"/>
      <c r="J22" s="250"/>
    </row>
    <row r="23" spans="1:10" x14ac:dyDescent="0.25">
      <c r="A23" s="5"/>
      <c r="J23" s="250"/>
    </row>
    <row r="24" spans="1:10" x14ac:dyDescent="0.25">
      <c r="A24" s="5"/>
      <c r="J24" s="250"/>
    </row>
    <row r="25" spans="1:10" x14ac:dyDescent="0.25">
      <c r="A25" s="5"/>
      <c r="J25" s="250"/>
    </row>
    <row r="26" spans="1:10" x14ac:dyDescent="0.25">
      <c r="A26" s="5"/>
      <c r="J26" s="250"/>
    </row>
    <row r="27" spans="1:10" x14ac:dyDescent="0.25">
      <c r="A27"/>
      <c r="J27" s="250"/>
    </row>
    <row r="28" spans="1:10" x14ac:dyDescent="0.25">
      <c r="A28"/>
      <c r="J28" s="250"/>
    </row>
    <row r="29" spans="1:10" x14ac:dyDescent="0.25">
      <c r="A29" s="6"/>
      <c r="J29" s="250"/>
    </row>
    <row r="30" spans="1:10" x14ac:dyDescent="0.25">
      <c r="A30" s="5"/>
      <c r="J30" s="250"/>
    </row>
    <row r="31" spans="1:10" x14ac:dyDescent="0.25">
      <c r="A31" s="5"/>
      <c r="D31" s="250"/>
      <c r="E31" s="250"/>
      <c r="F31" s="250"/>
      <c r="G31" s="250"/>
      <c r="H31" s="250"/>
      <c r="I31" s="250"/>
      <c r="J31" s="250"/>
    </row>
    <row r="32" spans="1:10" x14ac:dyDescent="0.25">
      <c r="A32" s="5"/>
      <c r="I32" s="250"/>
      <c r="J32" s="250"/>
    </row>
    <row r="33" spans="1:10" x14ac:dyDescent="0.25">
      <c r="A33" s="5"/>
      <c r="I33" s="250"/>
      <c r="J33" s="250"/>
    </row>
    <row r="34" spans="1:10" x14ac:dyDescent="0.25">
      <c r="A34" s="5"/>
      <c r="I34" s="250"/>
      <c r="J34" s="250"/>
    </row>
    <row r="35" spans="1:10" x14ac:dyDescent="0.25">
      <c r="A35" s="5"/>
      <c r="I35" s="250"/>
      <c r="J35" s="250"/>
    </row>
    <row r="36" spans="1:10" x14ac:dyDescent="0.25">
      <c r="A36" s="5"/>
      <c r="I36" s="250"/>
      <c r="J36" s="250"/>
    </row>
    <row r="37" spans="1:10" x14ac:dyDescent="0.25">
      <c r="A37" s="5"/>
      <c r="I37" s="250"/>
      <c r="J37" s="250"/>
    </row>
    <row r="38" spans="1:10" x14ac:dyDescent="0.25">
      <c r="A38" s="5"/>
      <c r="I38" s="250"/>
      <c r="J38" s="250"/>
    </row>
    <row r="39" spans="1:10" x14ac:dyDescent="0.25">
      <c r="A39" s="5"/>
      <c r="I39" s="250"/>
      <c r="J39" s="250"/>
    </row>
    <row r="40" spans="1:10" x14ac:dyDescent="0.25">
      <c r="A40" s="5"/>
      <c r="I40" s="250"/>
      <c r="J40" s="250"/>
    </row>
    <row r="41" spans="1:10" x14ac:dyDescent="0.25">
      <c r="A41" s="5"/>
      <c r="I41" s="250"/>
      <c r="J41" s="250"/>
    </row>
    <row r="42" spans="1:10" x14ac:dyDescent="0.25">
      <c r="A42" s="5"/>
      <c r="I42" s="250"/>
      <c r="J42" s="250"/>
    </row>
    <row r="43" spans="1:10" x14ac:dyDescent="0.25">
      <c r="A43" s="5"/>
      <c r="I43" s="250"/>
      <c r="J43" s="250"/>
    </row>
    <row r="44" spans="1:10" x14ac:dyDescent="0.25">
      <c r="A44" s="5"/>
      <c r="D44" s="250"/>
      <c r="E44" s="250"/>
      <c r="F44" s="250"/>
      <c r="G44" s="250"/>
      <c r="H44" s="250"/>
      <c r="I44" s="250"/>
      <c r="J44" s="250"/>
    </row>
    <row r="45" spans="1:10" x14ac:dyDescent="0.25">
      <c r="A45" s="5"/>
      <c r="I45" s="250"/>
      <c r="J45" s="250"/>
    </row>
    <row r="46" spans="1:10" x14ac:dyDescent="0.25">
      <c r="A46" s="5"/>
      <c r="I46" s="250"/>
      <c r="J46" s="250"/>
    </row>
    <row r="47" spans="1:10" x14ac:dyDescent="0.25">
      <c r="A47" s="5"/>
      <c r="I47" s="250"/>
      <c r="J47" s="250"/>
    </row>
    <row r="48" spans="1:10" x14ac:dyDescent="0.25">
      <c r="A48" s="5"/>
      <c r="I48" s="250"/>
      <c r="J48" s="250"/>
    </row>
    <row r="49" spans="1:10" x14ac:dyDescent="0.25">
      <c r="A49"/>
      <c r="I49" s="250"/>
      <c r="J49" s="250"/>
    </row>
    <row r="50" spans="1:10" x14ac:dyDescent="0.25">
      <c r="A50"/>
      <c r="I50" s="250"/>
      <c r="J50" s="250"/>
    </row>
    <row r="51" spans="1:10" x14ac:dyDescent="0.25">
      <c r="A51" s="100"/>
      <c r="I51" s="250"/>
      <c r="J51" s="250"/>
    </row>
    <row r="52" spans="1:10" x14ac:dyDescent="0.25">
      <c r="A52" s="5"/>
      <c r="I52" s="250"/>
      <c r="J52" s="250"/>
    </row>
    <row r="53" spans="1:10" x14ac:dyDescent="0.25">
      <c r="A53" s="5"/>
      <c r="I53" s="250"/>
      <c r="J53" s="250"/>
    </row>
    <row r="54" spans="1:10" x14ac:dyDescent="0.25">
      <c r="A54" s="5"/>
      <c r="I54" s="250"/>
      <c r="J54" s="250"/>
    </row>
    <row r="55" spans="1:10" x14ac:dyDescent="0.25">
      <c r="A55" s="5"/>
      <c r="I55" s="250"/>
      <c r="J55" s="250"/>
    </row>
    <row r="56" spans="1:10" x14ac:dyDescent="0.25">
      <c r="A56" s="5"/>
      <c r="I56" s="250"/>
      <c r="J56" s="250"/>
    </row>
    <row r="57" spans="1:10" x14ac:dyDescent="0.25">
      <c r="A57" s="5"/>
      <c r="D57" s="250"/>
      <c r="E57" s="250"/>
      <c r="F57" s="250"/>
      <c r="G57" s="250"/>
      <c r="H57" s="250"/>
      <c r="I57" s="250"/>
      <c r="J57" s="250"/>
    </row>
    <row r="58" spans="1:10" ht="18.75" x14ac:dyDescent="0.25">
      <c r="A58" s="5"/>
      <c r="D58" s="253"/>
      <c r="E58" s="250"/>
      <c r="F58" s="250"/>
      <c r="G58" s="250"/>
      <c r="H58" s="250"/>
      <c r="I58" s="250"/>
      <c r="J58" s="250"/>
    </row>
    <row r="59" spans="1:10" x14ac:dyDescent="0.25">
      <c r="A59" s="5"/>
      <c r="D59" s="250"/>
      <c r="E59" s="250"/>
      <c r="F59" s="250"/>
      <c r="G59" s="250"/>
      <c r="H59" s="250"/>
      <c r="I59" s="250"/>
      <c r="J59" s="250"/>
    </row>
    <row r="60" spans="1:10" x14ac:dyDescent="0.25">
      <c r="A60" s="5"/>
      <c r="D60" s="250"/>
      <c r="E60" s="250"/>
      <c r="F60" s="250"/>
      <c r="G60" s="250"/>
      <c r="H60" s="250"/>
      <c r="I60" s="250"/>
      <c r="J60" s="250"/>
    </row>
    <row r="61" spans="1:10" x14ac:dyDescent="0.25">
      <c r="A61" s="5"/>
      <c r="D61" s="250"/>
      <c r="E61" s="250"/>
      <c r="F61" s="250"/>
      <c r="G61" s="250"/>
      <c r="H61" s="250"/>
      <c r="I61" s="250"/>
      <c r="J61" s="250"/>
    </row>
    <row r="62" spans="1:10" x14ac:dyDescent="0.25">
      <c r="A62"/>
      <c r="D62" s="250"/>
      <c r="E62" s="250"/>
      <c r="F62" s="250"/>
      <c r="G62" s="250"/>
      <c r="H62" s="250"/>
      <c r="I62" s="250"/>
      <c r="J62" s="250"/>
    </row>
    <row r="63" spans="1:10" x14ac:dyDescent="0.25">
      <c r="A63"/>
      <c r="D63" s="250"/>
      <c r="E63" s="250"/>
      <c r="F63" s="250"/>
      <c r="G63" s="250"/>
      <c r="H63" s="250"/>
      <c r="I63" s="250"/>
      <c r="J63" s="250"/>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D5CDAFAF-C553-454C-BF9F-E65F7B391D72}">
      <formula1>INDIRECT("Table_ProductRegions_Beefcattle[Region]")</formula1>
    </dataValidation>
    <dataValidation type="list" allowBlank="1" showInputMessage="1" showErrorMessage="1" sqref="G7:G16" xr:uid="{B6F3292E-B22C-4BB2-94B3-58EEB07CC083}">
      <formula1>INDIRECT(TRIM("Table_SourceData_LivestockProduct_Beefcattle[Product]"))</formula1>
    </dataValidation>
    <dataValidation type="list" allowBlank="1" showInputMessage="1" showErrorMessage="1" sqref="F7:F16" xr:uid="{4D877BE4-708F-4A70-BB24-F1D7577F61BB}">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69769-0770-4E28-9EAD-481E7460D48A}">
  <dimension ref="A1:G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961</v>
      </c>
      <c r="D1" s="16"/>
      <c r="E1" s="16"/>
      <c r="F1" s="16"/>
      <c r="G1" s="16"/>
    </row>
    <row r="2" spans="1:7" ht="20.100000000000001" customHeight="1" x14ac:dyDescent="0.25">
      <c r="C2" s="3"/>
      <c r="D2" s="3"/>
      <c r="E2" s="3"/>
      <c r="F2" s="3"/>
      <c r="G2" s="3"/>
    </row>
    <row r="3" spans="1:7" ht="20.100000000000001" customHeight="1" x14ac:dyDescent="0.25">
      <c r="A3" s="5"/>
      <c r="C3" s="39"/>
      <c r="D3" s="39"/>
      <c r="E3" s="39"/>
      <c r="F3" s="39"/>
      <c r="G3" s="39"/>
    </row>
    <row r="4" spans="1:7" ht="20.100000000000001" customHeight="1" x14ac:dyDescent="0.25">
      <c r="A4" s="5"/>
    </row>
    <row r="5" spans="1:7" ht="20.100000000000001" customHeight="1" x14ac:dyDescent="0.25">
      <c r="A5" s="5"/>
      <c r="D5" s="2" t="s">
        <v>962</v>
      </c>
    </row>
    <row r="6" spans="1:7" ht="20.100000000000001" customHeight="1" x14ac:dyDescent="0.25"/>
    <row r="7" spans="1:7" ht="20.100000000000001" customHeight="1" x14ac:dyDescent="0.25">
      <c r="D7" s="80" t="s">
        <v>963</v>
      </c>
      <c r="E7" s="80"/>
      <c r="F7" s="80"/>
    </row>
    <row r="8" spans="1:7" ht="20.100000000000001" customHeight="1" x14ac:dyDescent="0.25">
      <c r="A8" s="7"/>
    </row>
    <row r="9" spans="1:7" ht="20.100000000000001" customHeight="1" x14ac:dyDescent="0.25">
      <c r="A9" s="5"/>
      <c r="D9" s="1" t="s">
        <v>285</v>
      </c>
      <c r="E9" s="23" t="s">
        <v>964</v>
      </c>
      <c r="F9" s="26" t="s">
        <v>965</v>
      </c>
    </row>
    <row r="10" spans="1:7" ht="20.100000000000001" customHeight="1" x14ac:dyDescent="0.25">
      <c r="A10" s="5"/>
      <c r="D10" s="1" t="s">
        <v>70</v>
      </c>
      <c r="E10" s="23" t="s">
        <v>489</v>
      </c>
      <c r="F10" s="26" t="s">
        <v>965</v>
      </c>
    </row>
    <row r="11" spans="1:7" ht="20.100000000000001" customHeight="1" x14ac:dyDescent="0.25">
      <c r="A11" s="5"/>
    </row>
    <row r="12" spans="1:7" ht="20.100000000000001" customHeight="1" x14ac:dyDescent="0.25">
      <c r="A12" s="5"/>
      <c r="D12" s="1" t="s">
        <v>286</v>
      </c>
      <c r="E12" s="86">
        <v>1000</v>
      </c>
      <c r="F12" s="26" t="s">
        <v>966</v>
      </c>
    </row>
    <row r="13" spans="1:7" ht="20.100000000000001" customHeight="1" x14ac:dyDescent="0.25">
      <c r="A13" s="5"/>
    </row>
    <row r="14" spans="1:7" ht="20.100000000000001" customHeight="1" x14ac:dyDescent="0.25">
      <c r="A14" s="5"/>
      <c r="D14" s="2" t="s">
        <v>967</v>
      </c>
    </row>
    <row r="15" spans="1:7" ht="20.100000000000001" customHeight="1" x14ac:dyDescent="0.25">
      <c r="A15" s="103"/>
    </row>
    <row r="16" spans="1:7" ht="20.100000000000001" customHeight="1" x14ac:dyDescent="0.25">
      <c r="A16" s="5"/>
      <c r="D16" s="243" t="s">
        <v>968</v>
      </c>
      <c r="E16" s="54"/>
      <c r="F16" s="55"/>
    </row>
    <row r="17" spans="1:6" ht="20.100000000000001" customHeight="1" x14ac:dyDescent="0.25">
      <c r="A17" s="5"/>
      <c r="D17" s="56" t="s">
        <v>969</v>
      </c>
      <c r="E17" s="57"/>
      <c r="F17" s="58"/>
    </row>
    <row r="18" spans="1:6" ht="20.100000000000001" customHeight="1" x14ac:dyDescent="0.25">
      <c r="A18" s="5"/>
    </row>
    <row r="19" spans="1:6" ht="20.100000000000001" customHeight="1" x14ac:dyDescent="0.25">
      <c r="A19" s="5"/>
      <c r="D19" s="1" t="s">
        <v>287</v>
      </c>
      <c r="E19" s="86">
        <f>_xlfn.XLOOKUP(X_Cell_Pasture_PastureType, Table_SourceData_PastureAttributes[Pasture type],Table_SourceData_PastureAttributes[Average Yield (t DM ha) Yp])</f>
        <v>8.34</v>
      </c>
      <c r="F19" s="26" t="s">
        <v>970</v>
      </c>
    </row>
    <row r="20" spans="1:6" ht="20.100000000000001" customHeight="1" x14ac:dyDescent="0.25">
      <c r="A20" s="5"/>
      <c r="D20" s="1" t="s">
        <v>971</v>
      </c>
      <c r="E20" s="25">
        <f>X_Cell_Pasture_AreaUnderPasture*X_Cell_Pasture_YieldPerHectare</f>
        <v>8340</v>
      </c>
      <c r="F20" s="26" t="s">
        <v>972</v>
      </c>
    </row>
    <row r="21" spans="1:6" ht="20.100000000000001" customHeight="1" x14ac:dyDescent="0.25">
      <c r="A21" s="5"/>
    </row>
    <row r="22" spans="1:6" ht="20.100000000000001" customHeight="1" x14ac:dyDescent="0.25">
      <c r="A22" s="5"/>
    </row>
    <row r="23" spans="1:6" ht="20.100000000000001" customHeight="1" x14ac:dyDescent="0.25">
      <c r="A23" s="5"/>
      <c r="D23" s="2" t="s">
        <v>973</v>
      </c>
    </row>
    <row r="24" spans="1:6" ht="20.100000000000001" customHeight="1" x14ac:dyDescent="0.25">
      <c r="A24" s="5"/>
    </row>
    <row r="25" spans="1:6" ht="20.100000000000001" customHeight="1" x14ac:dyDescent="0.25">
      <c r="A25" s="5"/>
      <c r="D25" s="1" t="s">
        <v>289</v>
      </c>
      <c r="E25" s="86">
        <v>500</v>
      </c>
      <c r="F25" s="26" t="s">
        <v>966</v>
      </c>
    </row>
    <row r="26" spans="1:6" ht="20.100000000000001" customHeight="1" x14ac:dyDescent="0.25">
      <c r="A26" s="5"/>
    </row>
    <row r="27" spans="1:6" ht="20.100000000000001" customHeight="1" x14ac:dyDescent="0.25"/>
    <row r="28" spans="1:6" ht="20.100000000000001" customHeight="1" x14ac:dyDescent="0.25"/>
    <row r="29" spans="1:6" ht="20.100000000000001" customHeight="1" x14ac:dyDescent="0.25">
      <c r="A29" s="6"/>
    </row>
    <row r="30" spans="1:6" ht="20.100000000000001" customHeight="1" x14ac:dyDescent="0.25">
      <c r="A30" s="5"/>
    </row>
    <row r="31" spans="1:6" ht="20.100000000000001" customHeight="1" x14ac:dyDescent="0.25">
      <c r="A31" s="5"/>
    </row>
    <row r="32" spans="1:6" ht="20.100000000000001" customHeight="1" x14ac:dyDescent="0.25">
      <c r="A32" s="5"/>
    </row>
    <row r="33" spans="1:1" ht="20.100000000000001" customHeight="1" x14ac:dyDescent="0.25">
      <c r="A33" s="5"/>
    </row>
    <row r="34" spans="1:1" ht="20.100000000000001" customHeight="1" x14ac:dyDescent="0.25">
      <c r="A34" s="5"/>
    </row>
    <row r="35" spans="1:1" ht="20.100000000000001" customHeight="1" x14ac:dyDescent="0.25">
      <c r="A35" s="5"/>
    </row>
    <row r="36" spans="1:1" ht="20.100000000000001" customHeight="1" x14ac:dyDescent="0.25">
      <c r="A36" s="5"/>
    </row>
    <row r="37" spans="1:1" ht="20.100000000000001" customHeight="1" x14ac:dyDescent="0.25">
      <c r="A37" s="5"/>
    </row>
    <row r="38" spans="1:1" ht="20.100000000000001" customHeight="1" x14ac:dyDescent="0.25">
      <c r="A38" s="5"/>
    </row>
    <row r="39" spans="1:1" ht="20.100000000000001" customHeight="1" x14ac:dyDescent="0.25">
      <c r="A39" s="5"/>
    </row>
    <row r="40" spans="1:1" x14ac:dyDescent="0.25">
      <c r="A40" s="5"/>
    </row>
    <row r="41" spans="1:1" x14ac:dyDescent="0.25">
      <c r="A41" s="5"/>
    </row>
    <row r="42" spans="1:1" x14ac:dyDescent="0.25">
      <c r="A42" s="5"/>
    </row>
    <row r="43" spans="1:1" x14ac:dyDescent="0.25">
      <c r="A43" s="5"/>
    </row>
    <row r="44" spans="1:1" x14ac:dyDescent="0.25">
      <c r="A44" s="5"/>
    </row>
    <row r="45" spans="1:1" x14ac:dyDescent="0.25">
      <c r="A45" s="5"/>
    </row>
    <row r="46" spans="1:1" x14ac:dyDescent="0.25">
      <c r="A46" s="5"/>
    </row>
    <row r="47" spans="1:1" x14ac:dyDescent="0.25">
      <c r="A47" s="5"/>
    </row>
    <row r="48" spans="1:1" x14ac:dyDescent="0.25">
      <c r="A48" s="5"/>
    </row>
    <row r="51" spans="1: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sheetData>
  <conditionalFormatting sqref="D16:G16">
    <cfRule type="expression" dxfId="78" priority="1">
      <formula>$D$24&gt;$D$11</formula>
    </cfRule>
  </conditionalFormatting>
  <dataValidations count="2">
    <dataValidation type="list" allowBlank="1" showInputMessage="1" showErrorMessage="1" sqref="E10" xr:uid="{C53E1170-43A5-431B-BD75-7F2721995B6B}">
      <formula1>INDIRECT("Table_SourceData_Fertiliser_IrrigationMethods[Irrigation method]")</formula1>
    </dataValidation>
    <dataValidation type="list" allowBlank="1" showInputMessage="1" showErrorMessage="1" sqref="E9" xr:uid="{BB5F76E1-6C88-4A0D-9963-7D0546354D28}">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184</v>
      </c>
    </row>
    <row r="2" spans="1:11" s="3" customFormat="1" x14ac:dyDescent="0.25">
      <c r="A2"/>
    </row>
    <row r="3" spans="1:11" ht="20.25" x14ac:dyDescent="0.25">
      <c r="A3" s="5"/>
      <c r="C3" s="39"/>
      <c r="D3" s="39"/>
      <c r="E3" s="39"/>
      <c r="F3" s="39"/>
      <c r="G3" s="39"/>
      <c r="H3" s="39"/>
      <c r="I3" s="39"/>
      <c r="J3" s="39"/>
      <c r="K3" s="39"/>
    </row>
    <row r="4" spans="1:11" x14ac:dyDescent="0.25">
      <c r="A4" s="5"/>
    </row>
    <row r="5" spans="1:11" x14ac:dyDescent="0.25">
      <c r="A5" s="5"/>
      <c r="D5" s="80" t="s">
        <v>189</v>
      </c>
      <c r="E5" s="80"/>
      <c r="F5" s="80"/>
      <c r="G5" s="80"/>
    </row>
    <row r="6" spans="1:11" x14ac:dyDescent="0.25">
      <c r="F6" s="26"/>
    </row>
    <row r="7" spans="1:11" x14ac:dyDescent="0.25">
      <c r="D7" s="1" t="s">
        <v>185</v>
      </c>
      <c r="E7" s="25" t="s">
        <v>188</v>
      </c>
      <c r="F7" s="26"/>
    </row>
    <row r="8" spans="1:11" x14ac:dyDescent="0.25">
      <c r="A8" s="7"/>
      <c r="D8" s="1" t="s">
        <v>186</v>
      </c>
      <c r="E8" s="25" t="s">
        <v>188</v>
      </c>
      <c r="F8" s="26"/>
    </row>
    <row r="9" spans="1:11" x14ac:dyDescent="0.25">
      <c r="A9" s="5"/>
      <c r="D9" s="1" t="s">
        <v>70</v>
      </c>
      <c r="E9" s="25" t="str" cm="1">
        <f t="array" ref="E9">X_Cell_Pasture_IrrigationMethod</f>
        <v>Surface irrigation</v>
      </c>
    </row>
    <row r="10" spans="1:11" x14ac:dyDescent="0.25">
      <c r="A10" s="5"/>
      <c r="D10" s="1" t="s">
        <v>187</v>
      </c>
      <c r="E10" s="25" cm="1">
        <f t="array" ref="E10">X_Cell_Pasture_AreaUnderPasture</f>
        <v>1000</v>
      </c>
    </row>
    <row r="11" spans="1:11" x14ac:dyDescent="0.25">
      <c r="A11" s="5"/>
    </row>
    <row r="12" spans="1:11" x14ac:dyDescent="0.25">
      <c r="A12" s="5"/>
    </row>
    <row r="13" spans="1:11" x14ac:dyDescent="0.25">
      <c r="A13" s="5"/>
    </row>
    <row r="14" spans="1:11" x14ac:dyDescent="0.25">
      <c r="A14" s="5"/>
    </row>
    <row r="15" spans="1:11" x14ac:dyDescent="0.25">
      <c r="A15" s="5"/>
    </row>
    <row r="16" spans="1:11" x14ac:dyDescent="0.25">
      <c r="A16" s="103"/>
    </row>
    <row r="17" spans="1:1" x14ac:dyDescent="0.25">
      <c r="A17" s="5"/>
    </row>
    <row r="18" spans="1:1" x14ac:dyDescent="0.25">
      <c r="A18" s="5"/>
    </row>
    <row r="19" spans="1:1" x14ac:dyDescent="0.25">
      <c r="A19" s="5"/>
    </row>
    <row r="20" spans="1:1" x14ac:dyDescent="0.25">
      <c r="A20" s="5"/>
    </row>
    <row r="21" spans="1:1" x14ac:dyDescent="0.25">
      <c r="A21" s="5"/>
    </row>
    <row r="22" spans="1:1" x14ac:dyDescent="0.25">
      <c r="A22" s="5"/>
    </row>
    <row r="23" spans="1:1" x14ac:dyDescent="0.25">
      <c r="A23" s="5"/>
    </row>
    <row r="24" spans="1:1" x14ac:dyDescent="0.25">
      <c r="A24" s="5"/>
    </row>
    <row r="25" spans="1:1" x14ac:dyDescent="0.25">
      <c r="A25" s="5"/>
    </row>
    <row r="26" spans="1:1" x14ac:dyDescent="0.25">
      <c r="A26" s="5"/>
    </row>
    <row r="29" spans="1:1" x14ac:dyDescent="0.25">
      <c r="A29" s="6"/>
    </row>
    <row r="30" spans="1:1" x14ac:dyDescent="0.25">
      <c r="A30" s="5"/>
    </row>
    <row r="31" spans="1:1" x14ac:dyDescent="0.25">
      <c r="A31" s="5"/>
    </row>
    <row r="32" spans="1:1" x14ac:dyDescent="0.25">
      <c r="A32" s="5"/>
    </row>
    <row r="33" spans="1:1" x14ac:dyDescent="0.25">
      <c r="A33" s="5"/>
    </row>
    <row r="34" spans="1:1" x14ac:dyDescent="0.25">
      <c r="A34" s="5"/>
    </row>
    <row r="35" spans="1:1" x14ac:dyDescent="0.25">
      <c r="A35" s="5"/>
    </row>
    <row r="36" spans="1:1" x14ac:dyDescent="0.25">
      <c r="A36" s="5"/>
    </row>
    <row r="37" spans="1:1" x14ac:dyDescent="0.25">
      <c r="A37" s="5"/>
    </row>
    <row r="38" spans="1:1" x14ac:dyDescent="0.25">
      <c r="A38" s="5"/>
    </row>
    <row r="39" spans="1:1" x14ac:dyDescent="0.25">
      <c r="A39" s="5"/>
    </row>
    <row r="40" spans="1:1" x14ac:dyDescent="0.25">
      <c r="A40" s="5"/>
    </row>
    <row r="41" spans="1:1" x14ac:dyDescent="0.25">
      <c r="A41" s="5"/>
    </row>
    <row r="42" spans="1:1" x14ac:dyDescent="0.25">
      <c r="A42" s="5"/>
    </row>
    <row r="43" spans="1:1" x14ac:dyDescent="0.25">
      <c r="A43" s="5"/>
    </row>
    <row r="44" spans="1:1" x14ac:dyDescent="0.25">
      <c r="A44" s="5"/>
    </row>
    <row r="45" spans="1:1" x14ac:dyDescent="0.25">
      <c r="A45" s="5"/>
    </row>
    <row r="46" spans="1:1" x14ac:dyDescent="0.25">
      <c r="A46" s="5"/>
    </row>
    <row r="47" spans="1:1" x14ac:dyDescent="0.25">
      <c r="A47" s="5"/>
    </row>
    <row r="48" spans="1:1" x14ac:dyDescent="0.25">
      <c r="A48" s="5"/>
    </row>
    <row r="51" spans="1: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8ED93-7955-4247-99FE-528D2D7F24E1}">
  <dimension ref="A1:AA378"/>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565</v>
      </c>
    </row>
    <row r="2" spans="1:27" s="3" customFormat="1" ht="20.100000000000001" customHeight="1" x14ac:dyDescent="0.25">
      <c r="A2"/>
    </row>
    <row r="3" spans="1:27" ht="20.100000000000001" customHeight="1" x14ac:dyDescent="0.25">
      <c r="A3" s="5"/>
      <c r="C3" s="39"/>
      <c r="D3" s="39"/>
      <c r="E3" s="39"/>
      <c r="F3" s="39"/>
      <c r="G3" s="39"/>
      <c r="H3" s="39"/>
      <c r="I3" s="39"/>
      <c r="J3" s="39"/>
      <c r="K3" s="39"/>
      <c r="L3" s="39"/>
      <c r="M3" s="39"/>
      <c r="N3" s="39"/>
      <c r="O3" s="39"/>
      <c r="P3" s="39"/>
      <c r="Q3" s="39"/>
      <c r="R3" s="39"/>
      <c r="S3" s="39"/>
      <c r="T3" s="39"/>
      <c r="U3" s="39"/>
      <c r="V3" s="39"/>
      <c r="W3" s="39"/>
      <c r="X3" s="39"/>
      <c r="Y3" s="39"/>
      <c r="Z3" s="39"/>
      <c r="AA3" s="39"/>
    </row>
    <row r="4" spans="1:27" ht="20.100000000000001" customHeight="1" x14ac:dyDescent="0.25">
      <c r="A4" s="5"/>
    </row>
    <row r="5" spans="1:27" ht="20.100000000000001" customHeight="1" x14ac:dyDescent="0.25">
      <c r="A5" s="5"/>
      <c r="D5" s="2" t="s">
        <v>566</v>
      </c>
      <c r="E5" s="35"/>
      <c r="F5" s="35"/>
      <c r="G5" s="35"/>
      <c r="H5" s="35"/>
      <c r="I5" s="35"/>
      <c r="J5" s="35"/>
      <c r="K5" s="35"/>
      <c r="L5" s="35"/>
      <c r="M5" s="35"/>
    </row>
    <row r="6" spans="1:27" ht="20.100000000000001" customHeight="1" x14ac:dyDescent="0.25">
      <c r="D6" s="8"/>
      <c r="E6" s="8"/>
      <c r="F6" s="8"/>
      <c r="G6" s="8"/>
      <c r="H6" s="8"/>
      <c r="I6" s="8"/>
      <c r="J6" s="8"/>
      <c r="K6" s="8"/>
      <c r="L6" s="8"/>
      <c r="M6" s="8"/>
    </row>
    <row r="7" spans="1:27" ht="20.100000000000001" customHeight="1" x14ac:dyDescent="0.25">
      <c r="D7" s="135" t="s">
        <v>567</v>
      </c>
      <c r="E7" s="54"/>
      <c r="F7" s="54"/>
      <c r="G7" s="54"/>
      <c r="H7" s="55"/>
      <c r="I7" s="136"/>
      <c r="J7" s="137"/>
      <c r="K7" s="138"/>
      <c r="L7" s="138"/>
      <c r="M7" s="138"/>
    </row>
    <row r="8" spans="1:27" ht="20.100000000000001" customHeight="1" x14ac:dyDescent="0.25">
      <c r="A8" s="7"/>
      <c r="D8" s="56" t="s">
        <v>568</v>
      </c>
      <c r="E8" s="57"/>
      <c r="F8" s="57"/>
      <c r="G8" s="58"/>
      <c r="H8" s="139"/>
      <c r="I8" s="8"/>
      <c r="J8" s="8"/>
      <c r="K8" s="8"/>
      <c r="L8" s="8"/>
      <c r="M8" s="8"/>
    </row>
    <row r="9" spans="1:27" ht="20.100000000000001" customHeight="1" x14ac:dyDescent="0.25">
      <c r="A9" s="5"/>
      <c r="D9" s="8"/>
      <c r="E9" s="8"/>
      <c r="F9" s="8"/>
      <c r="G9" s="8"/>
      <c r="H9" s="8"/>
      <c r="I9" s="8"/>
      <c r="J9" s="8"/>
      <c r="K9" s="8"/>
      <c r="L9" s="8"/>
      <c r="M9" s="8"/>
    </row>
    <row r="10" spans="1:27" ht="20.100000000000001" customHeight="1" x14ac:dyDescent="0.25">
      <c r="A10" s="5"/>
      <c r="D10" s="91" t="s">
        <v>569</v>
      </c>
      <c r="E10" s="8"/>
      <c r="F10" s="8"/>
      <c r="G10" s="8"/>
      <c r="H10" s="8"/>
      <c r="I10" s="8"/>
      <c r="J10" s="8"/>
      <c r="K10" s="8"/>
      <c r="L10" s="8"/>
      <c r="M10" s="8"/>
    </row>
    <row r="11" spans="1:27" ht="20.100000000000001" customHeight="1" x14ac:dyDescent="0.25">
      <c r="A11" s="5"/>
      <c r="D11" s="140" t="s">
        <v>570</v>
      </c>
      <c r="E11" s="141" t="s">
        <v>571</v>
      </c>
      <c r="F11" s="142" t="s">
        <v>572</v>
      </c>
      <c r="G11" s="141" t="s">
        <v>573</v>
      </c>
      <c r="H11" s="142" t="s">
        <v>574</v>
      </c>
      <c r="I11" s="141" t="s">
        <v>575</v>
      </c>
      <c r="J11" s="140" t="s">
        <v>576</v>
      </c>
      <c r="K11" s="140" t="s">
        <v>577</v>
      </c>
      <c r="L11" s="140" t="s">
        <v>578</v>
      </c>
      <c r="M11" s="140" t="s">
        <v>579</v>
      </c>
      <c r="N11" s="140" t="s">
        <v>580</v>
      </c>
      <c r="O11" s="140" t="s">
        <v>581</v>
      </c>
      <c r="P11" s="140" t="s">
        <v>582</v>
      </c>
      <c r="Q11" s="140" t="s">
        <v>583</v>
      </c>
      <c r="R11" s="140" t="s">
        <v>584</v>
      </c>
      <c r="S11" s="140" t="s">
        <v>585</v>
      </c>
      <c r="T11" s="140" t="s">
        <v>586</v>
      </c>
      <c r="U11" s="140" t="s">
        <v>587</v>
      </c>
      <c r="V11" s="140" t="s">
        <v>588</v>
      </c>
      <c r="W11" s="140" t="s">
        <v>589</v>
      </c>
      <c r="X11" s="140" t="s">
        <v>590</v>
      </c>
      <c r="Y11" s="140" t="s">
        <v>591</v>
      </c>
      <c r="Z11" s="140" t="s">
        <v>592</v>
      </c>
    </row>
    <row r="12" spans="1:27" ht="20.100000000000001" customHeight="1" x14ac:dyDescent="0.25">
      <c r="A12" s="5"/>
      <c r="D12" s="143" t="s">
        <v>593</v>
      </c>
      <c r="E12" s="144">
        <v>100</v>
      </c>
      <c r="F12" s="25" t="str">
        <f>IFERROR(_xlfn.XLOOKUP(Table_Input_InorganicFertiliser_Brands[[#This Row],[Product (select)]],FertiliserProducts[Product],FertiliserProducts[Unit]), "kg")</f>
        <v>kg</v>
      </c>
      <c r="G12" s="144">
        <f t="shared" ref="G12" si="0">X_Cell_Fertiliser_AreaUnderCropping</f>
        <v>1000</v>
      </c>
      <c r="H12" s="145">
        <f>IFERROR(_xlfn.XLOOKUP(Table_Input_InorganicFertiliser_Brands[[#This Row],[Product (select)]],FertiliserProducts[Product],FertiliserProducts[Density]), 1)</f>
        <v>1</v>
      </c>
      <c r="I12" s="146">
        <f>(Table_Input_InorganicFertiliser_Brands[[#This Row],[Amount applied per hectare]]*Table_Input_InorganicFertiliser_Brands[[#This Row],[Density]])*Table_Input_InorganicFertiliser_Brands[[#This Row],[Application area (ha)]]</f>
        <v>100000</v>
      </c>
      <c r="J12" s="14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4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4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4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4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4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4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4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4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4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4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4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46" cm="1">
        <f t="array" ref="W12">IFERROR(Fertiliser_InputFunctions.Fertiliser_FertiliserProductLookup(Table_Input_InorganicFertiliser_Brands[[#This Row],[Product (select)]], "N declared", FertiliserProducts[#Data], FertiliserProducts[Product], FertiliserProducts[#Headers])*0.01, 0)</f>
        <v>0.46</v>
      </c>
      <c r="X12"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46" t="str">
        <f>IFERROR(_xlfn.XLOOKUP(Table_Input_InorganicFertiliser_Brands[[#This Row],[Product (select)]],FertiliserProducts[Product],FertiliserProducts[Urea source]), "")</f>
        <v/>
      </c>
      <c r="Z12" s="146" t="str">
        <f>IFERROR(_xlfn.XLOOKUP(Table_Input_InorganicFertiliser_Brands[[#This Row],[Product (select)]],FertiliserProducts[Product],FertiliserProducts[Ammonia source]), "")</f>
        <v/>
      </c>
    </row>
    <row r="13" spans="1:27" ht="20.100000000000001" customHeight="1" x14ac:dyDescent="0.25">
      <c r="A13" s="5"/>
      <c r="D13" s="143" t="s">
        <v>594</v>
      </c>
      <c r="E13" s="144">
        <v>100</v>
      </c>
      <c r="F13" s="25" t="str">
        <f>IFERROR(_xlfn.XLOOKUP(Table_Input_InorganicFertiliser_Brands[[#This Row],[Product (select)]],FertiliserProducts[Product],FertiliserProducts[Unit]), "kg")</f>
        <v>kg</v>
      </c>
      <c r="G13" s="144">
        <f t="shared" ref="G13" si="1">X_Cell_Fertiliser_AreaUnderCropping</f>
        <v>1000</v>
      </c>
      <c r="H13" s="145">
        <f>IFERROR(_xlfn.XLOOKUP(Table_Input_InorganicFertiliser_Brands[[#This Row],[Product (select)]],FertiliserProducts[Product],FertiliserProducts[Density]), 1)</f>
        <v>1</v>
      </c>
      <c r="I13" s="146">
        <f>(Table_Input_InorganicFertiliser_Brands[[#This Row],[Amount applied per hectare]]*Table_Input_InorganicFertiliser_Brands[[#This Row],[Density]])*Table_Input_InorganicFertiliser_Brands[[#This Row],[Application area (ha)]]</f>
        <v>100000</v>
      </c>
      <c r="J13" s="14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4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4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4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4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4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4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4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4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4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4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4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47" cm="1">
        <f t="array" ref="W13">IFERROR(Fertiliser_InputFunctions.Fertiliser_FertiliserProductLookup(Table_Input_InorganicFertiliser_Brands[[#This Row],[Product (select)]], "N declared", FertiliserProducts[#Data], FertiliserProducts[Product], FertiliserProducts[#Headers])*0.01, 0)</f>
        <v>0.24</v>
      </c>
      <c r="X13"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46" t="str">
        <f>IFERROR(_xlfn.XLOOKUP(Table_Input_InorganicFertiliser_Brands[[#This Row],[Product (select)]],FertiliserProducts[Product],FertiliserProducts[Urea source]), "")</f>
        <v/>
      </c>
      <c r="Z13" s="146" t="str">
        <f>IFERROR(_xlfn.XLOOKUP(Table_Input_InorganicFertiliser_Brands[[#This Row],[Product (select)]],FertiliserProducts[Product],FertiliserProducts[Ammonia source]), "")</f>
        <v/>
      </c>
    </row>
    <row r="14" spans="1:27" ht="20.100000000000001" customHeight="1" x14ac:dyDescent="0.25">
      <c r="A14" s="5"/>
      <c r="D14" s="143" t="s">
        <v>595</v>
      </c>
      <c r="E14" s="144">
        <v>100</v>
      </c>
      <c r="F14" s="25" t="str">
        <f>IFERROR(_xlfn.XLOOKUP(Table_Input_InorganicFertiliser_Brands[[#This Row],[Product (select)]],FertiliserProducts[Product],FertiliserProducts[Unit]), "kg")</f>
        <v>kg</v>
      </c>
      <c r="G14" s="144">
        <f t="shared" ref="G14" si="2">X_Cell_Fertiliser_AreaUnderCropping</f>
        <v>1000</v>
      </c>
      <c r="H14" s="145">
        <f>IFERROR(_xlfn.XLOOKUP(Table_Input_InorganicFertiliser_Brands[[#This Row],[Product (select)]],FertiliserProducts[Product],FertiliserProducts[Density]), 1)</f>
        <v>1</v>
      </c>
      <c r="I14" s="146">
        <f>(Table_Input_InorganicFertiliser_Brands[[#This Row],[Amount applied per hectare]]*Table_Input_InorganicFertiliser_Brands[[#This Row],[Density]])*Table_Input_InorganicFertiliser_Brands[[#This Row],[Application area (ha)]]</f>
        <v>100000</v>
      </c>
      <c r="J14" s="14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4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4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4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4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4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4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4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4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4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4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4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47" cm="1">
        <f t="array" ref="W14">IFERROR(Fertiliser_InputFunctions.Fertiliser_FertiliserProductLookup(Table_Input_InorganicFertiliser_Brands[[#This Row],[Product (select)]], "N declared", FertiliserProducts[#Data], FertiliserProducts[Product], FertiliserProducts[#Headers])*0.01, 0)</f>
        <v>0.17899999999999999</v>
      </c>
      <c r="X14"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46" t="str">
        <f>IFERROR(_xlfn.XLOOKUP(Table_Input_InorganicFertiliser_Brands[[#This Row],[Product (select)]],FertiliserProducts[Product],FertiliserProducts[Urea source]), "")</f>
        <v/>
      </c>
      <c r="Z14" s="146" t="str">
        <f>IFERROR(_xlfn.XLOOKUP(Table_Input_InorganicFertiliser_Brands[[#This Row],[Product (select)]],FertiliserProducts[Product],FertiliserProducts[Ammonia source]), "")</f>
        <v/>
      </c>
    </row>
    <row r="15" spans="1:27" ht="20.100000000000001" customHeight="1" x14ac:dyDescent="0.25">
      <c r="A15" s="5"/>
      <c r="D15" s="143"/>
      <c r="E15" s="144"/>
      <c r="F15" s="25" t="str">
        <f>IFERROR(_xlfn.XLOOKUP(Table_Input_InorganicFertiliser_Brands[[#This Row],[Product (select)]],FertiliserProducts[Product],FertiliserProducts[Unit]), "kg")</f>
        <v>kg</v>
      </c>
      <c r="G15" s="144">
        <f t="shared" ref="G15" si="3">X_Cell_Fertiliser_AreaUnderCropping</f>
        <v>1000</v>
      </c>
      <c r="H15" s="145">
        <f>IFERROR(_xlfn.XLOOKUP(Table_Input_InorganicFertiliser_Brands[[#This Row],[Product (select)]],FertiliserProducts[Product],FertiliserProducts[Density]), 1)</f>
        <v>1</v>
      </c>
      <c r="I15" s="146">
        <f>(Table_Input_InorganicFertiliser_Brands[[#This Row],[Amount applied per hectare]]*Table_Input_InorganicFertiliser_Brands[[#This Row],[Density]])*Table_Input_InorganicFertiliser_Brands[[#This Row],[Application area (ha)]]</f>
        <v>0</v>
      </c>
      <c r="J15" s="14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4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4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4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4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4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4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4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4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4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4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4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47" cm="1">
        <f t="array" ref="W15">IFERROR(Fertiliser_InputFunctions.Fertiliser_FertiliserProductLookup(Table_Input_InorganicFertiliser_Brands[[#This Row],[Product (select)]], "N declared", FertiliserProducts[#Data], FertiliserProducts[Product], FertiliserProducts[#Headers])*0.01, 0)</f>
        <v>0</v>
      </c>
      <c r="X15"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46" t="str">
        <f>IFERROR(_xlfn.XLOOKUP(Table_Input_InorganicFertiliser_Brands[[#This Row],[Product (select)]],FertiliserProducts[Product],FertiliserProducts[Urea source]), "")</f>
        <v/>
      </c>
      <c r="Z15" s="146" t="str">
        <f>IFERROR(_xlfn.XLOOKUP(Table_Input_InorganicFertiliser_Brands[[#This Row],[Product (select)]],FertiliserProducts[Product],FertiliserProducts[Ammonia source]), "")</f>
        <v/>
      </c>
    </row>
    <row r="16" spans="1:27" ht="20.100000000000001" customHeight="1" x14ac:dyDescent="0.25">
      <c r="A16" s="5"/>
      <c r="D16" s="143"/>
      <c r="E16" s="144"/>
      <c r="F16" s="25" t="str">
        <f>IFERROR(_xlfn.XLOOKUP(Table_Input_InorganicFertiliser_Brands[[#This Row],[Product (select)]],FertiliserProducts[Product],FertiliserProducts[Unit]), "kg")</f>
        <v>kg</v>
      </c>
      <c r="G16" s="144">
        <f t="shared" ref="G16" si="4">X_Cell_Fertiliser_AreaUnderCropping</f>
        <v>1000</v>
      </c>
      <c r="H16" s="145">
        <f>IFERROR(_xlfn.XLOOKUP(Table_Input_InorganicFertiliser_Brands[[#This Row],[Product (select)]],FertiliserProducts[Product],FertiliserProducts[Density]), 1)</f>
        <v>1</v>
      </c>
      <c r="I16" s="146">
        <f>(Table_Input_InorganicFertiliser_Brands[[#This Row],[Amount applied per hectare]]*Table_Input_InorganicFertiliser_Brands[[#This Row],[Density]])*Table_Input_InorganicFertiliser_Brands[[#This Row],[Application area (ha)]]</f>
        <v>0</v>
      </c>
      <c r="J16" s="14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4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4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4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4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4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4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4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4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4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4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4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47" cm="1">
        <f t="array" ref="W16">IFERROR(Fertiliser_InputFunctions.Fertiliser_FertiliserProductLookup(Table_Input_InorganicFertiliser_Brands[[#This Row],[Product (select)]], "N declared", FertiliserProducts[#Data], FertiliserProducts[Product], FertiliserProducts[#Headers])*0.01, 0)</f>
        <v>0</v>
      </c>
      <c r="X16"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46" t="str">
        <f>IFERROR(_xlfn.XLOOKUP(Table_Input_InorganicFertiliser_Brands[[#This Row],[Product (select)]],FertiliserProducts[Product],FertiliserProducts[Urea source]), "")</f>
        <v/>
      </c>
      <c r="Z16" s="146" t="str">
        <f>IFERROR(_xlfn.XLOOKUP(Table_Input_InorganicFertiliser_Brands[[#This Row],[Product (select)]],FertiliserProducts[Product],FertiliserProducts[Ammonia source]), "")</f>
        <v/>
      </c>
    </row>
    <row r="17" spans="1:26" ht="20.100000000000001" customHeight="1" x14ac:dyDescent="0.25">
      <c r="A17" s="103"/>
      <c r="D17" s="143"/>
      <c r="E17" s="144"/>
      <c r="F17" s="25" t="str">
        <f>IFERROR(_xlfn.XLOOKUP(Table_Input_InorganicFertiliser_Brands[[#This Row],[Product (select)]],FertiliserProducts[Product],FertiliserProducts[Unit]), "kg")</f>
        <v>kg</v>
      </c>
      <c r="G17" s="144">
        <f t="shared" ref="G17" si="5">X_Cell_Fertiliser_AreaUnderCropping</f>
        <v>1000</v>
      </c>
      <c r="H17" s="145">
        <f>IFERROR(_xlfn.XLOOKUP(Table_Input_InorganicFertiliser_Brands[[#This Row],[Product (select)]],FertiliserProducts[Product],FertiliserProducts[Density]), 1)</f>
        <v>1</v>
      </c>
      <c r="I17" s="146">
        <f>(Table_Input_InorganicFertiliser_Brands[[#This Row],[Amount applied per hectare]]*Table_Input_InorganicFertiliser_Brands[[#This Row],[Density]])*Table_Input_InorganicFertiliser_Brands[[#This Row],[Application area (ha)]]</f>
        <v>0</v>
      </c>
      <c r="J17" s="14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4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4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4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4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4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4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4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4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4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4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4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47" cm="1">
        <f t="array" ref="W17">IFERROR(Fertiliser_InputFunctions.Fertiliser_FertiliserProductLookup(Table_Input_InorganicFertiliser_Brands[[#This Row],[Product (select)]], "N declared", FertiliserProducts[#Data], FertiliserProducts[Product], FertiliserProducts[#Headers])*0.01, 0)</f>
        <v>0</v>
      </c>
      <c r="X17"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46" t="str">
        <f>IFERROR(_xlfn.XLOOKUP(Table_Input_InorganicFertiliser_Brands[[#This Row],[Product (select)]],FertiliserProducts[Product],FertiliserProducts[Urea source]), "")</f>
        <v/>
      </c>
      <c r="Z17" s="146" t="str">
        <f>IFERROR(_xlfn.XLOOKUP(Table_Input_InorganicFertiliser_Brands[[#This Row],[Product (select)]],FertiliserProducts[Product],FertiliserProducts[Ammonia source]), "")</f>
        <v/>
      </c>
    </row>
    <row r="18" spans="1:26" ht="20.100000000000001" customHeight="1" x14ac:dyDescent="0.25">
      <c r="A18" s="5"/>
      <c r="D18" s="143"/>
      <c r="E18" s="144"/>
      <c r="F18" s="25" t="str">
        <f>IFERROR(_xlfn.XLOOKUP(Table_Input_InorganicFertiliser_Brands[[#This Row],[Product (select)]],FertiliserProducts[Product],FertiliserProducts[Unit]), "kg")</f>
        <v>kg</v>
      </c>
      <c r="G18" s="144">
        <f t="shared" ref="G18" si="6">X_Cell_Fertiliser_AreaUnderCropping</f>
        <v>1000</v>
      </c>
      <c r="H18" s="145">
        <f>IFERROR(_xlfn.XLOOKUP(Table_Input_InorganicFertiliser_Brands[[#This Row],[Product (select)]],FertiliserProducts[Product],FertiliserProducts[Density]), 1)</f>
        <v>1</v>
      </c>
      <c r="I18" s="146">
        <f>(Table_Input_InorganicFertiliser_Brands[[#This Row],[Amount applied per hectare]]*Table_Input_InorganicFertiliser_Brands[[#This Row],[Density]])*Table_Input_InorganicFertiliser_Brands[[#This Row],[Application area (ha)]]</f>
        <v>0</v>
      </c>
      <c r="J18" s="14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4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4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4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4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4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4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47" cm="1">
        <f t="array" ref="W18">IFERROR(Fertiliser_InputFunctions.Fertiliser_FertiliserProductLookup(Table_Input_InorganicFertiliser_Brands[[#This Row],[Product (select)]], "N declared", FertiliserProducts[#Data], FertiliserProducts[Product], FertiliserProducts[#Headers])*0.01, 0)</f>
        <v>0</v>
      </c>
      <c r="X18"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46" t="str">
        <f>IFERROR(_xlfn.XLOOKUP(Table_Input_InorganicFertiliser_Brands[[#This Row],[Product (select)]],FertiliserProducts[Product],FertiliserProducts[Urea source]), "")</f>
        <v/>
      </c>
      <c r="Z18" s="146" t="str">
        <f>IFERROR(_xlfn.XLOOKUP(Table_Input_InorganicFertiliser_Brands[[#This Row],[Product (select)]],FertiliserProducts[Product],FertiliserProducts[Ammonia source]), "")</f>
        <v/>
      </c>
    </row>
    <row r="19" spans="1:26" ht="20.100000000000001" customHeight="1" x14ac:dyDescent="0.25">
      <c r="A19" s="5"/>
      <c r="D19" s="143"/>
      <c r="E19" s="144"/>
      <c r="F19" s="25" t="str">
        <f>IFERROR(_xlfn.XLOOKUP(Table_Input_InorganicFertiliser_Brands[[#This Row],[Product (select)]],FertiliserProducts[Product],FertiliserProducts[Unit]), "kg")</f>
        <v>kg</v>
      </c>
      <c r="G19" s="144">
        <f t="shared" ref="G19" si="7">X_Cell_Fertiliser_AreaUnderCropping</f>
        <v>1000</v>
      </c>
      <c r="H19" s="145">
        <f>IFERROR(_xlfn.XLOOKUP(Table_Input_InorganicFertiliser_Brands[[#This Row],[Product (select)]],FertiliserProducts[Product],FertiliserProducts[Density]), 1)</f>
        <v>1</v>
      </c>
      <c r="I19" s="146">
        <f>(Table_Input_InorganicFertiliser_Brands[[#This Row],[Amount applied per hectare]]*Table_Input_InorganicFertiliser_Brands[[#This Row],[Density]])*Table_Input_InorganicFertiliser_Brands[[#This Row],[Application area (ha)]]</f>
        <v>0</v>
      </c>
      <c r="J19" s="14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4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4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4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4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7" cm="1">
        <f t="array" ref="W19">IFERROR(Fertiliser_InputFunctions.Fertiliser_FertiliserProductLookup(Table_Input_InorganicFertiliser_Brands[[#This Row],[Product (select)]], "N declared", FertiliserProducts[#Data], FertiliserProducts[Product], FertiliserProducts[#Headers])*0.01, 0)</f>
        <v>0</v>
      </c>
      <c r="X19"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46" t="str">
        <f>IFERROR(_xlfn.XLOOKUP(Table_Input_InorganicFertiliser_Brands[[#This Row],[Product (select)]],FertiliserProducts[Product],FertiliserProducts[Urea source]), "")</f>
        <v/>
      </c>
      <c r="Z19" s="146" t="str">
        <f>IFERROR(_xlfn.XLOOKUP(Table_Input_InorganicFertiliser_Brands[[#This Row],[Product (select)]],FertiliserProducts[Product],FertiliserProducts[Ammonia source]), "")</f>
        <v/>
      </c>
    </row>
    <row r="20" spans="1:26" ht="20.100000000000001" customHeight="1" x14ac:dyDescent="0.25">
      <c r="A20" s="5"/>
      <c r="D20" s="143"/>
      <c r="E20" s="144"/>
      <c r="F20" s="25" t="str">
        <f>IFERROR(_xlfn.XLOOKUP(Table_Input_InorganicFertiliser_Brands[[#This Row],[Product (select)]],FertiliserProducts[Product],FertiliserProducts[Unit]), "kg")</f>
        <v>kg</v>
      </c>
      <c r="G20" s="144">
        <f t="shared" ref="G20" si="8">X_Cell_Fertiliser_AreaUnderCropping</f>
        <v>1000</v>
      </c>
      <c r="H20" s="145">
        <f>IFERROR(_xlfn.XLOOKUP(Table_Input_InorganicFertiliser_Brands[[#This Row],[Product (select)]],FertiliserProducts[Product],FertiliserProducts[Density]), 1)</f>
        <v>1</v>
      </c>
      <c r="I20" s="146">
        <f>(Table_Input_InorganicFertiliser_Brands[[#This Row],[Amount applied per hectare]]*Table_Input_InorganicFertiliser_Brands[[#This Row],[Density]])*Table_Input_InorganicFertiliser_Brands[[#This Row],[Application area (ha)]]</f>
        <v>0</v>
      </c>
      <c r="J20" s="14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4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4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4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4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7" cm="1">
        <f t="array" ref="W20">IFERROR(Fertiliser_InputFunctions.Fertiliser_FertiliserProductLookup(Table_Input_InorganicFertiliser_Brands[[#This Row],[Product (select)]], "N declared", FertiliserProducts[#Data], FertiliserProducts[Product], FertiliserProducts[#Headers])*0.01, 0)</f>
        <v>0</v>
      </c>
      <c r="X20"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46" t="str">
        <f>IFERROR(_xlfn.XLOOKUP(Table_Input_InorganicFertiliser_Brands[[#This Row],[Product (select)]],FertiliserProducts[Product],FertiliserProducts[Urea source]), "")</f>
        <v/>
      </c>
      <c r="Z20" s="146" t="str">
        <f>IFERROR(_xlfn.XLOOKUP(Table_Input_InorganicFertiliser_Brands[[#This Row],[Product (select)]],FertiliserProducts[Product],FertiliserProducts[Ammonia source]), "")</f>
        <v/>
      </c>
    </row>
    <row r="21" spans="1:26" ht="20.100000000000001" customHeight="1" x14ac:dyDescent="0.25">
      <c r="A21" s="5"/>
      <c r="D21" s="143"/>
      <c r="E21" s="144"/>
      <c r="F21" s="25" t="str">
        <f>IFERROR(_xlfn.XLOOKUP(Table_Input_InorganicFertiliser_Brands[[#This Row],[Product (select)]],FertiliserProducts[Product],FertiliserProducts[Unit]), "kg")</f>
        <v>kg</v>
      </c>
      <c r="G21" s="144">
        <f t="shared" ref="G21" si="9">X_Cell_Fertiliser_AreaUnderCropping</f>
        <v>1000</v>
      </c>
      <c r="H21" s="145">
        <f>IFERROR(_xlfn.XLOOKUP(Table_Input_InorganicFertiliser_Brands[[#This Row],[Product (select)]],FertiliserProducts[Product],FertiliserProducts[Density]), 1)</f>
        <v>1</v>
      </c>
      <c r="I21" s="146">
        <f>(Table_Input_InorganicFertiliser_Brands[[#This Row],[Amount applied per hectare]]*Table_Input_InorganicFertiliser_Brands[[#This Row],[Density]])*Table_Input_InorganicFertiliser_Brands[[#This Row],[Application area (ha)]]</f>
        <v>0</v>
      </c>
      <c r="J21" s="14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4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4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4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4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4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4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47" cm="1">
        <f t="array" ref="W21">IFERROR(Fertiliser_InputFunctions.Fertiliser_FertiliserProductLookup(Table_Input_InorganicFertiliser_Brands[[#This Row],[Product (select)]], "N declared", FertiliserProducts[#Data], FertiliserProducts[Product], FertiliserProducts[#Headers])*0.01, 0)</f>
        <v>0</v>
      </c>
      <c r="X21"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46" t="str">
        <f>IFERROR(_xlfn.XLOOKUP(Table_Input_InorganicFertiliser_Brands[[#This Row],[Product (select)]],FertiliserProducts[Product],FertiliserProducts[Urea source]), "")</f>
        <v/>
      </c>
      <c r="Z21" s="146" t="str">
        <f>IFERROR(_xlfn.XLOOKUP(Table_Input_InorganicFertiliser_Brands[[#This Row],[Product (select)]],FertiliserProducts[Product],FertiliserProducts[Ammonia source]), "")</f>
        <v/>
      </c>
    </row>
    <row r="22" spans="1:26" ht="20.100000000000001" customHeight="1" x14ac:dyDescent="0.25">
      <c r="A22" s="5"/>
      <c r="D22" s="148"/>
      <c r="E22" s="149"/>
      <c r="F22" s="150"/>
      <c r="G22" s="150"/>
      <c r="H22" s="150"/>
      <c r="I22" s="150"/>
      <c r="J22" s="151"/>
      <c r="K22" s="151"/>
      <c r="L22" s="152"/>
      <c r="M22" s="152"/>
      <c r="N22" s="153"/>
      <c r="O22" s="153"/>
      <c r="P22" s="153"/>
      <c r="Q22" s="153"/>
      <c r="R22" s="153"/>
      <c r="S22" s="153"/>
      <c r="T22" s="153"/>
      <c r="U22" s="153"/>
      <c r="V22" s="153"/>
      <c r="W22" s="153"/>
      <c r="X22" s="153"/>
    </row>
    <row r="23" spans="1:26" ht="20.100000000000001" customHeight="1" x14ac:dyDescent="0.25">
      <c r="A23" s="5"/>
      <c r="D23" s="154" t="s">
        <v>596</v>
      </c>
      <c r="E23" s="155"/>
      <c r="F23" s="155"/>
      <c r="G23" s="155"/>
      <c r="H23" s="155"/>
      <c r="I23" s="155"/>
      <c r="J23" s="155"/>
      <c r="K23" s="155"/>
      <c r="L23" s="155"/>
      <c r="M23" s="155"/>
      <c r="N23" s="153"/>
      <c r="O23" s="153"/>
      <c r="P23" s="153"/>
      <c r="Q23" s="153"/>
      <c r="R23" s="153"/>
      <c r="S23" s="153"/>
      <c r="T23" s="153"/>
      <c r="V23" s="153"/>
      <c r="W23" s="153"/>
      <c r="X23" s="153"/>
    </row>
    <row r="24" spans="1:26" ht="20.100000000000001" customHeight="1" x14ac:dyDescent="0.25">
      <c r="A24" s="5"/>
      <c r="D24" s="141" t="s">
        <v>597</v>
      </c>
      <c r="E24" s="141" t="s">
        <v>598</v>
      </c>
      <c r="F24" s="141" t="s">
        <v>573</v>
      </c>
      <c r="G24" s="141" t="s">
        <v>575</v>
      </c>
      <c r="H24" s="141" t="s">
        <v>599</v>
      </c>
      <c r="I24" s="141" t="s">
        <v>577</v>
      </c>
      <c r="J24" s="141" t="s">
        <v>578</v>
      </c>
      <c r="K24" s="141" t="s">
        <v>579</v>
      </c>
      <c r="L24" s="141" t="s">
        <v>580</v>
      </c>
      <c r="M24" s="141" t="s">
        <v>581</v>
      </c>
      <c r="N24" s="141" t="s">
        <v>582</v>
      </c>
      <c r="O24" s="141" t="s">
        <v>583</v>
      </c>
      <c r="P24" s="141" t="s">
        <v>590</v>
      </c>
      <c r="Q24" s="156" t="s">
        <v>600</v>
      </c>
      <c r="R24" s="156" t="s">
        <v>601</v>
      </c>
      <c r="S24" s="153"/>
      <c r="T24" s="153"/>
      <c r="V24" s="153"/>
      <c r="W24" s="153"/>
      <c r="X24" s="153"/>
    </row>
    <row r="25" spans="1:26" ht="20.100000000000001" customHeight="1" x14ac:dyDescent="0.25">
      <c r="A25" s="5"/>
      <c r="D25" s="44" t="s">
        <v>602</v>
      </c>
      <c r="E25" s="141">
        <v>100</v>
      </c>
      <c r="F25" s="144">
        <f t="shared" ref="F25:F34" si="10">X_Cell_Fertiliser_AreaUnderCropping</f>
        <v>1000</v>
      </c>
      <c r="G25" s="146">
        <f>Table_Input_InorganicFertiliser_Custom[[#This Row],[Amount applied (kg / ha)]]*Table_Input_InorganicFertiliser_Custom[[#This Row],[Application area (ha)]]</f>
        <v>100000</v>
      </c>
      <c r="H25" s="157" t="s">
        <v>603</v>
      </c>
      <c r="I25" s="158">
        <v>0.5</v>
      </c>
      <c r="J25" s="157" t="s">
        <v>604</v>
      </c>
      <c r="K25" s="158">
        <v>0.2</v>
      </c>
      <c r="L25" s="157" t="s">
        <v>605</v>
      </c>
      <c r="M25" s="158">
        <v>0.2</v>
      </c>
      <c r="N25" s="159" t="s">
        <v>606</v>
      </c>
      <c r="O25" s="28">
        <v>0.1</v>
      </c>
      <c r="P25"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8"/>
      <c r="V25" s="153"/>
    </row>
    <row r="26" spans="1:26" ht="20.100000000000001" customHeight="1" x14ac:dyDescent="0.25">
      <c r="A26" s="5"/>
      <c r="D26" s="44" t="s">
        <v>607</v>
      </c>
      <c r="E26" s="141">
        <v>100</v>
      </c>
      <c r="F26" s="144">
        <f t="shared" si="10"/>
        <v>1000</v>
      </c>
      <c r="G26" s="146">
        <f>Table_Input_InorganicFertiliser_Custom[[#This Row],[Amount applied (kg / ha)]]*Table_Input_InorganicFertiliser_Custom[[#This Row],[Application area (ha)]]</f>
        <v>100000</v>
      </c>
      <c r="H26" s="157" t="s">
        <v>593</v>
      </c>
      <c r="I26" s="160">
        <v>1</v>
      </c>
      <c r="J26" s="157"/>
      <c r="K26" s="160"/>
      <c r="L26" s="157"/>
      <c r="M26" s="160"/>
      <c r="N26" s="159"/>
      <c r="O26" s="28"/>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53"/>
      <c r="W26" s="88"/>
    </row>
    <row r="27" spans="1:26" ht="20.100000000000001" customHeight="1" x14ac:dyDescent="0.25">
      <c r="D27" s="44" t="s">
        <v>608</v>
      </c>
      <c r="E27" s="141">
        <v>100</v>
      </c>
      <c r="F27" s="144">
        <f t="shared" si="10"/>
        <v>1000</v>
      </c>
      <c r="G27" s="146">
        <f>Table_Input_InorganicFertiliser_Custom[[#This Row],[Amount applied (kg / ha)]]*Table_Input_InorganicFertiliser_Custom[[#This Row],[Application area (ha)]]</f>
        <v>100000</v>
      </c>
      <c r="H27" s="157" t="s">
        <v>609</v>
      </c>
      <c r="I27" s="160">
        <v>0.5</v>
      </c>
      <c r="J27" s="157"/>
      <c r="K27" s="160"/>
      <c r="L27" s="157"/>
      <c r="M27" s="160"/>
      <c r="N27" s="159"/>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53"/>
    </row>
    <row r="28" spans="1:26" ht="20.100000000000001" customHeight="1" x14ac:dyDescent="0.25">
      <c r="D28" s="44"/>
      <c r="E28" s="141"/>
      <c r="F28" s="161">
        <f t="shared" si="10"/>
        <v>1000</v>
      </c>
      <c r="G28" s="146">
        <f>Table_Input_InorganicFertiliser_Custom[[#This Row],[Amount applied (kg / ha)]]*Table_Input_InorganicFertiliser_Custom[[#This Row],[Application area (ha)]]</f>
        <v>0</v>
      </c>
      <c r="H28" s="157"/>
      <c r="I28" s="160"/>
      <c r="J28" s="157"/>
      <c r="K28" s="160"/>
      <c r="L28" s="157"/>
      <c r="M28" s="160"/>
      <c r="N28" s="159"/>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8"/>
    </row>
    <row r="29" spans="1:26" ht="20.100000000000001" customHeight="1" x14ac:dyDescent="0.25">
      <c r="A29" s="6"/>
      <c r="D29" s="44"/>
      <c r="E29" s="141"/>
      <c r="F29" s="161">
        <f t="shared" si="10"/>
        <v>1000</v>
      </c>
      <c r="G29" s="146">
        <f>Table_Input_InorganicFertiliser_Custom[[#This Row],[Amount applied (kg / ha)]]*Table_Input_InorganicFertiliser_Custom[[#This Row],[Application area (ha)]]</f>
        <v>0</v>
      </c>
      <c r="H29" s="157"/>
      <c r="I29" s="160"/>
      <c r="J29" s="157"/>
      <c r="K29" s="160"/>
      <c r="L29" s="157"/>
      <c r="M29" s="160"/>
      <c r="N29" s="159"/>
      <c r="O29" s="28"/>
      <c r="P29"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c r="D30" s="44"/>
      <c r="E30" s="141"/>
      <c r="F30" s="161">
        <f t="shared" si="10"/>
        <v>1000</v>
      </c>
      <c r="G30" s="146">
        <f>Table_Input_InorganicFertiliser_Custom[[#This Row],[Amount applied (kg / ha)]]*Table_Input_InorganicFertiliser_Custom[[#This Row],[Application area (ha)]]</f>
        <v>0</v>
      </c>
      <c r="H30" s="157"/>
      <c r="I30" s="160"/>
      <c r="J30" s="157"/>
      <c r="K30" s="160"/>
      <c r="L30" s="157"/>
      <c r="M30" s="160"/>
      <c r="N30" s="159"/>
      <c r="O30" s="28"/>
      <c r="P30"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c r="D31" s="44"/>
      <c r="E31" s="141"/>
      <c r="F31" s="161">
        <f t="shared" si="10"/>
        <v>1000</v>
      </c>
      <c r="G31" s="146">
        <f>Table_Input_InorganicFertiliser_Custom[[#This Row],[Amount applied (kg / ha)]]*Table_Input_InorganicFertiliser_Custom[[#This Row],[Application area (ha)]]</f>
        <v>0</v>
      </c>
      <c r="H31" s="157"/>
      <c r="I31" s="160"/>
      <c r="J31" s="157"/>
      <c r="K31" s="160"/>
      <c r="L31" s="157"/>
      <c r="M31" s="160"/>
      <c r="N31" s="159"/>
      <c r="O31" s="28"/>
      <c r="P31"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c r="D32" s="44"/>
      <c r="E32" s="141"/>
      <c r="F32" s="161">
        <f t="shared" si="10"/>
        <v>1000</v>
      </c>
      <c r="G32" s="146">
        <f>Table_Input_InorganicFertiliser_Custom[[#This Row],[Amount applied (kg / ha)]]*Table_Input_InorganicFertiliser_Custom[[#This Row],[Application area (ha)]]</f>
        <v>0</v>
      </c>
      <c r="H32" s="157"/>
      <c r="I32" s="160"/>
      <c r="J32" s="157"/>
      <c r="K32" s="160"/>
      <c r="L32" s="157"/>
      <c r="M32" s="160"/>
      <c r="N32" s="159"/>
      <c r="O32" s="28"/>
      <c r="P32"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c r="D33" s="44"/>
      <c r="E33" s="141"/>
      <c r="F33" s="161">
        <f t="shared" si="10"/>
        <v>1000</v>
      </c>
      <c r="G33" s="146">
        <f>Table_Input_InorganicFertiliser_Custom[[#This Row],[Amount applied (kg / ha)]]*Table_Input_InorganicFertiliser_Custom[[#This Row],[Application area (ha)]]</f>
        <v>0</v>
      </c>
      <c r="H33" s="157"/>
      <c r="I33" s="160"/>
      <c r="J33" s="157"/>
      <c r="K33" s="160"/>
      <c r="L33" s="157"/>
      <c r="M33" s="160"/>
      <c r="N33" s="159"/>
      <c r="O33" s="28"/>
      <c r="P33"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c r="D34" s="44"/>
      <c r="E34" s="141"/>
      <c r="F34" s="161">
        <f t="shared" si="10"/>
        <v>1000</v>
      </c>
      <c r="G34" s="146">
        <f>Table_Input_InorganicFertiliser_Custom[[#This Row],[Amount applied (kg / ha)]]*Table_Input_InorganicFertiliser_Custom[[#This Row],[Application area (ha)]]</f>
        <v>0</v>
      </c>
      <c r="H34" s="157"/>
      <c r="I34" s="160"/>
      <c r="J34" s="157"/>
      <c r="K34" s="160"/>
      <c r="L34" s="157"/>
      <c r="M34" s="160"/>
      <c r="N34" s="159"/>
      <c r="O34" s="28"/>
      <c r="P34"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row>
    <row r="36" spans="1:27" ht="20.100000000000001" customHeight="1" x14ac:dyDescent="0.25">
      <c r="A36" s="5"/>
      <c r="D36" s="2" t="s">
        <v>293</v>
      </c>
      <c r="E36" s="35"/>
      <c r="F36" s="35"/>
      <c r="G36" s="35"/>
      <c r="H36" s="35"/>
      <c r="I36" s="35"/>
      <c r="J36" s="35"/>
      <c r="K36" s="8"/>
      <c r="L36" s="8"/>
      <c r="M36" s="8"/>
    </row>
    <row r="37" spans="1:27" ht="20.100000000000001" customHeight="1" x14ac:dyDescent="0.25">
      <c r="A37" s="5"/>
      <c r="D37" s="135" t="s">
        <v>610</v>
      </c>
      <c r="E37" s="54"/>
      <c r="F37" s="55"/>
      <c r="G37" s="135"/>
      <c r="H37" s="55"/>
      <c r="I37" s="35"/>
      <c r="J37" s="35"/>
      <c r="K37" s="8"/>
      <c r="L37" s="8"/>
      <c r="M37" s="35"/>
    </row>
    <row r="38" spans="1:27" ht="20.100000000000001" customHeight="1" x14ac:dyDescent="0.25">
      <c r="A38" s="5"/>
      <c r="C38" s="153"/>
      <c r="D38" s="162" t="s">
        <v>611</v>
      </c>
      <c r="E38" s="163"/>
      <c r="F38" s="164"/>
      <c r="G38" s="162"/>
      <c r="H38" s="164"/>
      <c r="I38" s="8"/>
      <c r="J38" s="8"/>
      <c r="K38" s="8"/>
      <c r="L38" s="8"/>
      <c r="M38" s="8"/>
    </row>
    <row r="39" spans="1:27" ht="20.100000000000001" customHeight="1" x14ac:dyDescent="0.25">
      <c r="A39" s="5"/>
      <c r="C39" s="153"/>
      <c r="D39" s="56" t="s">
        <v>568</v>
      </c>
      <c r="E39" s="57"/>
      <c r="F39" s="57"/>
      <c r="G39" s="57"/>
      <c r="H39" s="58"/>
      <c r="I39" s="8"/>
      <c r="J39" s="8"/>
      <c r="K39" s="8"/>
      <c r="L39" s="8"/>
      <c r="M39" s="35"/>
    </row>
    <row r="40" spans="1:27" s="165" customFormat="1" ht="20.100000000000001" customHeight="1" x14ac:dyDescent="0.25">
      <c r="A40" s="5"/>
      <c r="C40" s="1"/>
      <c r="D40" s="92" t="str">
        <f>IF(MAX(Table_Input_Lime[Total]) &gt; 1, "There can not be more than 100% ingredients in a product. Check the table below.", "")</f>
        <v/>
      </c>
      <c r="E40" s="1"/>
      <c r="F40" s="1"/>
      <c r="G40" s="1"/>
      <c r="H40" s="1"/>
      <c r="I40" s="1"/>
      <c r="J40" s="1"/>
      <c r="K40" s="1"/>
      <c r="L40" s="8"/>
      <c r="M40" s="35"/>
      <c r="N40" s="1"/>
      <c r="O40" s="1"/>
      <c r="P40" s="1"/>
      <c r="Q40" s="1"/>
      <c r="R40" s="1"/>
      <c r="S40" s="1"/>
      <c r="T40" s="1"/>
      <c r="U40" s="1"/>
      <c r="V40" s="1"/>
      <c r="W40" s="1"/>
      <c r="X40" s="1"/>
      <c r="Y40" s="1"/>
      <c r="Z40" s="1"/>
      <c r="AA40" s="1"/>
    </row>
    <row r="41" spans="1:27" s="165" customFormat="1" ht="20.100000000000001" customHeight="1" x14ac:dyDescent="0.25">
      <c r="A41" s="5"/>
      <c r="C41" s="1"/>
      <c r="D41" s="166" t="s">
        <v>149</v>
      </c>
      <c r="E41" s="166" t="s">
        <v>612</v>
      </c>
      <c r="F41" s="166" t="s">
        <v>573</v>
      </c>
      <c r="G41" s="166" t="s">
        <v>613</v>
      </c>
      <c r="H41" s="166" t="s">
        <v>614</v>
      </c>
      <c r="I41" s="166" t="s">
        <v>615</v>
      </c>
      <c r="J41" s="166" t="s">
        <v>616</v>
      </c>
      <c r="K41" s="166" t="s">
        <v>1</v>
      </c>
      <c r="L41" s="1"/>
      <c r="M41" s="1"/>
      <c r="N41" s="1"/>
      <c r="O41" s="1"/>
      <c r="P41" s="1"/>
      <c r="Q41" s="1"/>
      <c r="R41" s="1"/>
      <c r="S41" s="153"/>
      <c r="T41" s="1"/>
      <c r="U41" s="1"/>
      <c r="V41" s="1"/>
      <c r="W41" s="1"/>
      <c r="X41" s="1"/>
      <c r="Y41" s="1"/>
      <c r="Z41" s="1"/>
      <c r="AA41" s="1"/>
    </row>
    <row r="42" spans="1:27" ht="20.100000000000001" customHeight="1" x14ac:dyDescent="0.25">
      <c r="A42" s="5"/>
      <c r="D42" s="167" t="s">
        <v>617</v>
      </c>
      <c r="E42" s="144">
        <v>1</v>
      </c>
      <c r="F42" s="144">
        <f>X_Cell_Fertiliser_AreaUnderCropping</f>
        <v>1000</v>
      </c>
      <c r="G42" s="146">
        <f>IFERROR(Table_Input_Lime[[#This Row],[Amount applied (t/hectare)]]*Table_Input_Lime[[#This Row],[Application area (ha)]], 0)</f>
        <v>1000</v>
      </c>
      <c r="H42" s="168">
        <v>0.8</v>
      </c>
      <c r="I42" s="168">
        <v>0.1</v>
      </c>
      <c r="J42" s="168">
        <v>0.1</v>
      </c>
      <c r="K42" s="169">
        <f>SUM(Table_Input_Lime[[#This Row],[Percent Lime CaCO3]:[Percent Gypsum]])</f>
        <v>1</v>
      </c>
      <c r="S42" s="153"/>
    </row>
    <row r="43" spans="1:27" ht="20.100000000000001" customHeight="1" x14ac:dyDescent="0.25">
      <c r="A43" s="5"/>
      <c r="D43" s="167" t="s">
        <v>618</v>
      </c>
      <c r="E43" s="144">
        <v>1</v>
      </c>
      <c r="F43" s="144">
        <f>X_Cell_Fertiliser_AreaUnderCropping</f>
        <v>1000</v>
      </c>
      <c r="G43" s="146">
        <f>IFERROR(Table_Input_Lime[[#This Row],[Amount applied (t/hectare)]]*Table_Input_Lime[[#This Row],[Application area (ha)]], 0)</f>
        <v>1000</v>
      </c>
      <c r="H43" s="168">
        <v>1</v>
      </c>
      <c r="I43" s="168"/>
      <c r="J43" s="168"/>
      <c r="K43" s="169">
        <f>SUM(Table_Input_Lime[[#This Row],[Percent Lime CaCO3]:[Percent Gypsum]])</f>
        <v>1</v>
      </c>
    </row>
    <row r="44" spans="1:27" ht="20.100000000000001" customHeight="1" x14ac:dyDescent="0.25">
      <c r="A44" s="5"/>
      <c r="D44" s="167" t="s">
        <v>619</v>
      </c>
      <c r="E44" s="144">
        <v>1</v>
      </c>
      <c r="F44" s="144">
        <f>X_Cell_Fertiliser_AreaUnderCropping</f>
        <v>1000</v>
      </c>
      <c r="G44" s="146">
        <f>IFERROR(Table_Input_Lime[[#This Row],[Amount applied (t/hectare)]]*Table_Input_Lime[[#This Row],[Application area (ha)]], 0)</f>
        <v>1000</v>
      </c>
      <c r="H44" s="168">
        <v>0</v>
      </c>
      <c r="I44" s="168"/>
      <c r="J44" s="168">
        <v>1</v>
      </c>
      <c r="K44" s="169">
        <f>SUM(Table_Input_Lime[[#This Row],[Percent Lime CaCO3]:[Percent Gypsum]])</f>
        <v>1</v>
      </c>
      <c r="L44" s="35"/>
    </row>
    <row r="45" spans="1:27" ht="20.100000000000001" customHeight="1" x14ac:dyDescent="0.25">
      <c r="A45" s="5"/>
      <c r="L45" s="35"/>
      <c r="M45" s="35"/>
    </row>
    <row r="46" spans="1:27" ht="20.100000000000001" customHeight="1" x14ac:dyDescent="0.25">
      <c r="A46" s="5"/>
      <c r="D46" s="8"/>
      <c r="E46" s="8"/>
      <c r="F46" s="8"/>
      <c r="G46" s="8"/>
      <c r="H46" s="8"/>
      <c r="I46" s="8"/>
      <c r="J46" s="8"/>
      <c r="L46" s="8"/>
      <c r="M46" s="35"/>
    </row>
    <row r="47" spans="1:27" ht="20.100000000000001" customHeight="1" x14ac:dyDescent="0.25">
      <c r="A47" s="5"/>
      <c r="D47" s="8"/>
      <c r="E47" s="8"/>
      <c r="F47" s="8"/>
      <c r="G47" s="8"/>
      <c r="H47" s="8"/>
      <c r="I47" s="8"/>
      <c r="J47" s="170"/>
      <c r="K47" s="35"/>
      <c r="L47" s="8"/>
      <c r="M47" s="8"/>
    </row>
    <row r="48" spans="1:27" ht="20.100000000000001" customHeight="1" x14ac:dyDescent="0.25">
      <c r="A48" s="5"/>
      <c r="D48" s="2" t="s">
        <v>294</v>
      </c>
      <c r="E48" s="35"/>
      <c r="F48" s="35"/>
      <c r="G48" s="35"/>
      <c r="H48" s="8"/>
      <c r="I48" s="8"/>
      <c r="J48" s="8"/>
      <c r="K48" s="8"/>
      <c r="L48" s="8"/>
      <c r="M48" s="8"/>
    </row>
    <row r="49" spans="1:18" ht="20.100000000000001" customHeight="1" x14ac:dyDescent="0.25">
      <c r="D49" s="8"/>
      <c r="E49" s="8"/>
      <c r="F49" s="8"/>
      <c r="G49" s="8"/>
      <c r="H49" s="8"/>
      <c r="I49" s="8"/>
      <c r="J49" s="8"/>
      <c r="K49" s="8"/>
      <c r="L49" s="8"/>
      <c r="M49" s="8"/>
      <c r="Q49" s="153"/>
      <c r="R49" s="153"/>
    </row>
    <row r="50" spans="1:18" ht="20.100000000000001" customHeight="1" x14ac:dyDescent="0.25">
      <c r="D50" s="135" t="s">
        <v>610</v>
      </c>
      <c r="E50" s="54"/>
      <c r="F50" s="54"/>
      <c r="G50" s="54"/>
      <c r="H50" s="55"/>
      <c r="I50" s="8"/>
      <c r="J50" s="8"/>
      <c r="K50" s="8"/>
      <c r="L50" s="8"/>
      <c r="M50" s="8"/>
      <c r="O50" s="153"/>
      <c r="P50" s="153"/>
      <c r="Q50" s="153"/>
      <c r="R50" s="153"/>
    </row>
    <row r="51" spans="1:18" ht="20.100000000000001" customHeight="1" x14ac:dyDescent="0.25">
      <c r="A51" s="100"/>
      <c r="D51" s="56" t="s">
        <v>568</v>
      </c>
      <c r="E51" s="57"/>
      <c r="F51" s="57"/>
      <c r="G51" s="57"/>
      <c r="H51" s="58"/>
      <c r="I51" s="8"/>
      <c r="J51" s="8"/>
      <c r="K51" s="8"/>
      <c r="L51" s="155"/>
      <c r="M51" s="153"/>
      <c r="N51" s="153"/>
      <c r="O51" s="153"/>
      <c r="P51" s="153"/>
    </row>
    <row r="52" spans="1:18" ht="20.100000000000001" customHeight="1" x14ac:dyDescent="0.25">
      <c r="A52" s="5"/>
      <c r="D52" s="8"/>
      <c r="E52" s="8"/>
      <c r="F52" s="8"/>
      <c r="G52" s="8"/>
      <c r="H52" s="8"/>
      <c r="I52" s="8"/>
      <c r="J52" s="8"/>
      <c r="K52" s="8"/>
      <c r="L52" s="155"/>
      <c r="M52" s="153"/>
      <c r="N52" s="153"/>
    </row>
    <row r="53" spans="1:18" ht="20.100000000000001" customHeight="1" x14ac:dyDescent="0.25">
      <c r="A53" s="5"/>
      <c r="D53" s="166" t="s">
        <v>620</v>
      </c>
      <c r="E53" s="166" t="s">
        <v>621</v>
      </c>
      <c r="F53" s="166" t="s">
        <v>622</v>
      </c>
      <c r="G53" s="166" t="s">
        <v>623</v>
      </c>
      <c r="H53" s="166" t="s">
        <v>573</v>
      </c>
      <c r="I53" s="166" t="s">
        <v>624</v>
      </c>
      <c r="J53" s="166" t="s">
        <v>625</v>
      </c>
      <c r="K53" s="155"/>
    </row>
    <row r="54" spans="1:18" ht="20.100000000000001" customHeight="1" x14ac:dyDescent="0.25">
      <c r="A54" s="5"/>
      <c r="D54" s="143" t="s">
        <v>626</v>
      </c>
      <c r="E54" s="168">
        <v>0.3</v>
      </c>
      <c r="F54" s="144">
        <v>10</v>
      </c>
      <c r="G54" s="146">
        <f>Table_Input_OrganicFertiliser[[#This Row],[Amount applied (kg/hectare)]]*Table_Input_OrganicFertiliser[[#This Row],[Percentage of N in fertiliser]]</f>
        <v>3</v>
      </c>
      <c r="H54" s="144">
        <f>X_Cell_Fertiliser_AreaUnderCropping</f>
        <v>1000</v>
      </c>
      <c r="I54" s="146">
        <f>Table_Input_OrganicFertiliser[[#This Row],[Amount applied (kg/hectare)]]*Table_Input_OrganicFertiliser[[#This Row],[Application area (ha)]]</f>
        <v>10000</v>
      </c>
      <c r="J54" s="146">
        <f>IFERROR(Table_Input_OrganicFertiliser[[#This Row],[Amount N applied (kg/hectare)]]*Table_Input_OrganicFertiliser[[#This Row],[Application area (ha)]], 0)</f>
        <v>3000</v>
      </c>
      <c r="K54" s="155"/>
    </row>
    <row r="55" spans="1:18" ht="20.100000000000001" customHeight="1" x14ac:dyDescent="0.25">
      <c r="A55" s="5"/>
      <c r="D55" s="143" t="s">
        <v>627</v>
      </c>
      <c r="E55" s="168">
        <v>0.25</v>
      </c>
      <c r="F55" s="144">
        <v>10</v>
      </c>
      <c r="G55" s="146">
        <f>Table_Input_OrganicFertiliser[[#This Row],[Amount applied (kg/hectare)]]*Table_Input_OrganicFertiliser[[#This Row],[Percentage of N in fertiliser]]</f>
        <v>2.5</v>
      </c>
      <c r="H55" s="144">
        <f>X_Cell_Fertiliser_AreaUnderCropping</f>
        <v>1000</v>
      </c>
      <c r="I55" s="146">
        <f>Table_Input_OrganicFertiliser[[#This Row],[Amount applied (kg/hectare)]]*Table_Input_OrganicFertiliser[[#This Row],[Application area (ha)]]</f>
        <v>10000</v>
      </c>
      <c r="J55" s="146">
        <f>IFERROR(Table_Input_OrganicFertiliser[[#This Row],[Amount N applied (kg/hectare)]]*Table_Input_OrganicFertiliser[[#This Row],[Application area (ha)]], 0)</f>
        <v>2500</v>
      </c>
    </row>
    <row r="56" spans="1:18" ht="20.100000000000001" customHeight="1" x14ac:dyDescent="0.25">
      <c r="A56" s="5"/>
      <c r="D56" s="143" t="s">
        <v>628</v>
      </c>
      <c r="E56" s="168">
        <v>0.16</v>
      </c>
      <c r="F56" s="144">
        <v>10</v>
      </c>
      <c r="G56" s="146">
        <f>Table_Input_OrganicFertiliser[[#This Row],[Amount applied (kg/hectare)]]*Table_Input_OrganicFertiliser[[#This Row],[Percentage of N in fertiliser]]</f>
        <v>1.6</v>
      </c>
      <c r="H56" s="144">
        <f>X_Cell_Fertiliser_AreaUnderCropping</f>
        <v>1000</v>
      </c>
      <c r="I56" s="146">
        <f>Table_Input_OrganicFertiliser[[#This Row],[Amount applied (kg/hectare)]]*Table_Input_OrganicFertiliser[[#This Row],[Application area (ha)]]</f>
        <v>10000</v>
      </c>
      <c r="J56" s="146">
        <f>IFERROR(Table_Input_OrganicFertiliser[[#This Row],[Amount N applied (kg/hectare)]]*Table_Input_OrganicFertiliser[[#This Row],[Application area (ha)]], 0)</f>
        <v>1600</v>
      </c>
    </row>
    <row r="57" spans="1:18" ht="20.100000000000001" customHeight="1" x14ac:dyDescent="0.25">
      <c r="A57" s="5"/>
    </row>
    <row r="58" spans="1:18" ht="20.100000000000001" customHeight="1" x14ac:dyDescent="0.25">
      <c r="A58" s="5"/>
    </row>
    <row r="59" spans="1:18" ht="20.100000000000001" customHeight="1" x14ac:dyDescent="0.25">
      <c r="A59" s="5"/>
    </row>
    <row r="60" spans="1:18" ht="20.100000000000001" customHeight="1" x14ac:dyDescent="0.25">
      <c r="A60" s="5"/>
    </row>
    <row r="61" spans="1:18" ht="20.100000000000001" customHeight="1" x14ac:dyDescent="0.25">
      <c r="A61" s="5"/>
    </row>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c r="M136" s="35"/>
    </row>
    <row r="137" spans="13:13" ht="20.100000000000001" customHeight="1" x14ac:dyDescent="0.25">
      <c r="M137" s="35"/>
    </row>
    <row r="138" spans="13:13" ht="20.100000000000001" customHeight="1" x14ac:dyDescent="0.25">
      <c r="M138" s="35"/>
    </row>
    <row r="139" spans="13:13" ht="20.100000000000001" customHeight="1" x14ac:dyDescent="0.25">
      <c r="M139" s="35"/>
    </row>
    <row r="140" spans="13:13" ht="20.100000000000001" customHeight="1" x14ac:dyDescent="0.25">
      <c r="M140" s="35"/>
    </row>
    <row r="141" spans="13:13" ht="20.100000000000001" customHeight="1" x14ac:dyDescent="0.25">
      <c r="M141" s="35"/>
    </row>
    <row r="142" spans="13:13" ht="20.100000000000001" customHeight="1" x14ac:dyDescent="0.25">
      <c r="M142" s="35"/>
    </row>
    <row r="143" spans="13:13" ht="20.100000000000001" customHeight="1" x14ac:dyDescent="0.25">
      <c r="M143" s="35"/>
    </row>
    <row r="144" spans="13:13" ht="20.100000000000001" customHeight="1" x14ac:dyDescent="0.25">
      <c r="M144" s="35"/>
    </row>
    <row r="145" spans="13:13" ht="20.100000000000001" customHeight="1" x14ac:dyDescent="0.25">
      <c r="M145" s="35"/>
    </row>
    <row r="146" spans="13:13" ht="20.100000000000001" customHeight="1" x14ac:dyDescent="0.25">
      <c r="M146" s="35"/>
    </row>
    <row r="147" spans="13:13" ht="20.100000000000001" customHeight="1" x14ac:dyDescent="0.25">
      <c r="M147" s="3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92"/>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83FE1873-B9BF-41F6-9F7E-E62326447201}">
      <formula1>INDIRECT("FertiliserProducts[Product]")</formula1>
    </dataValidation>
    <dataValidation type="list" allowBlank="1" showInputMessage="1" showErrorMessage="1" sqref="Q25:R34" xr:uid="{176567D0-3088-423C-A139-EB871AC6B750}">
      <formula1>INDIRECT("Table_SourceData_Fertiliser_UreaAmmoniaSources[Source]")</formula1>
    </dataValidation>
    <dataValidation type="list" allowBlank="1" showInputMessage="1" showErrorMessage="1" sqref="D54:D56" xr:uid="{1BE18C6E-A0C5-4A2F-885D-25694B128C18}">
      <formula1>INDIRECT("Table_SourceData_OrganicFertiliserTypes[Organic fertiliser type]")</formula1>
    </dataValidation>
    <dataValidation type="list" allowBlank="1" showInputMessage="1" showErrorMessage="1" sqref="H25:H34 J25:J34 L25:L34 N25:N34" xr:uid="{0BB35CE4-6AFD-4AFE-85F5-08577D30EBE5}">
      <formula1>INDIRECT("Table_Fertiliser_ChemicalCompounds[Fertiliser type f]")</formula1>
    </dataValidation>
    <dataValidation type="list" allowBlank="1" showInputMessage="1" showErrorMessage="1" sqref="E81" xr:uid="{6D6C8833-9F3F-48FC-8995-60A5DD92D22B}">
      <formula1>INDIRECT("Table_SourceData_Swine_CropProdSystems[Production system]")</formula1>
    </dataValidation>
    <dataValidation type="list" allowBlank="1" showInputMessage="1" showErrorMessage="1" sqref="E82" xr:uid="{972EDC6A-E55B-4229-9E92-5D68BEC65051}">
      <formula1>INDIRECT("Table_SourceData_Swine_IrrigationMethods[Irrigation method]")</formula1>
    </dataValidation>
    <dataValidation type="list" allowBlank="1" showInputMessage="1" showErrorMessage="1" sqref="E266 E271 E276 E310 E305 E300 E178 E166 E142 E154" xr:uid="{271D6DCD-BCDF-43C5-9C99-180BD6EC29C7}">
      <formula1>"Yes, No"</formula1>
    </dataValidation>
    <dataValidation type="list" allowBlank="1" showInputMessage="1" showErrorMessage="1" sqref="E242" xr:uid="{848ED8F4-F763-4807-B688-82EE1915C65F}">
      <formula1>INDIRECT("Table_SourceData_Dairy_ProductionSystemTemplates[Area]")</formula1>
    </dataValidation>
    <dataValidation type="list" allowBlank="1" showInputMessage="1" showErrorMessage="1" sqref="D294" xr:uid="{EDAD14C0-E5F8-4B2C-9840-52F5E2BD510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A51DF-7D50-4E67-B482-FD6D6339657F}">
  <dimension ref="A1:K346"/>
  <sheetViews>
    <sheetView showGridLines="0" topLeftCell="A2"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795</v>
      </c>
    </row>
    <row r="2" spans="1:11" s="3" customFormat="1" ht="20.100000000000001" customHeight="1" x14ac:dyDescent="0.25">
      <c r="A2"/>
    </row>
    <row r="3" spans="1:11" ht="20.100000000000001" customHeight="1" x14ac:dyDescent="0.25">
      <c r="A3" s="5"/>
      <c r="C3" s="39"/>
      <c r="D3" s="39"/>
      <c r="E3" s="39"/>
      <c r="F3" s="39"/>
      <c r="G3" s="39"/>
      <c r="H3" s="39"/>
      <c r="I3" s="39"/>
      <c r="J3" s="39"/>
      <c r="K3" s="39"/>
    </row>
    <row r="4" spans="1:11" ht="20.100000000000001" customHeight="1" x14ac:dyDescent="0.25">
      <c r="A4" s="5"/>
    </row>
    <row r="5" spans="1:11" ht="20.100000000000001" customHeight="1" x14ac:dyDescent="0.25">
      <c r="A5" s="5"/>
      <c r="D5" s="2" t="s">
        <v>796</v>
      </c>
      <c r="E5" s="35"/>
      <c r="F5" s="35"/>
      <c r="G5" s="35"/>
      <c r="H5" s="35"/>
    </row>
    <row r="6" spans="1:11" ht="20.100000000000001" customHeight="1" x14ac:dyDescent="0.25">
      <c r="D6" s="8"/>
      <c r="E6" s="8"/>
      <c r="F6" s="8"/>
      <c r="G6" s="8"/>
      <c r="H6" s="8"/>
      <c r="I6" s="8"/>
      <c r="J6" s="8"/>
    </row>
    <row r="7" spans="1:11" ht="20.100000000000001" customHeight="1" x14ac:dyDescent="0.25">
      <c r="D7" s="1" t="s">
        <v>797</v>
      </c>
    </row>
    <row r="8" spans="1:11" ht="20.100000000000001" customHeight="1" x14ac:dyDescent="0.25">
      <c r="A8" s="7"/>
      <c r="D8" s="1" t="s">
        <v>798</v>
      </c>
    </row>
    <row r="9" spans="1:11" ht="20.100000000000001" customHeight="1" x14ac:dyDescent="0.25">
      <c r="A9" s="5"/>
      <c r="D9" s="1" t="s">
        <v>799</v>
      </c>
    </row>
    <row r="10" spans="1:11" ht="20.100000000000001" customHeight="1" x14ac:dyDescent="0.25">
      <c r="A10" s="5"/>
    </row>
    <row r="11" spans="1:11" ht="20.100000000000001" customHeight="1" x14ac:dyDescent="0.25">
      <c r="A11" s="5"/>
      <c r="D11" s="1" t="s">
        <v>800</v>
      </c>
      <c r="E11" s="23" t="s">
        <v>801</v>
      </c>
      <c r="F11" s="26" t="s">
        <v>107</v>
      </c>
    </row>
    <row r="12" spans="1:11" ht="20.100000000000001" customHeight="1" x14ac:dyDescent="0.25">
      <c r="A12" s="5"/>
    </row>
    <row r="13" spans="1:11" ht="20.100000000000001" customHeight="1" x14ac:dyDescent="0.25">
      <c r="A13" s="5"/>
      <c r="D13" s="135" t="s">
        <v>768</v>
      </c>
      <c r="E13" s="54"/>
      <c r="F13" s="54"/>
      <c r="G13" s="54"/>
      <c r="H13" s="55"/>
    </row>
    <row r="14" spans="1:11" ht="20.100000000000001" customHeight="1" x14ac:dyDescent="0.25">
      <c r="A14" s="5"/>
      <c r="D14" s="56" t="s">
        <v>802</v>
      </c>
      <c r="E14" s="57"/>
      <c r="F14" s="57"/>
      <c r="G14" s="57"/>
      <c r="H14" s="58"/>
    </row>
    <row r="15" spans="1:11" ht="20.100000000000001" customHeight="1" x14ac:dyDescent="0.25">
      <c r="A15" s="5"/>
      <c r="D15" s="8"/>
      <c r="E15" s="8"/>
      <c r="F15" s="8"/>
      <c r="G15" s="8"/>
      <c r="H15" s="8"/>
      <c r="I15" s="8"/>
      <c r="J15" s="8"/>
    </row>
    <row r="16" spans="1:11" ht="20.100000000000001" customHeight="1" x14ac:dyDescent="0.25">
      <c r="A16" s="5"/>
      <c r="D16" s="94" t="s">
        <v>803</v>
      </c>
      <c r="E16" s="94" t="s">
        <v>804</v>
      </c>
      <c r="F16" s="94" t="s">
        <v>805</v>
      </c>
      <c r="G16" s="94" t="s">
        <v>806</v>
      </c>
      <c r="H16" s="94" t="s">
        <v>807</v>
      </c>
      <c r="I16" s="94" t="s">
        <v>808</v>
      </c>
      <c r="J16" s="94" t="s">
        <v>809</v>
      </c>
    </row>
    <row r="17" spans="1:10" ht="20.100000000000001" customHeight="1" x14ac:dyDescent="0.25">
      <c r="A17" s="5"/>
      <c r="D17" s="23" t="s">
        <v>810</v>
      </c>
      <c r="E17" s="23" t="s">
        <v>811</v>
      </c>
      <c r="F17" s="198">
        <v>100</v>
      </c>
      <c r="G17" s="25" t="str" cm="1">
        <f t="array" ref="G17">Common_InputFunctions.Utility_LookupValueInTable(Table_Input_Fuel[[#This Row],[Fuel type (select)]],Table_FuelTypes_Units[Fuel type], Table_FuelTypes_Units[Input Unit])</f>
        <v>GJ</v>
      </c>
      <c r="H17" s="199">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103"/>
      <c r="D18" s="23" t="s">
        <v>810</v>
      </c>
      <c r="E18" s="23" t="s">
        <v>812</v>
      </c>
      <c r="F18" s="198">
        <v>10000</v>
      </c>
      <c r="G18" s="25" t="str" cm="1">
        <f t="array" ref="G18">Common_InputFunctions.Utility_LookupValueInTable(Table_Input_Fuel[[#This Row],[Fuel type (select)]],Table_FuelTypes_Units[Fuel type], Table_FuelTypes_Units[Input Unit])</f>
        <v>L</v>
      </c>
      <c r="H18" s="200">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c r="D19" s="23" t="s">
        <v>813</v>
      </c>
      <c r="E19" s="23" t="s">
        <v>814</v>
      </c>
      <c r="F19" s="198">
        <v>10000</v>
      </c>
      <c r="G19" s="25" t="str" cm="1">
        <f t="array" ref="G19">Common_InputFunctions.Utility_LookupValueInTable(Table_Input_Fuel[[#This Row],[Fuel type (select)]],Table_FuelTypes_Units[Fuel type], Table_FuelTypes_Units[Input Unit])</f>
        <v>L</v>
      </c>
      <c r="H19" s="200">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c r="D20" s="23" t="s">
        <v>815</v>
      </c>
      <c r="E20" s="23" t="s">
        <v>814</v>
      </c>
      <c r="F20" s="198">
        <v>10000</v>
      </c>
      <c r="G20" s="25" t="str" cm="1">
        <f t="array" ref="G20">Common_InputFunctions.Utility_LookupValueInTable(Table_Input_Fuel[[#This Row],[Fuel type (select)]],Table_FuelTypes_Units[Fuel type], Table_FuelTypes_Units[Input Unit])</f>
        <v>L</v>
      </c>
      <c r="H20" s="200">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c r="D21" s="99" t="s">
        <v>816</v>
      </c>
      <c r="E21" s="99" t="s">
        <v>817</v>
      </c>
      <c r="F21" s="198">
        <v>10000</v>
      </c>
      <c r="G21" s="201" t="str" cm="1">
        <f t="array" ref="G21">Common_InputFunctions.Utility_LookupValueInTable(Table_Input_Fuel[[#This Row],[Fuel type (select)]],Table_FuelTypes_Units[Fuel type], Table_FuelTypes_Units[Input Unit])</f>
        <v>L</v>
      </c>
      <c r="H21" s="202">
        <f>1</f>
        <v>1</v>
      </c>
      <c r="I21" s="20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row>
    <row r="23" spans="1:10" ht="20.100000000000001" customHeight="1" x14ac:dyDescent="0.25">
      <c r="A23" s="5"/>
    </row>
    <row r="24" spans="1:10" ht="20.100000000000001" customHeight="1" x14ac:dyDescent="0.25">
      <c r="A24" s="5"/>
    </row>
    <row r="25" spans="1:10" ht="20.100000000000001" customHeight="1" x14ac:dyDescent="0.25">
      <c r="A25" s="5"/>
    </row>
    <row r="26" spans="1:10" ht="20.100000000000001" customHeight="1" x14ac:dyDescent="0.25">
      <c r="A26" s="5"/>
    </row>
    <row r="27" spans="1:10" ht="20.100000000000001" customHeight="1" x14ac:dyDescent="0.25"/>
    <row r="28" spans="1:10" ht="20.100000000000001" customHeight="1" x14ac:dyDescent="0.25"/>
    <row r="29" spans="1:10" ht="20.100000000000001" customHeight="1" x14ac:dyDescent="0.25">
      <c r="A29" s="6"/>
    </row>
    <row r="30" spans="1:10" ht="20.100000000000001" customHeight="1" x14ac:dyDescent="0.25">
      <c r="A30" s="5"/>
    </row>
    <row r="31" spans="1:10" ht="20.100000000000001" customHeight="1" x14ac:dyDescent="0.25">
      <c r="A31" s="5"/>
    </row>
    <row r="32" spans="1:10" ht="20.100000000000001" customHeight="1" x14ac:dyDescent="0.25">
      <c r="A32" s="5"/>
    </row>
    <row r="33" spans="1:11" ht="20.100000000000001" customHeight="1" x14ac:dyDescent="0.25">
      <c r="A33" s="5"/>
    </row>
    <row r="34" spans="1:11" ht="20.100000000000001" customHeight="1" x14ac:dyDescent="0.25">
      <c r="A34" s="5"/>
    </row>
    <row r="35" spans="1:11" ht="20.100000000000001" customHeight="1" x14ac:dyDescent="0.25">
      <c r="A35" s="5"/>
    </row>
    <row r="36" spans="1:11" ht="20.100000000000001" customHeight="1" x14ac:dyDescent="0.25">
      <c r="A36" s="5"/>
    </row>
    <row r="37" spans="1:11" ht="20.100000000000001" customHeight="1" x14ac:dyDescent="0.25">
      <c r="A37" s="5"/>
    </row>
    <row r="38" spans="1:11" ht="20.100000000000001" customHeight="1" x14ac:dyDescent="0.25">
      <c r="A38" s="5"/>
      <c r="C38" s="153"/>
      <c r="K38" s="153"/>
    </row>
    <row r="39" spans="1:11" ht="20.100000000000001" customHeight="1" x14ac:dyDescent="0.25">
      <c r="A39" s="5"/>
      <c r="C39" s="153"/>
      <c r="K39" s="153"/>
    </row>
    <row r="40" spans="1:11" s="165" customFormat="1" ht="20.100000000000001" customHeight="1" x14ac:dyDescent="0.25">
      <c r="A40" s="5"/>
      <c r="C40" s="1"/>
      <c r="D40" s="1"/>
      <c r="E40" s="1"/>
      <c r="F40" s="1"/>
      <c r="G40" s="1"/>
      <c r="H40" s="1"/>
      <c r="I40" s="1"/>
      <c r="J40" s="1"/>
      <c r="K40" s="1"/>
    </row>
    <row r="41" spans="1:11" s="165" customFormat="1" ht="20.100000000000001" customHeight="1" x14ac:dyDescent="0.25">
      <c r="A41" s="5"/>
      <c r="C41" s="1"/>
      <c r="D41" s="1"/>
      <c r="E41" s="1"/>
      <c r="F41" s="1"/>
      <c r="G41" s="1"/>
      <c r="H41" s="1"/>
      <c r="I41" s="1"/>
      <c r="J41" s="1"/>
      <c r="K41" s="1"/>
    </row>
    <row r="42" spans="1:11" ht="20.100000000000001" customHeight="1" x14ac:dyDescent="0.25">
      <c r="A42" s="5"/>
    </row>
    <row r="43" spans="1:11" ht="20.100000000000001" customHeight="1" x14ac:dyDescent="0.25">
      <c r="A43" s="5"/>
    </row>
    <row r="44" spans="1:11" ht="20.100000000000001" customHeight="1" x14ac:dyDescent="0.25">
      <c r="A44" s="5"/>
    </row>
    <row r="45" spans="1:11" ht="20.100000000000001" customHeight="1" x14ac:dyDescent="0.25">
      <c r="A45" s="5"/>
    </row>
    <row r="46" spans="1:11" ht="20.100000000000001" customHeight="1" x14ac:dyDescent="0.25">
      <c r="A46" s="5"/>
    </row>
    <row r="47" spans="1:11" ht="20.100000000000001" customHeight="1" x14ac:dyDescent="0.25">
      <c r="A47" s="5"/>
    </row>
    <row r="48" spans="1:11"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06D74F44-F928-4C03-9202-1A17E99676F3}">
      <formula1>_xlfn.TRIMRANGE(INDIRECT("Table_FuelTypesPerUse["&amp;D17&amp;"]"))</formula1>
    </dataValidation>
    <dataValidation type="list" allowBlank="1" showInputMessage="1" showErrorMessage="1" sqref="D17:D21" xr:uid="{A77053E7-D1CE-4C63-8452-6B4D202871A4}">
      <formula1>INDIRECT("Table_FuelTypesPerUse[#Headers]")</formula1>
    </dataValidation>
    <dataValidation type="list" allowBlank="1" showInputMessage="1" showErrorMessage="1" sqref="E11" xr:uid="{85727787-F69B-4BAF-B596-221FC78CE9BA}">
      <formula1>"Metro, Non-metro"</formula1>
    </dataValidation>
    <dataValidation type="list" allowBlank="1" showInputMessage="1" showErrorMessage="1" sqref="D29:D30" xr:uid="{3798FBE9-B618-42AF-8DE4-5786D0E117FB}">
      <formula1>INDIRECT("Table_SourceData_OrganicFertiliserTypes[Organic fertiliser type]")</formula1>
    </dataValidation>
    <dataValidation type="list" allowBlank="1" showInputMessage="1" showErrorMessage="1" sqref="E49" xr:uid="{BBC51475-3785-4CD9-84F7-AD83204C643D}">
      <formula1>INDIRECT("Table_SourceData_Swine_CropProdSystems[Production system]")</formula1>
    </dataValidation>
    <dataValidation type="list" allowBlank="1" showInputMessage="1" showErrorMessage="1" sqref="E50" xr:uid="{7CE73494-88FE-4DCF-A3EA-6821DCA4F371}">
      <formula1>INDIRECT("Table_SourceData_Swine_IrrigationMethods[Irrigation method]")</formula1>
    </dataValidation>
    <dataValidation type="list" allowBlank="1" showInputMessage="1" showErrorMessage="1" sqref="E234 E239 E244 E278 E273 E268 E146 E134 E110 E122" xr:uid="{791772CE-6609-4EEB-A6A3-740D9265858E}">
      <formula1>"Yes, No"</formula1>
    </dataValidation>
    <dataValidation type="list" allowBlank="1" showInputMessage="1" showErrorMessage="1" sqref="E210" xr:uid="{AA8EF83B-6F09-4237-86FC-3262B1D7A37D}">
      <formula1>INDIRECT("Table_SourceData_Dairy_ProductionSystemTemplates[Area]")</formula1>
    </dataValidation>
    <dataValidation type="list" allowBlank="1" showInputMessage="1" showErrorMessage="1" sqref="D262" xr:uid="{7D0BB701-AD6F-40F4-8D5B-A19297542A7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34611-C898-46F5-A337-50445F60D62B}">
  <dimension ref="A1:L365"/>
  <sheetViews>
    <sheetView showGridLines="0" topLeftCell="A24"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749</v>
      </c>
    </row>
    <row r="2" spans="1:10" s="3" customFormat="1" ht="20.100000000000001" customHeight="1" x14ac:dyDescent="0.25">
      <c r="A2"/>
    </row>
    <row r="3" spans="1:10" ht="20.100000000000001" customHeight="1" x14ac:dyDescent="0.25">
      <c r="A3" s="5"/>
      <c r="C3" s="39"/>
      <c r="D3" s="39"/>
      <c r="E3" s="39"/>
      <c r="F3" s="39"/>
      <c r="G3" s="39"/>
      <c r="H3" s="39"/>
      <c r="I3" s="39"/>
      <c r="J3" s="39"/>
    </row>
    <row r="4" spans="1:10" ht="20.100000000000001" customHeight="1" x14ac:dyDescent="0.25">
      <c r="A4" s="5"/>
    </row>
    <row r="5" spans="1:10" ht="20.100000000000001" customHeight="1" x14ac:dyDescent="0.25">
      <c r="A5" s="5"/>
      <c r="D5" s="1" t="s">
        <v>750</v>
      </c>
      <c r="E5" s="23" t="s">
        <v>751</v>
      </c>
      <c r="F5" s="26" t="s">
        <v>107</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c r="C8" s="120"/>
      <c r="D8" s="120"/>
      <c r="E8" s="120"/>
      <c r="F8" s="120"/>
      <c r="G8" s="120"/>
      <c r="H8" s="120"/>
      <c r="I8" s="120"/>
      <c r="J8" s="120"/>
    </row>
    <row r="9" spans="1:10" ht="20.100000000000001" customHeight="1" x14ac:dyDescent="0.25">
      <c r="A9" s="5"/>
      <c r="D9" s="2" t="s">
        <v>752</v>
      </c>
    </row>
    <row r="10" spans="1:10" ht="20.100000000000001" customHeight="1" x14ac:dyDescent="0.25">
      <c r="A10" s="5"/>
    </row>
    <row r="11" spans="1:10" ht="20.100000000000001" customHeight="1" x14ac:dyDescent="0.25">
      <c r="A11" s="5"/>
      <c r="D11" s="91" t="s">
        <v>753</v>
      </c>
    </row>
    <row r="12" spans="1:10" ht="20.100000000000001" customHeight="1" x14ac:dyDescent="0.25">
      <c r="A12" s="5"/>
    </row>
    <row r="13" spans="1:10" ht="20.100000000000001" customHeight="1" x14ac:dyDescent="0.25">
      <c r="A13" s="5"/>
      <c r="D13" s="46" t="s">
        <v>754</v>
      </c>
      <c r="E13" s="49"/>
      <c r="F13" s="8"/>
    </row>
    <row r="14" spans="1:10" ht="20.100000000000001" customHeight="1" x14ac:dyDescent="0.25">
      <c r="A14" s="5"/>
      <c r="D14" s="8"/>
      <c r="E14" s="8"/>
      <c r="F14" s="8"/>
    </row>
    <row r="15" spans="1:10" ht="20.100000000000001" customHeight="1" x14ac:dyDescent="0.25">
      <c r="A15" s="5"/>
      <c r="D15" s="1" t="s">
        <v>755</v>
      </c>
      <c r="E15" s="190">
        <v>30000</v>
      </c>
      <c r="F15" s="26" t="s">
        <v>756</v>
      </c>
    </row>
    <row r="16" spans="1:10" ht="20.100000000000001" customHeight="1" x14ac:dyDescent="0.25">
      <c r="A16" s="5"/>
      <c r="D16" s="1" t="s">
        <v>757</v>
      </c>
      <c r="E16" s="25" t="str">
        <f>IF(X_Cell_Site_State="Western Australia", X_Cell_Site_Region, X_Cell_Site_State)</f>
        <v>Western Australia - Outback (South)</v>
      </c>
      <c r="F16" s="8"/>
    </row>
    <row r="17" spans="1:11" ht="20.100000000000001" customHeight="1" x14ac:dyDescent="0.25">
      <c r="A17" s="5"/>
      <c r="D17" s="1" t="s">
        <v>758</v>
      </c>
      <c r="E17" s="23" t="s">
        <v>759</v>
      </c>
      <c r="F17" s="26" t="s">
        <v>107</v>
      </c>
    </row>
    <row r="18" spans="1:11" ht="20.100000000000001" customHeight="1" x14ac:dyDescent="0.25">
      <c r="A18" s="5"/>
    </row>
    <row r="19" spans="1:11" ht="20.100000000000001" customHeight="1" x14ac:dyDescent="0.25">
      <c r="A19" s="103"/>
    </row>
    <row r="20" spans="1:11" ht="20.100000000000001" customHeight="1" x14ac:dyDescent="0.25">
      <c r="A20" s="5"/>
      <c r="C20" s="120"/>
      <c r="D20" s="120"/>
      <c r="E20" s="120"/>
      <c r="F20" s="120"/>
      <c r="G20" s="120"/>
      <c r="H20" s="120"/>
      <c r="I20" s="120"/>
      <c r="J20" s="120"/>
    </row>
    <row r="21" spans="1:11" ht="20.100000000000001" customHeight="1" x14ac:dyDescent="0.25">
      <c r="A21" s="5"/>
      <c r="D21" s="2" t="s">
        <v>760</v>
      </c>
    </row>
    <row r="22" spans="1:11" ht="20.100000000000001" customHeight="1" x14ac:dyDescent="0.25">
      <c r="A22" s="5"/>
      <c r="E22" s="92" t="str">
        <f>IF(E16="ACT", "", "ALERT: Your farm is not in the ACT, so the JRPP is not applicable")</f>
        <v>ALERT: Your farm is not in the ACT, so the JRPP is not applicable</v>
      </c>
    </row>
    <row r="23" spans="1:11" ht="20.100000000000001" customHeight="1" x14ac:dyDescent="0.25">
      <c r="A23" s="5"/>
      <c r="D23" s="1" t="s">
        <v>761</v>
      </c>
      <c r="E23" s="190">
        <v>30000</v>
      </c>
      <c r="F23" s="26" t="s">
        <v>756</v>
      </c>
    </row>
    <row r="24" spans="1:11" ht="20.100000000000001" customHeight="1" x14ac:dyDescent="0.25">
      <c r="A24" s="5"/>
      <c r="D24" s="1" t="s">
        <v>762</v>
      </c>
      <c r="E24" s="28">
        <v>0.1</v>
      </c>
      <c r="F24" s="26" t="s">
        <v>169</v>
      </c>
    </row>
    <row r="25" spans="1:11" ht="20.100000000000001" customHeight="1" x14ac:dyDescent="0.25">
      <c r="A25" s="5"/>
      <c r="D25" s="1" t="s">
        <v>763</v>
      </c>
      <c r="E25" s="28">
        <v>0.1</v>
      </c>
      <c r="F25" s="26" t="s">
        <v>169</v>
      </c>
    </row>
    <row r="26" spans="1:11" ht="20.100000000000001" customHeight="1" x14ac:dyDescent="0.25">
      <c r="A26" s="5"/>
    </row>
    <row r="27" spans="1:11" ht="20.100000000000001" customHeight="1" x14ac:dyDescent="0.25">
      <c r="D27" s="1" t="s">
        <v>764</v>
      </c>
      <c r="E27" s="190">
        <v>10000</v>
      </c>
      <c r="F27" s="26" t="s">
        <v>756</v>
      </c>
    </row>
    <row r="28" spans="1:11" ht="20.100000000000001" customHeight="1" x14ac:dyDescent="0.25"/>
    <row r="29" spans="1:11" ht="20.100000000000001" customHeight="1" x14ac:dyDescent="0.25">
      <c r="A29" s="6"/>
      <c r="D29" s="1" t="s">
        <v>765</v>
      </c>
      <c r="E29" s="191" t="str">
        <f>TEXT(X_Cell_Site_StartDate, "dd mmm yyyy")</f>
        <v>01 Jan 2024</v>
      </c>
      <c r="K29" s="165"/>
    </row>
    <row r="30" spans="1:11" ht="20.100000000000001" customHeight="1" x14ac:dyDescent="0.25">
      <c r="A30" s="5"/>
      <c r="D30" s="1" t="s">
        <v>766</v>
      </c>
      <c r="E30" s="191" t="str">
        <f>TEXT(X_Cell_Site_EndDate, "dd mmm yyyy")</f>
        <v>31 Dec 2024</v>
      </c>
      <c r="K30" s="165"/>
    </row>
    <row r="31" spans="1:11" ht="20.100000000000001" customHeight="1" x14ac:dyDescent="0.25">
      <c r="A31" s="5"/>
      <c r="K31" s="165"/>
    </row>
    <row r="32" spans="1:11" ht="20.100000000000001" customHeight="1" x14ac:dyDescent="0.25">
      <c r="A32" s="5"/>
      <c r="D32" s="91" t="s">
        <v>767</v>
      </c>
      <c r="K32" s="165"/>
    </row>
    <row r="33" spans="1:12" ht="20.100000000000001" customHeight="1" x14ac:dyDescent="0.25">
      <c r="A33" s="5"/>
      <c r="K33" s="165"/>
    </row>
    <row r="34" spans="1:12" ht="20.100000000000001" customHeight="1" x14ac:dyDescent="0.25">
      <c r="A34" s="5"/>
      <c r="D34" s="46" t="s">
        <v>768</v>
      </c>
      <c r="E34" s="49"/>
      <c r="K34" s="165"/>
    </row>
    <row r="35" spans="1:12" ht="20.100000000000001" customHeight="1" x14ac:dyDescent="0.25">
      <c r="A35" s="5"/>
    </row>
    <row r="36" spans="1:12" ht="20.100000000000001" customHeight="1" x14ac:dyDescent="0.25">
      <c r="A36" s="5"/>
      <c r="D36" s="94" t="s">
        <v>209</v>
      </c>
      <c r="E36" s="94" t="s">
        <v>769</v>
      </c>
      <c r="F36" s="94" t="s">
        <v>770</v>
      </c>
      <c r="G36" s="94" t="s">
        <v>771</v>
      </c>
      <c r="H36" s="94" t="s">
        <v>772</v>
      </c>
      <c r="I36" s="94" t="s">
        <v>773</v>
      </c>
      <c r="L36" s="165"/>
    </row>
    <row r="37" spans="1:12" ht="20.100000000000001" customHeight="1" x14ac:dyDescent="0.25">
      <c r="A37" s="5"/>
      <c r="D37" s="30" t="s">
        <v>774</v>
      </c>
      <c r="E37" s="23" t="s">
        <v>775</v>
      </c>
      <c r="F37" s="192">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5"/>
    </row>
    <row r="38" spans="1:12" ht="20.100000000000001" customHeight="1" x14ac:dyDescent="0.25">
      <c r="A38" s="5"/>
      <c r="D38" s="30" t="s">
        <v>776</v>
      </c>
      <c r="E38" s="23" t="s">
        <v>777</v>
      </c>
      <c r="F38" s="192">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c r="D39" s="30" t="s">
        <v>778</v>
      </c>
      <c r="E39" s="23" t="s">
        <v>775</v>
      </c>
      <c r="F39" s="192">
        <v>45438</v>
      </c>
      <c r="G39" s="30">
        <v>5</v>
      </c>
      <c r="H39" s="25">
        <f>Table_Input_RECSurrendered[[#This Row],[Number of certificates]]</f>
        <v>5</v>
      </c>
      <c r="I39" s="25" t="str">
        <f>IF(DATEDIF(Table_Input_RECSurrendered[[#This Row],[Generation date]],DATEVALUE($E$30),"M")&gt;36,"Ineligible - older than 36 months","Elegible")</f>
        <v>Elegible</v>
      </c>
    </row>
    <row r="40" spans="1:12" s="165" customFormat="1" ht="20.100000000000001" customHeight="1" x14ac:dyDescent="0.25">
      <c r="A40" s="5"/>
      <c r="C40" s="1"/>
      <c r="D40" s="1"/>
      <c r="E40" s="1"/>
      <c r="F40" s="1"/>
      <c r="G40" s="1"/>
      <c r="H40" s="1"/>
      <c r="I40" s="1"/>
      <c r="J40" s="1"/>
    </row>
    <row r="41" spans="1:12" s="165" customFormat="1" ht="20.100000000000001" customHeight="1" x14ac:dyDescent="0.25">
      <c r="A41" s="5"/>
      <c r="C41" s="1"/>
      <c r="D41" s="1" t="s">
        <v>779</v>
      </c>
      <c r="E41" s="25">
        <f>SUMIF(Table_Input_RECSurrendered[Elegibility], "Elegible", Table_Input_RECSurrendered[MWh])</f>
        <v>10</v>
      </c>
      <c r="F41" s="26" t="s">
        <v>772</v>
      </c>
      <c r="G41" s="1"/>
      <c r="H41" s="1"/>
      <c r="I41" s="1"/>
      <c r="J41" s="1"/>
      <c r="L41" s="165" t="s">
        <v>780</v>
      </c>
    </row>
    <row r="42" spans="1:12" ht="20.100000000000001" customHeight="1" x14ac:dyDescent="0.25">
      <c r="A42" s="5"/>
      <c r="C42" s="153"/>
    </row>
    <row r="43" spans="1:12" ht="20.100000000000001" customHeight="1" x14ac:dyDescent="0.25">
      <c r="A43" s="5"/>
      <c r="C43" s="153"/>
      <c r="D43" s="91" t="s">
        <v>781</v>
      </c>
      <c r="J43" s="153"/>
    </row>
    <row r="44" spans="1:12" ht="20.100000000000001" customHeight="1" x14ac:dyDescent="0.25">
      <c r="A44" s="5"/>
    </row>
    <row r="45" spans="1:12" ht="20.100000000000001" customHeight="1" x14ac:dyDescent="0.25">
      <c r="A45" s="5"/>
      <c r="D45" s="94" t="s">
        <v>209</v>
      </c>
      <c r="E45" s="94" t="s">
        <v>719</v>
      </c>
      <c r="F45" s="94" t="s">
        <v>770</v>
      </c>
      <c r="G45" s="94" t="s">
        <v>771</v>
      </c>
      <c r="H45" s="94" t="s">
        <v>772</v>
      </c>
      <c r="I45" s="94" t="s">
        <v>773</v>
      </c>
    </row>
    <row r="46" spans="1:12" ht="20.100000000000001" customHeight="1" x14ac:dyDescent="0.25">
      <c r="A46" s="5"/>
      <c r="D46" s="30" t="s">
        <v>782</v>
      </c>
      <c r="E46" s="193" t="str">
        <f>"Issued for generated electricity"</f>
        <v>Issued for generated electricity</v>
      </c>
      <c r="F46" s="192">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c r="D47" s="30" t="s">
        <v>783</v>
      </c>
      <c r="E47" s="193" t="str">
        <f>"Issued for generated electricity"</f>
        <v>Issued for generated electricity</v>
      </c>
      <c r="F47" s="192">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c r="D48" s="194">
        <v>45597</v>
      </c>
      <c r="E48" s="193" t="str">
        <f>"Issued for generated electricity"</f>
        <v>Issued for generated electricity</v>
      </c>
      <c r="F48" s="192">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row r="50" spans="1:6" ht="20.100000000000001" customHeight="1" x14ac:dyDescent="0.25">
      <c r="D50" s="1" t="s">
        <v>784</v>
      </c>
      <c r="E50" s="25">
        <f>SUMIF(Table_Input_RECConsumedByEntity[Elegibility], "Elegible", Table_Input_RECConsumedByEntity[Number of certificates])</f>
        <v>11</v>
      </c>
      <c r="F50" s="26" t="s">
        <v>772</v>
      </c>
    </row>
    <row r="51" spans="1:6" ht="20.100000000000001" customHeight="1" x14ac:dyDescent="0.25">
      <c r="A51" s="100"/>
    </row>
    <row r="52" spans="1:6" ht="20.100000000000001" customHeight="1" x14ac:dyDescent="0.25">
      <c r="A52" s="5"/>
    </row>
    <row r="53" spans="1:6" ht="20.100000000000001" customHeight="1" x14ac:dyDescent="0.25">
      <c r="A53" s="5"/>
    </row>
    <row r="54" spans="1:6" ht="20.100000000000001" customHeight="1" x14ac:dyDescent="0.25">
      <c r="A54" s="5"/>
    </row>
    <row r="55" spans="1:6" ht="20.100000000000001" customHeight="1" x14ac:dyDescent="0.25">
      <c r="A55" s="5"/>
      <c r="D55" s="195"/>
    </row>
    <row r="56" spans="1:6" ht="20.100000000000001" customHeight="1" x14ac:dyDescent="0.25">
      <c r="A56" s="5"/>
      <c r="D56" s="195"/>
    </row>
    <row r="57" spans="1:6" ht="20.100000000000001" customHeight="1" x14ac:dyDescent="0.25">
      <c r="A57" s="5"/>
    </row>
    <row r="58" spans="1:6" ht="20.100000000000001" customHeight="1" x14ac:dyDescent="0.25">
      <c r="A58" s="5"/>
    </row>
    <row r="59" spans="1:6" ht="20.100000000000001" customHeight="1" x14ac:dyDescent="0.25">
      <c r="A59" s="5"/>
    </row>
    <row r="60" spans="1:6" ht="20.100000000000001" customHeight="1" x14ac:dyDescent="0.25">
      <c r="A60" s="5"/>
    </row>
    <row r="61" spans="1:6" ht="20.100000000000001" customHeight="1" x14ac:dyDescent="0.25">
      <c r="A61" s="5"/>
    </row>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DC7F8FC3-0C60-4AFA-B740-7611D3E6C4F4}">
      <formula1>"Location-based (simpler), Market-based (more complex)"</formula1>
    </dataValidation>
    <dataValidation type="list" allowBlank="1" showInputMessage="1" showErrorMessage="1" sqref="E37:E39" xr:uid="{7552AE13-7F6A-4E08-8AD7-D579F7BB1ED0}">
      <formula1>"Purchased certificate, Issued for generated electricity"</formula1>
    </dataValidation>
    <dataValidation type="list" allowBlank="1" showInputMessage="1" showErrorMessage="1" sqref="E17" xr:uid="{6A3E9A50-55A6-4E36-B8AB-B117D36FC3CF}">
      <formula1>INDIRECT("Table_SourceData_ElectricityEFs[State, Territory or grid description]")</formula1>
    </dataValidation>
    <dataValidation type="list" allowBlank="1" showInputMessage="1" showErrorMessage="1" sqref="E69" xr:uid="{F9D7DBEB-C36A-4FB9-B96A-F1F7A26CF55E}">
      <formula1>INDIRECT("Table_SourceData_Swine_IrrigationMethods[Irrigation method]")</formula1>
    </dataValidation>
    <dataValidation type="list" allowBlank="1" showInputMessage="1" showErrorMessage="1" sqref="E253 E258 E263 E297 E292 E287 E165 E153 E129 E141" xr:uid="{6365A405-CD28-486E-A574-210596161075}">
      <formula1>"Yes, No"</formula1>
    </dataValidation>
    <dataValidation type="list" allowBlank="1" showInputMessage="1" showErrorMessage="1" sqref="E229" xr:uid="{1E63CFB3-04B9-43EA-BBF6-FD3B14FE8B3D}">
      <formula1>INDIRECT("Table_SourceData_Dairy_ProductionSystemTemplates[Area]")</formula1>
    </dataValidation>
    <dataValidation type="list" allowBlank="1" showInputMessage="1" showErrorMessage="1" sqref="D281" xr:uid="{38E5415C-C4CB-4EEB-B056-96B226351586}">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39C72-C96E-4418-A62C-70A77E086B88}">
  <sheetPr>
    <tabColor theme="5" tint="-0.249977111117893"/>
  </sheetPr>
  <dimension ref="A1:S227"/>
  <sheetViews>
    <sheetView showGridLines="0" topLeftCell="A5" workbookViewId="0" zoomScale="100" zoomScaleNormal="100">
      <selection activeCell="A61" sqref="A61"/>
    </sheetView>
  </sheetViews>
  <sheetFormatPr defaultRowHeight="15.75" x14ac:dyDescent="0.25"/>
  <cols>
    <col min="1" max="1" width="30.7109375" style="102" customWidth="1"/>
    <col min="2" max="2" width="4.7109375" style="102" customWidth="1"/>
    <col min="3" max="3" width="4.7109375" style="250" customWidth="1"/>
    <col min="4" max="4" width="47.140625" style="250" customWidth="1"/>
    <col min="5" max="10" width="30.7109375" style="250" customWidth="1"/>
    <col min="11" max="18" width="35" style="1" customWidth="1"/>
    <col min="19" max="19" width="5.28515625" style="1" customWidth="1"/>
    <col min="20" max="16384" width="9.140625" style="102"/>
  </cols>
  <sheetData>
    <row r="1" spans="1:19" ht="30" customHeight="1" x14ac:dyDescent="0.35">
      <c r="A1" s="16" t="e" vm="1">
        <v>#VALUE!</v>
      </c>
      <c r="C1" s="38" t="s">
        <v>1030</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c r="C3" s="39"/>
      <c r="D3" s="39"/>
      <c r="E3" s="39"/>
      <c r="F3" s="39"/>
      <c r="G3" s="39"/>
      <c r="H3" s="39"/>
      <c r="I3" s="39"/>
      <c r="J3" s="39"/>
      <c r="K3" s="39"/>
      <c r="L3" s="39"/>
      <c r="M3" s="39"/>
      <c r="N3" s="39"/>
      <c r="O3" s="39"/>
      <c r="P3" s="39"/>
      <c r="Q3" s="39"/>
      <c r="R3" s="39"/>
      <c r="S3" s="39"/>
    </row>
    <row r="4" spans="1:19" ht="20.100000000000001" customHeight="1" x14ac:dyDescent="0.25">
      <c r="A4" s="5"/>
      <c r="C4" s="35"/>
      <c r="D4" s="35"/>
      <c r="E4" s="35"/>
      <c r="F4" s="35"/>
      <c r="G4" s="35"/>
      <c r="H4" s="35"/>
      <c r="I4" s="35"/>
      <c r="J4" s="35"/>
    </row>
    <row r="5" spans="1:19" ht="20.100000000000001" customHeight="1" x14ac:dyDescent="0.25">
      <c r="A5" s="5"/>
      <c r="C5" s="1"/>
      <c r="D5" s="2" t="s">
        <v>1031</v>
      </c>
      <c r="E5" s="35"/>
      <c r="F5" s="35"/>
      <c r="G5" s="35"/>
      <c r="H5" s="35"/>
      <c r="I5" s="35"/>
      <c r="J5" s="35"/>
    </row>
    <row r="6" spans="1:19" ht="20.100000000000001" customHeight="1" x14ac:dyDescent="0.25">
      <c r="A6"/>
      <c r="C6" s="1"/>
    </row>
    <row r="7" spans="1:19" ht="20.100000000000001" customHeight="1" x14ac:dyDescent="0.25">
      <c r="A7"/>
      <c r="C7" s="1"/>
      <c r="D7" s="94" t="s">
        <v>1032</v>
      </c>
      <c r="E7" s="94" t="s">
        <v>1033</v>
      </c>
      <c r="F7" s="94" t="s">
        <v>1034</v>
      </c>
    </row>
    <row r="8" spans="1:19" ht="20.100000000000001" customHeight="1" x14ac:dyDescent="0.25">
      <c r="A8" s="7"/>
      <c r="C8" s="1"/>
      <c r="D8" s="44" t="s">
        <v>1035</v>
      </c>
      <c r="E8" s="23" t="s">
        <v>1036</v>
      </c>
      <c r="F8" s="86">
        <v>100</v>
      </c>
    </row>
    <row r="9" spans="1:19" ht="20.100000000000001" customHeight="1" x14ac:dyDescent="0.25">
      <c r="A9" s="5"/>
      <c r="C9" s="1"/>
      <c r="D9" s="44" t="s">
        <v>1037</v>
      </c>
      <c r="E9" s="99" t="s">
        <v>1038</v>
      </c>
      <c r="F9" s="254">
        <v>100</v>
      </c>
    </row>
    <row r="10" spans="1:19" ht="20.100000000000001" customHeight="1" x14ac:dyDescent="0.25">
      <c r="A10" s="5"/>
      <c r="D10" s="44" t="s">
        <v>1039</v>
      </c>
      <c r="E10" s="99" t="s">
        <v>1040</v>
      </c>
      <c r="F10" s="254">
        <v>100</v>
      </c>
    </row>
    <row r="11" spans="1:19" ht="20.100000000000001" customHeight="1" x14ac:dyDescent="0.25">
      <c r="A11" s="5"/>
      <c r="D11" s="44" t="s">
        <v>1039</v>
      </c>
      <c r="E11" s="99" t="s">
        <v>1040</v>
      </c>
      <c r="F11" s="254">
        <v>100</v>
      </c>
    </row>
    <row r="12" spans="1:19" ht="20.100000000000001" customHeight="1" x14ac:dyDescent="0.25">
      <c r="A12" s="5"/>
      <c r="C12" s="1"/>
      <c r="D12" s="44" t="s">
        <v>1035</v>
      </c>
      <c r="E12" s="99" t="s">
        <v>1036</v>
      </c>
      <c r="F12" s="254">
        <v>100</v>
      </c>
    </row>
    <row r="13" spans="1:19" ht="20.100000000000001" customHeight="1" x14ac:dyDescent="0.25">
      <c r="A13" s="5"/>
      <c r="C13" s="1"/>
      <c r="D13" s="44" t="s">
        <v>1035</v>
      </c>
      <c r="E13" s="99" t="s">
        <v>1036</v>
      </c>
      <c r="F13" s="254">
        <v>100</v>
      </c>
    </row>
    <row r="14" spans="1:19" ht="20.100000000000001" customHeight="1" x14ac:dyDescent="0.25">
      <c r="A14" s="5"/>
      <c r="D14" s="44"/>
      <c r="E14" s="23"/>
      <c r="F14" s="86"/>
    </row>
    <row r="15" spans="1:19" ht="20.100000000000001" customHeight="1" x14ac:dyDescent="0.25">
      <c r="A15" s="5"/>
      <c r="D15" s="44"/>
      <c r="E15" s="23"/>
      <c r="F15" s="86"/>
    </row>
    <row r="16" spans="1:19" ht="20.100000000000001" customHeight="1" x14ac:dyDescent="0.25">
      <c r="A16" s="5"/>
      <c r="D16" s="44"/>
      <c r="E16" s="23"/>
      <c r="F16" s="86"/>
    </row>
    <row r="17" spans="1:10" ht="20.100000000000001" customHeight="1" x14ac:dyDescent="0.25">
      <c r="A17" s="5"/>
      <c r="C17" s="1"/>
      <c r="D17" s="44"/>
      <c r="E17" s="23"/>
      <c r="F17" s="86"/>
    </row>
    <row r="18" spans="1:10" ht="20.100000000000001" customHeight="1" x14ac:dyDescent="0.25">
      <c r="A18" s="5"/>
      <c r="C18" s="1"/>
    </row>
    <row r="19" spans="1:10" ht="20.100000000000001" customHeight="1" x14ac:dyDescent="0.25">
      <c r="A19" s="5"/>
    </row>
    <row r="20" spans="1:10" ht="20.100000000000001" customHeight="1" x14ac:dyDescent="0.25">
      <c r="A20" s="103"/>
      <c r="D20" s="2" t="s">
        <v>1041</v>
      </c>
    </row>
    <row r="21" spans="1:10" ht="20.100000000000001" customHeight="1" x14ac:dyDescent="0.25">
      <c r="A21" s="5"/>
      <c r="D21" s="36"/>
      <c r="I21" s="35"/>
      <c r="J21" s="35"/>
    </row>
    <row r="22" spans="1:10" ht="20.100000000000001" customHeight="1" x14ac:dyDescent="0.25">
      <c r="A22" s="5"/>
      <c r="D22" s="255" t="s">
        <v>1042</v>
      </c>
      <c r="E22" s="255" t="s">
        <v>1043</v>
      </c>
      <c r="F22" s="255" t="s">
        <v>1044</v>
      </c>
      <c r="G22" s="255" t="s">
        <v>806</v>
      </c>
    </row>
    <row r="23" spans="1:10" ht="20.100000000000001" customHeight="1" x14ac:dyDescent="0.25">
      <c r="A23" s="5"/>
      <c r="D23" s="44" t="s">
        <v>1045</v>
      </c>
      <c r="E23" s="44" t="s">
        <v>1046</v>
      </c>
      <c r="F23" s="86">
        <v>10000</v>
      </c>
      <c r="G23" s="23" t="s">
        <v>1047</v>
      </c>
    </row>
    <row r="24" spans="1:10" ht="20.100000000000001" customHeight="1" x14ac:dyDescent="0.25">
      <c r="A24" s="5"/>
      <c r="D24" s="44" t="s">
        <v>1048</v>
      </c>
      <c r="E24" s="44" t="s">
        <v>1049</v>
      </c>
      <c r="F24" s="86">
        <v>1000</v>
      </c>
      <c r="G24" s="23" t="s">
        <v>1050</v>
      </c>
    </row>
    <row r="25" spans="1:10" ht="20.100000000000001" customHeight="1" x14ac:dyDescent="0.25">
      <c r="A25" s="5"/>
      <c r="C25" s="1"/>
      <c r="D25" s="44"/>
      <c r="E25" s="44"/>
      <c r="F25" s="86"/>
      <c r="G25" s="23"/>
    </row>
    <row r="26" spans="1:10" ht="20.100000000000001" customHeight="1" x14ac:dyDescent="0.25">
      <c r="A26" s="5"/>
      <c r="C26" s="1"/>
      <c r="D26" s="44"/>
      <c r="E26" s="44"/>
      <c r="F26" s="86"/>
      <c r="G26" s="23"/>
    </row>
    <row r="27" spans="1:10" ht="20.100000000000001" customHeight="1" x14ac:dyDescent="0.25">
      <c r="A27"/>
      <c r="C27" s="1"/>
      <c r="D27" s="44"/>
      <c r="E27" s="44"/>
      <c r="F27" s="86"/>
      <c r="G27" s="23"/>
    </row>
    <row r="28" spans="1:10" ht="20.100000000000001" customHeight="1" x14ac:dyDescent="0.25">
      <c r="A28"/>
      <c r="D28" s="44"/>
      <c r="E28" s="44"/>
      <c r="F28" s="86"/>
      <c r="G28" s="23"/>
    </row>
    <row r="29" spans="1:10" ht="20.100000000000001" customHeight="1" x14ac:dyDescent="0.25">
      <c r="A29" s="6"/>
      <c r="D29" s="44"/>
      <c r="E29" s="44"/>
      <c r="F29" s="86"/>
      <c r="G29" s="23"/>
    </row>
    <row r="30" spans="1:10" ht="20.100000000000001" customHeight="1" x14ac:dyDescent="0.25">
      <c r="A30" s="5"/>
      <c r="D30" s="44"/>
      <c r="E30" s="44"/>
      <c r="F30" s="86"/>
      <c r="G30" s="23"/>
    </row>
    <row r="31" spans="1:10" ht="20.100000000000001" customHeight="1" x14ac:dyDescent="0.25">
      <c r="A31" s="5"/>
      <c r="D31" s="44"/>
      <c r="E31" s="44"/>
      <c r="F31" s="86"/>
      <c r="G31" s="23"/>
    </row>
    <row r="32" spans="1:10" ht="20.100000000000001" customHeight="1" x14ac:dyDescent="0.25">
      <c r="A32" s="5"/>
      <c r="D32" s="44"/>
      <c r="E32" s="44"/>
      <c r="F32" s="86"/>
      <c r="G32" s="23"/>
    </row>
    <row r="33" spans="1:6" ht="20.100000000000001" customHeight="1" x14ac:dyDescent="0.25">
      <c r="A33" s="5"/>
    </row>
    <row r="34" spans="1:6" ht="20.100000000000001" customHeight="1" x14ac:dyDescent="0.25">
      <c r="A34" s="5"/>
    </row>
    <row r="35" spans="1:6" ht="20.100000000000001" customHeight="1" x14ac:dyDescent="0.25">
      <c r="A35" s="5"/>
      <c r="D35" s="2" t="s">
        <v>1051</v>
      </c>
    </row>
    <row r="36" spans="1:6" ht="20.100000000000001" customHeight="1" x14ac:dyDescent="0.25">
      <c r="A36" s="5"/>
      <c r="D36" s="36"/>
    </row>
    <row r="37" spans="1:6" ht="20.100000000000001" customHeight="1" x14ac:dyDescent="0.25">
      <c r="A37" s="5"/>
      <c r="D37" s="94" t="s">
        <v>1052</v>
      </c>
      <c r="E37" s="94" t="s">
        <v>898</v>
      </c>
      <c r="F37" s="94" t="s">
        <v>806</v>
      </c>
    </row>
    <row r="38" spans="1:6" ht="20.100000000000001" customHeight="1" x14ac:dyDescent="0.25">
      <c r="A38" s="5"/>
      <c r="D38" s="44" t="s">
        <v>1053</v>
      </c>
      <c r="E38" s="86">
        <v>1000</v>
      </c>
      <c r="F38" s="44" t="s">
        <v>644</v>
      </c>
    </row>
    <row r="39" spans="1:6" ht="20.100000000000001" customHeight="1" x14ac:dyDescent="0.25">
      <c r="A39" s="5"/>
      <c r="D39" s="44"/>
      <c r="E39" s="86"/>
      <c r="F39" s="44"/>
    </row>
    <row r="40" spans="1:6" ht="20.100000000000001" customHeight="1" x14ac:dyDescent="0.25">
      <c r="A40" s="5"/>
      <c r="D40" s="44"/>
      <c r="E40" s="86"/>
      <c r="F40" s="44"/>
    </row>
    <row r="41" spans="1:6" ht="20.100000000000001" customHeight="1" x14ac:dyDescent="0.25">
      <c r="A41" s="5"/>
      <c r="D41" s="44"/>
      <c r="E41" s="86"/>
      <c r="F41" s="44"/>
    </row>
    <row r="42" spans="1:6" ht="20.100000000000001" customHeight="1" x14ac:dyDescent="0.25">
      <c r="A42" s="5"/>
      <c r="D42" s="44"/>
      <c r="E42" s="86"/>
      <c r="F42" s="44"/>
    </row>
    <row r="43" spans="1:6" ht="20.100000000000001" customHeight="1" x14ac:dyDescent="0.25">
      <c r="A43" s="5"/>
      <c r="D43" s="44"/>
      <c r="E43" s="86"/>
      <c r="F43" s="44"/>
    </row>
    <row r="44" spans="1:6" ht="20.100000000000001" customHeight="1" x14ac:dyDescent="0.25">
      <c r="A44" s="5"/>
      <c r="C44" s="1"/>
      <c r="D44" s="44"/>
      <c r="E44" s="86"/>
      <c r="F44" s="44"/>
    </row>
    <row r="45" spans="1:6" ht="20.100000000000001" customHeight="1" x14ac:dyDescent="0.25">
      <c r="A45" s="5"/>
      <c r="C45" s="1"/>
      <c r="D45" s="44"/>
      <c r="E45" s="86"/>
      <c r="F45" s="44"/>
    </row>
    <row r="46" spans="1:6" ht="20.100000000000001" customHeight="1" x14ac:dyDescent="0.25">
      <c r="A46" s="5"/>
      <c r="C46" s="1"/>
      <c r="D46" s="44"/>
      <c r="E46" s="86"/>
      <c r="F46" s="44"/>
    </row>
    <row r="47" spans="1:6" ht="20.100000000000001" customHeight="1" x14ac:dyDescent="0.25">
      <c r="A47" s="5"/>
      <c r="C47" s="1"/>
      <c r="D47" s="44"/>
      <c r="E47" s="86"/>
      <c r="F47" s="44"/>
    </row>
    <row r="48" spans="1:6" ht="20.100000000000001" customHeight="1" x14ac:dyDescent="0.25">
      <c r="A48" s="5"/>
      <c r="C48" s="1"/>
    </row>
    <row r="49" spans="1:3" ht="20.100000000000001" customHeight="1" x14ac:dyDescent="0.25">
      <c r="A49"/>
      <c r="C49" s="1"/>
    </row>
    <row r="50" spans="1:3" ht="20.100000000000001" customHeight="1" x14ac:dyDescent="0.25">
      <c r="A50"/>
    </row>
    <row r="51" spans="1:3" ht="20.100000000000001" customHeight="1" x14ac:dyDescent="0.25">
      <c r="A51" s="100"/>
    </row>
    <row r="52" spans="1:3" ht="20.100000000000001" customHeight="1" x14ac:dyDescent="0.25">
      <c r="A52" s="5"/>
    </row>
    <row r="53" spans="1:3" ht="20.100000000000001" customHeight="1" x14ac:dyDescent="0.25">
      <c r="A53" s="5"/>
    </row>
    <row r="54" spans="1:3" ht="20.100000000000001" customHeight="1" x14ac:dyDescent="0.25">
      <c r="A54" s="5"/>
    </row>
    <row r="55" spans="1:3" ht="20.100000000000001" customHeight="1" x14ac:dyDescent="0.25">
      <c r="A55" s="5"/>
    </row>
    <row r="56" spans="1:3" ht="20.100000000000001" customHeight="1" x14ac:dyDescent="0.25">
      <c r="A56" s="5"/>
    </row>
    <row r="57" spans="1:3" ht="20.100000000000001" customHeight="1" x14ac:dyDescent="0.25">
      <c r="A57" s="5"/>
    </row>
    <row r="58" spans="1:3" ht="20.100000000000001" customHeight="1" x14ac:dyDescent="0.25">
      <c r="A58" s="5"/>
    </row>
    <row r="59" spans="1:3" ht="20.100000000000001" customHeight="1" x14ac:dyDescent="0.25">
      <c r="A59" s="5"/>
    </row>
    <row r="60" spans="1:3" ht="20.100000000000001" customHeight="1" x14ac:dyDescent="0.25">
      <c r="A60" s="5"/>
    </row>
    <row r="61" spans="1:3" ht="20.100000000000001" customHeight="1" x14ac:dyDescent="0.25">
      <c r="A61" s="5"/>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50"/>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5"/>
    </row>
    <row r="93" spans="1:10" ht="20.100000000000001" customHeight="1" x14ac:dyDescent="0.25">
      <c r="A93"/>
      <c r="J93" s="35"/>
    </row>
    <row r="94" spans="1:10" ht="20.100000000000001" customHeight="1" x14ac:dyDescent="0.25">
      <c r="A94"/>
      <c r="J94" s="35"/>
    </row>
    <row r="95" spans="1:10" ht="20.100000000000001" customHeight="1" x14ac:dyDescent="0.25">
      <c r="A95"/>
      <c r="J95" s="35"/>
    </row>
    <row r="96" spans="1:10" ht="20.100000000000001" customHeight="1" x14ac:dyDescent="0.25">
      <c r="A96"/>
      <c r="J96" s="3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5"/>
      <c r="M113" s="35"/>
      <c r="N113" s="35"/>
      <c r="O113" s="35"/>
      <c r="P113" s="35"/>
    </row>
    <row r="114" spans="1:16" ht="20.100000000000001" customHeight="1" x14ac:dyDescent="0.25">
      <c r="A114"/>
      <c r="J114" s="1"/>
      <c r="L114" s="35"/>
      <c r="M114" s="35"/>
      <c r="N114" s="35"/>
      <c r="O114" s="35"/>
      <c r="P114" s="35"/>
    </row>
    <row r="115" spans="1:16" ht="20.100000000000001" customHeight="1" x14ac:dyDescent="0.25">
      <c r="A115"/>
      <c r="J115" s="1"/>
      <c r="L115" s="35"/>
      <c r="M115" s="35"/>
      <c r="N115" s="35"/>
      <c r="O115" s="35"/>
      <c r="P115" s="35"/>
    </row>
    <row r="116" spans="1:16" ht="20.100000000000001" customHeight="1" x14ac:dyDescent="0.25">
      <c r="A116"/>
      <c r="I116" s="35"/>
      <c r="J116" s="1"/>
      <c r="N116" s="35"/>
      <c r="O116" s="35"/>
      <c r="P116" s="35"/>
    </row>
    <row r="117" spans="1:16" ht="20.100000000000001" customHeight="1" x14ac:dyDescent="0.25">
      <c r="A117"/>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6"/>
    </row>
    <row r="120" spans="1:16" ht="20.100000000000001" customHeight="1" x14ac:dyDescent="0.25">
      <c r="A120"/>
      <c r="J120" s="35"/>
      <c r="P120" s="256"/>
    </row>
    <row r="121" spans="1:16" ht="20.100000000000001" customHeight="1" x14ac:dyDescent="0.25">
      <c r="A121"/>
      <c r="J121" s="2"/>
      <c r="P121" s="256"/>
    </row>
    <row r="122" spans="1:16" ht="20.100000000000001" customHeight="1" x14ac:dyDescent="0.25">
      <c r="A122"/>
      <c r="G122" s="35"/>
      <c r="H122" s="1"/>
      <c r="J122" s="1"/>
      <c r="P122" s="256"/>
    </row>
    <row r="123" spans="1:16" ht="20.100000000000001" customHeight="1" x14ac:dyDescent="0.25">
      <c r="A123"/>
      <c r="G123" s="35"/>
      <c r="H123" s="1"/>
      <c r="J123" s="1"/>
      <c r="P123" s="256"/>
    </row>
    <row r="124" spans="1:16" ht="20.100000000000001" customHeight="1" x14ac:dyDescent="0.25">
      <c r="A124"/>
      <c r="G124" s="35"/>
      <c r="H124" s="35"/>
      <c r="J124" s="1"/>
      <c r="N124" s="35"/>
      <c r="O124" s="35"/>
      <c r="P124" s="35"/>
    </row>
    <row r="125" spans="1:16" ht="20.100000000000001" customHeight="1" x14ac:dyDescent="0.25">
      <c r="A125"/>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I127" s="35"/>
      <c r="J127" s="35"/>
    </row>
    <row r="128" spans="1:16" ht="20.100000000000001" customHeight="1" x14ac:dyDescent="0.25">
      <c r="A128"/>
      <c r="I128" s="35"/>
      <c r="J128" s="35"/>
    </row>
    <row r="129" spans="1:13" ht="20.100000000000001" customHeight="1" x14ac:dyDescent="0.25">
      <c r="A129"/>
      <c r="I129" s="35"/>
      <c r="L129" s="35"/>
      <c r="M129" s="35"/>
    </row>
    <row r="130" spans="1:13" ht="20.100000000000001" customHeight="1" x14ac:dyDescent="0.25">
      <c r="A130"/>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G133" s="3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5"/>
    </row>
    <row r="137" spans="1:13" ht="20.100000000000001" customHeight="1" x14ac:dyDescent="0.25">
      <c r="A137"/>
      <c r="I137" s="35"/>
      <c r="L137" s="35"/>
      <c r="M137" s="35"/>
    </row>
    <row r="138" spans="1:13" ht="20.100000000000001" customHeight="1" x14ac:dyDescent="0.25">
      <c r="A138"/>
      <c r="L138" s="35"/>
      <c r="M138" s="3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102"/>
    </row>
    <row r="166" spans="11:19" ht="20.100000000000001" customHeight="1" x14ac:dyDescent="0.25">
      <c r="S166" s="102"/>
    </row>
    <row r="167" spans="11:19" ht="20.100000000000001" customHeight="1" x14ac:dyDescent="0.25">
      <c r="S167" s="102"/>
    </row>
    <row r="168" spans="11:19" ht="20.100000000000001" customHeight="1" x14ac:dyDescent="0.25">
      <c r="S168" s="102"/>
    </row>
    <row r="169" spans="11:19" ht="20.100000000000001" customHeight="1" x14ac:dyDescent="0.25">
      <c r="S169" s="102"/>
    </row>
    <row r="170" spans="11:19" ht="20.100000000000001" customHeight="1" x14ac:dyDescent="0.25">
      <c r="S170" s="102"/>
    </row>
    <row r="171" spans="11:19" ht="20.100000000000001" customHeight="1" x14ac:dyDescent="0.25">
      <c r="S171" s="102"/>
    </row>
    <row r="172" spans="11:19" ht="20.100000000000001" customHeight="1" x14ac:dyDescent="0.25">
      <c r="S172" s="102"/>
    </row>
    <row r="173" spans="11:19" ht="20.100000000000001" customHeight="1" x14ac:dyDescent="0.25">
      <c r="S173" s="102"/>
    </row>
    <row r="174" spans="11:19" ht="20.100000000000001" customHeight="1" x14ac:dyDescent="0.25">
      <c r="S174" s="102"/>
    </row>
    <row r="175" spans="11:19" ht="20.100000000000001" customHeight="1" x14ac:dyDescent="0.25">
      <c r="S175" s="102"/>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102"/>
    </row>
    <row r="181" spans="11:19" ht="20.100000000000001" customHeight="1" x14ac:dyDescent="0.25">
      <c r="S181" s="102"/>
    </row>
    <row r="182" spans="11:19" ht="20.100000000000001" customHeight="1" x14ac:dyDescent="0.25">
      <c r="S182" s="102"/>
    </row>
    <row r="183" spans="11:19" ht="20.100000000000001" customHeight="1" x14ac:dyDescent="0.25">
      <c r="S183" s="102"/>
    </row>
    <row r="184" spans="11:19" ht="20.100000000000001" customHeight="1" x14ac:dyDescent="0.25">
      <c r="S184" s="102"/>
    </row>
    <row r="185" spans="11:19" ht="20.100000000000001" customHeight="1" x14ac:dyDescent="0.25">
      <c r="S185" s="102"/>
    </row>
    <row r="186" spans="11:19" ht="20.100000000000001" customHeight="1" x14ac:dyDescent="0.25">
      <c r="S186" s="102"/>
    </row>
    <row r="187" spans="11:19" ht="20.100000000000001" customHeight="1" x14ac:dyDescent="0.25">
      <c r="S187" s="102"/>
    </row>
    <row r="188" spans="11:19" ht="20.100000000000001" customHeight="1" x14ac:dyDescent="0.25">
      <c r="S188" s="102"/>
    </row>
    <row r="189" spans="11:19" ht="20.100000000000001" customHeight="1" x14ac:dyDescent="0.25">
      <c r="S189" s="102"/>
    </row>
    <row r="190" spans="11:19" ht="20.100000000000001" customHeight="1" x14ac:dyDescent="0.25">
      <c r="S190" s="102"/>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B8CBC546-48A0-495F-A24A-AA3BA6CD2AA4}">
      <formula1>INDIRECT("Table_Scope3_AquacultureFeedBait[Feed / Bait ingredient]")</formula1>
    </dataValidation>
    <dataValidation type="list" allowBlank="1" showInputMessage="1" showErrorMessage="1" sqref="G23:G32" xr:uid="{F54BAAE6-BA43-4067-A1D0-B8A22555C65E}">
      <formula1>"Hour, Hectare"</formula1>
    </dataValidation>
    <dataValidation type="list" allowBlank="1" showInputMessage="1" showErrorMessage="1" sqref="E8:E17" xr:uid="{9878D137-E715-4C75-805F-50C7FE233D56}">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B5516-EDF6-47AB-99F1-ADC613639F5F}">
  <sheetPr>
    <tabColor theme="5" tint="-0.249977111117893"/>
  </sheetPr>
  <dimension ref="A1:S160"/>
  <sheetViews>
    <sheetView showGridLines="0"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18" width="35" style="1" customWidth="1"/>
    <col min="19" max="19" width="5.28515625" style="1" customWidth="1"/>
    <col min="20" max="16384" width="9.140625" style="249"/>
  </cols>
  <sheetData>
    <row r="1" spans="1:19" s="16" customFormat="1" ht="25.5" x14ac:dyDescent="0.35">
      <c r="C1" s="16" t="s">
        <v>1054</v>
      </c>
    </row>
    <row r="2" spans="1:19" s="3" customFormat="1" x14ac:dyDescent="0.25">
      <c r="A2"/>
    </row>
    <row r="3" spans="1:19" ht="20.25" x14ac:dyDescent="0.25">
      <c r="A3" s="5"/>
      <c r="C3" s="39"/>
      <c r="D3" s="39"/>
      <c r="E3" s="39"/>
      <c r="F3" s="39"/>
      <c r="G3" s="39"/>
      <c r="H3" s="39"/>
      <c r="I3" s="39"/>
      <c r="J3" s="39"/>
      <c r="K3" s="39"/>
      <c r="L3" s="39"/>
      <c r="M3" s="39"/>
      <c r="N3" s="39"/>
      <c r="O3" s="39"/>
      <c r="P3" s="39"/>
      <c r="Q3" s="39"/>
      <c r="R3" s="39"/>
      <c r="S3" s="39"/>
    </row>
    <row r="4" spans="1:19" x14ac:dyDescent="0.25">
      <c r="A4" s="5"/>
    </row>
    <row r="5" spans="1:19" ht="18.75" x14ac:dyDescent="0.25">
      <c r="A5" s="5"/>
      <c r="D5" s="253" t="s">
        <v>1055</v>
      </c>
      <c r="E5" s="256"/>
      <c r="F5" s="256"/>
      <c r="G5" s="256"/>
      <c r="H5" s="256"/>
      <c r="I5" s="256"/>
      <c r="J5" s="256"/>
    </row>
    <row r="6" spans="1:19" x14ac:dyDescent="0.25">
      <c r="A6"/>
      <c r="D6" s="257" t="s">
        <v>1056</v>
      </c>
      <c r="E6" s="257"/>
      <c r="F6" s="135"/>
      <c r="G6" s="55"/>
      <c r="H6" s="35"/>
      <c r="I6" s="35"/>
      <c r="J6" s="35"/>
    </row>
    <row r="7" spans="1:19" x14ac:dyDescent="0.25">
      <c r="A7"/>
      <c r="D7" s="56" t="s">
        <v>1057</v>
      </c>
      <c r="E7" s="57"/>
      <c r="F7" s="57"/>
      <c r="G7" s="58"/>
      <c r="H7" s="35"/>
      <c r="I7" s="35"/>
      <c r="J7" s="35"/>
    </row>
    <row r="8" spans="1:19" x14ac:dyDescent="0.25">
      <c r="A8" s="7"/>
      <c r="D8" s="256"/>
      <c r="E8" s="256"/>
      <c r="F8" s="256"/>
      <c r="G8" s="256"/>
      <c r="H8" s="256"/>
      <c r="I8" s="256"/>
      <c r="J8" s="256"/>
      <c r="K8" s="92"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92"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92"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c r="D9" s="258" t="s">
        <v>1032</v>
      </c>
      <c r="E9" s="258" t="s">
        <v>1058</v>
      </c>
      <c r="F9" s="258" t="s">
        <v>1059</v>
      </c>
      <c r="G9" s="258" t="s">
        <v>573</v>
      </c>
      <c r="H9" s="258" t="s">
        <v>1060</v>
      </c>
      <c r="I9" s="258" t="s">
        <v>1061</v>
      </c>
      <c r="J9" s="258" t="s">
        <v>1062</v>
      </c>
      <c r="K9" s="251" t="s">
        <v>1063</v>
      </c>
      <c r="L9" s="251" t="s">
        <v>1064</v>
      </c>
      <c r="M9" s="251" t="s">
        <v>1065</v>
      </c>
      <c r="N9" s="251" t="s">
        <v>1066</v>
      </c>
      <c r="O9" s="251" t="s">
        <v>1067</v>
      </c>
      <c r="P9" s="251" t="s">
        <v>1068</v>
      </c>
      <c r="Q9" s="251" t="s">
        <v>1069</v>
      </c>
      <c r="R9" s="251" t="s">
        <v>1070</v>
      </c>
    </row>
    <row r="10" spans="1:19" x14ac:dyDescent="0.25">
      <c r="A10" s="5"/>
      <c r="D10" s="95" t="s">
        <v>1071</v>
      </c>
      <c r="E10" s="259">
        <v>10</v>
      </c>
      <c r="F10" s="23" t="s">
        <v>642</v>
      </c>
      <c r="G10" s="86">
        <v>100</v>
      </c>
      <c r="H10" s="25">
        <f>Table_Input_Pesticides[[#This Row],[Amount applied per ha]]*Table_Input_Pesticides[[#This Row],[Application area (ha)]]</f>
        <v>1000</v>
      </c>
      <c r="I10" s="23" t="s">
        <v>1072</v>
      </c>
      <c r="J10" s="23" t="s">
        <v>1073</v>
      </c>
      <c r="K10" s="86">
        <v>100</v>
      </c>
      <c r="L10" s="25">
        <f>Table_Input_Pesticides[[#This Row],[Total applied]]*Table_Input_Pesticides[[#This Row],[Active ingredient 1 amount]]*IF(Table_Input_Pesticides[[#This Row],[Constituent unit (select)]]="fraction of product", 1, 10^-3)</f>
        <v>100</v>
      </c>
      <c r="M10" s="23" t="s">
        <v>1073</v>
      </c>
      <c r="N10" s="86">
        <v>100</v>
      </c>
      <c r="O10" s="25">
        <f>Table_Input_Pesticides[[#This Row],[Total applied]]*Table_Input_Pesticides[[#This Row],[Active ingredient 2 amount]]*IF(Table_Input_Pesticides[[#This Row],[Constituent unit (select)]]="fraction of product", 1, 10^-3)</f>
        <v>100</v>
      </c>
      <c r="P10" s="23" t="s">
        <v>1074</v>
      </c>
      <c r="Q10" s="86">
        <v>100</v>
      </c>
      <c r="R10" s="25">
        <f>Table_Input_Pesticides[[#This Row],[Total applied]]*Table_Input_Pesticides[[#This Row],[Active ingredient 3 amount]]*IF(Table_Input_Pesticides[[#This Row],[Constituent unit (select)]]="fraction of product", 1, 10^-3)</f>
        <v>100</v>
      </c>
    </row>
    <row r="11" spans="1:19" x14ac:dyDescent="0.25">
      <c r="A11" s="5"/>
      <c r="D11" s="95" t="s">
        <v>1075</v>
      </c>
      <c r="E11" s="259">
        <v>10</v>
      </c>
      <c r="F11" s="23" t="s">
        <v>1076</v>
      </c>
      <c r="G11" s="86">
        <v>100</v>
      </c>
      <c r="H11" s="25">
        <f>Table_Input_Pesticides[[#This Row],[Amount applied per ha]]*Table_Input_Pesticides[[#This Row],[Application area (ha)]]</f>
        <v>1000</v>
      </c>
      <c r="I11" s="23" t="s">
        <v>1072</v>
      </c>
      <c r="J11" s="23" t="s">
        <v>1073</v>
      </c>
      <c r="K11" s="86">
        <v>100</v>
      </c>
      <c r="L11" s="25">
        <f>Table_Input_Pesticides[[#This Row],[Total applied]]*Table_Input_Pesticides[[#This Row],[Active ingredient 1 amount]]*IF(Table_Input_Pesticides[[#This Row],[Constituent unit (select)]]="fraction of product", 1, 10^-3)</f>
        <v>100</v>
      </c>
      <c r="M11" s="23" t="s">
        <v>1077</v>
      </c>
      <c r="N11" s="86">
        <v>100</v>
      </c>
      <c r="O11" s="25">
        <f>Table_Input_Pesticides[[#This Row],[Total applied]]*Table_Input_Pesticides[[#This Row],[Active ingredient 2 amount]]*IF(Table_Input_Pesticides[[#This Row],[Constituent unit (select)]]="fraction of product", 1, 10^-3)</f>
        <v>100</v>
      </c>
      <c r="P11" s="23" t="s">
        <v>1078</v>
      </c>
      <c r="Q11" s="86">
        <v>100</v>
      </c>
      <c r="R11" s="25">
        <f>Table_Input_Pesticides[[#This Row],[Total applied]]*Table_Input_Pesticides[[#This Row],[Active ingredient 3 amount]]*IF(Table_Input_Pesticides[[#This Row],[Constituent unit (select)]]="fraction of product", 1, 10^-3)</f>
        <v>100</v>
      </c>
    </row>
    <row r="12" spans="1:19" x14ac:dyDescent="0.25">
      <c r="A12" s="5"/>
      <c r="D12" s="95" t="s">
        <v>1079</v>
      </c>
      <c r="E12" s="259">
        <v>10</v>
      </c>
      <c r="F12" s="23" t="s">
        <v>642</v>
      </c>
      <c r="G12" s="86">
        <v>100</v>
      </c>
      <c r="H12" s="25">
        <f>Table_Input_Pesticides[[#This Row],[Amount applied per ha]]*Table_Input_Pesticides[[#This Row],[Application area (ha)]]</f>
        <v>1000</v>
      </c>
      <c r="I12" s="23" t="s">
        <v>1072</v>
      </c>
      <c r="J12" s="23" t="s">
        <v>1073</v>
      </c>
      <c r="K12" s="86">
        <v>100</v>
      </c>
      <c r="L12" s="25">
        <f>Table_Input_Pesticides[[#This Row],[Total applied]]*Table_Input_Pesticides[[#This Row],[Active ingredient 1 amount]]*IF(Table_Input_Pesticides[[#This Row],[Constituent unit (select)]]="fraction of product", 1, 10^-3)</f>
        <v>100</v>
      </c>
      <c r="M12" s="23" t="s">
        <v>1080</v>
      </c>
      <c r="N12" s="86">
        <v>100</v>
      </c>
      <c r="O12" s="25">
        <f>Table_Input_Pesticides[[#This Row],[Total applied]]*Table_Input_Pesticides[[#This Row],[Active ingredient 2 amount]]*IF(Table_Input_Pesticides[[#This Row],[Constituent unit (select)]]="fraction of product", 1, 10^-3)</f>
        <v>100</v>
      </c>
      <c r="P12" s="23" t="s">
        <v>1081</v>
      </c>
      <c r="Q12" s="86">
        <v>100</v>
      </c>
      <c r="R12" s="25">
        <f>Table_Input_Pesticides[[#This Row],[Total applied]]*Table_Input_Pesticides[[#This Row],[Active ingredient 3 amount]]*IF(Table_Input_Pesticides[[#This Row],[Constituent unit (select)]]="fraction of product", 1, 10^-3)</f>
        <v>100</v>
      </c>
    </row>
    <row r="13" spans="1:19" x14ac:dyDescent="0.25">
      <c r="A13" s="5"/>
      <c r="D13" s="95"/>
      <c r="E13" s="259"/>
      <c r="F13" s="23"/>
      <c r="G13" s="86"/>
      <c r="H13" s="25">
        <f>Table_Input_Pesticides[[#This Row],[Amount applied per ha]]*Table_Input_Pesticides[[#This Row],[Application area (ha)]]</f>
        <v>0</v>
      </c>
      <c r="I13" s="23"/>
      <c r="J13" s="23"/>
      <c r="K13" s="86"/>
      <c r="L13" s="25">
        <f>Table_Input_Pesticides[[#This Row],[Total applied]]*Table_Input_Pesticides[[#This Row],[Active ingredient 1 amount]]*IF(Table_Input_Pesticides[[#This Row],[Constituent unit (select)]]="fraction of product", 1, 10^-3)</f>
        <v>0</v>
      </c>
      <c r="M13" s="23"/>
      <c r="N13" s="86"/>
      <c r="O13" s="25">
        <f>Table_Input_Pesticides[[#This Row],[Total applied]]*Table_Input_Pesticides[[#This Row],[Active ingredient 2 amount]]*IF(Table_Input_Pesticides[[#This Row],[Constituent unit (select)]]="fraction of product", 1, 10^-3)</f>
        <v>0</v>
      </c>
      <c r="P13" s="23"/>
      <c r="Q13" s="86"/>
      <c r="R13" s="25">
        <f>Table_Input_Pesticides[[#This Row],[Total applied]]*Table_Input_Pesticides[[#This Row],[Active ingredient 3 amount]]*IF(Table_Input_Pesticides[[#This Row],[Constituent unit (select)]]="fraction of product", 1, 10^-3)</f>
        <v>0</v>
      </c>
    </row>
    <row r="14" spans="1:19" x14ac:dyDescent="0.25">
      <c r="A14" s="5"/>
      <c r="D14" s="95"/>
      <c r="E14" s="259"/>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x14ac:dyDescent="0.25">
      <c r="A15" s="5"/>
      <c r="D15" s="95"/>
      <c r="E15" s="259"/>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x14ac:dyDescent="0.25">
      <c r="A16" s="5"/>
      <c r="D16" s="95"/>
      <c r="E16" s="259"/>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x14ac:dyDescent="0.25">
      <c r="A17" s="5"/>
      <c r="D17" s="95"/>
      <c r="E17" s="259"/>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x14ac:dyDescent="0.25">
      <c r="A18" s="5"/>
      <c r="D18" s="95"/>
      <c r="E18" s="259"/>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x14ac:dyDescent="0.25">
      <c r="A19" s="5"/>
      <c r="D19" s="95"/>
      <c r="E19" s="259"/>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x14ac:dyDescent="0.25">
      <c r="A20" s="5"/>
    </row>
    <row r="21" spans="1:18" x14ac:dyDescent="0.25">
      <c r="A21" s="103"/>
    </row>
    <row r="22" spans="1:18" ht="23.25" x14ac:dyDescent="0.25">
      <c r="A22" s="5"/>
      <c r="D22" s="2" t="s">
        <v>1082</v>
      </c>
      <c r="E22" s="250"/>
      <c r="F22" s="250"/>
    </row>
    <row r="23" spans="1:18" x14ac:dyDescent="0.25">
      <c r="A23" s="5"/>
      <c r="D23" s="1" t="str">
        <f>'Constants - Scope 3'!E204</f>
        <v>Barley grain (for seed)</v>
      </c>
      <c r="E23" s="86">
        <v>500</v>
      </c>
      <c r="F23" s="26" t="s">
        <v>644</v>
      </c>
    </row>
    <row r="24" spans="1:18" x14ac:dyDescent="0.25">
      <c r="A24" s="5"/>
      <c r="D24" s="1" t="str">
        <f>'Constants - Scope 3'!E205</f>
        <v>Maize grain (for seed)</v>
      </c>
      <c r="E24" s="86">
        <v>600</v>
      </c>
      <c r="F24" s="26" t="s">
        <v>644</v>
      </c>
    </row>
    <row r="25" spans="1:18" x14ac:dyDescent="0.25">
      <c r="A25" s="5"/>
      <c r="D25" s="1" t="str">
        <f>'Constants - Scope 3'!E207</f>
        <v>Oat grain (for seed)</v>
      </c>
      <c r="E25" s="86">
        <v>700</v>
      </c>
      <c r="F25" s="26" t="s">
        <v>644</v>
      </c>
    </row>
    <row r="26" spans="1:18" x14ac:dyDescent="0.25">
      <c r="A26" s="5"/>
      <c r="D26" s="1" t="str">
        <f>'Constants - Scope 3'!E208</f>
        <v>Sorghum grain (for seed)</v>
      </c>
      <c r="E26" s="86">
        <v>800</v>
      </c>
      <c r="F26" s="26" t="s">
        <v>644</v>
      </c>
    </row>
    <row r="27" spans="1:18" x14ac:dyDescent="0.25">
      <c r="A27"/>
      <c r="D27" s="1" t="str">
        <f>'Constants - Scope 3'!E209</f>
        <v>Wheat grain (for seed)</v>
      </c>
      <c r="E27" s="86">
        <v>900</v>
      </c>
      <c r="F27" s="26" t="s">
        <v>644</v>
      </c>
    </row>
    <row r="28" spans="1:18" x14ac:dyDescent="0.25">
      <c r="A28"/>
    </row>
    <row r="29" spans="1:18" x14ac:dyDescent="0.25">
      <c r="A29" s="6"/>
    </row>
    <row r="30" spans="1:18" x14ac:dyDescent="0.25">
      <c r="A30" s="5"/>
    </row>
    <row r="31" spans="1:18" x14ac:dyDescent="0.25">
      <c r="A31" s="5"/>
    </row>
    <row r="32" spans="1:18" x14ac:dyDescent="0.25">
      <c r="A32" s="5"/>
    </row>
    <row r="33" spans="1:1" x14ac:dyDescent="0.25">
      <c r="A33" s="5"/>
    </row>
    <row r="34" spans="1:1" x14ac:dyDescent="0.25">
      <c r="A34" s="5"/>
    </row>
    <row r="35" spans="1:1" x14ac:dyDescent="0.25">
      <c r="A35" s="5"/>
    </row>
    <row r="36" spans="1:1" x14ac:dyDescent="0.25">
      <c r="A36" s="5"/>
    </row>
    <row r="37" spans="1:1" x14ac:dyDescent="0.25">
      <c r="A37" s="5"/>
    </row>
    <row r="38" spans="1:1" x14ac:dyDescent="0.25">
      <c r="A38" s="5"/>
    </row>
    <row r="39" spans="1:1" x14ac:dyDescent="0.25">
      <c r="A39" s="5"/>
    </row>
    <row r="40" spans="1:1" x14ac:dyDescent="0.25">
      <c r="A40" s="5"/>
    </row>
    <row r="41" spans="1:1" x14ac:dyDescent="0.25">
      <c r="A41" s="5"/>
    </row>
    <row r="42" spans="1:1" x14ac:dyDescent="0.25">
      <c r="A42" s="5"/>
    </row>
    <row r="43" spans="1:1" x14ac:dyDescent="0.25">
      <c r="A43" s="5"/>
    </row>
    <row r="44" spans="1:1" x14ac:dyDescent="0.25">
      <c r="A44" s="5"/>
    </row>
    <row r="45" spans="1:1" x14ac:dyDescent="0.25">
      <c r="A45" s="5"/>
    </row>
    <row r="46" spans="1:1" x14ac:dyDescent="0.25">
      <c r="A46" s="5"/>
    </row>
    <row r="47" spans="1:1" x14ac:dyDescent="0.25">
      <c r="A47" s="5"/>
    </row>
    <row r="48" spans="1:1" x14ac:dyDescent="0.25">
      <c r="A48" s="5"/>
    </row>
    <row r="49" spans="1:1" x14ac:dyDescent="0.25">
      <c r="A49"/>
    </row>
    <row r="50" spans="1:1" x14ac:dyDescent="0.25">
      <c r="A50"/>
    </row>
    <row r="51" spans="1: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42EAC820-9AE3-4108-B408-C1108E5FC3C3}">
      <formula1>INDIRECT("Table_SourceData_Scope3_Pesticides[Product]")</formula1>
    </dataValidation>
    <dataValidation type="list" allowBlank="1" showInputMessage="1" showErrorMessage="1" sqref="I10:I19" xr:uid="{2115A613-E1C2-4C91-B634-C20CA057DB9F}">
      <formula1>"grams/litre or grams/kg, fraction of product"</formula1>
    </dataValidation>
    <dataValidation type="list" allowBlank="1" showInputMessage="1" showErrorMessage="1" sqref="F10:F19" xr:uid="{4F9EA468-6883-419F-8391-B6798027712C}">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D9864-737A-411B-8C68-074F5DC50224}">
  <sheetPr>
    <tabColor theme="5" tint="-0.249977111117893"/>
  </sheetPr>
  <dimension ref="A1:R160"/>
  <sheetViews>
    <sheetView showGridLines="0" topLeftCell="A3"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17" width="35" style="1" customWidth="1"/>
    <col min="18" max="18" width="5.28515625" style="1" customWidth="1"/>
    <col min="19" max="16384" width="9.140625" style="249"/>
  </cols>
  <sheetData>
    <row r="1" spans="1:18" s="16" customFormat="1" ht="25.5" x14ac:dyDescent="0.35">
      <c r="C1" s="16" t="s">
        <v>1083</v>
      </c>
    </row>
    <row r="2" spans="1:18" s="3" customFormat="1" ht="20.100000000000001" customHeight="1" x14ac:dyDescent="0.25">
      <c r="A2"/>
    </row>
    <row r="3" spans="1:18" ht="20.100000000000001" customHeight="1" x14ac:dyDescent="0.25">
      <c r="A3" s="5"/>
      <c r="C3" s="39"/>
      <c r="D3" s="39"/>
      <c r="E3" s="39"/>
      <c r="F3" s="39"/>
      <c r="G3" s="39"/>
      <c r="H3" s="39"/>
      <c r="I3" s="39"/>
      <c r="J3" s="39"/>
      <c r="K3" s="39"/>
      <c r="L3" s="39"/>
      <c r="M3" s="39"/>
      <c r="N3" s="39"/>
      <c r="O3" s="39"/>
      <c r="P3" s="39"/>
      <c r="Q3" s="39"/>
      <c r="R3" s="39"/>
    </row>
    <row r="4" spans="1:18" ht="20.100000000000001" customHeight="1" x14ac:dyDescent="0.25">
      <c r="A4" s="5"/>
    </row>
    <row r="5" spans="1:18" ht="20.100000000000001" customHeight="1" x14ac:dyDescent="0.25">
      <c r="A5" s="5"/>
      <c r="D5" s="2" t="s">
        <v>1084</v>
      </c>
      <c r="E5" s="250"/>
      <c r="F5" s="250"/>
      <c r="G5" s="250"/>
      <c r="H5" s="250"/>
      <c r="I5" s="250"/>
      <c r="J5" s="250"/>
    </row>
    <row r="6" spans="1:18" ht="20.100000000000001" customHeight="1" x14ac:dyDescent="0.25">
      <c r="A6"/>
      <c r="D6" s="253" t="s">
        <v>1085</v>
      </c>
      <c r="E6" s="260"/>
      <c r="F6" s="261"/>
      <c r="G6" s="250"/>
      <c r="H6" s="250"/>
      <c r="I6" s="250"/>
      <c r="J6" s="250"/>
    </row>
    <row r="7" spans="1:18" ht="20.100000000000001" customHeight="1" x14ac:dyDescent="0.25">
      <c r="A7"/>
      <c r="D7" s="1" t="str" cm="1">
        <f t="array" ref="D7:D9">Table_SourceData_Scope3_LickBlocks[Product]</f>
        <v>Lick block, dry season mix</v>
      </c>
      <c r="E7" s="86">
        <v>100</v>
      </c>
      <c r="F7" s="26" t="s">
        <v>644</v>
      </c>
      <c r="G7" s="250"/>
      <c r="H7" s="250"/>
      <c r="I7" s="250"/>
      <c r="J7" s="250"/>
    </row>
    <row r="8" spans="1:18" ht="20.100000000000001" customHeight="1" x14ac:dyDescent="0.25">
      <c r="A8" s="7"/>
      <c r="D8" s="1" t="str">
        <v>Lick block, mineral</v>
      </c>
      <c r="E8" s="86">
        <v>100</v>
      </c>
      <c r="F8" s="26" t="s">
        <v>644</v>
      </c>
      <c r="G8" s="250"/>
      <c r="H8" s="250"/>
      <c r="I8" s="250"/>
      <c r="J8" s="250"/>
    </row>
    <row r="9" spans="1:18" ht="20.100000000000001" customHeight="1" x14ac:dyDescent="0.25">
      <c r="A9" s="5"/>
      <c r="D9" s="1" t="str">
        <v>Lick block, weaner</v>
      </c>
      <c r="E9" s="86">
        <v>100</v>
      </c>
      <c r="F9" s="26" t="s">
        <v>644</v>
      </c>
      <c r="G9" s="250"/>
      <c r="H9" s="250"/>
      <c r="I9" s="250"/>
      <c r="J9" s="250"/>
    </row>
    <row r="10" spans="1:18" ht="20.100000000000001" customHeight="1" x14ac:dyDescent="0.25">
      <c r="A10" s="5"/>
      <c r="G10" s="250"/>
      <c r="H10" s="250"/>
      <c r="I10" s="250"/>
      <c r="J10" s="250"/>
    </row>
    <row r="11" spans="1:18" ht="20.100000000000001" customHeight="1" x14ac:dyDescent="0.25">
      <c r="A11" s="5"/>
      <c r="D11" s="253" t="s">
        <v>1086</v>
      </c>
      <c r="E11" s="35"/>
      <c r="F11" s="35"/>
      <c r="G11" s="250"/>
      <c r="H11" s="250"/>
      <c r="I11" s="250"/>
      <c r="J11" s="250"/>
    </row>
    <row r="12" spans="1:18" ht="20.100000000000001" customHeight="1" x14ac:dyDescent="0.25">
      <c r="A12" s="5"/>
      <c r="D12" s="1" t="str" cm="1">
        <f t="array" ref="D12:D15">Table_SourceData_Scope3_MixedRations[Product]</f>
        <v>Feed for chickens</v>
      </c>
      <c r="E12" s="86">
        <v>100</v>
      </c>
      <c r="F12" s="26" t="s">
        <v>644</v>
      </c>
      <c r="G12" s="250"/>
      <c r="H12" s="250"/>
      <c r="I12" s="250"/>
      <c r="J12" s="250"/>
    </row>
    <row r="13" spans="1:18" ht="20.100000000000001" customHeight="1" x14ac:dyDescent="0.25">
      <c r="A13" s="5"/>
      <c r="D13" s="1" t="str">
        <v>Feed for dairy calves</v>
      </c>
      <c r="E13" s="86">
        <v>100</v>
      </c>
      <c r="F13" s="26" t="s">
        <v>644</v>
      </c>
      <c r="G13" s="250"/>
      <c r="H13" s="250"/>
      <c r="I13" s="250"/>
      <c r="J13" s="250"/>
    </row>
    <row r="14" spans="1:18" ht="20.100000000000001" customHeight="1" x14ac:dyDescent="0.25">
      <c r="A14" s="5"/>
      <c r="D14" s="1" t="str">
        <v>Feed for dairy cows</v>
      </c>
      <c r="E14" s="86">
        <v>100</v>
      </c>
      <c r="F14" s="26" t="s">
        <v>644</v>
      </c>
      <c r="G14" s="250"/>
      <c r="H14" s="250"/>
      <c r="I14" s="250"/>
      <c r="J14" s="250"/>
    </row>
    <row r="15" spans="1:18" ht="20.100000000000001" customHeight="1" x14ac:dyDescent="0.25">
      <c r="A15" s="5"/>
      <c r="D15" s="1" t="str">
        <v>Feed for pigs</v>
      </c>
      <c r="E15" s="86">
        <v>100</v>
      </c>
      <c r="F15" s="26" t="s">
        <v>644</v>
      </c>
      <c r="G15" s="250"/>
      <c r="H15" s="250"/>
      <c r="I15" s="250"/>
      <c r="J15" s="250"/>
    </row>
    <row r="16" spans="1:18" ht="20.100000000000001" customHeight="1" x14ac:dyDescent="0.25">
      <c r="A16" s="5"/>
      <c r="D16" s="35"/>
      <c r="E16" s="35"/>
      <c r="F16" s="35"/>
      <c r="G16" s="250"/>
      <c r="H16" s="250"/>
      <c r="I16" s="250"/>
      <c r="J16" s="250"/>
    </row>
    <row r="17" spans="1:17" ht="20.100000000000001" customHeight="1" x14ac:dyDescent="0.25">
      <c r="A17" s="5"/>
      <c r="D17" s="253" t="s">
        <v>1087</v>
      </c>
      <c r="E17" s="35"/>
      <c r="F17" s="35"/>
      <c r="G17" s="250"/>
      <c r="H17" s="250" t="s">
        <v>1088</v>
      </c>
      <c r="I17" s="250"/>
      <c r="J17" s="250"/>
    </row>
    <row r="18" spans="1:17" ht="20.100000000000001" customHeight="1" x14ac:dyDescent="0.25">
      <c r="A18" s="5"/>
      <c r="D18" s="198" t="s">
        <v>1089</v>
      </c>
      <c r="E18" s="198" t="s">
        <v>1090</v>
      </c>
      <c r="F18" s="198" t="s">
        <v>599</v>
      </c>
      <c r="G18" s="198" t="s">
        <v>1091</v>
      </c>
      <c r="H18" s="198" t="s">
        <v>577</v>
      </c>
      <c r="I18" s="198" t="s">
        <v>1092</v>
      </c>
      <c r="J18" s="198" t="s">
        <v>1093</v>
      </c>
      <c r="K18" s="198" t="s">
        <v>579</v>
      </c>
      <c r="L18" s="198" t="s">
        <v>1094</v>
      </c>
      <c r="M18" s="198" t="s">
        <v>1095</v>
      </c>
      <c r="N18" s="198" t="s">
        <v>581</v>
      </c>
      <c r="O18" s="198" t="s">
        <v>1096</v>
      </c>
      <c r="P18" s="198" t="s">
        <v>1097</v>
      </c>
      <c r="Q18" s="198" t="s">
        <v>583</v>
      </c>
    </row>
    <row r="19" spans="1:17" ht="20.100000000000001" customHeight="1" x14ac:dyDescent="0.25">
      <c r="A19" s="5"/>
      <c r="D19" s="37"/>
      <c r="E19" s="262">
        <v>1200</v>
      </c>
      <c r="F19" s="23" t="s">
        <v>1098</v>
      </c>
      <c r="G19" s="23" t="s">
        <v>508</v>
      </c>
      <c r="H19" s="199">
        <v>0.35</v>
      </c>
      <c r="I19" s="23" t="s">
        <v>1099</v>
      </c>
      <c r="J19" s="23" t="s">
        <v>508</v>
      </c>
      <c r="K19" s="199">
        <v>0.22</v>
      </c>
      <c r="L19" s="23" t="s">
        <v>1100</v>
      </c>
      <c r="M19" s="23" t="s">
        <v>524</v>
      </c>
      <c r="N19" s="199">
        <v>0.12</v>
      </c>
      <c r="O19" s="23" t="s">
        <v>1101</v>
      </c>
      <c r="P19" s="23" t="s">
        <v>520</v>
      </c>
      <c r="Q19" s="199">
        <v>0.05</v>
      </c>
    </row>
    <row r="20" spans="1:17" ht="20.100000000000001" customHeight="1" x14ac:dyDescent="0.25">
      <c r="A20" s="5"/>
      <c r="D20" s="37"/>
      <c r="E20" s="262">
        <v>3456</v>
      </c>
      <c r="F20" s="23" t="s">
        <v>1102</v>
      </c>
      <c r="G20" s="23" t="s">
        <v>512</v>
      </c>
      <c r="H20" s="199">
        <v>0.2</v>
      </c>
      <c r="I20" s="23" t="s">
        <v>1102</v>
      </c>
      <c r="J20" s="23" t="s">
        <v>507</v>
      </c>
      <c r="K20" s="199">
        <v>0.2</v>
      </c>
      <c r="L20" s="23"/>
      <c r="M20" s="23"/>
      <c r="N20" s="199"/>
      <c r="O20" s="23"/>
      <c r="P20" s="23"/>
      <c r="Q20" s="199"/>
    </row>
    <row r="21" spans="1:17" ht="20.100000000000001" customHeight="1" x14ac:dyDescent="0.25">
      <c r="A21" s="5"/>
      <c r="D21" s="37" t="s">
        <v>1103</v>
      </c>
      <c r="E21" s="262">
        <v>300</v>
      </c>
      <c r="F21" s="23" t="s">
        <v>1104</v>
      </c>
      <c r="G21" s="23" t="s">
        <v>510</v>
      </c>
      <c r="H21" s="199">
        <v>0.8</v>
      </c>
      <c r="I21" s="23" t="s">
        <v>1105</v>
      </c>
      <c r="J21" s="23" t="s">
        <v>1106</v>
      </c>
      <c r="K21" s="199">
        <v>0.2</v>
      </c>
      <c r="L21" s="23"/>
      <c r="M21" s="23"/>
      <c r="N21" s="199"/>
      <c r="O21" s="23"/>
      <c r="P21" s="23"/>
      <c r="Q21" s="199"/>
    </row>
    <row r="22" spans="1:17" ht="20.100000000000001" customHeight="1" x14ac:dyDescent="0.25">
      <c r="A22" s="103"/>
      <c r="D22" s="37"/>
      <c r="E22" s="262">
        <v>500</v>
      </c>
      <c r="F22" s="23" t="s">
        <v>1107</v>
      </c>
      <c r="G22" s="23" t="s">
        <v>510</v>
      </c>
      <c r="H22" s="199">
        <v>1</v>
      </c>
      <c r="I22" s="23"/>
      <c r="J22" s="23"/>
      <c r="K22" s="199"/>
      <c r="L22" s="23"/>
      <c r="M22" s="23"/>
      <c r="N22" s="199"/>
      <c r="O22" s="23"/>
      <c r="P22" s="23"/>
      <c r="Q22" s="199"/>
    </row>
    <row r="23" spans="1:17" ht="20.100000000000001" customHeight="1" x14ac:dyDescent="0.25">
      <c r="A23" s="5"/>
      <c r="D23" s="37"/>
      <c r="E23" s="262"/>
      <c r="F23" s="23"/>
      <c r="G23" s="23"/>
      <c r="H23" s="199"/>
      <c r="I23" s="23"/>
      <c r="J23" s="23"/>
      <c r="K23" s="199"/>
      <c r="L23" s="23"/>
      <c r="M23" s="23"/>
      <c r="N23" s="199"/>
      <c r="O23" s="23"/>
      <c r="P23" s="23"/>
      <c r="Q23" s="199"/>
    </row>
    <row r="24" spans="1:17" ht="20.100000000000001" customHeight="1" x14ac:dyDescent="0.25">
      <c r="A24" s="5"/>
      <c r="D24" s="37"/>
      <c r="E24" s="262"/>
      <c r="F24" s="23"/>
      <c r="G24" s="23"/>
      <c r="H24" s="199"/>
      <c r="I24" s="23"/>
      <c r="J24" s="23"/>
      <c r="K24" s="199"/>
      <c r="L24" s="23"/>
      <c r="M24" s="23"/>
      <c r="N24" s="199"/>
      <c r="O24" s="23"/>
      <c r="P24" s="23"/>
      <c r="Q24" s="199"/>
    </row>
    <row r="25" spans="1:17" ht="20.100000000000001" customHeight="1" x14ac:dyDescent="0.25">
      <c r="A25" s="5"/>
      <c r="D25" s="37"/>
      <c r="E25" s="262"/>
      <c r="F25" s="23"/>
      <c r="G25" s="23"/>
      <c r="H25" s="199"/>
      <c r="I25" s="23"/>
      <c r="J25" s="23"/>
      <c r="K25" s="199"/>
      <c r="L25" s="23"/>
      <c r="M25" s="23"/>
      <c r="N25" s="199"/>
      <c r="O25" s="23"/>
      <c r="P25" s="23"/>
      <c r="Q25" s="199"/>
    </row>
    <row r="26" spans="1:17" ht="20.100000000000001" customHeight="1" x14ac:dyDescent="0.25">
      <c r="A26" s="5"/>
      <c r="D26" s="37"/>
      <c r="E26" s="262"/>
      <c r="F26" s="23"/>
      <c r="G26" s="23"/>
      <c r="H26" s="199"/>
      <c r="I26" s="23"/>
      <c r="J26" s="23"/>
      <c r="K26" s="199"/>
      <c r="L26" s="23"/>
      <c r="M26" s="23"/>
      <c r="N26" s="199"/>
      <c r="O26" s="23"/>
      <c r="P26" s="23"/>
      <c r="Q26" s="199"/>
    </row>
    <row r="27" spans="1:17" ht="20.100000000000001" customHeight="1" x14ac:dyDescent="0.25">
      <c r="A27"/>
      <c r="D27" s="37"/>
      <c r="E27" s="262"/>
      <c r="F27" s="23"/>
      <c r="G27" s="23"/>
      <c r="H27" s="199"/>
      <c r="I27" s="23"/>
      <c r="J27" s="23"/>
      <c r="K27" s="199"/>
      <c r="L27" s="23"/>
      <c r="M27" s="23"/>
      <c r="N27" s="199"/>
      <c r="O27" s="23"/>
      <c r="P27" s="23"/>
      <c r="Q27" s="199"/>
    </row>
    <row r="28" spans="1:17" ht="20.100000000000001" customHeight="1" x14ac:dyDescent="0.25">
      <c r="A28"/>
      <c r="D28" s="37"/>
      <c r="E28" s="262"/>
      <c r="F28" s="23"/>
      <c r="G28" s="23"/>
      <c r="H28" s="199"/>
      <c r="I28" s="23"/>
      <c r="J28" s="23"/>
      <c r="K28" s="199"/>
      <c r="L28" s="23"/>
      <c r="M28" s="23"/>
      <c r="N28" s="199"/>
      <c r="O28" s="23"/>
      <c r="P28" s="23"/>
      <c r="Q28" s="199"/>
    </row>
    <row r="29" spans="1:17" ht="20.100000000000001" customHeight="1" x14ac:dyDescent="0.25">
      <c r="A29" s="6"/>
    </row>
    <row r="30" spans="1:17" ht="20.100000000000001" customHeight="1" x14ac:dyDescent="0.25">
      <c r="A30" s="5"/>
    </row>
    <row r="31" spans="1:17" ht="20.100000000000001" customHeight="1" x14ac:dyDescent="0.25">
      <c r="A31" s="5"/>
      <c r="D31" s="253" t="s">
        <v>1108</v>
      </c>
    </row>
    <row r="32" spans="1:17" ht="20.100000000000001" customHeight="1" x14ac:dyDescent="0.25">
      <c r="A32" s="5"/>
      <c r="D32" s="94" t="s">
        <v>1032</v>
      </c>
      <c r="E32" s="94" t="s">
        <v>1033</v>
      </c>
      <c r="F32" s="94" t="s">
        <v>1109</v>
      </c>
    </row>
    <row r="33" spans="1:6" ht="20.100000000000001" customHeight="1" x14ac:dyDescent="0.25">
      <c r="A33" s="5"/>
      <c r="D33" s="44" t="s">
        <v>1110</v>
      </c>
      <c r="E33" s="143" t="s">
        <v>1111</v>
      </c>
      <c r="F33" s="86">
        <v>100</v>
      </c>
    </row>
    <row r="34" spans="1:6" ht="20.100000000000001" customHeight="1" x14ac:dyDescent="0.25">
      <c r="A34" s="5"/>
      <c r="D34" s="44" t="s">
        <v>1112</v>
      </c>
      <c r="E34" s="263" t="s">
        <v>1113</v>
      </c>
      <c r="F34" s="254">
        <v>100</v>
      </c>
    </row>
    <row r="35" spans="1:6" ht="20.100000000000001" customHeight="1" x14ac:dyDescent="0.25">
      <c r="A35" s="5"/>
      <c r="D35" s="44" t="s">
        <v>1114</v>
      </c>
      <c r="E35" s="263" t="s">
        <v>1115</v>
      </c>
      <c r="F35" s="254">
        <v>100</v>
      </c>
    </row>
    <row r="36" spans="1:6" ht="20.100000000000001" customHeight="1" x14ac:dyDescent="0.25">
      <c r="A36" s="5"/>
      <c r="D36" s="44" t="s">
        <v>1116</v>
      </c>
      <c r="E36" s="263" t="s">
        <v>1117</v>
      </c>
      <c r="F36" s="254">
        <v>100</v>
      </c>
    </row>
    <row r="37" spans="1:6" ht="20.100000000000001" customHeight="1" x14ac:dyDescent="0.25">
      <c r="A37" s="5"/>
      <c r="D37" s="44" t="s">
        <v>1110</v>
      </c>
      <c r="E37" s="263" t="s">
        <v>1111</v>
      </c>
      <c r="F37" s="254">
        <v>100</v>
      </c>
    </row>
    <row r="38" spans="1:6" ht="20.100000000000001" customHeight="1" x14ac:dyDescent="0.25">
      <c r="A38" s="5"/>
      <c r="D38" s="44" t="s">
        <v>1112</v>
      </c>
      <c r="E38" s="263" t="s">
        <v>1113</v>
      </c>
      <c r="F38" s="254">
        <v>100</v>
      </c>
    </row>
    <row r="39" spans="1:6" ht="20.100000000000001" customHeight="1" x14ac:dyDescent="0.25">
      <c r="A39" s="5"/>
      <c r="D39" s="44"/>
      <c r="E39" s="143"/>
      <c r="F39" s="86"/>
    </row>
    <row r="40" spans="1:6" ht="20.100000000000001" customHeight="1" x14ac:dyDescent="0.25">
      <c r="A40" s="5"/>
      <c r="D40" s="44"/>
      <c r="E40" s="143"/>
      <c r="F40" s="86"/>
    </row>
    <row r="41" spans="1:6" ht="20.100000000000001" customHeight="1" x14ac:dyDescent="0.25">
      <c r="A41" s="5"/>
      <c r="D41" s="44"/>
      <c r="E41" s="143"/>
      <c r="F41" s="86"/>
    </row>
    <row r="42" spans="1:6" ht="20.100000000000001" customHeight="1" x14ac:dyDescent="0.25">
      <c r="A42" s="5"/>
      <c r="D42" s="44"/>
      <c r="E42" s="143"/>
      <c r="F42" s="86"/>
    </row>
    <row r="43" spans="1:6" ht="20.100000000000001" customHeight="1" x14ac:dyDescent="0.25">
      <c r="A43" s="5"/>
    </row>
    <row r="44" spans="1:6" ht="20.100000000000001" customHeight="1" x14ac:dyDescent="0.25">
      <c r="A44" s="5"/>
    </row>
    <row r="45" spans="1:6" ht="20.100000000000001" customHeight="1" x14ac:dyDescent="0.25">
      <c r="A45" s="5"/>
    </row>
    <row r="46" spans="1:6" ht="20.100000000000001" customHeight="1" x14ac:dyDescent="0.25">
      <c r="A46" s="5"/>
      <c r="D46" s="2" t="s">
        <v>1118</v>
      </c>
      <c r="E46" s="250"/>
      <c r="F46" s="250"/>
    </row>
    <row r="47" spans="1:6" ht="20.100000000000001" customHeight="1" x14ac:dyDescent="0.25">
      <c r="A47" s="5"/>
      <c r="D47" s="1" t="str">
        <f>'Constants - Scope 3'!E202</f>
        <v>Animal ear tags (large)</v>
      </c>
      <c r="E47" s="86">
        <v>100</v>
      </c>
      <c r="F47" s="26" t="s">
        <v>1119</v>
      </c>
    </row>
    <row r="48" spans="1:6" ht="20.100000000000001" customHeight="1" x14ac:dyDescent="0.25">
      <c r="A48" s="5"/>
      <c r="D48" s="1" t="str">
        <f>'Constants - Scope 3'!E203</f>
        <v>Animal ear tags (small)</v>
      </c>
      <c r="E48" s="86">
        <v>200</v>
      </c>
      <c r="F48" s="26" t="s">
        <v>1119</v>
      </c>
    </row>
    <row r="49" spans="1:1" ht="20.100000000000001" customHeight="1" x14ac:dyDescent="0.25">
      <c r="A49"/>
    </row>
    <row r="50" spans="1:1" ht="20.100000000000001" customHeight="1" x14ac:dyDescent="0.25">
      <c r="A50"/>
    </row>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70F79139-DEDE-4074-B144-1D62998D1F81}">
      <formula1>INDIRECT("Table_SourceData_Scope3_ChemicalsPharmacy[Product]")</formula1>
    </dataValidation>
    <dataValidation type="list" allowBlank="1" showInputMessage="1" showErrorMessage="1" sqref="M19:M28 P19:P28 J19:J28 G19:G28" xr:uid="{C10C4D97-3717-4B2C-AB16-066B1C16EAE7}">
      <formula1>INDIRECT("Table_ProductRegions_" &amp; SUBSTITUTE(SUBSTITUTE(SUBSTITUTE(SUBSTITUTE(F19, " ", ""), ",", ""), "(", ""), ")", "") &amp; "[Region]")</formula1>
    </dataValidation>
    <dataValidation type="list" allowBlank="1" showInputMessage="1" showErrorMessage="1" sqref="F19:F28 I19:I28 L19:L28 O19:O28" xr:uid="{F36880AF-5752-436E-81D2-172357328B82}">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62BA1-DCF0-4AB0-9A9F-AD20BF1EE005}">
  <sheetPr>
    <tabColor theme="5" tint="-0.249977111117893"/>
  </sheetPr>
  <dimension ref="A1:J160"/>
  <sheetViews>
    <sheetView showGridLines="0"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4" width="46.5703125" style="1" customWidth="1"/>
    <col min="5" max="9" width="35" style="1" customWidth="1"/>
    <col min="10" max="10" width="5.28515625" style="1" customWidth="1"/>
    <col min="11" max="16384" width="9.140625" style="249"/>
  </cols>
  <sheetData>
    <row r="1" spans="1:10" s="16" customFormat="1" ht="30" customHeight="1" x14ac:dyDescent="0.35">
      <c r="C1" s="16" t="s">
        <v>1120</v>
      </c>
    </row>
    <row r="2" spans="1:10" s="3" customFormat="1" ht="20.100000000000001" customHeight="1" x14ac:dyDescent="0.25">
      <c r="A2"/>
    </row>
    <row r="3" spans="1:10" ht="20.100000000000001" customHeight="1" x14ac:dyDescent="0.25">
      <c r="A3" s="5"/>
      <c r="C3" s="39"/>
      <c r="D3" s="39"/>
      <c r="E3" s="39"/>
      <c r="F3" s="39"/>
      <c r="G3" s="39"/>
      <c r="H3" s="39"/>
      <c r="I3" s="39"/>
      <c r="J3" s="39"/>
    </row>
    <row r="4" spans="1:10" ht="20.100000000000001" customHeight="1" x14ac:dyDescent="0.25">
      <c r="A4" s="5"/>
    </row>
    <row r="5" spans="1:10" ht="20.100000000000001" customHeight="1" x14ac:dyDescent="0.25">
      <c r="A5" s="5"/>
    </row>
    <row r="6" spans="1:10" ht="20.100000000000001" customHeight="1" x14ac:dyDescent="0.25">
      <c r="A6"/>
      <c r="D6" s="2" t="s">
        <v>1121</v>
      </c>
    </row>
    <row r="7" spans="1:10" ht="20.100000000000001" customHeight="1" x14ac:dyDescent="0.25">
      <c r="A7"/>
    </row>
    <row r="8" spans="1:10" ht="20.100000000000001" customHeight="1" x14ac:dyDescent="0.25">
      <c r="A8" s="7"/>
      <c r="D8" s="30" t="s">
        <v>1122</v>
      </c>
      <c r="E8" s="30" t="s">
        <v>1123</v>
      </c>
      <c r="F8" s="30" t="s">
        <v>1124</v>
      </c>
      <c r="G8" s="30" t="s">
        <v>1125</v>
      </c>
      <c r="H8" s="30" t="s">
        <v>1126</v>
      </c>
    </row>
    <row r="9" spans="1:10" ht="20.100000000000001" customHeight="1" x14ac:dyDescent="0.25">
      <c r="A9" s="5"/>
      <c r="D9" s="30" t="s">
        <v>1127</v>
      </c>
      <c r="E9" s="23" t="s">
        <v>1128</v>
      </c>
      <c r="F9" s="30">
        <v>986</v>
      </c>
      <c r="G9" s="30">
        <v>10</v>
      </c>
      <c r="H9" s="30">
        <v>52</v>
      </c>
    </row>
    <row r="10" spans="1:10" ht="20.100000000000001" customHeight="1" x14ac:dyDescent="0.25">
      <c r="A10" s="5"/>
      <c r="D10" s="30" t="s">
        <v>1129</v>
      </c>
      <c r="E10" s="23" t="s">
        <v>1130</v>
      </c>
      <c r="F10" s="30">
        <v>65</v>
      </c>
      <c r="G10" s="30">
        <v>10</v>
      </c>
      <c r="H10" s="30">
        <v>6</v>
      </c>
    </row>
    <row r="11" spans="1:10" ht="20.100000000000001" customHeight="1" x14ac:dyDescent="0.25">
      <c r="A11" s="5"/>
      <c r="D11" s="30"/>
      <c r="E11" s="23"/>
      <c r="F11" s="30"/>
      <c r="G11" s="30"/>
      <c r="H11" s="30"/>
    </row>
    <row r="12" spans="1:10" ht="20.100000000000001" customHeight="1" x14ac:dyDescent="0.25">
      <c r="A12" s="5"/>
      <c r="D12" s="30"/>
      <c r="E12" s="23"/>
      <c r="F12" s="30"/>
      <c r="G12" s="30"/>
      <c r="H12" s="30"/>
    </row>
    <row r="13" spans="1:10" ht="20.100000000000001" customHeight="1" x14ac:dyDescent="0.25">
      <c r="A13" s="5"/>
      <c r="D13" s="30"/>
      <c r="E13" s="23"/>
      <c r="F13" s="30"/>
      <c r="G13" s="30"/>
      <c r="H13" s="30"/>
    </row>
    <row r="14" spans="1:10" ht="20.100000000000001" customHeight="1" x14ac:dyDescent="0.25">
      <c r="A14" s="5"/>
      <c r="D14" s="30"/>
      <c r="E14" s="23"/>
      <c r="F14" s="30"/>
      <c r="G14" s="30"/>
      <c r="H14" s="30"/>
    </row>
    <row r="15" spans="1:10" ht="20.100000000000001" customHeight="1" x14ac:dyDescent="0.25">
      <c r="A15" s="5"/>
      <c r="D15" s="30"/>
      <c r="E15" s="23"/>
      <c r="F15" s="30"/>
      <c r="G15" s="30"/>
      <c r="H15" s="30"/>
    </row>
    <row r="16" spans="1:10" ht="20.100000000000001" customHeight="1" x14ac:dyDescent="0.25">
      <c r="A16" s="5"/>
      <c r="D16" s="30"/>
      <c r="E16" s="23"/>
      <c r="F16" s="30"/>
      <c r="G16" s="30"/>
      <c r="H16" s="30"/>
    </row>
    <row r="17" spans="1:8" ht="20.100000000000001" customHeight="1" x14ac:dyDescent="0.25">
      <c r="A17" s="5"/>
      <c r="D17" s="30"/>
      <c r="E17" s="23"/>
      <c r="F17" s="30"/>
      <c r="G17" s="30"/>
      <c r="H17" s="30"/>
    </row>
    <row r="18" spans="1:8" ht="20.100000000000001" customHeight="1" x14ac:dyDescent="0.25">
      <c r="A18" s="5"/>
      <c r="D18" s="30"/>
      <c r="E18" s="23"/>
      <c r="F18" s="30"/>
      <c r="G18" s="30"/>
      <c r="H18" s="30"/>
    </row>
    <row r="19" spans="1:8" ht="20.100000000000001" customHeight="1" x14ac:dyDescent="0.25">
      <c r="A19" s="5"/>
    </row>
    <row r="20" spans="1:8" ht="20.100000000000001" customHeight="1" x14ac:dyDescent="0.25">
      <c r="A20" s="5"/>
    </row>
    <row r="21" spans="1:8" ht="20.100000000000001" customHeight="1" x14ac:dyDescent="0.25">
      <c r="A21" s="5"/>
    </row>
    <row r="22" spans="1:8" ht="20.100000000000001" customHeight="1" x14ac:dyDescent="0.25">
      <c r="A22" s="5"/>
      <c r="D22" s="2" t="s">
        <v>1131</v>
      </c>
    </row>
    <row r="23" spans="1:8" ht="20.100000000000001" customHeight="1" x14ac:dyDescent="0.25">
      <c r="A23" s="103"/>
    </row>
    <row r="24" spans="1:8" ht="20.100000000000001" customHeight="1" x14ac:dyDescent="0.25">
      <c r="A24" s="5"/>
      <c r="D24" s="30" t="s">
        <v>1122</v>
      </c>
      <c r="E24" s="30" t="s">
        <v>1123</v>
      </c>
      <c r="F24" s="30" t="s">
        <v>1124</v>
      </c>
      <c r="G24" s="30" t="s">
        <v>1125</v>
      </c>
      <c r="H24" s="30" t="s">
        <v>1126</v>
      </c>
    </row>
    <row r="25" spans="1:8" ht="20.100000000000001" customHeight="1" x14ac:dyDescent="0.25">
      <c r="A25" s="5"/>
      <c r="D25" s="30" t="s">
        <v>1132</v>
      </c>
      <c r="E25" s="23" t="s">
        <v>1128</v>
      </c>
      <c r="F25" s="30">
        <v>65</v>
      </c>
      <c r="G25" s="30">
        <v>20</v>
      </c>
      <c r="H25" s="30">
        <v>52</v>
      </c>
    </row>
    <row r="26" spans="1:8" ht="20.100000000000001" customHeight="1" x14ac:dyDescent="0.25">
      <c r="A26" s="5"/>
      <c r="D26" s="30"/>
      <c r="E26" s="23"/>
      <c r="F26" s="30"/>
      <c r="G26" s="30"/>
      <c r="H26" s="30"/>
    </row>
    <row r="27" spans="1:8" ht="20.100000000000001" customHeight="1" x14ac:dyDescent="0.25">
      <c r="A27"/>
      <c r="D27" s="30"/>
      <c r="E27" s="23"/>
      <c r="F27" s="30"/>
      <c r="G27" s="30"/>
      <c r="H27" s="30"/>
    </row>
    <row r="28" spans="1:8" ht="20.100000000000001" customHeight="1" x14ac:dyDescent="0.25">
      <c r="A28"/>
      <c r="D28" s="30"/>
      <c r="E28" s="23"/>
      <c r="F28" s="30"/>
      <c r="G28" s="30"/>
      <c r="H28" s="30"/>
    </row>
    <row r="29" spans="1:8" ht="20.100000000000001" customHeight="1" x14ac:dyDescent="0.25">
      <c r="A29" s="6"/>
      <c r="D29" s="30"/>
      <c r="E29" s="23"/>
      <c r="F29" s="30"/>
      <c r="G29" s="30"/>
      <c r="H29" s="30"/>
    </row>
    <row r="30" spans="1:8" ht="20.100000000000001" customHeight="1" x14ac:dyDescent="0.25">
      <c r="A30" s="5"/>
      <c r="D30" s="30"/>
      <c r="E30" s="23"/>
      <c r="F30" s="30"/>
      <c r="G30" s="30"/>
      <c r="H30" s="30"/>
    </row>
    <row r="31" spans="1:8" ht="20.100000000000001" customHeight="1" x14ac:dyDescent="0.25">
      <c r="A31" s="5"/>
      <c r="D31" s="30"/>
      <c r="E31" s="23"/>
      <c r="F31" s="30"/>
      <c r="G31" s="30"/>
      <c r="H31" s="30"/>
    </row>
    <row r="32" spans="1:8" ht="20.100000000000001" customHeight="1" x14ac:dyDescent="0.25">
      <c r="A32" s="5"/>
      <c r="D32" s="30"/>
      <c r="E32" s="23"/>
      <c r="F32" s="30"/>
      <c r="G32" s="30"/>
      <c r="H32" s="30"/>
    </row>
    <row r="33" spans="1:8" ht="20.100000000000001" customHeight="1" x14ac:dyDescent="0.25">
      <c r="A33" s="5"/>
      <c r="D33" s="30"/>
      <c r="E33" s="23"/>
      <c r="F33" s="30"/>
      <c r="G33" s="30"/>
      <c r="H33" s="30"/>
    </row>
    <row r="34" spans="1:8" ht="20.100000000000001" customHeight="1" x14ac:dyDescent="0.25">
      <c r="A34" s="5"/>
      <c r="D34" s="30"/>
      <c r="E34" s="23"/>
      <c r="F34" s="30"/>
      <c r="G34" s="30"/>
      <c r="H34" s="30"/>
    </row>
    <row r="35" spans="1:8" ht="20.100000000000001" customHeight="1" x14ac:dyDescent="0.25">
      <c r="A35" s="5"/>
    </row>
    <row r="36" spans="1:8" ht="20.100000000000001" customHeight="1" x14ac:dyDescent="0.25">
      <c r="A36" s="5"/>
    </row>
    <row r="37" spans="1:8" ht="20.100000000000001" customHeight="1" x14ac:dyDescent="0.25">
      <c r="A37" s="5"/>
    </row>
    <row r="38" spans="1:8" ht="20.100000000000001" customHeight="1" x14ac:dyDescent="0.25">
      <c r="A38" s="5"/>
    </row>
    <row r="39" spans="1:8" ht="20.100000000000001" customHeight="1" x14ac:dyDescent="0.25">
      <c r="A39" s="5"/>
    </row>
    <row r="40" spans="1:8" ht="20.100000000000001" customHeight="1" x14ac:dyDescent="0.25">
      <c r="A40" s="5"/>
    </row>
    <row r="41" spans="1:8" ht="20.100000000000001" customHeight="1" x14ac:dyDescent="0.25">
      <c r="A41" s="5"/>
    </row>
    <row r="42" spans="1:8" ht="20.100000000000001" customHeight="1" x14ac:dyDescent="0.25">
      <c r="A42" s="5"/>
    </row>
    <row r="43" spans="1:8" ht="20.100000000000001" customHeight="1" x14ac:dyDescent="0.25">
      <c r="A43" s="5"/>
    </row>
    <row r="44" spans="1:8" ht="20.100000000000001" customHeight="1" x14ac:dyDescent="0.25">
      <c r="A44" s="5"/>
    </row>
    <row r="45" spans="1:8" ht="20.100000000000001" customHeight="1" x14ac:dyDescent="0.25">
      <c r="A45" s="5"/>
    </row>
    <row r="46" spans="1:8" ht="20.100000000000001" customHeight="1" x14ac:dyDescent="0.25">
      <c r="A46" s="5"/>
    </row>
    <row r="47" spans="1:8" ht="20.100000000000001" customHeight="1" x14ac:dyDescent="0.25">
      <c r="A47" s="5"/>
    </row>
    <row r="48" spans="1:8" ht="20.100000000000001" customHeight="1" x14ac:dyDescent="0.25">
      <c r="A48" s="5"/>
    </row>
    <row r="49" spans="1:1" ht="20.100000000000001" customHeight="1" x14ac:dyDescent="0.25">
      <c r="A49"/>
    </row>
    <row r="50" spans="1:1" ht="20.100000000000001" customHeight="1" x14ac:dyDescent="0.25">
      <c r="A50"/>
    </row>
    <row r="51" spans="1:1" ht="20.100000000000001" customHeight="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2E4BE9D1-9E76-4D46-BCA7-3F5004917126}">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840BB-A4EB-47DD-92CB-4FA7B7C1B2EB}">
  <sheetPr>
    <tabColor theme="5" tint="-0.249977111117893"/>
  </sheetPr>
  <dimension ref="A1:K160"/>
  <sheetViews>
    <sheetView showGridLines="0"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10" width="35" style="1" customWidth="1"/>
    <col min="11" max="11" width="5.28515625" style="1" customWidth="1"/>
    <col min="12" max="16384" width="9.140625" style="249"/>
  </cols>
  <sheetData>
    <row r="1" spans="1:11" ht="25.5" x14ac:dyDescent="0.35">
      <c r="A1" s="16" t="e" vm="1">
        <v>#VALUE!</v>
      </c>
      <c r="C1" s="16" t="s">
        <v>1133</v>
      </c>
      <c r="D1" s="16"/>
      <c r="E1" s="16"/>
      <c r="F1" s="16"/>
      <c r="G1" s="16"/>
      <c r="H1" s="16"/>
      <c r="I1" s="16"/>
      <c r="J1" s="16"/>
      <c r="K1" s="16"/>
    </row>
    <row r="2" spans="1:11" s="3" customFormat="1" x14ac:dyDescent="0.25">
      <c r="A2"/>
    </row>
    <row r="3" spans="1:11" ht="20.25" x14ac:dyDescent="0.25">
      <c r="A3" s="5"/>
      <c r="C3" s="39"/>
      <c r="D3" s="39"/>
      <c r="E3" s="39"/>
      <c r="F3" s="39"/>
      <c r="G3" s="39"/>
      <c r="H3" s="39"/>
      <c r="I3" s="39"/>
      <c r="J3" s="39"/>
      <c r="K3" s="39"/>
    </row>
    <row r="4" spans="1:11" x14ac:dyDescent="0.25">
      <c r="A4" s="5"/>
    </row>
    <row r="5" spans="1:11" ht="23.25" x14ac:dyDescent="0.25">
      <c r="A5" s="5"/>
      <c r="D5" s="2" t="s">
        <v>1134</v>
      </c>
    </row>
    <row r="6" spans="1:11" x14ac:dyDescent="0.25">
      <c r="A6"/>
    </row>
    <row r="7" spans="1:11" x14ac:dyDescent="0.25">
      <c r="A7"/>
      <c r="D7" s="1" t="s">
        <v>1135</v>
      </c>
    </row>
    <row r="8" spans="1:11" ht="18.75" x14ac:dyDescent="0.25">
      <c r="A8" s="7"/>
      <c r="D8" s="1" t="s">
        <v>1136</v>
      </c>
    </row>
    <row r="9" spans="1:11" x14ac:dyDescent="0.25">
      <c r="A9" s="5"/>
    </row>
    <row r="10" spans="1:11" x14ac:dyDescent="0.25">
      <c r="A10" s="5"/>
      <c r="D10" s="1" t="s">
        <v>1137</v>
      </c>
      <c r="F10" s="86">
        <v>1000</v>
      </c>
      <c r="G10" s="26" t="s">
        <v>1138</v>
      </c>
    </row>
    <row r="11" spans="1:11" x14ac:dyDescent="0.25">
      <c r="A11" s="5"/>
      <c r="D11" s="1" t="s">
        <v>1139</v>
      </c>
      <c r="F11" s="86">
        <v>2000</v>
      </c>
      <c r="G11" s="26" t="s">
        <v>1138</v>
      </c>
    </row>
    <row r="12" spans="1:11" x14ac:dyDescent="0.25">
      <c r="A12" s="5"/>
    </row>
    <row r="13" spans="1:11" x14ac:dyDescent="0.25">
      <c r="A13" s="5"/>
      <c r="D13" s="1" t="s">
        <v>1140</v>
      </c>
      <c r="F13" s="23" t="s">
        <v>725</v>
      </c>
      <c r="G13" s="26" t="s">
        <v>107</v>
      </c>
    </row>
    <row r="14" spans="1:11" x14ac:dyDescent="0.25">
      <c r="A14" s="5"/>
      <c r="D14" s="1" t="s">
        <v>1141</v>
      </c>
      <c r="F14" s="23" t="s">
        <v>341</v>
      </c>
      <c r="G14" s="26" t="s">
        <v>107</v>
      </c>
    </row>
    <row r="15" spans="1:11" x14ac:dyDescent="0.25">
      <c r="A15" s="5"/>
    </row>
    <row r="16" spans="1:11" x14ac:dyDescent="0.25">
      <c r="A16" s="5"/>
    </row>
    <row r="17" spans="1:1" x14ac:dyDescent="0.25">
      <c r="A17" s="5"/>
    </row>
    <row r="18" spans="1:1" x14ac:dyDescent="0.25">
      <c r="A18" s="5"/>
    </row>
    <row r="19" spans="1:1" x14ac:dyDescent="0.25">
      <c r="A19" s="5"/>
    </row>
    <row r="20" spans="1:1" x14ac:dyDescent="0.25">
      <c r="A20" s="5"/>
    </row>
    <row r="21" spans="1:1" x14ac:dyDescent="0.25">
      <c r="A21" s="5"/>
    </row>
    <row r="22" spans="1:1" x14ac:dyDescent="0.25">
      <c r="A22" s="5"/>
    </row>
    <row r="23" spans="1:1" x14ac:dyDescent="0.25">
      <c r="A23" s="5"/>
    </row>
    <row r="24" spans="1:1" x14ac:dyDescent="0.25">
      <c r="A24" s="103"/>
    </row>
    <row r="25" spans="1:1" x14ac:dyDescent="0.25">
      <c r="A25" s="5"/>
    </row>
    <row r="26" spans="1:1" x14ac:dyDescent="0.25">
      <c r="A26" s="5"/>
    </row>
    <row r="27" spans="1:1" x14ac:dyDescent="0.25">
      <c r="A27"/>
    </row>
    <row r="28" spans="1:1" x14ac:dyDescent="0.25">
      <c r="A28"/>
    </row>
    <row r="29" spans="1:1" x14ac:dyDescent="0.25">
      <c r="A29" s="6"/>
    </row>
    <row r="30" spans="1:1" x14ac:dyDescent="0.25">
      <c r="A30" s="5"/>
    </row>
    <row r="31" spans="1:1" x14ac:dyDescent="0.25">
      <c r="A31" s="5"/>
    </row>
    <row r="32" spans="1:1" x14ac:dyDescent="0.25">
      <c r="A32" s="5"/>
    </row>
    <row r="33" spans="1:1" x14ac:dyDescent="0.25">
      <c r="A33" s="5"/>
    </row>
    <row r="34" spans="1:1" x14ac:dyDescent="0.25">
      <c r="A34" s="5"/>
    </row>
    <row r="35" spans="1:1" x14ac:dyDescent="0.25">
      <c r="A35" s="5"/>
    </row>
    <row r="36" spans="1:1" x14ac:dyDescent="0.25">
      <c r="A36" s="5"/>
    </row>
    <row r="37" spans="1:1" x14ac:dyDescent="0.25">
      <c r="A37" s="5"/>
    </row>
    <row r="38" spans="1:1" x14ac:dyDescent="0.25">
      <c r="A38" s="5"/>
    </row>
    <row r="39" spans="1:1" x14ac:dyDescent="0.25">
      <c r="A39" s="5"/>
    </row>
    <row r="40" spans="1:1" x14ac:dyDescent="0.25">
      <c r="A40" s="5"/>
    </row>
    <row r="41" spans="1:1" x14ac:dyDescent="0.25">
      <c r="A41" s="5"/>
    </row>
    <row r="42" spans="1:1" x14ac:dyDescent="0.25">
      <c r="A42" s="5"/>
    </row>
    <row r="43" spans="1:1" x14ac:dyDescent="0.25">
      <c r="A43" s="5"/>
    </row>
    <row r="44" spans="1:1" x14ac:dyDescent="0.25">
      <c r="A44" s="5"/>
    </row>
    <row r="45" spans="1:1" x14ac:dyDescent="0.25">
      <c r="A45" s="5"/>
    </row>
    <row r="46" spans="1:1" x14ac:dyDescent="0.25">
      <c r="A46" s="5"/>
    </row>
    <row r="47" spans="1:1" x14ac:dyDescent="0.25">
      <c r="A47" s="5"/>
    </row>
    <row r="48" spans="1:1" x14ac:dyDescent="0.25">
      <c r="A48" s="5"/>
    </row>
    <row r="49" spans="1:1" x14ac:dyDescent="0.25">
      <c r="A49"/>
    </row>
    <row r="50" spans="1:1" x14ac:dyDescent="0.25">
      <c r="A50"/>
    </row>
    <row r="51" spans="1: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7FB8B7B4-F2B3-4D8B-9B75-F63CE46A5975}">
      <formula1>INDIRECT("Table_SourceData_Fertiliser_IrrigationMethods[Irrigation method]")</formula1>
    </dataValidation>
    <dataValidation type="list" allowBlank="1" showInputMessage="1" showErrorMessage="1" sqref="F13" xr:uid="{73E343A1-FD06-410D-8AE0-32DF0DE95033}">
      <formula1>INDIRECT("Table_SourceData_Fertiliser_CropProdSystems[Production system]")</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EFBBA-AD90-410C-92FF-704C1AE02C1D}">
  <dimension ref="A1:AK281"/>
  <sheetViews>
    <sheetView showGridLines="0" topLeftCell="A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357</v>
      </c>
    </row>
    <row r="2" spans="1:37" s="3" customFormat="1" ht="20.100000000000001" customHeight="1" x14ac:dyDescent="0.25">
      <c r="A2"/>
    </row>
    <row r="3" spans="1:37" ht="20.100000000000001" customHeight="1" x14ac:dyDescent="0.25">
      <c r="A3" s="5"/>
      <c r="C3" s="33"/>
      <c r="D3" s="33" t="s">
        <v>145</v>
      </c>
      <c r="E3" s="33"/>
      <c r="F3" s="33"/>
      <c r="G3" s="33"/>
      <c r="H3" s="33"/>
      <c r="I3" s="33"/>
      <c r="J3" s="33"/>
      <c r="K3" s="33"/>
      <c r="L3" s="33"/>
      <c r="M3" s="33"/>
      <c r="N3" s="33"/>
      <c r="O3" s="33"/>
      <c r="P3" s="33"/>
      <c r="Q3" s="33"/>
      <c r="R3" s="33"/>
      <c r="S3" s="33"/>
      <c r="T3" s="33"/>
      <c r="V3" s="33"/>
      <c r="W3" s="33" t="s">
        <v>146</v>
      </c>
      <c r="X3" s="33"/>
      <c r="Y3" s="33"/>
      <c r="Z3" s="33"/>
      <c r="AA3" s="33"/>
      <c r="AB3" s="33"/>
      <c r="AC3" s="33"/>
      <c r="AD3" s="33"/>
      <c r="AE3" s="33"/>
      <c r="AF3" s="33"/>
      <c r="AG3" s="33"/>
      <c r="AH3" s="33"/>
      <c r="AI3" s="33"/>
      <c r="AJ3" s="33"/>
      <c r="AK3" s="33"/>
    </row>
    <row r="4" spans="1:37" ht="20.100000000000001" customHeight="1" x14ac:dyDescent="0.25">
      <c r="A4" s="5"/>
    </row>
    <row r="5" spans="1:37" ht="20.100000000000001" customHeight="1" x14ac:dyDescent="0.25">
      <c r="A5" s="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7" t="s">
        <v>358</v>
      </c>
      <c r="E7" s="107" t="s">
        <v>359</v>
      </c>
    </row>
    <row r="8" spans="1:37" ht="20.100000000000001" customHeight="1" x14ac:dyDescent="0.25">
      <c r="A8" s="7"/>
    </row>
    <row r="9" spans="1:37" ht="20.100000000000001" customHeight="1" x14ac:dyDescent="0.25">
      <c r="A9" s="5"/>
    </row>
    <row r="10" spans="1:37" ht="20.100000000000001" customHeight="1" x14ac:dyDescent="0.25">
      <c r="A10" s="5"/>
      <c r="D10" s="88" t="s">
        <v>360</v>
      </c>
      <c r="E10" s="1" t="str" cm="1">
        <f t="array" ref="E10">EntericMethane_PastureBeef_Equations.VEERG_3_2_1_1__4_AdditionalIntakeForMilkProduction_Variable()</f>
        <v>MA_jk45</v>
      </c>
    </row>
    <row r="11" spans="1:37" ht="20.100000000000001" customHeight="1" x14ac:dyDescent="0.25">
      <c r="A11" s="5"/>
      <c r="D11" s="88" t="s">
        <v>128</v>
      </c>
      <c r="E11" s="15" t="str" cm="1">
        <f t="array" ref="E11">EntericMethane_PastureBeef_Equations.VEERG_3_2_1_1__4_AdditionalIntakeForMilkProduction_Unit()</f>
        <v>fraction</v>
      </c>
    </row>
    <row r="12" spans="1:37" ht="20.100000000000001" customHeight="1" x14ac:dyDescent="0.25">
      <c r="A12" s="5"/>
    </row>
    <row r="13" spans="1:37" ht="20.100000000000001" customHeight="1" x14ac:dyDescent="0.25">
      <c r="A13" s="5"/>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HYPERLINK(Common_InputFunctions.Utility_SourceHyperlink($D$19), $D$19)</f>
        <v>M1_Table_LC_j_k-4-5</v>
      </c>
    </row>
    <row r="14" spans="1:37" ht="20.100000000000001" customHeight="1" x14ac:dyDescent="0.25">
      <c r="A14" s="5"/>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c r="D16" s="109" t="str">
        <v>b</v>
      </c>
      <c r="E16" s="110" t="str">
        <v>breed of cattle</v>
      </c>
      <c r="F16" s="111"/>
      <c r="G16" s="112"/>
      <c r="H16" s="109" t="str">
        <v/>
      </c>
      <c r="I16" s="113" t="str">
        <v>Input</v>
      </c>
      <c r="J16" s="109" t="str">
        <f>X_Cell_PastureBeef_Breed</f>
        <v>Hereford or Shorthorn breeds</v>
      </c>
    </row>
    <row r="17" spans="1:36" ht="20.100000000000001" customHeight="1" x14ac:dyDescent="0.25">
      <c r="A17" s="5"/>
    </row>
    <row r="18" spans="1:36" ht="20.100000000000001" customHeight="1" x14ac:dyDescent="0.25">
      <c r="A18" s="5"/>
    </row>
    <row r="19" spans="1:36" ht="20.100000000000001" customHeight="1" x14ac:dyDescent="0.25">
      <c r="A19" s="5"/>
      <c r="D19" s="116" t="s">
        <v>361</v>
      </c>
      <c r="W19" s="116" t="s">
        <v>362</v>
      </c>
    </row>
    <row r="20" spans="1:36" ht="20.100000000000001" customHeight="1" x14ac:dyDescent="0.25">
      <c r="A20" s="5"/>
      <c r="D20" s="117" t="s">
        <v>363</v>
      </c>
      <c r="W20" s="117" t="s">
        <v>364</v>
      </c>
    </row>
    <row r="21" spans="1:36" ht="20.100000000000001" customHeight="1" x14ac:dyDescent="0.25">
      <c r="A21" s="5"/>
      <c r="D21" s="118" t="s">
        <v>74</v>
      </c>
      <c r="E21" s="94" t="s">
        <v>343</v>
      </c>
      <c r="F21" s="94" t="s">
        <v>314</v>
      </c>
      <c r="G21" s="94" t="s">
        <v>315</v>
      </c>
      <c r="H21" s="94" t="s">
        <v>316</v>
      </c>
      <c r="W21" s="118" t="s">
        <v>73</v>
      </c>
      <c r="X21" s="94" t="s">
        <v>314</v>
      </c>
      <c r="Y21" s="94" t="s">
        <v>315</v>
      </c>
      <c r="Z21" s="94" t="s">
        <v>316</v>
      </c>
    </row>
    <row r="22" spans="1:36" ht="20.100000000000001" customHeight="1" x14ac:dyDescent="0.25">
      <c r="A22" s="5"/>
      <c r="D22" s="25" t="s">
        <v>321</v>
      </c>
      <c r="E22" s="25" t="str">
        <f>'Input - Pasture Beef'!$E169</f>
        <v>Yes</v>
      </c>
      <c r="F22" s="178">
        <f>'Input - Pasture Beef'!$F169</f>
        <v>0.1</v>
      </c>
      <c r="G22" s="178">
        <f>'Input - Pasture Beef'!$G169</f>
        <v>0.4</v>
      </c>
      <c r="H22" s="178">
        <f>'Input - Pasture Beef'!$H169</f>
        <v>0.4</v>
      </c>
      <c r="I22" s="26" t="s">
        <v>365</v>
      </c>
      <c r="W22" s="25" t="str">
        <f>TEXT(EDATE('Input - Pasture Beef'!$D$182,0), "mmmm") &amp; ", " &amp; TEXT(EDATE('Input - Pasture Beef'!$D$183,0), "mmmm") &amp; ", " &amp; TEXT(EDATE('Input - Pasture Beef'!$D$184,0), "mmmm")</f>
        <v>August, September, October</v>
      </c>
      <c r="X22" s="178">
        <f>'Input - Pasture Beef'!$E$185</f>
        <v>0.75</v>
      </c>
      <c r="Y22" s="178">
        <f>'Input - Pasture Beef'!$F$185</f>
        <v>0.75</v>
      </c>
      <c r="Z22" s="178">
        <f>'Input - Pasture Beef'!$G$185</f>
        <v>0.75</v>
      </c>
      <c r="AA22" s="26" t="s">
        <v>365</v>
      </c>
    </row>
    <row r="23" spans="1:36" ht="20.100000000000001" customHeight="1" x14ac:dyDescent="0.25">
      <c r="A23" s="5"/>
      <c r="D23" s="25" t="s">
        <v>322</v>
      </c>
      <c r="E23" s="25" t="str">
        <f>'Input - Pasture Beef'!$E170</f>
        <v>Yes</v>
      </c>
      <c r="F23" s="178">
        <f>'Input - Pasture Beef'!$F170</f>
        <v>0.1</v>
      </c>
      <c r="G23" s="178">
        <f>'Input - Pasture Beef'!$G170</f>
        <v>0</v>
      </c>
      <c r="H23" s="178">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A24" s="5"/>
      <c r="D24" s="25" t="s">
        <v>323</v>
      </c>
      <c r="E24" s="25" t="str">
        <f>'Input - Pasture Beef'!$E171</f>
        <v>No</v>
      </c>
      <c r="F24" s="178">
        <f>'Input - Pasture Beef'!$F171</f>
        <v>0</v>
      </c>
      <c r="G24" s="178">
        <f>'Input - Pasture Beef'!$G171</f>
        <v>0</v>
      </c>
      <c r="H24" s="178">
        <f>'Input - Pasture Beef'!$H171</f>
        <v>0</v>
      </c>
      <c r="AA24" s="26"/>
    </row>
    <row r="25" spans="1:36" ht="20.100000000000001" customHeight="1" x14ac:dyDescent="0.25">
      <c r="A25" s="5"/>
      <c r="D25" s="25" t="s">
        <v>324</v>
      </c>
      <c r="E25" s="25" t="str">
        <f>'Input - Pasture Beef'!$E169</f>
        <v>Yes</v>
      </c>
      <c r="F25" s="178">
        <f>'Input - Pasture Beef'!$F$168</f>
        <v>0.7</v>
      </c>
      <c r="G25" s="178">
        <f>'Input - Pasture Beef'!$G$168</f>
        <v>0.5</v>
      </c>
      <c r="H25" s="178">
        <f>'Input - Pasture Beef'!$H$168</f>
        <v>0.5</v>
      </c>
      <c r="W25" s="116" t="s">
        <v>366</v>
      </c>
    </row>
    <row r="26" spans="1:36" ht="20.100000000000001" customHeight="1" x14ac:dyDescent="0.25">
      <c r="A26" s="5"/>
      <c r="W26" s="117" t="s">
        <v>367</v>
      </c>
    </row>
    <row r="27" spans="1:36" ht="20.100000000000001" customHeight="1" x14ac:dyDescent="0.25">
      <c r="D27" s="116" t="s">
        <v>368</v>
      </c>
      <c r="W27" s="118" t="s">
        <v>73</v>
      </c>
      <c r="X27" s="118" t="s">
        <v>343</v>
      </c>
      <c r="Y27" s="118" t="s">
        <v>369</v>
      </c>
      <c r="Z27" s="118" t="s">
        <v>312</v>
      </c>
      <c r="AA27" s="118" t="s">
        <v>198</v>
      </c>
      <c r="AB27" s="118" t="s">
        <v>313</v>
      </c>
      <c r="AC27" s="118" t="s">
        <v>314</v>
      </c>
      <c r="AD27" s="118" t="s">
        <v>315</v>
      </c>
      <c r="AE27" s="118" t="s">
        <v>316</v>
      </c>
      <c r="AF27" s="118" t="s">
        <v>317</v>
      </c>
      <c r="AG27" s="118" t="s">
        <v>318</v>
      </c>
      <c r="AH27" s="118" t="s">
        <v>319</v>
      </c>
      <c r="AI27" s="118" t="s">
        <v>320</v>
      </c>
    </row>
    <row r="28" spans="1:36" ht="20.100000000000001" customHeight="1" x14ac:dyDescent="0.25">
      <c r="D28" s="117" t="s">
        <v>370</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6"/>
      <c r="D29" s="118" t="s">
        <v>74</v>
      </c>
      <c r="E29" s="118" t="s">
        <v>343</v>
      </c>
      <c r="F29" s="118" t="s">
        <v>371</v>
      </c>
      <c r="G29" s="118" t="s">
        <v>369</v>
      </c>
      <c r="H29" s="118" t="s">
        <v>369</v>
      </c>
      <c r="I29" s="118" t="s">
        <v>312</v>
      </c>
      <c r="J29" s="118" t="s">
        <v>198</v>
      </c>
      <c r="K29" s="118" t="s">
        <v>313</v>
      </c>
      <c r="L29" s="118" t="s">
        <v>314</v>
      </c>
      <c r="M29" s="118" t="s">
        <v>315</v>
      </c>
      <c r="N29" s="118" t="s">
        <v>316</v>
      </c>
      <c r="O29" s="118" t="s">
        <v>317</v>
      </c>
      <c r="P29" s="118" t="s">
        <v>318</v>
      </c>
      <c r="Q29" s="118" t="s">
        <v>319</v>
      </c>
      <c r="R29" s="118" t="s">
        <v>320</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108"/>
      <c r="D30" s="25" t="s">
        <v>321</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9" cm="1">
        <f t="array" ref="L30">EntericMethane_PastureBeef_Equations.VEERG_3_2_1_1__4_AdditionalIntakeForMilkProductionVariation(F22,F25,$G30,$H30)</f>
        <v>1.1000000000000001</v>
      </c>
      <c r="M30" s="119" cm="1">
        <f t="array" ref="M30">EntericMethane_PastureBeef_Equations.VEERG_3_2_1_1__4_AdditionalIntakeForMilkProductionVariation(G22,G25,$G30,$H30)</f>
        <v>1.17</v>
      </c>
      <c r="N30" s="119"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c r="D31" s="25" t="s">
        <v>322</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9" cm="1">
        <f t="array" ref="L31">EntericMethane_PastureBeef_Equations.VEERG_3_2_1_1__4_AdditionalIntakeForMilkProductionVariation(F23,F22,$G31,$H31)</f>
        <v>1.04</v>
      </c>
      <c r="M31" s="119" cm="1">
        <f t="array" ref="M31">EntericMethane_PastureBeef_Equations.VEERG_3_2_1_1__4_AdditionalIntakeForMilkProductionVariation(G23,G22,$G31,$H31)</f>
        <v>1.04</v>
      </c>
      <c r="N31" s="119"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c r="D32" s="25" t="s">
        <v>323</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9" cm="1">
        <f t="array" ref="L32">EntericMethane_PastureBeef_Equations.VEERG_3_2_1_1__4_AdditionalIntakeForMilkProductionVariation(F24,F23,$G32,$H32)</f>
        <v>1.01</v>
      </c>
      <c r="M32" s="119" cm="1">
        <f t="array" ref="M32">EntericMethane_PastureBeef_Equations.VEERG_3_2_1_1__4_AdditionalIntakeForMilkProductionVariation(G24,G23,$G32,$H32)</f>
        <v>1</v>
      </c>
      <c r="N32" s="119"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c r="D33" s="25" t="s">
        <v>324</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9" cm="1">
        <f t="array" ref="L33">EntericMethane_PastureBeef_Equations.VEERG_3_2_1_1__4_AdditionalIntakeForMilkProductionVariation(F25,F24,$G33,$H33)</f>
        <v>1.21</v>
      </c>
      <c r="M33" s="119" cm="1">
        <f t="array" ref="M33">EntericMethane_PastureBeef_Equations.VEERG_3_2_1_1__4_AdditionalIntakeForMilkProductionVariation(G25,G24,$G33,$H33)</f>
        <v>1.1499999999999999</v>
      </c>
      <c r="N33" s="119"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c r="C36" s="120"/>
      <c r="D36" s="120"/>
      <c r="E36" s="120"/>
      <c r="F36" s="120"/>
      <c r="G36" s="120"/>
      <c r="H36" s="120"/>
      <c r="I36" s="120"/>
      <c r="J36" s="120"/>
      <c r="K36" s="120"/>
      <c r="L36" s="120"/>
      <c r="M36" s="120"/>
      <c r="N36" s="120"/>
      <c r="O36" s="120"/>
      <c r="P36" s="120"/>
      <c r="Q36" s="120"/>
      <c r="R36" s="120"/>
      <c r="S36" s="120"/>
      <c r="T36" s="120"/>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c r="D38" s="27" t="str" cm="1">
        <f t="array" ref="D38">EntericMethane_PastureBeef_Equations.VEERG_3_2_1_1__3_FeedIntakeForGrazingBeef_Source()</f>
        <v>VEERG 2026: 3.2.1.1, Equation (3)</v>
      </c>
      <c r="K38" s="1" t="s">
        <v>372</v>
      </c>
      <c r="L38" s="1" t="s">
        <v>373</v>
      </c>
      <c r="M38" s="1" t="s">
        <v>374</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c r="D39" s="107" t="s">
        <v>358</v>
      </c>
      <c r="E39" s="107"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row>
    <row r="41" spans="1:36" ht="20.100000000000001" customHeight="1" x14ac:dyDescent="0.25">
      <c r="A41" s="5"/>
      <c r="W41" s="116" t="s">
        <v>375</v>
      </c>
    </row>
    <row r="42" spans="1:36" ht="20.100000000000001" customHeight="1" x14ac:dyDescent="0.25">
      <c r="A42" s="5"/>
      <c r="D42" s="88" t="s">
        <v>360</v>
      </c>
      <c r="E42" s="1" t="str" cm="1">
        <f t="array" ref="E42">EntericMethane_PastureBeef_Equations.VEERG_3_2_1_1__3_FeedIntakeForGrazingBeef_Variable()</f>
        <v>I_jkl</v>
      </c>
      <c r="W42" s="117" t="s">
        <v>376</v>
      </c>
    </row>
    <row r="43" spans="1:36" ht="20.100000000000001" customHeight="1" x14ac:dyDescent="0.25">
      <c r="A43" s="5"/>
      <c r="D43" s="88" t="s">
        <v>128</v>
      </c>
      <c r="E43" s="15" t="str" cm="1">
        <f t="array" ref="E43">EntericMethane_PastureBeef_Equations.VEERG_3_2_1_1__3_FeedIntakeForGrazingBeef_Unit()</f>
        <v>kg DM/head/day</v>
      </c>
      <c r="W43" s="118" t="s">
        <v>73</v>
      </c>
      <c r="X43" s="94" t="s">
        <v>312</v>
      </c>
      <c r="Y43" s="94" t="s">
        <v>198</v>
      </c>
      <c r="Z43" s="94" t="s">
        <v>313</v>
      </c>
      <c r="AA43" s="94" t="s">
        <v>314</v>
      </c>
      <c r="AB43" s="94" t="s">
        <v>315</v>
      </c>
      <c r="AC43" s="94" t="s">
        <v>316</v>
      </c>
      <c r="AD43" s="94" t="s">
        <v>317</v>
      </c>
      <c r="AE43" s="94" t="s">
        <v>318</v>
      </c>
      <c r="AF43" s="94" t="s">
        <v>319</v>
      </c>
      <c r="AG43" s="94" t="s">
        <v>320</v>
      </c>
      <c r="AH43" s="26"/>
    </row>
    <row r="44" spans="1:36" ht="20.100000000000001" customHeight="1" x14ac:dyDescent="0.25">
      <c r="A44" s="5"/>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329</v>
      </c>
    </row>
    <row r="45" spans="1:36" ht="20.100000000000001" customHeight="1" x14ac:dyDescent="0.25">
      <c r="A45" s="5"/>
      <c r="D45" s="109" t="str" cm="1">
        <f t="array" ref="D45:E47">_xlfn.CHOOSECOLS(EntericMethane_PastureBeef_Equations.VEERG_3_2_1_1__3_FeedIntakeForGrazingBeef_Arguments(), 1, 2)</f>
        <v>W_jkl</v>
      </c>
      <c r="E45" s="110" t="str">
        <v>liveweight (kg)</v>
      </c>
      <c r="F45" s="112"/>
      <c r="G45" s="109" t="str" cm="1">
        <f t="array" ref="G45:H47">_xlfn.CHOOSECOLS(EntericMethane_PastureBeef_Equations.VEERG_3_2_1_1__3_FeedIntakeForGrazingBeef_Arguments(), 3,4)</f>
        <v>kg</v>
      </c>
      <c r="H45" s="113" t="str">
        <v>Input</v>
      </c>
      <c r="I45" s="115"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329</v>
      </c>
    </row>
    <row r="46" spans="1:36" ht="20.100000000000001" customHeight="1" x14ac:dyDescent="0.25">
      <c r="A46" s="5"/>
      <c r="D46" s="109" t="str">
        <v>LWG_jkl</v>
      </c>
      <c r="E46" s="110" t="str">
        <v>live weight gain (kg/head/day)</v>
      </c>
      <c r="F46" s="112"/>
      <c r="G46" s="109" t="str">
        <v>kg/head/day</v>
      </c>
      <c r="H46" s="113" t="str">
        <v>Input</v>
      </c>
      <c r="I46" s="115"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329</v>
      </c>
    </row>
    <row r="47" spans="1:36" ht="20.100000000000001" customHeight="1" x14ac:dyDescent="0.25">
      <c r="A47" s="5"/>
      <c r="D47" s="109" t="str">
        <v>MA_jk45</v>
      </c>
      <c r="E47" s="110" t="str">
        <v>additional intake for milk production in cows greater than 2 years</v>
      </c>
      <c r="F47" s="112"/>
      <c r="G47" s="109" t="str">
        <v>kg/head/day</v>
      </c>
      <c r="H47" s="114" t="str">
        <v>Calculated from 3.2.1.1, (4)</v>
      </c>
      <c r="I47" s="115"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329</v>
      </c>
    </row>
    <row r="48" spans="1:36" ht="20.100000000000001" customHeight="1" x14ac:dyDescent="0.25">
      <c r="A48" s="5"/>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329</v>
      </c>
    </row>
    <row r="49" spans="1:36" ht="20.100000000000001" customHeight="1" x14ac:dyDescent="0.25">
      <c r="D49" s="116" t="s">
        <v>377</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329</v>
      </c>
    </row>
    <row r="50" spans="1:36" ht="20.100000000000001" customHeight="1" x14ac:dyDescent="0.25">
      <c r="D50" s="117" t="s">
        <v>378</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329</v>
      </c>
    </row>
    <row r="51" spans="1:36" ht="20.100000000000001" customHeight="1" x14ac:dyDescent="0.25">
      <c r="A51" s="100"/>
      <c r="D51" s="118" t="s">
        <v>74</v>
      </c>
      <c r="E51" s="94" t="s">
        <v>312</v>
      </c>
      <c r="F51" s="94" t="s">
        <v>198</v>
      </c>
      <c r="G51" s="94" t="s">
        <v>313</v>
      </c>
      <c r="H51" s="94" t="s">
        <v>314</v>
      </c>
      <c r="I51" s="94" t="s">
        <v>315</v>
      </c>
      <c r="J51" s="94" t="s">
        <v>316</v>
      </c>
      <c r="K51" s="94" t="s">
        <v>317</v>
      </c>
      <c r="L51" s="94" t="s">
        <v>318</v>
      </c>
      <c r="M51" s="94" t="s">
        <v>319</v>
      </c>
      <c r="N51" s="94" t="s">
        <v>320</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329</v>
      </c>
      <c r="AI51" s="26"/>
      <c r="AJ51" s="26"/>
    </row>
    <row r="52" spans="1:36" ht="20.100000000000001" customHeight="1" x14ac:dyDescent="0.25">
      <c r="A52" s="5"/>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329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329</v>
      </c>
      <c r="AI52" s="26"/>
      <c r="AJ52" s="26"/>
    </row>
    <row r="53" spans="1:36" ht="20.100000000000001" customHeight="1" x14ac:dyDescent="0.25">
      <c r="A53" s="5"/>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329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329</v>
      </c>
      <c r="AI53" s="26"/>
      <c r="AJ53" s="26"/>
    </row>
    <row r="54" spans="1:36" ht="20.100000000000001" customHeight="1" x14ac:dyDescent="0.25">
      <c r="A54" s="5"/>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329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329</v>
      </c>
      <c r="AI54" s="26"/>
      <c r="AJ54" s="26"/>
    </row>
    <row r="55" spans="1:36" ht="20.100000000000001" customHeight="1" x14ac:dyDescent="0.25">
      <c r="A55" s="5"/>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329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329</v>
      </c>
      <c r="AI55" s="26"/>
      <c r="AJ55" s="26"/>
    </row>
    <row r="56" spans="1:36" ht="20.100000000000001" customHeight="1" x14ac:dyDescent="0.25">
      <c r="A56" s="5"/>
      <c r="AI56" s="26"/>
      <c r="AJ56" s="26"/>
    </row>
    <row r="57" spans="1:36" ht="20.100000000000001" customHeight="1" x14ac:dyDescent="0.25">
      <c r="A57" s="5"/>
      <c r="W57" s="116" t="s">
        <v>379</v>
      </c>
      <c r="AI57" s="26"/>
      <c r="AJ57" s="26"/>
    </row>
    <row r="58" spans="1:36" ht="20.100000000000001" customHeight="1" x14ac:dyDescent="0.25">
      <c r="A58" s="5"/>
      <c r="W58" s="117" t="s">
        <v>380</v>
      </c>
      <c r="AI58" s="26"/>
      <c r="AJ58" s="26"/>
    </row>
    <row r="59" spans="1:36" ht="20.100000000000001" customHeight="1" x14ac:dyDescent="0.25">
      <c r="A59" s="5"/>
      <c r="W59" s="118" t="s">
        <v>73</v>
      </c>
      <c r="X59" s="94" t="s">
        <v>312</v>
      </c>
      <c r="Y59" s="94" t="s">
        <v>198</v>
      </c>
      <c r="Z59" s="94" t="s">
        <v>313</v>
      </c>
      <c r="AA59" s="94" t="s">
        <v>314</v>
      </c>
      <c r="AB59" s="94" t="s">
        <v>315</v>
      </c>
      <c r="AC59" s="94" t="s">
        <v>316</v>
      </c>
      <c r="AD59" s="94" t="s">
        <v>317</v>
      </c>
      <c r="AE59" s="94" t="s">
        <v>318</v>
      </c>
      <c r="AF59" s="94" t="s">
        <v>319</v>
      </c>
      <c r="AG59" s="94" t="s">
        <v>320</v>
      </c>
      <c r="AI59" s="26"/>
      <c r="AJ59" s="26"/>
    </row>
    <row r="60" spans="1:36" ht="20.100000000000001" customHeight="1" x14ac:dyDescent="0.25">
      <c r="A60" s="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330</v>
      </c>
      <c r="AI60" s="26"/>
      <c r="AJ60" s="26"/>
    </row>
    <row r="61" spans="1:36" ht="20.100000000000001" customHeight="1" x14ac:dyDescent="0.25">
      <c r="A61" s="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330</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330</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330</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330</v>
      </c>
    </row>
    <row r="65" spans="4:36" ht="20.100000000000001" customHeight="1" x14ac:dyDescent="0.25">
      <c r="D65" s="116" t="s">
        <v>381</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330</v>
      </c>
    </row>
    <row r="66" spans="4:36" ht="20.100000000000001" customHeight="1" x14ac:dyDescent="0.25">
      <c r="D66" s="117" t="s">
        <v>382</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330</v>
      </c>
    </row>
    <row r="67" spans="4:36" ht="20.100000000000001" customHeight="1" x14ac:dyDescent="0.25">
      <c r="D67" s="118" t="s">
        <v>74</v>
      </c>
      <c r="E67" s="94" t="s">
        <v>312</v>
      </c>
      <c r="F67" s="94" t="s">
        <v>198</v>
      </c>
      <c r="G67" s="94" t="s">
        <v>313</v>
      </c>
      <c r="H67" s="94" t="s">
        <v>314</v>
      </c>
      <c r="I67" s="94" t="s">
        <v>315</v>
      </c>
      <c r="J67" s="94" t="s">
        <v>316</v>
      </c>
      <c r="K67" s="94" t="s">
        <v>317</v>
      </c>
      <c r="L67" s="94" t="s">
        <v>318</v>
      </c>
      <c r="M67" s="94" t="s">
        <v>319</v>
      </c>
      <c r="N67" s="94" t="s">
        <v>320</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330</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329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330</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329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330</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329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330</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329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330</v>
      </c>
      <c r="AI71" s="26"/>
      <c r="AJ71" s="26"/>
    </row>
    <row r="72" spans="4:36" ht="20.100000000000001" customHeight="1" x14ac:dyDescent="0.25">
      <c r="AI72" s="26"/>
      <c r="AJ72" s="26"/>
    </row>
    <row r="73" spans="4:36" ht="20.100000000000001" customHeight="1" x14ac:dyDescent="0.25">
      <c r="W73" s="116" t="s">
        <v>383</v>
      </c>
      <c r="AI73" s="26"/>
      <c r="AJ73" s="26"/>
    </row>
    <row r="74" spans="4:36" ht="20.100000000000001" customHeight="1" x14ac:dyDescent="0.25">
      <c r="W74" s="117" t="s">
        <v>384</v>
      </c>
      <c r="AI74" s="26"/>
      <c r="AJ74" s="26"/>
    </row>
    <row r="75" spans="4:36" ht="20.100000000000001" customHeight="1" x14ac:dyDescent="0.25">
      <c r="W75" s="118" t="s">
        <v>73</v>
      </c>
      <c r="X75" s="118" t="s">
        <v>312</v>
      </c>
      <c r="Y75" s="118" t="s">
        <v>198</v>
      </c>
      <c r="Z75" s="118" t="s">
        <v>313</v>
      </c>
      <c r="AA75" s="118" t="s">
        <v>314</v>
      </c>
      <c r="AB75" s="118" t="s">
        <v>315</v>
      </c>
      <c r="AC75" s="118" t="s">
        <v>316</v>
      </c>
      <c r="AD75" s="118" t="s">
        <v>317</v>
      </c>
      <c r="AE75" s="118" t="s">
        <v>318</v>
      </c>
      <c r="AF75" s="118" t="s">
        <v>319</v>
      </c>
      <c r="AG75" s="118" t="s">
        <v>320</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6" t="s">
        <v>385</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7" t="s">
        <v>386</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8" t="s">
        <v>74</v>
      </c>
      <c r="E83" s="118" t="s">
        <v>312</v>
      </c>
      <c r="F83" s="118" t="s">
        <v>198</v>
      </c>
      <c r="G83" s="118" t="s">
        <v>313</v>
      </c>
      <c r="H83" s="118" t="s">
        <v>314</v>
      </c>
      <c r="I83" s="118" t="s">
        <v>315</v>
      </c>
      <c r="J83" s="118" t="s">
        <v>316</v>
      </c>
      <c r="K83" s="118" t="s">
        <v>317</v>
      </c>
      <c r="L83" s="118" t="s">
        <v>318</v>
      </c>
      <c r="M83" s="118" t="s">
        <v>319</v>
      </c>
      <c r="N83" s="118" t="s">
        <v>320</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321</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322</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323</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324</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20"/>
      <c r="D98" s="120"/>
      <c r="E98" s="120"/>
      <c r="F98" s="120"/>
      <c r="G98" s="120"/>
      <c r="H98" s="120"/>
      <c r="I98" s="120"/>
      <c r="J98" s="120"/>
      <c r="K98" s="120"/>
      <c r="L98" s="120"/>
      <c r="M98" s="120"/>
      <c r="N98" s="120"/>
      <c r="O98" s="120"/>
      <c r="P98" s="120"/>
      <c r="Q98" s="120"/>
      <c r="R98" s="120"/>
      <c r="S98" s="120"/>
      <c r="T98" s="120"/>
      <c r="V98" s="120"/>
      <c r="W98" s="120"/>
      <c r="X98" s="120"/>
      <c r="Y98" s="120"/>
      <c r="Z98" s="120"/>
      <c r="AA98" s="120"/>
      <c r="AB98" s="120"/>
      <c r="AC98" s="120"/>
      <c r="AD98" s="120"/>
      <c r="AE98" s="120"/>
      <c r="AF98" s="120"/>
      <c r="AG98" s="120"/>
      <c r="AH98" s="120"/>
      <c r="AI98" s="120"/>
      <c r="AJ98" s="120"/>
      <c r="AK98" s="120"/>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7" t="s">
        <v>358</v>
      </c>
      <c r="E101" s="107"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360</v>
      </c>
      <c r="E105" s="1" t="str" cm="1">
        <f t="array" ref="E105">MMS_PastureBeef_Methane_Equations.VEERG_4_2_1_1__3_VolatileSolidProductionFromGrazingBeef_Variable()</f>
        <v>VS_jkl</v>
      </c>
    </row>
    <row r="106" spans="3:37" ht="20.100000000000001" customHeight="1" x14ac:dyDescent="0.25">
      <c r="D106" s="88" t="s">
        <v>128</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9" t="str" cm="1">
        <f t="array" ref="D108:E110">_xlfn.CHOOSECOLS(MMS_PastureBeef_Methane_Equations.VEERG_4_2_1_1__3_VolatileSolidProductionFromGrazingBeef_Arguments(), 1, 2)</f>
        <v>I_jkl</v>
      </c>
      <c r="E108" s="110" t="str">
        <v>dry matter intake as calculated in Chapter 3 Section 3.2.1</v>
      </c>
      <c r="F108" s="112"/>
      <c r="G108" s="109" t="str" cm="1">
        <f t="array" ref="G108:H110">_xlfn.CHOOSECOLS(MMS_PastureBeef_Methane_Equations.VEERG_4_2_1_1__3_VolatileSolidProductionFromGrazingBeef_Arguments(), 3,4)</f>
        <v>kg/head/day</v>
      </c>
      <c r="H108" s="114" t="str">
        <v>Calculated from 3.2.1.1, (3)</v>
      </c>
      <c r="I108" s="115" t="str" cm="1">
        <f t="array" aca="1" ref="I108" ca="1">HYPERLINK(Common_InputFunctions.Utility_SourceHyperlink($D$81), $D$81)</f>
        <v>M1_Table_I_j_k_l</v>
      </c>
    </row>
    <row r="109" spans="3:37" ht="20.100000000000001" customHeight="1" x14ac:dyDescent="0.25">
      <c r="D109" s="109" t="str">
        <v>DMD_jkl</v>
      </c>
      <c r="E109" s="110" t="str">
        <v>dry matter digestibility expressed as a fraction</v>
      </c>
      <c r="F109" s="112"/>
      <c r="G109" s="109" t="str">
        <v>fraction</v>
      </c>
      <c r="H109" s="113" t="str">
        <v>Input</v>
      </c>
      <c r="I109" s="115" t="str" cm="1">
        <f t="array" aca="1" ref="I109" ca="1">HYPERLINK(Common_InputFunctions.Utility_SourceHyperlink($D$112), $D$112)</f>
        <v>M1_Table_DMD_j_k_l</v>
      </c>
    </row>
    <row r="110" spans="3:37" ht="20.100000000000001" customHeight="1" x14ac:dyDescent="0.25">
      <c r="D110" s="109" t="str">
        <v>A</v>
      </c>
      <c r="E110" s="110" t="str">
        <v>ash content of feed intake expressed as a fraction</v>
      </c>
      <c r="F110" s="112"/>
      <c r="G110" s="109" t="str">
        <v>fraction</v>
      </c>
      <c r="H110" s="114" t="str">
        <v>Constant</v>
      </c>
      <c r="I110" s="109">
        <f>SourceData_PastureBeef_AshContentOfFeedIntake_Data</f>
        <v>0.08</v>
      </c>
    </row>
    <row r="111" spans="3:37" ht="20.100000000000001" customHeight="1" x14ac:dyDescent="0.25"/>
    <row r="112" spans="3:37" ht="20.100000000000001" customHeight="1" x14ac:dyDescent="0.25">
      <c r="D112" s="116" t="s">
        <v>387</v>
      </c>
      <c r="W112" s="116" t="s">
        <v>388</v>
      </c>
    </row>
    <row r="113" spans="4:36" ht="20.100000000000001" customHeight="1" x14ac:dyDescent="0.25">
      <c r="D113" s="117" t="s">
        <v>389</v>
      </c>
      <c r="W113" s="117" t="s">
        <v>390</v>
      </c>
    </row>
    <row r="114" spans="4:36" ht="20.100000000000001" customHeight="1" x14ac:dyDescent="0.25">
      <c r="D114" s="118" t="s">
        <v>74</v>
      </c>
      <c r="E114" s="94" t="s">
        <v>312</v>
      </c>
      <c r="F114" s="94" t="s">
        <v>198</v>
      </c>
      <c r="G114" s="94" t="s">
        <v>313</v>
      </c>
      <c r="H114" s="94" t="s">
        <v>314</v>
      </c>
      <c r="I114" s="94" t="s">
        <v>315</v>
      </c>
      <c r="J114" s="94" t="s">
        <v>316</v>
      </c>
      <c r="K114" s="94" t="s">
        <v>317</v>
      </c>
      <c r="L114" s="94" t="s">
        <v>318</v>
      </c>
      <c r="M114" s="94" t="s">
        <v>319</v>
      </c>
      <c r="N114" s="94" t="s">
        <v>320</v>
      </c>
      <c r="W114" s="118" t="s">
        <v>73</v>
      </c>
      <c r="X114" s="94" t="s">
        <v>312</v>
      </c>
      <c r="Y114" s="94" t="s">
        <v>198</v>
      </c>
      <c r="Z114" s="94" t="s">
        <v>313</v>
      </c>
      <c r="AA114" s="94" t="s">
        <v>314</v>
      </c>
      <c r="AB114" s="94" t="s">
        <v>315</v>
      </c>
      <c r="AC114" s="94" t="s">
        <v>316</v>
      </c>
      <c r="AD114" s="94" t="s">
        <v>317</v>
      </c>
      <c r="AE114" s="94" t="s">
        <v>318</v>
      </c>
      <c r="AF114" s="94" t="s">
        <v>319</v>
      </c>
      <c r="AG114" s="94" t="s">
        <v>320</v>
      </c>
    </row>
    <row r="115" spans="4:36" ht="20.100000000000001" customHeight="1" x14ac:dyDescent="0.25">
      <c r="D115" s="25" t="s">
        <v>321</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332</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332</v>
      </c>
      <c r="AI115" s="26"/>
      <c r="AJ115" s="26"/>
    </row>
    <row r="116" spans="4:36" ht="20.100000000000001" customHeight="1" x14ac:dyDescent="0.25">
      <c r="D116" s="25" t="s">
        <v>322</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332</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332</v>
      </c>
      <c r="AI116" s="26"/>
      <c r="AJ116" s="26"/>
    </row>
    <row r="117" spans="4:36" ht="20.100000000000001" customHeight="1" x14ac:dyDescent="0.25">
      <c r="D117" s="25" t="s">
        <v>323</v>
      </c>
      <c r="E117" s="25">
        <f ca="1"/>
        <v>0.5</v>
      </c>
      <c r="F117" s="25">
        <f ca="1"/>
        <v>0.5</v>
      </c>
      <c r="G117" s="25">
        <f ca="1"/>
        <v>0.5</v>
      </c>
      <c r="H117" s="25">
        <f ca="1"/>
        <v>0.5</v>
      </c>
      <c r="I117" s="25">
        <f ca="1"/>
        <v>0.5</v>
      </c>
      <c r="J117" s="25">
        <f ca="1"/>
        <v>0.5</v>
      </c>
      <c r="K117" s="25">
        <f ca="1"/>
        <v>0.5</v>
      </c>
      <c r="L117" s="25">
        <f ca="1"/>
        <v>0.5</v>
      </c>
      <c r="M117" s="25">
        <f ca="1"/>
        <v>0.5</v>
      </c>
      <c r="N117" s="25">
        <f ca="1"/>
        <v>0.5</v>
      </c>
      <c r="O117" s="26" t="s">
        <v>332</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332</v>
      </c>
      <c r="AI117" s="26"/>
      <c r="AJ117" s="26"/>
    </row>
    <row r="118" spans="4:36" ht="20.100000000000001" customHeight="1" x14ac:dyDescent="0.25">
      <c r="D118" s="25" t="s">
        <v>324</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332</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332</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332</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332</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332</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332</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332</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332</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332</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332</v>
      </c>
      <c r="AI126" s="26"/>
      <c r="AJ126" s="26"/>
    </row>
    <row r="127" spans="4:36" ht="20.100000000000001" customHeight="1" x14ac:dyDescent="0.25"/>
    <row r="128" spans="4:36" ht="20.100000000000001" customHeight="1" x14ac:dyDescent="0.25">
      <c r="D128" s="116" t="s">
        <v>391</v>
      </c>
      <c r="W128" s="116" t="s">
        <v>392</v>
      </c>
    </row>
    <row r="129" spans="4:36" ht="20.100000000000001" customHeight="1" x14ac:dyDescent="0.25">
      <c r="D129" s="117" t="s">
        <v>393</v>
      </c>
      <c r="W129" s="117" t="s">
        <v>394</v>
      </c>
    </row>
    <row r="130" spans="4:36" ht="20.100000000000001" customHeight="1" x14ac:dyDescent="0.25">
      <c r="D130" s="118" t="s">
        <v>74</v>
      </c>
      <c r="E130" s="118" t="s">
        <v>312</v>
      </c>
      <c r="F130" s="118" t="s">
        <v>198</v>
      </c>
      <c r="G130" s="118" t="s">
        <v>313</v>
      </c>
      <c r="H130" s="118" t="s">
        <v>314</v>
      </c>
      <c r="I130" s="118" t="s">
        <v>315</v>
      </c>
      <c r="J130" s="118" t="s">
        <v>316</v>
      </c>
      <c r="K130" s="118" t="s">
        <v>317</v>
      </c>
      <c r="L130" s="118" t="s">
        <v>318</v>
      </c>
      <c r="M130" s="118" t="s">
        <v>319</v>
      </c>
      <c r="N130" s="118" t="s">
        <v>320</v>
      </c>
      <c r="W130" s="118" t="s">
        <v>73</v>
      </c>
      <c r="X130" s="118" t="s">
        <v>312</v>
      </c>
      <c r="Y130" s="118" t="s">
        <v>198</v>
      </c>
      <c r="Z130" s="118" t="s">
        <v>313</v>
      </c>
      <c r="AA130" s="118" t="s">
        <v>314</v>
      </c>
      <c r="AB130" s="118" t="s">
        <v>315</v>
      </c>
      <c r="AC130" s="118" t="s">
        <v>316</v>
      </c>
      <c r="AD130" s="118" t="s">
        <v>317</v>
      </c>
      <c r="AE130" s="118" t="s">
        <v>318</v>
      </c>
      <c r="AF130" s="118" t="s">
        <v>319</v>
      </c>
      <c r="AG130" s="118" t="s">
        <v>320</v>
      </c>
    </row>
    <row r="131" spans="4:36" ht="20.100000000000001" customHeight="1" x14ac:dyDescent="0.25">
      <c r="D131" s="25" t="s">
        <v>321</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322</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323</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324</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20"/>
      <c r="D145" s="120"/>
      <c r="E145" s="120"/>
      <c r="F145" s="120"/>
      <c r="G145" s="120"/>
      <c r="H145" s="120"/>
      <c r="I145" s="120"/>
      <c r="J145" s="120"/>
      <c r="K145" s="120"/>
      <c r="L145" s="120"/>
      <c r="M145" s="120"/>
      <c r="N145" s="120"/>
      <c r="O145" s="120"/>
      <c r="P145" s="120"/>
      <c r="Q145" s="120"/>
      <c r="R145" s="120"/>
      <c r="S145" s="120"/>
      <c r="T145" s="120"/>
      <c r="V145" s="120"/>
      <c r="W145" s="120"/>
      <c r="X145" s="120"/>
      <c r="Y145" s="120"/>
      <c r="Z145" s="120"/>
      <c r="AA145" s="120"/>
      <c r="AB145" s="120"/>
      <c r="AC145" s="120"/>
      <c r="AD145" s="120"/>
      <c r="AE145" s="120"/>
      <c r="AF145" s="120"/>
      <c r="AG145" s="120"/>
      <c r="AH145" s="120"/>
      <c r="AI145" s="120"/>
      <c r="AJ145" s="120"/>
      <c r="AK145" s="120"/>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7" t="s">
        <v>358</v>
      </c>
      <c r="E148" s="107"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360</v>
      </c>
      <c r="E151" s="1" t="str" cm="1">
        <f t="array" ref="E151">MMS_PastureBeef_Methane_Equations.VEERG_4_2_1_1__2_MethaneProductionFromManure_Variable()</f>
        <v>M_jklm</v>
      </c>
    </row>
    <row r="152" spans="3:37" ht="20.100000000000001" customHeight="1" x14ac:dyDescent="0.25">
      <c r="D152" s="88" t="s">
        <v>128</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9" t="str" cm="1">
        <f t="array" ref="D154:E160">_xlfn.CHOOSECOLS(MMS_PastureBeef_Methane_Equations.VEERG_4_2_1_1__2_MethaneProductionFromManure_Arguments(), 1, 2)</f>
        <v>VS_jkl</v>
      </c>
      <c r="E154" s="110" t="str">
        <v>volatile solid production</v>
      </c>
      <c r="F154" s="112"/>
      <c r="G154" s="109" t="str" cm="1">
        <f t="array" ref="G154:H160">_xlfn.CHOOSECOLS(MMS_PastureBeef_Methane_Equations.VEERG_4_2_1_1__2_MethaneProductionFromManure_Arguments(), 3,4)</f>
        <v>kg/day</v>
      </c>
      <c r="H154" s="114" t="str">
        <v>Calculated from 4.2.1.1 (3)</v>
      </c>
      <c r="I154" s="115" t="str" cm="1">
        <f t="array" aca="1" ref="I154" ca="1">HYPERLINK(Common_InputFunctions.Utility_SourceHyperlink($D$128), $D$128)</f>
        <v>M1_Table_VS_j_k_l</v>
      </c>
      <c r="W154" s="109" t="str" cm="1">
        <f t="array" ref="W154:X159">_xlfn.CHOOSECOLS(MMS_PastureBeef_Methane_Equations.VEERG_4_2_1_1__2_MethaneProductionFromManure_Arguments_Method2(), 1, 2)</f>
        <v>VS_jkl</v>
      </c>
      <c r="X154" s="110" t="str">
        <v>volatile solid production</v>
      </c>
      <c r="Y154" s="112"/>
      <c r="Z154" s="109" t="str" cm="1">
        <f t="array" ref="Z154:AA159">_xlfn.CHOOSECOLS(MMS_PastureBeef_Methane_Equations.VEERG_4_2_1_1__2_MethaneProductionFromManure_Arguments_Method2(), 3,4)</f>
        <v>kg/day</v>
      </c>
      <c r="AA154" s="114" t="str">
        <v>Calculated from 4.2.1.1 (3)</v>
      </c>
      <c r="AB154" s="115"/>
    </row>
    <row r="155" spans="3:37" ht="20.100000000000001" customHeight="1" x14ac:dyDescent="0.25">
      <c r="D155" s="109" t="str">
        <v>B_o</v>
      </c>
      <c r="E155" s="110" t="str">
        <v>emissions potential</v>
      </c>
      <c r="F155" s="112"/>
      <c r="G155" s="109" t="str">
        <v>m3 CH4/kg VS</v>
      </c>
      <c r="H155" s="114" t="str">
        <v>Constant</v>
      </c>
      <c r="I155" s="109">
        <f>SourceData_PastureBeef_MethaneEmissionsPotential_Data</f>
        <v>0.19</v>
      </c>
      <c r="W155" s="109" t="str">
        <v>B_o</v>
      </c>
      <c r="X155" s="110" t="str">
        <v>emissions potential</v>
      </c>
      <c r="Y155" s="112"/>
      <c r="Z155" s="109" t="str">
        <v>m3 CH4/kg VS</v>
      </c>
      <c r="AA155" s="114" t="str">
        <v>Constant</v>
      </c>
      <c r="AB155" s="109"/>
    </row>
    <row r="156" spans="3:37" ht="20.100000000000001" customHeight="1" x14ac:dyDescent="0.25">
      <c r="D156" s="109" t="str">
        <v>MMS_m</v>
      </c>
      <c r="E156" s="110" t="str">
        <v>fraction of waste in each manure management system</v>
      </c>
      <c r="F156" s="112"/>
      <c r="G156" s="109" t="str">
        <v>fraction</v>
      </c>
      <c r="H156" s="113" t="str">
        <v>Input</v>
      </c>
      <c r="I156" s="115" t="str" cm="1">
        <f t="array" aca="1" ref="I156" ca="1">HYPERLINK(Common_InputFunctions.Utility_SourceHyperlink($D$162), $D$162)</f>
        <v>Table_MMS_m</v>
      </c>
      <c r="W156" s="109" t="str">
        <v>MMS_m</v>
      </c>
      <c r="X156" s="110" t="str">
        <v>fraction of waste in each manure management system</v>
      </c>
      <c r="Y156" s="112"/>
      <c r="Z156" s="109" t="str">
        <v>fraction</v>
      </c>
      <c r="AA156" s="113" t="str">
        <v>Input</v>
      </c>
      <c r="AB156" s="115"/>
    </row>
    <row r="157" spans="3:37" ht="20.100000000000001" customHeight="1" x14ac:dyDescent="0.25">
      <c r="D157" s="109" t="str">
        <v>MCF_im</v>
      </c>
      <c r="E157" s="110" t="str">
        <v>methane conversion factor for temperature zone and MMS</v>
      </c>
      <c r="F157" s="112"/>
      <c r="G157" s="109" t="str">
        <v>fraction</v>
      </c>
      <c r="H157" s="114" t="str">
        <v>Constant</v>
      </c>
      <c r="I157" s="115" t="str" cm="1">
        <f t="array" aca="1" ref="I157" ca="1">HYPERLINK(Common_InputFunctions.Utility_SourceHyperlink($D$168), $D$168)</f>
        <v>M1_Table_MCF_i_m</v>
      </c>
      <c r="W157" s="109" t="str">
        <v>MCF_im</v>
      </c>
      <c r="X157" s="110" t="str">
        <v>methane conversion factor for temperature zone and MMS</v>
      </c>
      <c r="Y157" s="112"/>
      <c r="Z157" s="109" t="str">
        <v>fraction</v>
      </c>
      <c r="AA157" s="114" t="str">
        <v>Constant</v>
      </c>
      <c r="AB157" s="115"/>
    </row>
    <row r="158" spans="3:37" ht="20.100000000000001" customHeight="1" x14ac:dyDescent="0.25">
      <c r="D158" s="109" t="str">
        <v>rho</v>
      </c>
      <c r="E158" s="110" t="str">
        <v>density of methane</v>
      </c>
      <c r="F158" s="112"/>
      <c r="G158" s="109" t="str">
        <v>kg/m3</v>
      </c>
      <c r="H158" s="114" t="str">
        <v>Constant</v>
      </c>
      <c r="I158" s="109">
        <f>Common_SourceData_DensityOfMethane_Data</f>
        <v>0.6784</v>
      </c>
      <c r="W158" s="109" t="str">
        <v>rho</v>
      </c>
      <c r="X158" s="110" t="str">
        <v>density of methane</v>
      </c>
      <c r="Y158" s="112"/>
      <c r="Z158" s="109" t="str">
        <v>kg/m3</v>
      </c>
      <c r="AA158" s="114" t="str">
        <v>Constant</v>
      </c>
      <c r="AB158" s="109"/>
    </row>
    <row r="159" spans="3:37" ht="20.100000000000001" customHeight="1" x14ac:dyDescent="0.25">
      <c r="D159" s="109" t="str">
        <v>i</v>
      </c>
      <c r="E159" s="110" t="str">
        <v>state</v>
      </c>
      <c r="F159" s="112"/>
      <c r="G159" s="109" t="str">
        <v/>
      </c>
      <c r="H159" s="113" t="str">
        <v>Input</v>
      </c>
      <c r="I159" s="109" t="str">
        <f>X_Cell_Site_State</f>
        <v>Western Australia</v>
      </c>
      <c r="W159" s="109" t="str">
        <v>MAT</v>
      </c>
      <c r="X159" s="110" t="str">
        <v>Mean annual temperature</v>
      </c>
      <c r="Y159" s="112"/>
      <c r="Z159" s="109" t="str">
        <v>°C</v>
      </c>
      <c r="AA159" s="113" t="str">
        <v>Input</v>
      </c>
      <c r="AB159" s="109">
        <f>X_Cell_Site_AverageTemperature</f>
        <v>18</v>
      </c>
    </row>
    <row r="160" spans="3:37" ht="20.100000000000001" customHeight="1" x14ac:dyDescent="0.25">
      <c r="D160" s="109" t="str">
        <v>i</v>
      </c>
      <c r="E160" s="110" t="str">
        <v>region</v>
      </c>
      <c r="F160" s="112"/>
      <c r="G160" s="109" t="str">
        <v/>
      </c>
      <c r="H160" s="113" t="str">
        <v>Input</v>
      </c>
      <c r="I160" s="109" t="str">
        <f>X_Cell_PastureBeef_ProductionRegion</f>
        <v>South West</v>
      </c>
    </row>
    <row r="161" spans="4:34" ht="20.100000000000001" customHeight="1" x14ac:dyDescent="0.25"/>
    <row r="162" spans="4:34" ht="20.100000000000001" customHeight="1" x14ac:dyDescent="0.25">
      <c r="D162" s="116" t="s">
        <v>395</v>
      </c>
    </row>
    <row r="163" spans="4:34" ht="20.100000000000001" customHeight="1" x14ac:dyDescent="0.25">
      <c r="D163" s="117" t="s">
        <v>396</v>
      </c>
    </row>
    <row r="164" spans="4:34" ht="20.100000000000001" customHeight="1" x14ac:dyDescent="0.25">
      <c r="D164" s="118" t="s">
        <v>397</v>
      </c>
      <c r="E164" s="94" t="s">
        <v>398</v>
      </c>
      <c r="F164" s="26" t="s">
        <v>332</v>
      </c>
    </row>
    <row r="165" spans="4:34" ht="20.100000000000001" customHeight="1" x14ac:dyDescent="0.25">
      <c r="D165" s="25" t="str">
        <f>'Input - Pasture Beef'!$D$152</f>
        <v>Pasture range and paddock</v>
      </c>
      <c r="E165" s="25">
        <f>X_Cell_PastureBeef_CalculatedMMSPastureRangeAndPaddock</f>
        <v>0.99621999999999999</v>
      </c>
      <c r="F165" s="26" t="s">
        <v>332</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16" t="s">
        <v>399</v>
      </c>
      <c r="W168" s="116" t="s">
        <v>400</v>
      </c>
    </row>
    <row r="169" spans="4:34" ht="20.100000000000001" customHeight="1" x14ac:dyDescent="0.25">
      <c r="D169" s="117" t="s">
        <v>401</v>
      </c>
      <c r="W169" s="117" t="s">
        <v>402</v>
      </c>
    </row>
    <row r="170" spans="4:34" ht="20.100000000000001" customHeight="1" x14ac:dyDescent="0.25">
      <c r="D170" s="118" t="s">
        <v>397</v>
      </c>
      <c r="E170" s="118" t="s">
        <v>403</v>
      </c>
      <c r="W170" s="118" t="s">
        <v>397</v>
      </c>
      <c r="X170" s="118" t="s">
        <v>403</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6" t="s">
        <v>404</v>
      </c>
      <c r="W174" s="116" t="s">
        <v>405</v>
      </c>
    </row>
    <row r="175" spans="4:34" ht="20.100000000000001" customHeight="1" x14ac:dyDescent="0.25">
      <c r="D175" s="117" t="s">
        <v>406</v>
      </c>
      <c r="W175" s="117" t="s">
        <v>407</v>
      </c>
    </row>
    <row r="176" spans="4:34" ht="20.100000000000001" customHeight="1" x14ac:dyDescent="0.25">
      <c r="D176" s="118" t="s">
        <v>397</v>
      </c>
      <c r="E176" s="118" t="s">
        <v>74</v>
      </c>
      <c r="F176" s="118" t="s">
        <v>312</v>
      </c>
      <c r="G176" s="118" t="s">
        <v>198</v>
      </c>
      <c r="H176" s="118" t="s">
        <v>313</v>
      </c>
      <c r="I176" s="118" t="s">
        <v>314</v>
      </c>
      <c r="J176" s="118" t="s">
        <v>315</v>
      </c>
      <c r="K176" s="118" t="s">
        <v>316</v>
      </c>
      <c r="L176" s="118" t="s">
        <v>317</v>
      </c>
      <c r="M176" s="118" t="s">
        <v>318</v>
      </c>
      <c r="N176" s="118" t="s">
        <v>319</v>
      </c>
      <c r="O176" s="118" t="s">
        <v>320</v>
      </c>
      <c r="W176" s="118" t="s">
        <v>397</v>
      </c>
      <c r="X176" s="118" t="s">
        <v>73</v>
      </c>
      <c r="Y176" s="118" t="s">
        <v>312</v>
      </c>
      <c r="Z176" s="118" t="s">
        <v>198</v>
      </c>
      <c r="AA176" s="118" t="s">
        <v>313</v>
      </c>
      <c r="AB176" s="118" t="s">
        <v>314</v>
      </c>
      <c r="AC176" s="118" t="s">
        <v>315</v>
      </c>
      <c r="AD176" s="118" t="s">
        <v>316</v>
      </c>
      <c r="AE176" s="118" t="s">
        <v>317</v>
      </c>
      <c r="AF176" s="118" t="s">
        <v>318</v>
      </c>
      <c r="AG176" s="118" t="s">
        <v>319</v>
      </c>
      <c r="AH176" s="118" t="s">
        <v>320</v>
      </c>
    </row>
    <row r="177" spans="4:36" ht="20.100000000000001" customHeight="1" x14ac:dyDescent="0.25">
      <c r="D177" s="25" t="str">
        <f>'Input - Pasture Beef'!$D$152</f>
        <v>Pasture range and paddock</v>
      </c>
      <c r="E177" s="25" t="s">
        <v>321</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322</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323</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324</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321</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322</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323</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324</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20"/>
      <c r="D203" s="120"/>
      <c r="E203" s="120"/>
      <c r="F203" s="120"/>
      <c r="G203" s="120"/>
      <c r="H203" s="120"/>
      <c r="I203" s="120"/>
      <c r="J203" s="120"/>
      <c r="K203" s="120"/>
      <c r="L203" s="120"/>
      <c r="M203" s="120"/>
      <c r="N203" s="120"/>
      <c r="O203" s="120"/>
      <c r="P203" s="120"/>
      <c r="Q203" s="120"/>
      <c r="R203" s="120"/>
      <c r="S203" s="120"/>
      <c r="T203" s="120"/>
      <c r="V203" s="120"/>
      <c r="W203" s="120"/>
      <c r="X203" s="120"/>
      <c r="Y203" s="120"/>
      <c r="Z203" s="120"/>
      <c r="AA203" s="120"/>
      <c r="AB203" s="120"/>
      <c r="AC203" s="120"/>
      <c r="AD203" s="120"/>
      <c r="AE203" s="120"/>
      <c r="AF203" s="120"/>
      <c r="AG203" s="120"/>
      <c r="AH203" s="120"/>
      <c r="AI203" s="120"/>
      <c r="AJ203" s="120"/>
      <c r="AK203" s="120"/>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7" t="s">
        <v>358</v>
      </c>
      <c r="E206" s="107"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360</v>
      </c>
      <c r="E209" s="1" t="str" cm="1">
        <f t="array" ref="E209">MMS_PastureBeef_Methane_Equations.VEERG_4_2_1_1__1_TotalAnnualMethaneProductionFromManureManagement_Variable()</f>
        <v>E_CH4</v>
      </c>
    </row>
    <row r="210" spans="4:34" ht="20.100000000000001" customHeight="1" x14ac:dyDescent="0.25">
      <c r="D210" s="88" t="s">
        <v>128</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9" t="str" cm="1">
        <f t="array" ref="D212:E214">_xlfn.CHOOSECOLS(MMS_PastureBeef_Methane_Equations.VEERG_4_2_1_1__1_TotalAnnualMethaneProductionFromManureManagement_Arguments(), 1, 2)</f>
        <v>N_jkl</v>
      </c>
      <c r="E212" s="110" t="str">
        <v>number of beef cattle in each time-period, class and subclass</v>
      </c>
      <c r="F212" s="112"/>
      <c r="G212" s="109" t="str" cm="1">
        <f t="array" ref="G212:H214">_xlfn.CHOOSECOLS(MMS_PastureBeef_Methane_Equations.VEERG_4_2_1_1__1_TotalAnnualMethaneProductionFromManureManagement_Arguments(), 3,4)</f>
        <v>head</v>
      </c>
      <c r="H212" s="113" t="str">
        <v>Input</v>
      </c>
      <c r="I212" s="115" t="str" cm="1">
        <f t="array" aca="1" ref="I212" ca="1">HYPERLINK(Common_InputFunctions.Utility_SourceHyperlink($D$216), $D$216)</f>
        <v>M1_Table_N_j_k_l</v>
      </c>
    </row>
    <row r="213" spans="4:34" ht="20.100000000000001" customHeight="1" x14ac:dyDescent="0.25">
      <c r="D213" s="109" t="str">
        <v>M_jklm</v>
      </c>
      <c r="E213" s="110" t="str">
        <v>methane production from manure in each time-period, class, subclass and MMS</v>
      </c>
      <c r="F213" s="112"/>
      <c r="G213" s="109" t="str">
        <v>kg/head/day</v>
      </c>
      <c r="H213" s="114" t="str">
        <v>Calculated from 4.2.1.1 (2)</v>
      </c>
      <c r="I213" s="115" t="str" cm="1">
        <f t="array" aca="1" ref="I213" ca="1">HYPERLINK(Common_InputFunctions.Utility_SourceHyperlink($D$174), $D$174)</f>
        <v>M1_Table_M_j_k_l_m</v>
      </c>
    </row>
    <row r="214" spans="4:34" ht="20.100000000000001" customHeight="1" x14ac:dyDescent="0.25">
      <c r="D214" s="109" t="str">
        <v>D_j</v>
      </c>
      <c r="E214" s="110" t="str">
        <v>number of days in each time-period for each input class</v>
      </c>
      <c r="F214" s="112"/>
      <c r="G214" s="109" t="str">
        <v>days</v>
      </c>
      <c r="H214" s="113" t="str">
        <v>Input</v>
      </c>
      <c r="I214" s="115" t="str" cm="1">
        <f t="array" aca="1" ref="I214" ca="1">HYPERLINK(Common_InputFunctions.Utility_SourceHyperlink($D$224), $D$224)</f>
        <v>M1_Table_D_j</v>
      </c>
    </row>
    <row r="215" spans="4:34" ht="20.100000000000001" customHeight="1" x14ac:dyDescent="0.25"/>
    <row r="216" spans="4:34" ht="20.100000000000001" customHeight="1" x14ac:dyDescent="0.25">
      <c r="D216" s="116" t="s">
        <v>408</v>
      </c>
      <c r="W216" s="116" t="s">
        <v>409</v>
      </c>
    </row>
    <row r="217" spans="4:34" ht="20.100000000000001" customHeight="1" x14ac:dyDescent="0.25">
      <c r="D217" s="117" t="s">
        <v>410</v>
      </c>
      <c r="W217" s="117" t="s">
        <v>411</v>
      </c>
    </row>
    <row r="218" spans="4:34" ht="20.100000000000001" customHeight="1" x14ac:dyDescent="0.25">
      <c r="D218" s="118" t="s">
        <v>74</v>
      </c>
      <c r="E218" s="94" t="s">
        <v>312</v>
      </c>
      <c r="F218" s="94" t="s">
        <v>198</v>
      </c>
      <c r="G218" s="94" t="s">
        <v>313</v>
      </c>
      <c r="H218" s="94" t="s">
        <v>314</v>
      </c>
      <c r="I218" s="94" t="s">
        <v>315</v>
      </c>
      <c r="J218" s="94" t="s">
        <v>316</v>
      </c>
      <c r="K218" s="94" t="s">
        <v>317</v>
      </c>
      <c r="L218" s="94" t="s">
        <v>318</v>
      </c>
      <c r="M218" s="94" t="s">
        <v>319</v>
      </c>
      <c r="N218" s="94" t="s">
        <v>320</v>
      </c>
      <c r="W218" s="118" t="s">
        <v>73</v>
      </c>
      <c r="X218" s="94" t="s">
        <v>312</v>
      </c>
      <c r="Y218" s="94" t="s">
        <v>198</v>
      </c>
      <c r="Z218" s="94" t="s">
        <v>313</v>
      </c>
      <c r="AA218" s="94" t="s">
        <v>314</v>
      </c>
      <c r="AB218" s="94" t="s">
        <v>315</v>
      </c>
      <c r="AC218" s="94" t="s">
        <v>316</v>
      </c>
      <c r="AD218" s="94" t="s">
        <v>317</v>
      </c>
      <c r="AE218" s="94" t="s">
        <v>318</v>
      </c>
      <c r="AF218" s="94" t="s">
        <v>319</v>
      </c>
      <c r="AG218" s="94" t="s">
        <v>320</v>
      </c>
      <c r="AH218" s="26"/>
    </row>
    <row r="219" spans="4:34" ht="20.100000000000001" customHeight="1" x14ac:dyDescent="0.25">
      <c r="D219" s="25" t="s">
        <v>321</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412</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326</v>
      </c>
    </row>
    <row r="220" spans="4:34" ht="20.100000000000001" customHeight="1" x14ac:dyDescent="0.25">
      <c r="D220" s="25" t="s">
        <v>322</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412</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326</v>
      </c>
    </row>
    <row r="221" spans="4:34" ht="20.100000000000001" customHeight="1" x14ac:dyDescent="0.25">
      <c r="D221" s="25" t="s">
        <v>323</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412</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326</v>
      </c>
    </row>
    <row r="222" spans="4:34" ht="20.100000000000001" customHeight="1" x14ac:dyDescent="0.25">
      <c r="D222" s="25" t="s">
        <v>324</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412</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326</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326</v>
      </c>
    </row>
    <row r="224" spans="4:34" ht="20.100000000000001" customHeight="1" x14ac:dyDescent="0.25">
      <c r="D224" s="116" t="s">
        <v>413</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326</v>
      </c>
    </row>
    <row r="225" spans="4:34" ht="20.100000000000001" customHeight="1" x14ac:dyDescent="0.25">
      <c r="D225" s="117" t="s">
        <v>414</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326</v>
      </c>
    </row>
    <row r="226" spans="4:34" ht="20.100000000000001" customHeight="1" x14ac:dyDescent="0.25">
      <c r="D226" s="118" t="s">
        <v>74</v>
      </c>
      <c r="E226" s="94" t="s">
        <v>312</v>
      </c>
      <c r="F226" s="94" t="s">
        <v>198</v>
      </c>
      <c r="G226" s="94" t="s">
        <v>313</v>
      </c>
      <c r="H226" s="94" t="s">
        <v>314</v>
      </c>
      <c r="I226" s="94" t="s">
        <v>315</v>
      </c>
      <c r="J226" s="94" t="s">
        <v>316</v>
      </c>
      <c r="K226" s="94" t="s">
        <v>317</v>
      </c>
      <c r="L226" s="94" t="s">
        <v>318</v>
      </c>
      <c r="M226" s="94" t="s">
        <v>319</v>
      </c>
      <c r="N226" s="94" t="s">
        <v>320</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326</v>
      </c>
    </row>
    <row r="227" spans="4:34" ht="20.100000000000001" customHeight="1" x14ac:dyDescent="0.25">
      <c r="D227" s="25" t="s">
        <v>321</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326</v>
      </c>
    </row>
    <row r="228" spans="4:34" ht="20.100000000000001" customHeight="1" x14ac:dyDescent="0.25">
      <c r="D228" s="25" t="s">
        <v>322</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326</v>
      </c>
    </row>
    <row r="229" spans="4:34" ht="20.100000000000001" customHeight="1" x14ac:dyDescent="0.25">
      <c r="D229" s="25" t="s">
        <v>323</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326</v>
      </c>
    </row>
    <row r="230" spans="4:34" ht="20.100000000000001" customHeight="1" x14ac:dyDescent="0.25">
      <c r="D230" s="25" t="s">
        <v>324</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326</v>
      </c>
    </row>
    <row r="231" spans="4:34" ht="20.100000000000001" customHeight="1" x14ac:dyDescent="0.25"/>
    <row r="232" spans="4:34" ht="20.100000000000001" customHeight="1" x14ac:dyDescent="0.25">
      <c r="D232" s="116" t="s">
        <v>416</v>
      </c>
      <c r="W232" s="116" t="s">
        <v>417</v>
      </c>
    </row>
    <row r="233" spans="4:34" ht="20.100000000000001" customHeight="1" x14ac:dyDescent="0.25">
      <c r="D233" s="117" t="s">
        <v>418</v>
      </c>
      <c r="W233" s="117" t="s">
        <v>419</v>
      </c>
    </row>
    <row r="234" spans="4:34" ht="20.100000000000001" customHeight="1" x14ac:dyDescent="0.25">
      <c r="D234" s="118" t="s">
        <v>397</v>
      </c>
      <c r="E234" s="118" t="s">
        <v>74</v>
      </c>
      <c r="F234" s="118" t="s">
        <v>312</v>
      </c>
      <c r="G234" s="118" t="s">
        <v>198</v>
      </c>
      <c r="H234" s="118" t="s">
        <v>313</v>
      </c>
      <c r="I234" s="118" t="s">
        <v>314</v>
      </c>
      <c r="J234" s="118" t="s">
        <v>315</v>
      </c>
      <c r="K234" s="118" t="s">
        <v>316</v>
      </c>
      <c r="L234" s="118" t="s">
        <v>317</v>
      </c>
      <c r="M234" s="118" t="s">
        <v>318</v>
      </c>
      <c r="N234" s="118" t="s">
        <v>319</v>
      </c>
      <c r="O234" s="118" t="s">
        <v>320</v>
      </c>
      <c r="W234" s="118" t="s">
        <v>73</v>
      </c>
      <c r="X234" s="94" t="s">
        <v>312</v>
      </c>
      <c r="Y234" s="94" t="s">
        <v>198</v>
      </c>
      <c r="Z234" s="94" t="s">
        <v>313</v>
      </c>
      <c r="AA234" s="94" t="s">
        <v>314</v>
      </c>
      <c r="AB234" s="94" t="s">
        <v>315</v>
      </c>
      <c r="AC234" s="94" t="s">
        <v>316</v>
      </c>
      <c r="AD234" s="94" t="s">
        <v>317</v>
      </c>
      <c r="AE234" s="94" t="s">
        <v>318</v>
      </c>
      <c r="AF234" s="94" t="s">
        <v>319</v>
      </c>
      <c r="AG234" s="94" t="s">
        <v>320</v>
      </c>
      <c r="AH234" s="26"/>
    </row>
    <row r="235" spans="4:34" ht="20.100000000000001" customHeight="1" x14ac:dyDescent="0.25">
      <c r="D235" s="25" t="str">
        <f>'Input - Pasture Beef'!$D$152</f>
        <v>Pasture range and paddock</v>
      </c>
      <c r="E235" s="25" t="s">
        <v>321</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415</v>
      </c>
    </row>
    <row r="236" spans="4:34" ht="20.100000000000001" customHeight="1" x14ac:dyDescent="0.25">
      <c r="D236" s="25" t="str">
        <f>'Input - Pasture Beef'!$D$152</f>
        <v>Pasture range and paddock</v>
      </c>
      <c r="E236" s="25" t="s">
        <v>322</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415</v>
      </c>
    </row>
    <row r="237" spans="4:34" ht="20.100000000000001" customHeight="1" x14ac:dyDescent="0.25">
      <c r="D237" s="25" t="str">
        <f>'Input - Pasture Beef'!$D$152</f>
        <v>Pasture range and paddock</v>
      </c>
      <c r="E237" s="25" t="s">
        <v>323</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415</v>
      </c>
    </row>
    <row r="238" spans="4:34" ht="20.100000000000001" customHeight="1" x14ac:dyDescent="0.25">
      <c r="D238" s="25" t="str">
        <f>'Input - Pasture Beef'!$D$152</f>
        <v>Pasture range and paddock</v>
      </c>
      <c r="E238" s="25" t="s">
        <v>324</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415</v>
      </c>
    </row>
    <row r="239" spans="4:34" ht="20.100000000000001" customHeight="1" x14ac:dyDescent="0.25">
      <c r="D239" s="25" t="str">
        <f>'Input - Pasture Beef'!$D$153</f>
        <v>Anaerobic lagoon</v>
      </c>
      <c r="E239" s="25" t="s">
        <v>321</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415</v>
      </c>
    </row>
    <row r="240" spans="4:34" ht="20.100000000000001" customHeight="1" x14ac:dyDescent="0.25">
      <c r="D240" s="25" t="str">
        <f>'Input - Pasture Beef'!$D$153</f>
        <v>Anaerobic lagoon</v>
      </c>
      <c r="E240" s="25" t="s">
        <v>322</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415</v>
      </c>
    </row>
    <row r="241" spans="4:36" ht="20.100000000000001" customHeight="1" x14ac:dyDescent="0.25">
      <c r="D241" s="25" t="str">
        <f>'Input - Pasture Beef'!$D$153</f>
        <v>Anaerobic lagoon</v>
      </c>
      <c r="E241" s="25" t="s">
        <v>323</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415</v>
      </c>
    </row>
    <row r="242" spans="4:36" ht="20.100000000000001" customHeight="1" x14ac:dyDescent="0.25">
      <c r="D242" s="25" t="str">
        <f>'Input - Pasture Beef'!$D$153</f>
        <v>Anaerobic lagoon</v>
      </c>
      <c r="E242" s="25" t="s">
        <v>324</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415</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415</v>
      </c>
    </row>
    <row r="244" spans="4:36" ht="20.100000000000001" customHeight="1" x14ac:dyDescent="0.25">
      <c r="D244" s="121" t="s">
        <v>420</v>
      </c>
      <c r="E244" s="122">
        <f ca="1">SUM(F235:O242)</f>
        <v>0.88628531326724402</v>
      </c>
      <c r="F244" s="123"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415</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415</v>
      </c>
    </row>
    <row r="246" spans="4:36" ht="20.100000000000001" customHeight="1" x14ac:dyDescent="0.25">
      <c r="D246" s="124" t="str" cm="1">
        <f t="array" ref="D246:E247">Common_Equations.Common_ConvertCH4ToCO2e_Arguments()</f>
        <v>ECH4</v>
      </c>
      <c r="E246" s="125" t="str">
        <v>Methane emissions (t CH4)</v>
      </c>
      <c r="F246" s="126"/>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415</v>
      </c>
    </row>
    <row r="247" spans="4:36" ht="20.100000000000001" customHeight="1" x14ac:dyDescent="0.25">
      <c r="D247" s="124" t="str">
        <v>GWPCH4</v>
      </c>
      <c r="E247" s="125" t="str">
        <v>Global warming potential for methane (t CO2-e / t CH4)</v>
      </c>
      <c r="F247" s="126"/>
      <c r="G247" s="25">
        <f>Common_InputFunctions.Utility_LookupValueInTableNumber("CH4",Table_GWPData[Gas],Table_GWPData[CO2-e factor])</f>
        <v>28</v>
      </c>
    </row>
    <row r="248" spans="4:36" ht="20.100000000000001" customHeight="1" x14ac:dyDescent="0.25">
      <c r="W248" s="116" t="s">
        <v>421</v>
      </c>
    </row>
    <row r="249" spans="4:36" ht="20.100000000000001" customHeight="1" x14ac:dyDescent="0.25">
      <c r="D249" s="120" t="s">
        <v>422</v>
      </c>
      <c r="E249" s="120" cm="1">
        <f t="array" aca="1" ref="E249" ca="1">Common_Equations.Common_ConvertN2OToCO2e(G246,G247)</f>
        <v>24.815988771482832</v>
      </c>
      <c r="F249" s="127" t="str" cm="1">
        <f t="array" ref="F249">Common_Equations.Common_ConvertN2OToCO2e_Unit()</f>
        <v>t CO2e</v>
      </c>
      <c r="W249" s="117" t="s">
        <v>423</v>
      </c>
    </row>
    <row r="250" spans="4:36" ht="20.100000000000001" customHeight="1" x14ac:dyDescent="0.25">
      <c r="W250" s="118" t="s">
        <v>397</v>
      </c>
      <c r="X250" s="118" t="s">
        <v>73</v>
      </c>
      <c r="Y250" s="118" t="s">
        <v>312</v>
      </c>
      <c r="Z250" s="118" t="s">
        <v>198</v>
      </c>
      <c r="AA250" s="118" t="s">
        <v>313</v>
      </c>
      <c r="AB250" s="118" t="s">
        <v>314</v>
      </c>
      <c r="AC250" s="118" t="s">
        <v>315</v>
      </c>
      <c r="AD250" s="118" t="s">
        <v>316</v>
      </c>
      <c r="AE250" s="118" t="s">
        <v>317</v>
      </c>
      <c r="AF250" s="118" t="s">
        <v>318</v>
      </c>
      <c r="AG250" s="118" t="s">
        <v>319</v>
      </c>
      <c r="AH250" s="118" t="s">
        <v>320</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21" t="s">
        <v>420</v>
      </c>
      <c r="X276" s="122">
        <f ca="1">SUM(Y251:AH274)</f>
        <v>0.89029635334910784</v>
      </c>
      <c r="Y276" s="123">
        <f ca="1">X242</f>
        <v>31</v>
      </c>
    </row>
    <row r="278" spans="23:36" x14ac:dyDescent="0.25">
      <c r="W278" s="124" t="str" cm="1">
        <f t="array" ref="W278:X279">Common_Equations.Common_ConvertCH4ToCO2e_Arguments()</f>
        <v>ECH4</v>
      </c>
      <c r="X278" s="125" t="str">
        <v>Methane emissions (t CH4)</v>
      </c>
      <c r="Y278" s="126"/>
      <c r="Z278" s="25">
        <f ca="1">VEERG_4_2_1_1__1_TotalAnnualMethaneProductionFromManureManagement_Result_Method2</f>
        <v>0.89029635334910784</v>
      </c>
    </row>
    <row r="279" spans="23:36" x14ac:dyDescent="0.25">
      <c r="W279" s="124" t="str">
        <v>GWPCH4</v>
      </c>
      <c r="X279" s="125" t="str">
        <v>Global warming potential for methane (t CO2-e / t CH4)</v>
      </c>
      <c r="Y279" s="126"/>
      <c r="Z279" s="25">
        <f>Common_InputFunctions.Utility_LookupValueInTableNumber("CH4",Table_GWPData[Gas],Table_GWPData[CO2-e factor])</f>
        <v>28</v>
      </c>
    </row>
    <row r="281" spans="23:36" ht="18.75" x14ac:dyDescent="0.25">
      <c r="W281" s="120" t="s">
        <v>422</v>
      </c>
      <c r="X281" s="120" cm="1">
        <f t="array" aca="1" ref="X281" ca="1">Common_Equations.Common_ConvertN2OToCO2e(Z278,Z279)</f>
        <v>24.928297893775021</v>
      </c>
      <c r="Y281" s="127"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B749FE86-224B-4507-8BB4-15F75B97C460}"/>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5AE88-996B-493C-915D-9571C58A14A5}">
  <dimension ref="A1:AI291"/>
  <sheetViews>
    <sheetView showGridLines="0" topLeftCell="P24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424</v>
      </c>
    </row>
    <row r="2" spans="1:35" s="3" customFormat="1" ht="20.100000000000001" customHeight="1" x14ac:dyDescent="0.25">
      <c r="A2"/>
    </row>
    <row r="3" spans="1:35" ht="20.100000000000001" customHeight="1" x14ac:dyDescent="0.25">
      <c r="A3" s="5"/>
      <c r="C3" s="33"/>
      <c r="D3" s="33" t="s">
        <v>145</v>
      </c>
      <c r="E3" s="33"/>
      <c r="F3" s="33"/>
      <c r="G3" s="33"/>
      <c r="H3" s="33"/>
      <c r="I3" s="33"/>
      <c r="J3" s="33"/>
      <c r="K3" s="33"/>
      <c r="L3" s="33"/>
      <c r="M3" s="33"/>
      <c r="N3" s="33"/>
      <c r="O3" s="33"/>
      <c r="P3" s="33"/>
      <c r="Q3" s="33"/>
      <c r="R3" s="33"/>
      <c r="T3" s="33"/>
      <c r="U3" s="33" t="s">
        <v>146</v>
      </c>
      <c r="V3" s="33"/>
      <c r="W3" s="33"/>
      <c r="X3" s="33"/>
      <c r="Y3" s="33"/>
      <c r="Z3" s="33"/>
      <c r="AA3" s="33"/>
      <c r="AB3" s="33"/>
      <c r="AC3" s="33"/>
      <c r="AD3" s="33"/>
      <c r="AE3" s="33"/>
      <c r="AF3" s="33"/>
      <c r="AG3" s="33"/>
      <c r="AH3" s="33"/>
      <c r="AI3" s="33"/>
    </row>
    <row r="4" spans="1:35" ht="20.100000000000001" customHeight="1" x14ac:dyDescent="0.25">
      <c r="A4" s="5"/>
    </row>
    <row r="5" spans="1:35" ht="20.100000000000001" customHeight="1" x14ac:dyDescent="0.25">
      <c r="A5" s="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7" t="s">
        <v>358</v>
      </c>
      <c r="E7" s="107" t="str" cm="1">
        <f t="array" aca="1" ref="E7" ca="1">Common_InputFunctions.Utility_DisplayFunctionName(E33)</f>
        <v>=MMS_PastureBeef_Soil_N2ODirect_Equations.VEERG_4_2_1_3__7_RelativeSize</v>
      </c>
    </row>
    <row r="8" spans="1:35" ht="20.100000000000001" customHeight="1" x14ac:dyDescent="0.25">
      <c r="A8" s="7"/>
    </row>
    <row r="9" spans="1:35" ht="20.100000000000001" customHeight="1" x14ac:dyDescent="0.25">
      <c r="A9" s="5"/>
    </row>
    <row r="10" spans="1:35" ht="20.100000000000001" customHeight="1" x14ac:dyDescent="0.25">
      <c r="A10" s="5"/>
      <c r="D10" s="88" t="s">
        <v>360</v>
      </c>
      <c r="E10" s="1" t="str" cm="1">
        <f t="array" ref="E10">MMS_PastureBeef_Soil_N2ODirect_Equations.VEERG_4_2_1_3__7_RelativeSize_Variable()</f>
        <v>Z_jkl</v>
      </c>
    </row>
    <row r="11" spans="1:35" ht="20.100000000000001" customHeight="1" x14ac:dyDescent="0.25">
      <c r="A11" s="5"/>
      <c r="D11" s="88" t="s">
        <v>128</v>
      </c>
      <c r="E11" s="15" t="str" cm="1">
        <f t="array" ref="E11">MMS_PastureBeef_Soil_N2ODirect_Equations.VEERG_4_2_1_3__7_RelativeSize_Unit()</f>
        <v>ratio</v>
      </c>
    </row>
    <row r="12" spans="1:35" ht="20.100000000000001" customHeight="1" x14ac:dyDescent="0.25">
      <c r="A12" s="5"/>
    </row>
    <row r="13" spans="1:35" ht="20.100000000000001" customHeight="1" x14ac:dyDescent="0.25">
      <c r="A13" s="5"/>
      <c r="D13" s="109" t="str" cm="1">
        <f t="array" ref="D13:E15">_xlfn.CHOOSECOLS(MMS_PastureBeef_Soil_N2ODirect_Equations.VEERG_4_2_1_3__7_RelativeSize_Arguments(),1,2)</f>
        <v>W_jkl</v>
      </c>
      <c r="E13" s="109" t="str">
        <v>liveweight (kg)</v>
      </c>
      <c r="F13" s="109" t="str" cm="1">
        <f t="array" ref="F13:G15">_xlfn.CHOOSECOLS(MMS_PastureBeef_Soil_N2ODirect_Equations.VEERG_4_2_1_3__7_RelativeSize_Arguments(),3,4)</f>
        <v>kg</v>
      </c>
      <c r="G13" s="113" t="str">
        <v>Input</v>
      </c>
      <c r="H13" s="115" t="str" cm="1">
        <f t="array" aca="1" ref="H13" ca="1">HYPERLINK(Common_InputFunctions.Utility_SourceHyperlink(D17), D17)</f>
        <v>M1_Table_W_j_k_l</v>
      </c>
    </row>
    <row r="14" spans="1:35" ht="20.100000000000001" customHeight="1" x14ac:dyDescent="0.25">
      <c r="A14" s="5"/>
      <c r="D14" s="109" t="str">
        <v>SRW_k</v>
      </c>
      <c r="E14" s="109" t="str">
        <v>standard reference weight (kg)</v>
      </c>
      <c r="F14" s="109" t="str">
        <v>kg</v>
      </c>
      <c r="G14" s="114" t="str">
        <v>Constant</v>
      </c>
      <c r="H14" s="115" t="str" cm="1">
        <f t="array" aca="1" ref="H14" ca="1">HYPERLINK(Common_InputFunctions.Utility_SourceHyperlink(D25), D25)</f>
        <v>Table_SRW_k</v>
      </c>
    </row>
    <row r="15" spans="1:35" ht="20.100000000000001" customHeight="1" x14ac:dyDescent="0.25">
      <c r="A15" s="5"/>
      <c r="D15" s="109" t="str">
        <v>i</v>
      </c>
      <c r="E15" s="109" t="str">
        <v>state</v>
      </c>
      <c r="F15" s="109" t="str">
        <v/>
      </c>
      <c r="G15" s="113" t="str">
        <v>Input</v>
      </c>
      <c r="H15" s="109" t="str">
        <f>X_Cell_Site_State</f>
        <v>Western Australia</v>
      </c>
    </row>
    <row r="16" spans="1:35" ht="20.100000000000001" customHeight="1" x14ac:dyDescent="0.25">
      <c r="A16" s="5"/>
    </row>
    <row r="17" spans="1:34" ht="20.100000000000001" customHeight="1" x14ac:dyDescent="0.25">
      <c r="A17" s="5"/>
      <c r="D17" s="116" t="s">
        <v>377</v>
      </c>
      <c r="U17" s="116" t="s">
        <v>425</v>
      </c>
    </row>
    <row r="18" spans="1:34" ht="20.100000000000001" customHeight="1" x14ac:dyDescent="0.25">
      <c r="A18" s="5"/>
      <c r="D18" s="117" t="s">
        <v>378</v>
      </c>
      <c r="U18" s="117" t="s">
        <v>376</v>
      </c>
    </row>
    <row r="19" spans="1:34" ht="20.100000000000001" customHeight="1" x14ac:dyDescent="0.25">
      <c r="A19" s="5"/>
      <c r="D19" s="118" t="s">
        <v>74</v>
      </c>
      <c r="E19" s="94" t="s">
        <v>312</v>
      </c>
      <c r="F19" s="94" t="s">
        <v>198</v>
      </c>
      <c r="G19" s="94" t="s">
        <v>313</v>
      </c>
      <c r="H19" s="94" t="s">
        <v>314</v>
      </c>
      <c r="I19" s="94" t="s">
        <v>315</v>
      </c>
      <c r="J19" s="94" t="s">
        <v>316</v>
      </c>
      <c r="K19" s="94" t="s">
        <v>317</v>
      </c>
      <c r="L19" s="94" t="s">
        <v>318</v>
      </c>
      <c r="M19" s="94" t="s">
        <v>319</v>
      </c>
      <c r="N19" s="94" t="s">
        <v>320</v>
      </c>
      <c r="U19" s="118" t="s">
        <v>73</v>
      </c>
      <c r="V19" s="94" t="s">
        <v>312</v>
      </c>
      <c r="W19" s="94" t="s">
        <v>198</v>
      </c>
      <c r="X19" s="94" t="s">
        <v>313</v>
      </c>
      <c r="Y19" s="94" t="s">
        <v>314</v>
      </c>
      <c r="Z19" s="94" t="s">
        <v>315</v>
      </c>
      <c r="AA19" s="94" t="s">
        <v>316</v>
      </c>
      <c r="AB19" s="94" t="s">
        <v>317</v>
      </c>
      <c r="AC19" s="94" t="s">
        <v>318</v>
      </c>
      <c r="AD19" s="94" t="s">
        <v>319</v>
      </c>
      <c r="AE19" s="94" t="s">
        <v>320</v>
      </c>
      <c r="AF19" s="26"/>
      <c r="AG19" s="26"/>
      <c r="AH19" s="26"/>
    </row>
    <row r="20" spans="1:34" ht="20.100000000000001" customHeight="1" x14ac:dyDescent="0.25">
      <c r="A20" s="5"/>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329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329</v>
      </c>
      <c r="AG20" s="26"/>
      <c r="AH20" s="26"/>
    </row>
    <row r="21" spans="1:34" ht="20.100000000000001" customHeight="1" x14ac:dyDescent="0.25">
      <c r="A21" s="5"/>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329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329</v>
      </c>
      <c r="AG21" s="26"/>
      <c r="AH21" s="26"/>
    </row>
    <row r="22" spans="1:34" ht="20.100000000000001" customHeight="1" x14ac:dyDescent="0.25">
      <c r="A22" s="5"/>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329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329</v>
      </c>
      <c r="AG22" s="26"/>
      <c r="AH22" s="26"/>
    </row>
    <row r="23" spans="1:34" ht="20.100000000000001" customHeight="1" x14ac:dyDescent="0.25">
      <c r="A23" s="5"/>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329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329</v>
      </c>
      <c r="AG23" s="26"/>
      <c r="AH23" s="26"/>
    </row>
    <row r="24" spans="1:34" ht="20.100000000000001" customHeight="1" x14ac:dyDescent="0.25">
      <c r="A24" s="5"/>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329</v>
      </c>
      <c r="AG24" s="26"/>
      <c r="AH24" s="26"/>
    </row>
    <row r="25" spans="1:34" ht="20.100000000000001" customHeight="1" x14ac:dyDescent="0.25">
      <c r="A25" s="5"/>
      <c r="D25" s="116" t="s">
        <v>426</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329</v>
      </c>
      <c r="AG25" s="26"/>
      <c r="AH25" s="26"/>
    </row>
    <row r="26" spans="1:34" ht="20.100000000000001" customHeight="1" x14ac:dyDescent="0.25">
      <c r="A26" s="5"/>
      <c r="D26" s="117" t="s">
        <v>427</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329</v>
      </c>
      <c r="AG26" s="26"/>
      <c r="AH26" s="26"/>
    </row>
    <row r="27" spans="1:34" ht="20.100000000000001" customHeight="1" x14ac:dyDescent="0.25">
      <c r="D27" s="118" t="s">
        <v>312</v>
      </c>
      <c r="E27" s="118" t="s">
        <v>198</v>
      </c>
      <c r="F27" s="118" t="s">
        <v>313</v>
      </c>
      <c r="G27" s="118" t="s">
        <v>314</v>
      </c>
      <c r="H27" s="118" t="s">
        <v>315</v>
      </c>
      <c r="I27" s="118" t="s">
        <v>316</v>
      </c>
      <c r="J27" s="118" t="s">
        <v>317</v>
      </c>
      <c r="K27" s="118" t="s">
        <v>318</v>
      </c>
      <c r="L27" s="118" t="s">
        <v>319</v>
      </c>
      <c r="M27" s="118" t="s">
        <v>320</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329</v>
      </c>
      <c r="AG27" s="26"/>
      <c r="AH27" s="26"/>
    </row>
    <row r="28" spans="1:34" ht="20.100000000000001" customHeight="1" x14ac:dyDescent="0.25">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329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329</v>
      </c>
      <c r="AG28" s="26"/>
      <c r="AH28" s="26"/>
    </row>
    <row r="29" spans="1:34" ht="20.100000000000001" customHeight="1" x14ac:dyDescent="0.25">
      <c r="A29" s="6"/>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329</v>
      </c>
      <c r="AG29" s="26"/>
      <c r="AH29" s="26"/>
    </row>
    <row r="30" spans="1:34" ht="20.100000000000001" customHeight="1" x14ac:dyDescent="0.25">
      <c r="A30" s="5"/>
      <c r="D30" s="116" t="s">
        <v>428</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329</v>
      </c>
      <c r="AG30" s="26"/>
      <c r="AH30" s="26"/>
    </row>
    <row r="31" spans="1:34" ht="20.100000000000001" customHeight="1" x14ac:dyDescent="0.25">
      <c r="A31" s="108"/>
      <c r="D31" s="117" t="s">
        <v>429</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329</v>
      </c>
      <c r="AG31" s="26"/>
      <c r="AH31" s="26"/>
    </row>
    <row r="32" spans="1:34" ht="20.100000000000001" customHeight="1" x14ac:dyDescent="0.25">
      <c r="A32" s="5"/>
      <c r="D32" s="118" t="s">
        <v>74</v>
      </c>
      <c r="E32" s="118" t="s">
        <v>312</v>
      </c>
      <c r="F32" s="118" t="s">
        <v>198</v>
      </c>
      <c r="G32" s="118" t="s">
        <v>313</v>
      </c>
      <c r="H32" s="118" t="s">
        <v>314</v>
      </c>
      <c r="I32" s="118" t="s">
        <v>315</v>
      </c>
      <c r="J32" s="118" t="s">
        <v>316</v>
      </c>
      <c r="K32" s="118" t="s">
        <v>317</v>
      </c>
      <c r="L32" s="118" t="s">
        <v>318</v>
      </c>
      <c r="M32" s="118" t="s">
        <v>319</v>
      </c>
      <c r="N32" s="118" t="s">
        <v>320</v>
      </c>
    </row>
    <row r="33" spans="1:34" ht="20.100000000000001" customHeight="1" x14ac:dyDescent="0.25">
      <c r="A33" s="5"/>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6" t="s">
        <v>430</v>
      </c>
    </row>
    <row r="34" spans="1:34" ht="20.100000000000001" customHeight="1" x14ac:dyDescent="0.25">
      <c r="A34" s="5"/>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7" t="s">
        <v>431</v>
      </c>
    </row>
    <row r="35" spans="1:34" ht="20.100000000000001" customHeight="1" x14ac:dyDescent="0.25">
      <c r="A35" s="5"/>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8" t="s">
        <v>73</v>
      </c>
      <c r="V35" s="118" t="s">
        <v>312</v>
      </c>
      <c r="W35" s="118" t="s">
        <v>198</v>
      </c>
      <c r="X35" s="118" t="s">
        <v>313</v>
      </c>
      <c r="Y35" s="118" t="s">
        <v>314</v>
      </c>
      <c r="Z35" s="118" t="s">
        <v>315</v>
      </c>
      <c r="AA35" s="118" t="s">
        <v>316</v>
      </c>
      <c r="AB35" s="118" t="s">
        <v>317</v>
      </c>
      <c r="AC35" s="118" t="s">
        <v>318</v>
      </c>
      <c r="AD35" s="118" t="s">
        <v>319</v>
      </c>
      <c r="AE35" s="118" t="s">
        <v>320</v>
      </c>
      <c r="AF35" s="26"/>
      <c r="AG35" s="26"/>
      <c r="AH35" s="26"/>
    </row>
    <row r="36" spans="1:34" ht="20.100000000000001" customHeight="1" x14ac:dyDescent="0.25">
      <c r="A36" s="5"/>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c r="C39" s="120"/>
      <c r="D39" s="120"/>
      <c r="E39" s="120"/>
      <c r="F39" s="120"/>
      <c r="G39" s="120"/>
      <c r="H39" s="120"/>
      <c r="I39" s="120"/>
      <c r="J39" s="120"/>
      <c r="K39" s="120"/>
      <c r="L39" s="120"/>
      <c r="M39" s="120"/>
      <c r="N39" s="120"/>
      <c r="O39" s="120"/>
      <c r="P39" s="120"/>
      <c r="Q39" s="120"/>
      <c r="R39" s="120"/>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c r="D42" s="107" t="s">
        <v>358</v>
      </c>
      <c r="E42" s="107"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c r="D45" s="88" t="s">
        <v>360</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c r="D46" s="88" t="s">
        <v>128</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A47" s="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5"/>
      <c r="D48" s="109" t="str" cm="1">
        <f t="array" ref="D48:E49">_xlfn.CHOOSECOLS(MMS_PastureBeef_Soil_N2ODirect_Equations.VEERG_4_2_1_3__6_IntakeRelativeToMaintenance_Arguments(),1,2)</f>
        <v>I_jkl</v>
      </c>
      <c r="E48" s="110" t="str">
        <v>dry matter intake as calculated in Chapter 3 Section 3.2.1 (kg DM/head/day)</v>
      </c>
      <c r="F48" s="112"/>
      <c r="G48" s="109" t="str" cm="1">
        <f t="array" ref="G48:H49">_xlfn.CHOOSECOLS(MMS_PastureBeef_Soil_N2ODirect_Equations.VEERG_4_2_1_3__6_IntakeRelativeToMaintenance_Arguments(),3,4)</f>
        <v>kg DM/head/day</v>
      </c>
      <c r="H48" s="114" t="str">
        <v>Calculated from 3.2.1.1 (3)</v>
      </c>
      <c r="I48" s="115" t="str" cm="1">
        <f t="array" aca="1" ref="I48" ca="1">HYPERLINK(Common_InputFunctions.Utility_SourceHyperlink($D$51), $D$51)</f>
        <v>M1_Table_I_j_k_l</v>
      </c>
    </row>
    <row r="49" spans="1:35" ht="20.100000000000001" customHeight="1" x14ac:dyDescent="0.25">
      <c r="D49" s="109" t="str">
        <v>W_jkl</v>
      </c>
      <c r="E49" s="110" t="str">
        <v>liveweight (kg/head)</v>
      </c>
      <c r="F49" s="112"/>
      <c r="G49" s="109" t="str">
        <v>kg/head</v>
      </c>
      <c r="H49" s="113" t="str">
        <v>Input</v>
      </c>
      <c r="I49" s="115" t="str" cm="1">
        <f t="array" aca="1" ref="I49" ca="1">HYPERLINK(Common_InputFunctions.Utility_SourceHyperlink($D$17), $D$17)</f>
        <v>M1_Table_W_j_k_l</v>
      </c>
    </row>
    <row r="50" spans="1:35" ht="20.100000000000001" customHeight="1" x14ac:dyDescent="0.25">
      <c r="T50" s="120"/>
      <c r="U50" s="120"/>
      <c r="V50" s="120"/>
      <c r="W50" s="120"/>
      <c r="X50" s="120"/>
      <c r="Y50" s="120"/>
      <c r="Z50" s="120"/>
      <c r="AA50" s="120"/>
      <c r="AB50" s="120"/>
      <c r="AC50" s="120"/>
      <c r="AD50" s="120"/>
      <c r="AE50" s="120"/>
      <c r="AF50" s="120"/>
      <c r="AG50" s="120"/>
      <c r="AH50" s="120"/>
      <c r="AI50" s="120"/>
    </row>
    <row r="51" spans="1:35" ht="20.100000000000001" customHeight="1" x14ac:dyDescent="0.25">
      <c r="A51" s="100"/>
      <c r="D51" s="116" t="s">
        <v>385</v>
      </c>
      <c r="U51" s="2" t="str" cm="1">
        <f t="array" ref="U51">MMS_PastureBeef_Soil_N2ODirect_Equations.VEERG_4_2_1_3__6_IntakeRelativeToMaintenance_Title()</f>
        <v>Intake relative to that needed for maintenance</v>
      </c>
    </row>
    <row r="52" spans="1:35" ht="20.100000000000001" customHeight="1" x14ac:dyDescent="0.25">
      <c r="A52" s="5"/>
      <c r="D52" s="117" t="s">
        <v>386</v>
      </c>
    </row>
    <row r="53" spans="1:35" ht="20.100000000000001" customHeight="1" x14ac:dyDescent="0.25">
      <c r="A53" s="5"/>
      <c r="D53" s="118" t="s">
        <v>74</v>
      </c>
      <c r="E53" s="118" t="s">
        <v>312</v>
      </c>
      <c r="F53" s="118" t="s">
        <v>198</v>
      </c>
      <c r="G53" s="118" t="s">
        <v>313</v>
      </c>
      <c r="H53" s="118" t="s">
        <v>314</v>
      </c>
      <c r="I53" s="118" t="s">
        <v>315</v>
      </c>
      <c r="J53" s="118" t="s">
        <v>316</v>
      </c>
      <c r="K53" s="118" t="s">
        <v>317</v>
      </c>
      <c r="L53" s="118" t="s">
        <v>318</v>
      </c>
      <c r="M53" s="118" t="s">
        <v>319</v>
      </c>
      <c r="N53" s="118" t="s">
        <v>320</v>
      </c>
      <c r="U53" s="116" t="s">
        <v>383</v>
      </c>
    </row>
    <row r="54" spans="1:35" ht="20.100000000000001" customHeight="1" x14ac:dyDescent="0.25">
      <c r="A54" s="5"/>
      <c r="D54" s="25" t="s">
        <v>321</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7" t="s">
        <v>384</v>
      </c>
    </row>
    <row r="55" spans="1:35" ht="20.100000000000001" customHeight="1" x14ac:dyDescent="0.25">
      <c r="A55" s="5"/>
      <c r="D55" s="25" t="s">
        <v>322</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8" t="s">
        <v>73</v>
      </c>
      <c r="V55" s="118" t="s">
        <v>312</v>
      </c>
      <c r="W55" s="118" t="s">
        <v>198</v>
      </c>
      <c r="X55" s="118" t="s">
        <v>313</v>
      </c>
      <c r="Y55" s="118" t="s">
        <v>314</v>
      </c>
      <c r="Z55" s="118" t="s">
        <v>315</v>
      </c>
      <c r="AA55" s="118" t="s">
        <v>316</v>
      </c>
      <c r="AB55" s="118" t="s">
        <v>317</v>
      </c>
      <c r="AC55" s="118" t="s">
        <v>318</v>
      </c>
      <c r="AD55" s="118" t="s">
        <v>319</v>
      </c>
      <c r="AE55" s="118" t="s">
        <v>320</v>
      </c>
    </row>
    <row r="56" spans="1:35" ht="20.100000000000001" customHeight="1" x14ac:dyDescent="0.25">
      <c r="A56" s="5"/>
      <c r="D56" s="25" t="s">
        <v>323</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c r="D57" s="25" t="s">
        <v>324</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A59" s="5"/>
      <c r="D59" s="116" t="s">
        <v>432</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A60" s="5"/>
      <c r="D60" s="117" t="s">
        <v>433</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A61" s="5"/>
      <c r="D61" s="118" t="s">
        <v>74</v>
      </c>
      <c r="E61" s="118" t="s">
        <v>312</v>
      </c>
      <c r="F61" s="118" t="s">
        <v>198</v>
      </c>
      <c r="G61" s="118" t="s">
        <v>313</v>
      </c>
      <c r="H61" s="118" t="s">
        <v>314</v>
      </c>
      <c r="I61" s="118" t="s">
        <v>315</v>
      </c>
      <c r="J61" s="118" t="s">
        <v>316</v>
      </c>
      <c r="K61" s="118" t="s">
        <v>317</v>
      </c>
      <c r="L61" s="118" t="s">
        <v>318</v>
      </c>
      <c r="M61" s="118" t="s">
        <v>319</v>
      </c>
      <c r="N61" s="118" t="s">
        <v>320</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321</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322</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323</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324</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20"/>
      <c r="D68" s="120"/>
      <c r="E68" s="120"/>
      <c r="F68" s="120"/>
      <c r="G68" s="120"/>
      <c r="H68" s="120"/>
      <c r="I68" s="120"/>
      <c r="J68" s="120"/>
      <c r="K68" s="120"/>
      <c r="L68" s="120"/>
      <c r="M68" s="120"/>
      <c r="N68" s="120"/>
      <c r="O68" s="120"/>
      <c r="P68" s="120"/>
      <c r="Q68" s="120"/>
      <c r="R68" s="120"/>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6" t="s">
        <v>434</v>
      </c>
    </row>
    <row r="70" spans="3:34" ht="20.100000000000001" customHeight="1" x14ac:dyDescent="0.25">
      <c r="D70" s="27" t="str" cm="1">
        <f t="array" ref="D70">MMS_PastureBeef_Soil_N2ODirect_Equations.VEERG_4_2_1_3__5_MilkProductionForCalvingSeason_Source()</f>
        <v>VEERG 2026: 4.2.1.3, Equation (5)</v>
      </c>
      <c r="U70" s="117" t="s">
        <v>435</v>
      </c>
    </row>
    <row r="71" spans="3:34" ht="20.100000000000001" customHeight="1" x14ac:dyDescent="0.25">
      <c r="D71" s="36"/>
      <c r="U71" s="118" t="s">
        <v>73</v>
      </c>
      <c r="V71" s="118" t="s">
        <v>312</v>
      </c>
      <c r="W71" s="118" t="s">
        <v>198</v>
      </c>
      <c r="X71" s="118" t="s">
        <v>313</v>
      </c>
      <c r="Y71" s="118" t="s">
        <v>314</v>
      </c>
      <c r="Z71" s="118" t="s">
        <v>315</v>
      </c>
      <c r="AA71" s="118" t="s">
        <v>316</v>
      </c>
      <c r="AB71" s="118" t="s">
        <v>317</v>
      </c>
      <c r="AC71" s="118" t="s">
        <v>318</v>
      </c>
      <c r="AD71" s="118" t="s">
        <v>319</v>
      </c>
      <c r="AE71" s="118" t="s">
        <v>320</v>
      </c>
    </row>
    <row r="72" spans="3:34" ht="20.100000000000001" customHeight="1" x14ac:dyDescent="0.25">
      <c r="D72" s="107" t="s">
        <v>358</v>
      </c>
      <c r="E72" s="107" t="s">
        <v>436</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360</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128</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9" t="str" cm="1">
        <f t="array" ref="D78:E82">_xlfn.CHOOSECOLS(MMS_PastureBeef_Soil_N2ODirect_Equations.VEERG_4_2_1_3__5_MilkProductionForCalvingSeason_ArgumentsVariation(),1,2)</f>
        <v>LC_jk5curr</v>
      </c>
      <c r="E78" s="110" t="str">
        <v>proportion of cows greater than 2 years lactating for the season of calving</v>
      </c>
      <c r="F78" s="112"/>
      <c r="G78" s="109" t="str" cm="1">
        <f t="array" ref="G78:H82">_xlfn.CHOOSECOLS(MMS_PastureBeef_Soil_N2ODirect_Equations.VEERG_4_2_1_3__5_MilkProductionForCalvingSeason_ArgumentsVariation(),3,4)</f>
        <v>fraction</v>
      </c>
      <c r="H78" s="113" t="str">
        <v>Input</v>
      </c>
      <c r="I78" s="115"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9" t="str">
        <v>LC_jk5prev</v>
      </c>
      <c r="E79" s="110" t="str">
        <v>proportion of cows greater than 2 years lactating for the season after calving</v>
      </c>
      <c r="F79" s="112"/>
      <c r="G79" s="109" t="str">
        <v>fraction</v>
      </c>
      <c r="H79" s="113" t="str">
        <v>Input</v>
      </c>
      <c r="I79" s="115"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9" t="str">
        <v>DMP_jk5calv</v>
      </c>
      <c r="E80" s="110" t="str">
        <v>daily milk production for the season of calving (kg/head/day)</v>
      </c>
      <c r="F80" s="112"/>
      <c r="G80" s="109" t="str">
        <v>kg/head/day</v>
      </c>
      <c r="H80" s="114" t="str">
        <v>Constant</v>
      </c>
      <c r="I80" s="124"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9" t="str">
        <v>DMP_jk5after</v>
      </c>
      <c r="E81" s="110" t="str">
        <v>daily milk production for the season after calving (kg/head/day)</v>
      </c>
      <c r="F81" s="112"/>
      <c r="G81" s="109" t="str">
        <v>kg/head/day</v>
      </c>
      <c r="H81" s="114" t="str">
        <v>Constant</v>
      </c>
      <c r="I81" s="124"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9" t="str">
        <v>b</v>
      </c>
      <c r="E82" s="110" t="str">
        <v>breed of cattle</v>
      </c>
      <c r="F82" s="112"/>
      <c r="G82" s="109" t="str">
        <v/>
      </c>
      <c r="H82" s="113" t="str">
        <v>Input</v>
      </c>
      <c r="I82" s="124"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6" t="s">
        <v>361</v>
      </c>
    </row>
    <row r="85" spans="4:35" ht="20.100000000000001" customHeight="1" x14ac:dyDescent="0.25">
      <c r="D85" s="117" t="s">
        <v>363</v>
      </c>
    </row>
    <row r="86" spans="4:35" ht="20.100000000000001" customHeight="1" x14ac:dyDescent="0.25">
      <c r="D86" s="118" t="s">
        <v>74</v>
      </c>
      <c r="E86" s="94" t="s">
        <v>314</v>
      </c>
      <c r="F86" s="94" t="s">
        <v>315</v>
      </c>
      <c r="G86" s="94" t="s">
        <v>316</v>
      </c>
      <c r="T86" s="120"/>
      <c r="U86" s="120"/>
      <c r="V86" s="120"/>
      <c r="W86" s="120"/>
      <c r="X86" s="120"/>
      <c r="Y86" s="120"/>
      <c r="Z86" s="120"/>
      <c r="AA86" s="120"/>
      <c r="AB86" s="120"/>
      <c r="AC86" s="120"/>
      <c r="AD86" s="120"/>
      <c r="AE86" s="120"/>
      <c r="AF86" s="120"/>
      <c r="AG86" s="120"/>
      <c r="AH86" s="120"/>
      <c r="AI86" s="120"/>
    </row>
    <row r="87" spans="4:35" ht="20.100000000000001" customHeight="1" x14ac:dyDescent="0.25">
      <c r="D87" s="25" t="str">
        <f>'Input - Pasture Beef'!$E$162</f>
        <v>Winter</v>
      </c>
      <c r="E87" s="178">
        <f>'Input - Pasture Beef'!$F$168</f>
        <v>0.7</v>
      </c>
      <c r="F87" s="178">
        <f>'Input - Pasture Beef'!$G$168</f>
        <v>0.5</v>
      </c>
      <c r="G87" s="178">
        <f>'Input - Pasture Beef'!$H$168</f>
        <v>0.5</v>
      </c>
      <c r="H87" s="26" t="s">
        <v>365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6" t="s">
        <v>362</v>
      </c>
    </row>
    <row r="90" spans="4:35" ht="20.100000000000001" customHeight="1" x14ac:dyDescent="0.25">
      <c r="U90" s="117" t="s">
        <v>364</v>
      </c>
    </row>
    <row r="91" spans="4:35" ht="20.100000000000001" customHeight="1" x14ac:dyDescent="0.25">
      <c r="U91" s="118" t="s">
        <v>73</v>
      </c>
      <c r="V91" s="94" t="s">
        <v>314</v>
      </c>
      <c r="W91" s="94" t="s">
        <v>315</v>
      </c>
      <c r="X91" s="94" t="s">
        <v>316</v>
      </c>
    </row>
    <row r="92" spans="4:35" ht="20.100000000000001" customHeight="1" x14ac:dyDescent="0.25">
      <c r="D92" s="116" t="s">
        <v>437</v>
      </c>
      <c r="U92" s="25" t="str">
        <f>TEXT(EDATE('Input - Pasture Beef'!$D$182,0), "mmmm") &amp; ", " &amp; TEXT(EDATE('Input - Pasture Beef'!$D$183,0), "mmmm") &amp; ", " &amp; TEXT(EDATE('Input - Pasture Beef'!$D$184,0), "mmmm")</f>
        <v>August, September, October</v>
      </c>
      <c r="V92" s="178">
        <f>'Input - Pasture Beef'!$E$185</f>
        <v>0.75</v>
      </c>
      <c r="W92" s="178">
        <f>'Input - Pasture Beef'!$F$185</f>
        <v>0.75</v>
      </c>
      <c r="X92" s="178">
        <f>'Input - Pasture Beef'!$G$185</f>
        <v>0.75</v>
      </c>
      <c r="Y92" s="26" t="s">
        <v>365</v>
      </c>
    </row>
    <row r="93" spans="4:35" ht="20.100000000000001" customHeight="1" x14ac:dyDescent="0.25">
      <c r="D93" s="117" t="s">
        <v>438</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8" t="s">
        <v>74</v>
      </c>
      <c r="E94" s="118" t="s">
        <v>343</v>
      </c>
      <c r="F94" s="118" t="s">
        <v>439</v>
      </c>
      <c r="G94" s="118" t="s">
        <v>312</v>
      </c>
      <c r="H94" s="118" t="s">
        <v>198</v>
      </c>
      <c r="I94" s="118" t="s">
        <v>313</v>
      </c>
      <c r="J94" s="118" t="s">
        <v>314</v>
      </c>
      <c r="K94" s="118" t="s">
        <v>315</v>
      </c>
      <c r="L94" s="118" t="s">
        <v>316</v>
      </c>
      <c r="M94" s="118" t="s">
        <v>317</v>
      </c>
      <c r="N94" s="118" t="s">
        <v>318</v>
      </c>
      <c r="O94" s="118" t="s">
        <v>319</v>
      </c>
      <c r="P94" s="118" t="s">
        <v>320</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6" t="s">
        <v>440</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7" t="s">
        <v>438</v>
      </c>
    </row>
    <row r="99" spans="3:34" ht="20.100000000000001" customHeight="1" x14ac:dyDescent="0.25">
      <c r="U99" s="118" t="s">
        <v>73</v>
      </c>
      <c r="V99" s="118" t="s">
        <v>343</v>
      </c>
      <c r="W99" s="118" t="s">
        <v>439</v>
      </c>
      <c r="X99" s="118" t="s">
        <v>312</v>
      </c>
      <c r="Y99" s="118" t="s">
        <v>198</v>
      </c>
      <c r="Z99" s="118" t="s">
        <v>313</v>
      </c>
      <c r="AA99" s="118" t="s">
        <v>314</v>
      </c>
      <c r="AB99" s="118" t="s">
        <v>315</v>
      </c>
      <c r="AC99" s="118" t="s">
        <v>316</v>
      </c>
      <c r="AD99" s="118" t="s">
        <v>317</v>
      </c>
      <c r="AE99" s="118" t="s">
        <v>318</v>
      </c>
      <c r="AF99" s="118" t="s">
        <v>319</v>
      </c>
      <c r="AG99" s="118" t="s">
        <v>320</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20"/>
      <c r="D101" s="120"/>
      <c r="E101" s="120"/>
      <c r="F101" s="120"/>
      <c r="G101" s="120"/>
      <c r="H101" s="120"/>
      <c r="I101" s="120"/>
      <c r="J101" s="120"/>
      <c r="K101" s="120"/>
      <c r="L101" s="120"/>
      <c r="M101" s="120"/>
      <c r="N101" s="120"/>
      <c r="O101" s="120"/>
      <c r="P101" s="120"/>
      <c r="Q101" s="120"/>
      <c r="R101" s="120"/>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7" t="s">
        <v>358</v>
      </c>
      <c r="E104" s="107"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360</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128</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9" t="str" cm="1">
        <f t="array" ref="D111:E114">_xlfn.CHOOSECOLS(MMS_PastureBeef_Soil_N2ODirect_Equations.VEERG_4_2_1_3__4_NitrogenRetainedByBody_Arguments(),1,2)</f>
        <v>MP_jk5</v>
      </c>
      <c r="E111" s="110" t="str">
        <v>milk production (kg/head/day)</v>
      </c>
      <c r="F111" s="112"/>
      <c r="G111" s="109" t="str" cm="1">
        <f t="array" ref="G111:H114">_xlfn.CHOOSECOLS(MMS_PastureBeef_Soil_N2ODirect_Equations.VEERG_4_2_1_3__4_NitrogenRetainedByBody_Arguments(),3,4)</f>
        <v>kg/head/day</v>
      </c>
      <c r="H111" s="114" t="str">
        <v>Calculated from 4.2.1.3 (5)</v>
      </c>
      <c r="I111" s="115"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9" t="str">
        <v>L_jkl</v>
      </c>
      <c r="E112" s="110" t="str">
        <v>intake relative to that needed for maintenance</v>
      </c>
      <c r="F112" s="112"/>
      <c r="G112" s="109" t="str">
        <v/>
      </c>
      <c r="H112" s="114" t="str">
        <v>Calculated from 4.2.1.3 (6)</v>
      </c>
      <c r="I112" s="115" t="str" cm="1">
        <f t="array" aca="1" ref="I112" ca="1">HYPERLINK(Common_InputFunctions.Utility_SourceHyperlink($D$59), $D$59)</f>
        <v>M1_Table_L_j_k_l</v>
      </c>
    </row>
    <row r="113" spans="4:35" ht="20.100000000000001" customHeight="1" x14ac:dyDescent="0.25">
      <c r="D113" s="109" t="str">
        <v>Z_jkl</v>
      </c>
      <c r="E113" s="110" t="str">
        <v>relative size</v>
      </c>
      <c r="F113" s="112"/>
      <c r="G113" s="109" t="str">
        <v/>
      </c>
      <c r="H113" s="114" t="str">
        <v>Calculated from 4.2.1.3 (7)</v>
      </c>
      <c r="I113" s="115" t="str" cm="1">
        <f t="array" aca="1" ref="I113" ca="1">HYPERLINK(Common_InputFunctions.Utility_SourceHyperlink($D$30), $D$30)</f>
        <v>M1_Table_Z_j_k_l</v>
      </c>
    </row>
    <row r="114" spans="4:35" ht="20.100000000000001" customHeight="1" x14ac:dyDescent="0.25">
      <c r="D114" s="109" t="str">
        <v>LWG_jkl</v>
      </c>
      <c r="E114" s="110" t="str">
        <v>liveweight gain (kg/head/day)</v>
      </c>
      <c r="F114" s="112"/>
      <c r="G114" s="109" t="str">
        <v>kg/head/day</v>
      </c>
      <c r="H114" s="113" t="str">
        <v>Input</v>
      </c>
      <c r="I114" s="115" t="str" cm="1">
        <f t="array" aca="1" ref="I114" ca="1">HYPERLINK(Common_InputFunctions.Utility_SourceHyperlink($D$116), $D$116)</f>
        <v>M1_Table_LWG_j_k_l</v>
      </c>
      <c r="T114" s="120"/>
      <c r="U114" s="120"/>
      <c r="V114" s="120"/>
      <c r="W114" s="120"/>
      <c r="X114" s="120"/>
      <c r="Y114" s="120"/>
      <c r="Z114" s="120"/>
      <c r="AA114" s="120"/>
      <c r="AB114" s="120"/>
      <c r="AC114" s="120"/>
      <c r="AD114" s="120"/>
      <c r="AE114" s="120"/>
      <c r="AF114" s="120"/>
      <c r="AG114" s="120"/>
      <c r="AH114" s="120"/>
      <c r="AI114" s="120"/>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6" t="s">
        <v>381</v>
      </c>
    </row>
    <row r="117" spans="4:35" ht="20.100000000000001" customHeight="1" x14ac:dyDescent="0.25">
      <c r="D117" s="117" t="s">
        <v>382</v>
      </c>
      <c r="U117" s="116" t="s">
        <v>379</v>
      </c>
    </row>
    <row r="118" spans="4:35" ht="20.100000000000001" customHeight="1" x14ac:dyDescent="0.25">
      <c r="D118" s="118" t="s">
        <v>74</v>
      </c>
      <c r="E118" s="94" t="s">
        <v>312</v>
      </c>
      <c r="F118" s="94" t="s">
        <v>198</v>
      </c>
      <c r="G118" s="94" t="s">
        <v>313</v>
      </c>
      <c r="H118" s="94" t="s">
        <v>314</v>
      </c>
      <c r="I118" s="94" t="s">
        <v>315</v>
      </c>
      <c r="J118" s="94" t="s">
        <v>316</v>
      </c>
      <c r="K118" s="94" t="s">
        <v>317</v>
      </c>
      <c r="L118" s="94" t="s">
        <v>318</v>
      </c>
      <c r="M118" s="94" t="s">
        <v>319</v>
      </c>
      <c r="N118" s="94" t="s">
        <v>320</v>
      </c>
      <c r="U118" s="117" t="s">
        <v>380</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329</v>
      </c>
      <c r="U119" s="118" t="s">
        <v>73</v>
      </c>
      <c r="V119" s="94" t="s">
        <v>312</v>
      </c>
      <c r="W119" s="94" t="s">
        <v>198</v>
      </c>
      <c r="X119" s="94" t="s">
        <v>313</v>
      </c>
      <c r="Y119" s="94" t="s">
        <v>314</v>
      </c>
      <c r="Z119" s="94" t="s">
        <v>315</v>
      </c>
      <c r="AA119" s="94" t="s">
        <v>316</v>
      </c>
      <c r="AB119" s="94" t="s">
        <v>317</v>
      </c>
      <c r="AC119" s="94" t="s">
        <v>318</v>
      </c>
      <c r="AD119" s="94" t="s">
        <v>319</v>
      </c>
      <c r="AE119" s="94" t="s">
        <v>320</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329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330</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329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330</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329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330</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330</v>
      </c>
      <c r="AG123" s="26"/>
      <c r="AH123" s="26"/>
    </row>
    <row r="124" spans="4:35" ht="20.100000000000001" customHeight="1" x14ac:dyDescent="0.25">
      <c r="D124" s="116" t="s">
        <v>441</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330</v>
      </c>
      <c r="AG124" s="26"/>
      <c r="AH124" s="26"/>
    </row>
    <row r="125" spans="4:35" ht="20.100000000000001" customHeight="1" x14ac:dyDescent="0.25">
      <c r="D125" s="117" t="s">
        <v>442</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330</v>
      </c>
      <c r="AG125" s="26"/>
      <c r="AH125" s="26"/>
    </row>
    <row r="126" spans="4:35" ht="20.100000000000001" customHeight="1" x14ac:dyDescent="0.25">
      <c r="D126" s="118" t="s">
        <v>74</v>
      </c>
      <c r="E126" s="118" t="s">
        <v>312</v>
      </c>
      <c r="F126" s="118" t="s">
        <v>198</v>
      </c>
      <c r="G126" s="118" t="s">
        <v>313</v>
      </c>
      <c r="H126" s="118" t="s">
        <v>314</v>
      </c>
      <c r="I126" s="118" t="s">
        <v>315</v>
      </c>
      <c r="J126" s="118" t="s">
        <v>316</v>
      </c>
      <c r="K126" s="118" t="s">
        <v>317</v>
      </c>
      <c r="L126" s="118" t="s">
        <v>318</v>
      </c>
      <c r="M126" s="118" t="s">
        <v>319</v>
      </c>
      <c r="N126" s="118" t="s">
        <v>320</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330</v>
      </c>
      <c r="AG126" s="26"/>
      <c r="AH126" s="26"/>
    </row>
    <row r="127" spans="4:35" ht="20.100000000000001" customHeight="1" x14ac:dyDescent="0.25">
      <c r="D127" s="25" t="s">
        <v>321</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330</v>
      </c>
      <c r="AG127" s="26"/>
      <c r="AH127" s="26"/>
    </row>
    <row r="128" spans="4:35" ht="20.100000000000001" customHeight="1" x14ac:dyDescent="0.25">
      <c r="D128" s="25" t="s">
        <v>322</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330</v>
      </c>
      <c r="AG128" s="26"/>
      <c r="AH128" s="26"/>
    </row>
    <row r="129" spans="3:34" ht="20.100000000000001" customHeight="1" x14ac:dyDescent="0.25">
      <c r="D129" s="25" t="s">
        <v>323</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330</v>
      </c>
      <c r="AG129" s="26"/>
      <c r="AH129" s="26"/>
    </row>
    <row r="130" spans="3:34" ht="20.100000000000001" customHeight="1" x14ac:dyDescent="0.25">
      <c r="D130" s="25" t="s">
        <v>324</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330</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330</v>
      </c>
      <c r="AG131" s="26"/>
      <c r="AH131" s="26"/>
    </row>
    <row r="132" spans="3:34" ht="20.100000000000001" customHeight="1" x14ac:dyDescent="0.25"/>
    <row r="133" spans="3:34" ht="20.100000000000001" customHeight="1" x14ac:dyDescent="0.25">
      <c r="C133" s="120"/>
      <c r="D133" s="120"/>
      <c r="E133" s="120"/>
      <c r="F133" s="120"/>
      <c r="G133" s="120"/>
      <c r="H133" s="120"/>
      <c r="I133" s="120"/>
      <c r="J133" s="120"/>
      <c r="K133" s="120"/>
      <c r="L133" s="120"/>
      <c r="M133" s="120"/>
      <c r="N133" s="120"/>
      <c r="O133" s="120"/>
      <c r="P133" s="120"/>
      <c r="Q133" s="120"/>
      <c r="R133" s="120"/>
      <c r="U133" s="116" t="s">
        <v>443</v>
      </c>
    </row>
    <row r="134" spans="3:34" ht="20.100000000000001" customHeight="1" x14ac:dyDescent="0.25">
      <c r="D134" s="2" t="str" cm="1">
        <f t="array" ref="D134">MMS_PastureBeef_Soil_N2ODirect_Equations.VEERG_4_2_1_3__3_NitrogenExcreted_Title()</f>
        <v>Nitrogen excreted</v>
      </c>
      <c r="U134" s="117" t="s">
        <v>444</v>
      </c>
    </row>
    <row r="135" spans="3:34" ht="20.100000000000001" customHeight="1" x14ac:dyDescent="0.25">
      <c r="D135" s="27" t="str" cm="1">
        <f t="array" ref="D135">MMS_PastureBeef_Soil_N2ODirect_Equations.VEERG_4_2_1_3__3_NitrogenExcreted_Source()</f>
        <v>VEERG 2026: 4.2.1.3, Equation (3)</v>
      </c>
      <c r="U135" s="118" t="s">
        <v>73</v>
      </c>
      <c r="V135" s="118" t="s">
        <v>312</v>
      </c>
      <c r="W135" s="118" t="s">
        <v>198</v>
      </c>
      <c r="X135" s="118" t="s">
        <v>313</v>
      </c>
      <c r="Y135" s="118" t="s">
        <v>314</v>
      </c>
      <c r="Z135" s="118" t="s">
        <v>315</v>
      </c>
      <c r="AA135" s="118" t="s">
        <v>316</v>
      </c>
      <c r="AB135" s="118" t="s">
        <v>317</v>
      </c>
      <c r="AC135" s="118" t="s">
        <v>318</v>
      </c>
      <c r="AD135" s="118" t="s">
        <v>319</v>
      </c>
      <c r="AE135" s="118" t="s">
        <v>320</v>
      </c>
    </row>
    <row r="136" spans="3:34" ht="20.100000000000001" customHeight="1" x14ac:dyDescent="0.25">
      <c r="D136" s="107" t="s">
        <v>358</v>
      </c>
      <c r="E136" s="107"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360</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128</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9" t="str" cm="1">
        <f t="array" ref="D142:E148">_xlfn.CHOOSECOLS(MMS_PastureBeef_Soil_N2ODirect_Equations.VEERG_4_2_1_3__3_NitrogenExcreted_Arguments(),1,2)</f>
        <v>I_jkl</v>
      </c>
      <c r="E142" s="110" t="str">
        <v>dry matter intake as calculated in Chapter 3 Section 3.2.1 (kg DM/head/day)</v>
      </c>
      <c r="F142" s="112"/>
      <c r="G142" s="109" t="str" cm="1">
        <f t="array" ref="G142:H148">_xlfn.CHOOSECOLS(MMS_PastureBeef_Soil_N2ODirect_Equations.VEERG_4_2_1_3__3_NitrogenExcreted_Arguments(),3,4)</f>
        <v>kg DM/head/day</v>
      </c>
      <c r="H142" s="114" t="str">
        <v>Calculated from 3.2.1.1 (3)</v>
      </c>
      <c r="I142" s="115"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9" t="str">
        <v>CP_j</v>
      </c>
      <c r="E143" s="110" t="str">
        <v>crude protein content of dry matter intake</v>
      </c>
      <c r="F143" s="112"/>
      <c r="G143" s="109" t="str">
        <v>fraction</v>
      </c>
      <c r="H143" s="113" t="str">
        <v>Input</v>
      </c>
      <c r="I143" s="115"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9" t="str">
        <v>MC_jk136</v>
      </c>
      <c r="E144" s="110" t="str">
        <v>milk intake (kg/head/day)</v>
      </c>
      <c r="F144" s="112"/>
      <c r="G144" s="109" t="str">
        <v>kg/head/day</v>
      </c>
      <c r="H144" s="114" t="str">
        <v>Constant</v>
      </c>
      <c r="I144" s="115"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9" t="str">
        <v>NR_jkl</v>
      </c>
      <c r="E145" s="110" t="str">
        <v>the amount of nitrogen retained by the body (kg N/head/day)</v>
      </c>
      <c r="F145" s="112"/>
      <c r="G145" s="109" t="str">
        <v>kg N/head/day</v>
      </c>
      <c r="H145" s="114" t="str">
        <v>Calculated from 4.2.1.3 (4)</v>
      </c>
      <c r="I145" s="115"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9" t="str">
        <v>W_jkl</v>
      </c>
      <c r="E146" s="110" t="str">
        <v>liveweight (kg/head)</v>
      </c>
      <c r="F146" s="112"/>
      <c r="G146" s="109" t="str">
        <v>kg/head</v>
      </c>
      <c r="H146" s="113" t="str">
        <v>Input</v>
      </c>
      <c r="I146" s="115"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9" t="str">
        <v>b</v>
      </c>
      <c r="E147" s="110" t="str">
        <v>breed of cattle</v>
      </c>
      <c r="F147" s="112"/>
      <c r="G147" s="109" t="str">
        <v/>
      </c>
      <c r="H147" s="113" t="str">
        <v>Input</v>
      </c>
      <c r="I147" s="124"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9" t="str">
        <v>s</v>
      </c>
      <c r="E148" s="110" t="str">
        <v>Calving season</v>
      </c>
      <c r="F148" s="112"/>
      <c r="G148" s="109" t="str">
        <v/>
      </c>
      <c r="H148" s="113" t="str">
        <v>Input</v>
      </c>
      <c r="I148" s="124" t="str">
        <f>'Input - Pasture Beef'!$E$162</f>
        <v>Winter</v>
      </c>
    </row>
    <row r="149" spans="4:35" ht="20.100000000000001" customHeight="1" x14ac:dyDescent="0.25"/>
    <row r="150" spans="4:35" ht="20.100000000000001" customHeight="1" x14ac:dyDescent="0.25">
      <c r="D150" s="116" t="s">
        <v>445</v>
      </c>
      <c r="T150" s="120"/>
      <c r="U150" s="120"/>
      <c r="V150" s="120"/>
      <c r="W150" s="120"/>
      <c r="X150" s="120"/>
      <c r="Y150" s="120"/>
      <c r="Z150" s="120"/>
      <c r="AA150" s="120"/>
      <c r="AB150" s="120"/>
      <c r="AC150" s="120"/>
      <c r="AD150" s="120"/>
      <c r="AE150" s="120"/>
      <c r="AF150" s="120"/>
      <c r="AG150" s="120"/>
      <c r="AH150" s="120"/>
      <c r="AI150" s="120"/>
    </row>
    <row r="151" spans="4:35" ht="20.100000000000001" customHeight="1" x14ac:dyDescent="0.25">
      <c r="D151" s="117" t="s">
        <v>446</v>
      </c>
      <c r="U151" s="2" t="str" cm="1">
        <f t="array" ref="U151">MMS_PastureBeef_Soil_N2ODirect_Equations.VEERG_4_2_1_3__3_NitrogenExcreted_Title()</f>
        <v>Nitrogen excreted</v>
      </c>
    </row>
    <row r="152" spans="4:35" ht="20.100000000000001" customHeight="1" x14ac:dyDescent="0.25">
      <c r="D152" s="118" t="s">
        <v>74</v>
      </c>
      <c r="E152" s="94" t="s">
        <v>312</v>
      </c>
      <c r="F152" s="94" t="s">
        <v>198</v>
      </c>
      <c r="G152" s="94" t="s">
        <v>313</v>
      </c>
      <c r="H152" s="94" t="s">
        <v>314</v>
      </c>
      <c r="I152" s="94" t="s">
        <v>315</v>
      </c>
      <c r="J152" s="94" t="s">
        <v>316</v>
      </c>
      <c r="K152" s="94" t="s">
        <v>317</v>
      </c>
      <c r="L152" s="94" t="s">
        <v>318</v>
      </c>
      <c r="M152" s="94" t="s">
        <v>319</v>
      </c>
      <c r="N152" s="94" t="s">
        <v>320</v>
      </c>
    </row>
    <row r="153" spans="4:35" ht="20.100000000000001" customHeight="1" x14ac:dyDescent="0.25">
      <c r="D153" s="25" t="s">
        <v>321</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332</v>
      </c>
    </row>
    <row r="154" spans="4:35" ht="20.100000000000001" customHeight="1" x14ac:dyDescent="0.25">
      <c r="D154" s="25" t="s">
        <v>322</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332</v>
      </c>
    </row>
    <row r="155" spans="4:35" ht="20.100000000000001" customHeight="1" x14ac:dyDescent="0.25">
      <c r="D155" s="25" t="s">
        <v>323</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332</v>
      </c>
    </row>
    <row r="156" spans="4:35" ht="20.100000000000001" customHeight="1" x14ac:dyDescent="0.25">
      <c r="D156" s="25" t="s">
        <v>324</v>
      </c>
      <c r="E156" s="25">
        <f ca="1"/>
        <v>0.2</v>
      </c>
      <c r="F156" s="25">
        <f ca="1"/>
        <v>0.2</v>
      </c>
      <c r="G156" s="25">
        <f ca="1"/>
        <v>0.2</v>
      </c>
      <c r="H156" s="25">
        <f ca="1"/>
        <v>0.2</v>
      </c>
      <c r="I156" s="25">
        <f ca="1"/>
        <v>0.2</v>
      </c>
      <c r="J156" s="25">
        <f ca="1"/>
        <v>0.2</v>
      </c>
      <c r="K156" s="25">
        <f ca="1"/>
        <v>0.2</v>
      </c>
      <c r="L156" s="25">
        <f ca="1"/>
        <v>0.2</v>
      </c>
      <c r="M156" s="25">
        <f ca="1"/>
        <v>0.2</v>
      </c>
      <c r="N156" s="25">
        <f ca="1"/>
        <v>0.2</v>
      </c>
      <c r="O156" s="26" t="s">
        <v>332</v>
      </c>
    </row>
    <row r="157" spans="4:35" ht="20.100000000000001" customHeight="1" x14ac:dyDescent="0.25"/>
    <row r="158" spans="4:35" ht="20.100000000000001" customHeight="1" x14ac:dyDescent="0.25">
      <c r="D158" s="116" t="s">
        <v>447</v>
      </c>
    </row>
    <row r="159" spans="4:35" ht="20.100000000000001" customHeight="1" x14ac:dyDescent="0.25">
      <c r="D159" s="117" t="s">
        <v>448</v>
      </c>
    </row>
    <row r="160" spans="4:35" ht="20.100000000000001" customHeight="1" x14ac:dyDescent="0.25">
      <c r="D160" s="118" t="s">
        <v>74</v>
      </c>
      <c r="E160" s="118" t="s">
        <v>343</v>
      </c>
      <c r="F160" s="118" t="s">
        <v>312</v>
      </c>
      <c r="G160" s="118" t="s">
        <v>198</v>
      </c>
      <c r="H160" s="118" t="s">
        <v>313</v>
      </c>
      <c r="I160" s="118" t="s">
        <v>314</v>
      </c>
      <c r="J160" s="118" t="s">
        <v>315</v>
      </c>
      <c r="K160" s="118" t="s">
        <v>316</v>
      </c>
      <c r="L160" s="118" t="s">
        <v>317</v>
      </c>
      <c r="M160" s="118" t="s">
        <v>318</v>
      </c>
      <c r="N160" s="118" t="s">
        <v>319</v>
      </c>
      <c r="O160" s="118" t="s">
        <v>320</v>
      </c>
    </row>
    <row r="161" spans="3:34" ht="20.100000000000001" customHeight="1" x14ac:dyDescent="0.25">
      <c r="D161" s="25" t="s">
        <v>321</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330</v>
      </c>
      <c r="Q161" s="26"/>
      <c r="U161" s="116" t="s">
        <v>449</v>
      </c>
    </row>
    <row r="162" spans="3:34" ht="20.100000000000001" customHeight="1" x14ac:dyDescent="0.25">
      <c r="D162" s="25" t="s">
        <v>322</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330</v>
      </c>
      <c r="Q162" s="26"/>
      <c r="U162" s="117" t="s">
        <v>450</v>
      </c>
    </row>
    <row r="163" spans="3:34" ht="20.100000000000001" customHeight="1" x14ac:dyDescent="0.25">
      <c r="D163" s="25" t="s">
        <v>323</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330</v>
      </c>
      <c r="Q163" s="26"/>
      <c r="U163" s="118" t="s">
        <v>73</v>
      </c>
      <c r="V163" s="94" t="s">
        <v>312</v>
      </c>
      <c r="W163" s="94" t="s">
        <v>198</v>
      </c>
      <c r="X163" s="94" t="s">
        <v>313</v>
      </c>
      <c r="Y163" s="94" t="s">
        <v>314</v>
      </c>
      <c r="Z163" s="94" t="s">
        <v>315</v>
      </c>
      <c r="AA163" s="94" t="s">
        <v>316</v>
      </c>
      <c r="AB163" s="94" t="s">
        <v>317</v>
      </c>
      <c r="AC163" s="94" t="s">
        <v>318</v>
      </c>
      <c r="AD163" s="94" t="s">
        <v>319</v>
      </c>
      <c r="AE163" s="94" t="s">
        <v>320</v>
      </c>
    </row>
    <row r="164" spans="3:34" ht="20.100000000000001" customHeight="1" x14ac:dyDescent="0.25">
      <c r="D164" s="25" t="s">
        <v>324</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330</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332</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332</v>
      </c>
    </row>
    <row r="166" spans="3:34" ht="20.100000000000001" customHeight="1" x14ac:dyDescent="0.25">
      <c r="D166" s="116" t="s">
        <v>451</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332</v>
      </c>
    </row>
    <row r="167" spans="3:34" ht="20.100000000000001" customHeight="1" x14ac:dyDescent="0.25">
      <c r="D167" s="117" t="s">
        <v>452</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332</v>
      </c>
    </row>
    <row r="168" spans="3:34" ht="20.100000000000001" customHeight="1" x14ac:dyDescent="0.25">
      <c r="D168" s="118" t="s">
        <v>74</v>
      </c>
      <c r="E168" s="118" t="s">
        <v>312</v>
      </c>
      <c r="F168" s="118" t="s">
        <v>198</v>
      </c>
      <c r="G168" s="118" t="s">
        <v>313</v>
      </c>
      <c r="H168" s="118" t="s">
        <v>314</v>
      </c>
      <c r="I168" s="118" t="s">
        <v>315</v>
      </c>
      <c r="J168" s="118" t="s">
        <v>316</v>
      </c>
      <c r="K168" s="118" t="s">
        <v>317</v>
      </c>
      <c r="L168" s="118" t="s">
        <v>318</v>
      </c>
      <c r="M168" s="118" t="s">
        <v>319</v>
      </c>
      <c r="N168" s="118" t="s">
        <v>320</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332</v>
      </c>
      <c r="AG168" s="26"/>
      <c r="AH168" s="26"/>
    </row>
    <row r="169" spans="3:34" ht="20.100000000000001" customHeight="1" x14ac:dyDescent="0.25">
      <c r="D169" s="25" t="s">
        <v>321</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332</v>
      </c>
      <c r="AG169" s="26"/>
      <c r="AH169" s="26"/>
    </row>
    <row r="170" spans="3:34" ht="20.100000000000001" customHeight="1" x14ac:dyDescent="0.25">
      <c r="D170" s="25" t="s">
        <v>322</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332</v>
      </c>
      <c r="AG170" s="26"/>
      <c r="AH170" s="26"/>
    </row>
    <row r="171" spans="3:34" ht="20.100000000000001" customHeight="1" x14ac:dyDescent="0.25">
      <c r="D171" s="25" t="s">
        <v>323</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332</v>
      </c>
      <c r="AG171" s="26"/>
      <c r="AH171" s="26"/>
    </row>
    <row r="172" spans="3:34" ht="20.100000000000001" customHeight="1" x14ac:dyDescent="0.25">
      <c r="D172" s="25" t="s">
        <v>324</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332</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332</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332</v>
      </c>
      <c r="AG174" s="26"/>
      <c r="AH174" s="26"/>
    </row>
    <row r="175" spans="3:34" ht="20.100000000000001" customHeight="1" x14ac:dyDescent="0.25">
      <c r="C175" s="120"/>
      <c r="D175" s="120"/>
      <c r="E175" s="120"/>
      <c r="F175" s="120"/>
      <c r="G175" s="120"/>
      <c r="H175" s="120"/>
      <c r="I175" s="120"/>
      <c r="J175" s="120"/>
      <c r="K175" s="120"/>
      <c r="L175" s="120"/>
      <c r="M175" s="120"/>
      <c r="N175" s="120"/>
      <c r="O175" s="120"/>
      <c r="P175" s="120"/>
      <c r="Q175" s="120"/>
      <c r="R175" s="120"/>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332</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6" t="s">
        <v>453</v>
      </c>
      <c r="AH177" s="26"/>
    </row>
    <row r="178" spans="4:34" ht="20.100000000000001" customHeight="1" x14ac:dyDescent="0.25">
      <c r="D178" s="107" t="s">
        <v>358</v>
      </c>
      <c r="E178" s="107" t="str" cm="1">
        <f t="array" aca="1" ref="E178" ca="1">Common_InputFunctions.Utility_DisplayFunctionName($E$207)</f>
        <v>=MMS_PastureBeef_Soil_N2ODirect_Equations.VEERG_4_2_1_3__2_TotalNitrogenExcretedToPastureRangeAndPaddock</v>
      </c>
      <c r="U178" s="117" t="s">
        <v>454</v>
      </c>
      <c r="AH178" s="26"/>
    </row>
    <row r="179" spans="4:34" ht="20.100000000000001" customHeight="1" x14ac:dyDescent="0.25">
      <c r="U179" s="118" t="s">
        <v>73</v>
      </c>
      <c r="V179" s="118" t="s">
        <v>343</v>
      </c>
      <c r="W179" s="118" t="s">
        <v>312</v>
      </c>
      <c r="X179" s="118" t="s">
        <v>198</v>
      </c>
      <c r="Y179" s="118" t="s">
        <v>313</v>
      </c>
      <c r="Z179" s="118" t="s">
        <v>314</v>
      </c>
      <c r="AA179" s="118" t="s">
        <v>315</v>
      </c>
      <c r="AB179" s="118" t="s">
        <v>316</v>
      </c>
      <c r="AC179" s="118" t="s">
        <v>317</v>
      </c>
      <c r="AD179" s="118" t="s">
        <v>318</v>
      </c>
      <c r="AE179" s="118" t="s">
        <v>319</v>
      </c>
      <c r="AF179" s="118" t="s">
        <v>320</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330</v>
      </c>
    </row>
    <row r="181" spans="4:34" ht="20.100000000000001" customHeight="1" x14ac:dyDescent="0.25">
      <c r="D181" s="88" t="s">
        <v>360</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330</v>
      </c>
    </row>
    <row r="182" spans="4:34" ht="20.100000000000001" customHeight="1" x14ac:dyDescent="0.25">
      <c r="D182" s="88" t="s">
        <v>128</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330</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330</v>
      </c>
    </row>
    <row r="184" spans="4:34" ht="20.100000000000001" customHeight="1" x14ac:dyDescent="0.25">
      <c r="D184" s="109" t="str" cm="1">
        <f t="array" ref="D184:E186">_xlfn.CHOOSECOLS(MMS_PastureBeef_Soil_N2ODirect_Equations.VEERG_4_2_1_3__2_TotalNitrogenExcretedToPastureRangeAndPaddock_Arguments(),1,2)</f>
        <v>N_jkl</v>
      </c>
      <c r="E184" s="110" t="str">
        <v>number of beef cattle by time-period, class and subclass</v>
      </c>
      <c r="F184" s="112"/>
      <c r="G184" s="109" t="str" cm="1">
        <f t="array" ref="G184:H186">_xlfn.CHOOSECOLS(MMS_PastureBeef_Soil_N2ODirect_Equations.VEERG_4_2_1_3__2_TotalNitrogenExcretedToPastureRangeAndPaddock_Arguments(),3,4)</f>
        <v>head</v>
      </c>
      <c r="H184" s="113" t="str">
        <v>Input</v>
      </c>
      <c r="I184" s="115"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330</v>
      </c>
      <c r="AH184" s="26"/>
    </row>
    <row r="185" spans="4:34" ht="20.100000000000001" customHeight="1" x14ac:dyDescent="0.25">
      <c r="D185" s="109" t="str">
        <v>NE_jkl</v>
      </c>
      <c r="E185" s="110" t="str">
        <v>nitrogen excreted in each time-period, by each class and subclass</v>
      </c>
      <c r="F185" s="112"/>
      <c r="G185" s="109" t="str">
        <v>kg N/head/day</v>
      </c>
      <c r="H185" s="114" t="str">
        <v>Calculated from 4.2.1.3 (3)</v>
      </c>
      <c r="I185" s="115"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330</v>
      </c>
      <c r="AH185" s="26"/>
    </row>
    <row r="186" spans="4:34" ht="20.100000000000001" customHeight="1" x14ac:dyDescent="0.25">
      <c r="D186" s="109" t="str">
        <v>D_j</v>
      </c>
      <c r="E186" s="110" t="str">
        <v>number of days in each time-period (days)</v>
      </c>
      <c r="F186" s="112"/>
      <c r="G186" s="109" t="str">
        <v>days</v>
      </c>
      <c r="H186" s="113" t="str">
        <v>Input</v>
      </c>
      <c r="I186" s="115"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330</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330</v>
      </c>
      <c r="AH187" s="26"/>
    </row>
    <row r="188" spans="4:34" ht="20.100000000000001" customHeight="1" x14ac:dyDescent="0.25">
      <c r="D188" s="116" t="s">
        <v>408</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330</v>
      </c>
    </row>
    <row r="189" spans="4:34" ht="20.100000000000001" customHeight="1" x14ac:dyDescent="0.25">
      <c r="D189" s="117" t="s">
        <v>410</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330</v>
      </c>
    </row>
    <row r="190" spans="4:34" ht="20.100000000000001" customHeight="1" x14ac:dyDescent="0.25">
      <c r="D190" s="118" t="s">
        <v>74</v>
      </c>
      <c r="E190" s="94" t="s">
        <v>312</v>
      </c>
      <c r="F190" s="94" t="s">
        <v>198</v>
      </c>
      <c r="G190" s="94" t="s">
        <v>313</v>
      </c>
      <c r="H190" s="94" t="s">
        <v>314</v>
      </c>
      <c r="I190" s="94" t="s">
        <v>315</v>
      </c>
      <c r="J190" s="94" t="s">
        <v>316</v>
      </c>
      <c r="K190" s="94" t="s">
        <v>317</v>
      </c>
      <c r="L190" s="94" t="s">
        <v>318</v>
      </c>
      <c r="M190" s="94" t="s">
        <v>319</v>
      </c>
      <c r="N190" s="94" t="s">
        <v>320</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330</v>
      </c>
    </row>
    <row r="191" spans="4:34" ht="20.100000000000001" customHeight="1" x14ac:dyDescent="0.25">
      <c r="D191" s="25" t="s">
        <v>321</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412</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330</v>
      </c>
    </row>
    <row r="192" spans="4:34" ht="20.100000000000001" customHeight="1" x14ac:dyDescent="0.25">
      <c r="D192" s="25" t="s">
        <v>322</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412</v>
      </c>
    </row>
    <row r="193" spans="4:34" ht="20.100000000000001" customHeight="1" x14ac:dyDescent="0.25">
      <c r="D193" s="25" t="s">
        <v>323</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412</v>
      </c>
      <c r="U193" s="116" t="s">
        <v>455</v>
      </c>
    </row>
    <row r="194" spans="4:34" ht="20.100000000000001" customHeight="1" x14ac:dyDescent="0.25">
      <c r="D194" s="25" t="s">
        <v>324</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412</v>
      </c>
      <c r="U194" s="117" t="s">
        <v>456</v>
      </c>
    </row>
    <row r="195" spans="4:34" ht="20.100000000000001" customHeight="1" x14ac:dyDescent="0.25">
      <c r="U195" s="118" t="s">
        <v>73</v>
      </c>
      <c r="V195" s="118" t="s">
        <v>312</v>
      </c>
      <c r="W195" s="118" t="s">
        <v>198</v>
      </c>
      <c r="X195" s="118" t="s">
        <v>313</v>
      </c>
      <c r="Y195" s="118" t="s">
        <v>314</v>
      </c>
      <c r="Z195" s="118" t="s">
        <v>315</v>
      </c>
      <c r="AA195" s="118" t="s">
        <v>316</v>
      </c>
      <c r="AB195" s="118" t="s">
        <v>317</v>
      </c>
      <c r="AC195" s="118" t="s">
        <v>318</v>
      </c>
      <c r="AD195" s="118" t="s">
        <v>319</v>
      </c>
      <c r="AE195" s="118" t="s">
        <v>320</v>
      </c>
    </row>
    <row r="196" spans="4:34" ht="20.100000000000001" customHeight="1" x14ac:dyDescent="0.25">
      <c r="D196" s="116" t="s">
        <v>413</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7" t="s">
        <v>414</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8" t="s">
        <v>74</v>
      </c>
      <c r="E198" s="94" t="s">
        <v>312</v>
      </c>
      <c r="F198" s="94" t="s">
        <v>198</v>
      </c>
      <c r="G198" s="94" t="s">
        <v>313</v>
      </c>
      <c r="H198" s="94" t="s">
        <v>314</v>
      </c>
      <c r="I198" s="94" t="s">
        <v>315</v>
      </c>
      <c r="J198" s="94" t="s">
        <v>316</v>
      </c>
      <c r="K198" s="94" t="s">
        <v>317</v>
      </c>
      <c r="L198" s="94" t="s">
        <v>318</v>
      </c>
      <c r="M198" s="94" t="s">
        <v>319</v>
      </c>
      <c r="N198" s="94" t="s">
        <v>320</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321</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322</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323</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324</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6" t="s">
        <v>457</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7" t="s">
        <v>458</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8" t="s">
        <v>74</v>
      </c>
      <c r="E206" s="118" t="s">
        <v>312</v>
      </c>
      <c r="F206" s="118" t="s">
        <v>198</v>
      </c>
      <c r="G206" s="118" t="s">
        <v>313</v>
      </c>
      <c r="H206" s="118" t="s">
        <v>314</v>
      </c>
      <c r="I206" s="118" t="s">
        <v>315</v>
      </c>
      <c r="J206" s="118" t="s">
        <v>316</v>
      </c>
      <c r="K206" s="118" t="s">
        <v>317</v>
      </c>
      <c r="L206" s="118" t="s">
        <v>318</v>
      </c>
      <c r="M206" s="118" t="s">
        <v>319</v>
      </c>
      <c r="N206" s="118" t="s">
        <v>320</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321</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322</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323</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324</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20"/>
      <c r="U210" s="120"/>
      <c r="V210" s="120"/>
      <c r="W210" s="120"/>
      <c r="X210" s="120"/>
      <c r="Y210" s="120"/>
      <c r="Z210" s="120"/>
      <c r="AA210" s="120"/>
      <c r="AB210" s="120"/>
      <c r="AC210" s="120"/>
      <c r="AD210" s="120"/>
      <c r="AE210" s="120"/>
      <c r="AF210" s="120"/>
      <c r="AG210" s="120"/>
      <c r="AH210" s="120"/>
      <c r="AI210" s="120"/>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8" t="s">
        <v>459</v>
      </c>
      <c r="E212" s="120">
        <f ca="1">SUM(E207:N210)</f>
        <v>60490.349382369524</v>
      </c>
      <c r="F212" s="127" t="str">
        <f>E182</f>
        <v>kg N</v>
      </c>
    </row>
    <row r="213" spans="3:35" ht="20.100000000000001" customHeight="1" x14ac:dyDescent="0.25">
      <c r="U213" s="116" t="s">
        <v>409</v>
      </c>
    </row>
    <row r="214" spans="3:35" ht="20.100000000000001" customHeight="1" x14ac:dyDescent="0.25">
      <c r="U214" s="117" t="s">
        <v>411</v>
      </c>
    </row>
    <row r="215" spans="3:35" ht="20.100000000000001" customHeight="1" x14ac:dyDescent="0.25">
      <c r="C215" s="120"/>
      <c r="D215" s="120"/>
      <c r="E215" s="120"/>
      <c r="F215" s="120"/>
      <c r="G215" s="120"/>
      <c r="H215" s="120"/>
      <c r="I215" s="120"/>
      <c r="J215" s="120"/>
      <c r="K215" s="120"/>
      <c r="L215" s="120"/>
      <c r="M215" s="120"/>
      <c r="N215" s="120"/>
      <c r="O215" s="120"/>
      <c r="P215" s="120"/>
      <c r="Q215" s="120"/>
      <c r="R215" s="120"/>
      <c r="U215" s="118" t="s">
        <v>73</v>
      </c>
      <c r="V215" s="94" t="s">
        <v>312</v>
      </c>
      <c r="W215" s="94" t="s">
        <v>198</v>
      </c>
      <c r="X215" s="94" t="s">
        <v>313</v>
      </c>
      <c r="Y215" s="94" t="s">
        <v>314</v>
      </c>
      <c r="Z215" s="94" t="s">
        <v>315</v>
      </c>
      <c r="AA215" s="94" t="s">
        <v>316</v>
      </c>
      <c r="AB215" s="94" t="s">
        <v>317</v>
      </c>
      <c r="AC215" s="94" t="s">
        <v>318</v>
      </c>
      <c r="AD215" s="94" t="s">
        <v>319</v>
      </c>
      <c r="AE215" s="94" t="s">
        <v>320</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412</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412</v>
      </c>
      <c r="AG217" s="26"/>
      <c r="AH217" s="26"/>
    </row>
    <row r="218" spans="3:35" ht="20.100000000000001" customHeight="1" x14ac:dyDescent="0.25">
      <c r="D218" s="107" t="s">
        <v>358</v>
      </c>
      <c r="E218" s="107"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412</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412</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412</v>
      </c>
      <c r="AG220" s="26"/>
      <c r="AH220" s="26"/>
    </row>
    <row r="221" spans="3:35" ht="20.100000000000001" customHeight="1" x14ac:dyDescent="0.25">
      <c r="D221" s="88" t="s">
        <v>360</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412</v>
      </c>
      <c r="AG221" s="26"/>
      <c r="AH221" s="26"/>
    </row>
    <row r="222" spans="3:35" ht="20.100000000000001" customHeight="1" x14ac:dyDescent="0.25">
      <c r="D222" s="88" t="s">
        <v>128</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412</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412</v>
      </c>
      <c r="AG223" s="26"/>
      <c r="AH223" s="26"/>
    </row>
    <row r="224" spans="3:35" ht="20.100000000000001" customHeight="1" x14ac:dyDescent="0.25">
      <c r="D224" s="129" t="str" cm="1">
        <f t="array" ref="D224:G227">MMS_PastureBeef_Soil_N2ODirect_Equations.VEERG_4_2_1_3__1_DirectNitrousOxideEmissionsOnPasture_Arguments()</f>
        <v>AE</v>
      </c>
      <c r="E224" s="130" t="str">
        <v>total mass of nitrogen excreted on PRP for beef cattle</v>
      </c>
      <c r="F224" s="131" t="str">
        <v>kg N</v>
      </c>
      <c r="G224" s="132" t="str">
        <v>Calculated from 4.2.1.3 (2)</v>
      </c>
      <c r="H224" s="129"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412</v>
      </c>
      <c r="AG224" s="26"/>
      <c r="AH224" s="26"/>
    </row>
    <row r="225" spans="4:34" ht="20.100000000000001" customHeight="1" x14ac:dyDescent="0.25">
      <c r="D225" s="129" t="str">
        <v>EF_PRP</v>
      </c>
      <c r="E225" s="130" t="str">
        <v>emission factor for nitrous oxide from urine and dung deposited to soil</v>
      </c>
      <c r="F225" s="131" t="str">
        <v>kg N2O-N/kg N deposited</v>
      </c>
      <c r="G225" s="132" t="str">
        <v>Constant</v>
      </c>
      <c r="H225" s="124">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412</v>
      </c>
      <c r="AG225" s="26"/>
      <c r="AH225" s="26"/>
    </row>
    <row r="226" spans="4:34" ht="20.100000000000001" customHeight="1" x14ac:dyDescent="0.25">
      <c r="D226" s="129" t="str">
        <v>C_N2O</v>
      </c>
      <c r="E226" s="130" t="str">
        <v>factor to convert elemental mass of nitrous oxide to molecular mass</v>
      </c>
      <c r="F226" s="131" t="str">
        <v/>
      </c>
      <c r="G226" s="132" t="str">
        <v>Constant</v>
      </c>
      <c r="H226" s="124">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412</v>
      </c>
      <c r="AG226" s="26"/>
      <c r="AH226" s="26"/>
    </row>
    <row r="227" spans="4:34" ht="20.100000000000001" customHeight="1" x14ac:dyDescent="0.25">
      <c r="D227" s="129" t="str">
        <v>z</v>
      </c>
      <c r="E227" s="130" t="str">
        <v>wet or dry climate zone</v>
      </c>
      <c r="F227" s="131" t="str">
        <v/>
      </c>
      <c r="G227" s="132" t="str">
        <v>Input</v>
      </c>
      <c r="H227" s="129"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412</v>
      </c>
      <c r="AG227" s="26"/>
      <c r="AH227" s="26"/>
    </row>
    <row r="228" spans="4:34" ht="20.100000000000001" customHeight="1" x14ac:dyDescent="0.25"/>
    <row r="229" spans="4:34" ht="20.100000000000001" customHeight="1" x14ac:dyDescent="0.25">
      <c r="D229" s="121" t="s">
        <v>460</v>
      </c>
      <c r="E229" s="122">
        <f ca="1">MMS_PastureBeef_Soil_N2ODirect_Equations.VEERG_4_2_1_3__1_DirectNitrousOxideEmissionsOnPasture(VEERG_4_2_1_3__2_TotalNitrogenExcretedToPastureRangeAndPaddock_Result_Method1,$H$225,$H$226)</f>
        <v>0.19011252663030423</v>
      </c>
      <c r="F229" s="123" t="str">
        <f>$E$222</f>
        <v>t N2O</v>
      </c>
      <c r="U229" s="116" t="s">
        <v>417</v>
      </c>
    </row>
    <row r="230" spans="4:34" ht="20.100000000000001" customHeight="1" x14ac:dyDescent="0.25">
      <c r="U230" s="117" t="s">
        <v>419</v>
      </c>
    </row>
    <row r="231" spans="4:34" ht="20.100000000000001" customHeight="1" x14ac:dyDescent="0.25">
      <c r="D231" s="124" t="str" cm="1">
        <f t="array" ref="D231:E232">Common_Equations.Common_ConvertN2OToCO2e_Arguments()</f>
        <v>EN2O</v>
      </c>
      <c r="E231" s="125" t="str">
        <v>Nitrous oxide emissions (t N2O)</v>
      </c>
      <c r="F231" s="126"/>
      <c r="G231" s="25">
        <f ca="1">VEERG_4_2_1_3__1_DirectNitrousOxideEmissionsOnPasture_Result_Method1</f>
        <v>0.19011252663030423</v>
      </c>
      <c r="U231" s="118" t="s">
        <v>73</v>
      </c>
      <c r="V231" s="94" t="s">
        <v>312</v>
      </c>
      <c r="W231" s="94" t="s">
        <v>198</v>
      </c>
      <c r="X231" s="94" t="s">
        <v>313</v>
      </c>
      <c r="Y231" s="94" t="s">
        <v>314</v>
      </c>
      <c r="Z231" s="94" t="s">
        <v>315</v>
      </c>
      <c r="AA231" s="94" t="s">
        <v>316</v>
      </c>
      <c r="AB231" s="94" t="s">
        <v>317</v>
      </c>
      <c r="AC231" s="94" t="s">
        <v>318</v>
      </c>
      <c r="AD231" s="94" t="s">
        <v>319</v>
      </c>
      <c r="AE231" s="94" t="s">
        <v>320</v>
      </c>
    </row>
    <row r="232" spans="4:34" ht="20.100000000000001" customHeight="1" x14ac:dyDescent="0.25">
      <c r="D232" s="124" t="str">
        <v>GWPN2O</v>
      </c>
      <c r="E232" s="125" t="str">
        <v>Global warming potential for nitrous oxide (t CO2-e / t N2O)</v>
      </c>
      <c r="F232" s="126"/>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415</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415</v>
      </c>
      <c r="AG233" s="26"/>
      <c r="AH233" s="26"/>
    </row>
    <row r="234" spans="4:34" ht="20.100000000000001" customHeight="1" x14ac:dyDescent="0.25">
      <c r="D234" s="120" t="s">
        <v>422</v>
      </c>
      <c r="E234" s="120" cm="1">
        <f t="array" aca="1" ref="E234" ca="1">Common_Equations.Common_ConvertN2OToCO2e(G231,G232)</f>
        <v>50.379819557030622</v>
      </c>
      <c r="F234" s="127"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415</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415</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415</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415</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415</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415</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415</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415</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415</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415</v>
      </c>
      <c r="AG243" s="26"/>
      <c r="AH243" s="26"/>
    </row>
    <row r="244" spans="21:34" ht="20.100000000000001" customHeight="1" x14ac:dyDescent="0.25"/>
    <row r="245" spans="21:34" ht="20.100000000000001" customHeight="1" x14ac:dyDescent="0.25">
      <c r="U245" s="116" t="s">
        <v>461</v>
      </c>
    </row>
    <row r="246" spans="21:34" ht="20.100000000000001" customHeight="1" x14ac:dyDescent="0.25">
      <c r="U246" s="117" t="s">
        <v>462</v>
      </c>
    </row>
    <row r="247" spans="21:34" ht="20.100000000000001" customHeight="1" x14ac:dyDescent="0.25">
      <c r="U247" s="118" t="s">
        <v>73</v>
      </c>
      <c r="V247" s="118" t="s">
        <v>312</v>
      </c>
      <c r="W247" s="118" t="s">
        <v>198</v>
      </c>
      <c r="X247" s="118" t="s">
        <v>313</v>
      </c>
      <c r="Y247" s="118" t="s">
        <v>314</v>
      </c>
      <c r="Z247" s="118" t="s">
        <v>315</v>
      </c>
      <c r="AA247" s="118" t="s">
        <v>316</v>
      </c>
      <c r="AB247" s="118" t="s">
        <v>317</v>
      </c>
      <c r="AC247" s="118" t="s">
        <v>318</v>
      </c>
      <c r="AD247" s="118" t="s">
        <v>319</v>
      </c>
      <c r="AE247" s="118" t="s">
        <v>320</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8" t="s">
        <v>459</v>
      </c>
      <c r="V261" s="120">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20"/>
      <c r="U264" s="120"/>
      <c r="V264" s="120"/>
      <c r="W264" s="120"/>
      <c r="X264" s="120"/>
      <c r="Y264" s="120"/>
      <c r="Z264" s="120"/>
      <c r="AA264" s="120"/>
      <c r="AB264" s="120"/>
      <c r="AC264" s="120"/>
      <c r="AD264" s="120"/>
      <c r="AE264" s="120"/>
      <c r="AF264" s="120"/>
      <c r="AG264" s="120"/>
      <c r="AH264" s="120"/>
      <c r="AI264" s="120"/>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21" t="s">
        <v>460</v>
      </c>
      <c r="V267" s="122">
        <f ca="1">MMS_PastureBeef_Soil_N2ODirect_Equations.VEERG_4_2_1_3__1_DirectNitrousOxideEmissionsOnPasture(VEERG_4_2_1_3__2_TotalNitrogenExcretedToPastureRangeAndPaddock_Result_Method2,$H$225,$H$226)</f>
        <v>0.18424525527410571</v>
      </c>
      <c r="W267" s="123" t="str">
        <f>$E$222</f>
        <v>t N2O</v>
      </c>
    </row>
    <row r="268" spans="20:35" ht="20.100000000000001" customHeight="1" x14ac:dyDescent="0.25"/>
    <row r="269" spans="20:35" ht="20.100000000000001" customHeight="1" x14ac:dyDescent="0.25">
      <c r="U269" s="124" t="str" cm="1">
        <f t="array" ref="U269:V270">Common_Equations.Common_ConvertN2OToCO2e_Arguments()</f>
        <v>EN2O</v>
      </c>
      <c r="V269" s="125" t="str">
        <v>Nitrous oxide emissions (t N2O)</v>
      </c>
      <c r="W269" s="126"/>
      <c r="X269" s="25">
        <f ca="1">VEERG_4_2_1_3__1_DirectNitrousOxideEmissionsOnPasture_Result_Method2</f>
        <v>0.18424525527410571</v>
      </c>
    </row>
    <row r="270" spans="20:35" ht="20.100000000000001" customHeight="1" x14ac:dyDescent="0.25">
      <c r="U270" s="124" t="str">
        <v>GWPN2O</v>
      </c>
      <c r="V270" s="125" t="str">
        <v>Global warming potential for nitrous oxide (t CO2-e / t N2O)</v>
      </c>
      <c r="W270" s="126"/>
      <c r="X270" s="25">
        <f>Common_InputFunctions.Utility_LookupValueInTableNumber("N2O",Table_GWPData[Gas],Table_GWPData[CO2-e factor])</f>
        <v>265</v>
      </c>
    </row>
    <row r="271" spans="20:35" ht="20.100000000000001" customHeight="1" x14ac:dyDescent="0.25"/>
    <row r="272" spans="20:35" ht="20.100000000000001" customHeight="1" x14ac:dyDescent="0.25">
      <c r="U272" s="120" t="s">
        <v>422</v>
      </c>
      <c r="V272" s="120" cm="1">
        <f t="array" aca="1" ref="V272" ca="1">Common_Equations.Common_ConvertN2OToCO2e(X269,X270)</f>
        <v>48.824992647638012</v>
      </c>
      <c r="W272" s="127"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8DF58F74-5EB1-4AA8-A52A-C695906C4F54}"/>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6C0B-8EC7-4CA2-A971-28F1C4E7BC75}">
  <dimension ref="A1:V165"/>
  <sheetViews>
    <sheetView showGridLines="0" topLeftCell="H1"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463</v>
      </c>
    </row>
    <row r="2" spans="1:22" s="3" customFormat="1" ht="20.100000000000001" customHeight="1" x14ac:dyDescent="0.25">
      <c r="A2"/>
    </row>
    <row r="3" spans="1:22" ht="20.100000000000001" customHeight="1" x14ac:dyDescent="0.25">
      <c r="A3" s="5"/>
      <c r="C3" s="33"/>
      <c r="D3" s="33" t="s">
        <v>145</v>
      </c>
      <c r="E3" s="33"/>
      <c r="F3" s="33"/>
      <c r="G3" s="33"/>
      <c r="H3" s="33"/>
      <c r="I3" s="33"/>
      <c r="J3" s="33"/>
      <c r="K3" s="33"/>
      <c r="M3" s="33"/>
      <c r="N3" s="33" t="s">
        <v>146</v>
      </c>
      <c r="O3" s="33"/>
      <c r="P3" s="33"/>
      <c r="Q3" s="33"/>
      <c r="R3" s="33"/>
      <c r="S3" s="33"/>
      <c r="T3" s="33"/>
      <c r="U3" s="33"/>
      <c r="V3" s="33"/>
    </row>
    <row r="4" spans="1:22" ht="20.100000000000001" customHeight="1" x14ac:dyDescent="0.25">
      <c r="A4" s="5"/>
    </row>
    <row r="5" spans="1:22" ht="20.100000000000001" customHeight="1" x14ac:dyDescent="0.25">
      <c r="A5" s="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7" t="s">
        <v>358</v>
      </c>
      <c r="E7" s="107" t="str" cm="1">
        <f t="array" aca="1" ref="E7" ca="1">Common_InputFunctions.Utility_DisplayFunctionName(E16)</f>
        <v>=MMS_PastureBeef_Soil_AtmosphericDeposition_Equations.VEERG_4_2_1_5__2_MassOfNitrogenVolatilisedOnPasture</v>
      </c>
    </row>
    <row r="8" spans="1:22" ht="20.100000000000001" customHeight="1" x14ac:dyDescent="0.25">
      <c r="A8" s="7"/>
    </row>
    <row r="9" spans="1:22" ht="20.100000000000001" customHeight="1" x14ac:dyDescent="0.25">
      <c r="A9" s="5"/>
    </row>
    <row r="10" spans="1:22" ht="20.100000000000001" customHeight="1" x14ac:dyDescent="0.25">
      <c r="A10" s="5"/>
      <c r="D10" s="88" t="s">
        <v>360</v>
      </c>
      <c r="E10" s="1" t="str" cm="1">
        <f t="array" ref="E10">MMS_PastureBeef_Soil_AtmosphericDeposition_Equations.VEERG_4_2_1_5__2_MassOfNitrogenVolatilisedOnPasture_Variable()</f>
        <v>M_vol</v>
      </c>
    </row>
    <row r="11" spans="1:22" ht="20.100000000000001" customHeight="1" x14ac:dyDescent="0.25">
      <c r="A11" s="5"/>
      <c r="D11" s="88" t="s">
        <v>128</v>
      </c>
      <c r="E11" s="15" t="str" cm="1">
        <f t="array" ref="E11">MMS_PastureBeef_Soil_AtmosphericDeposition_Equations.VEERG_4_2_1_5__2_MassOfNitrogenVolatilisedOnPasture_Unit()</f>
        <v>kg N</v>
      </c>
    </row>
    <row r="12" spans="1:22" ht="20.100000000000001" customHeight="1" x14ac:dyDescent="0.25">
      <c r="A12" s="5"/>
    </row>
    <row r="13" spans="1:22" ht="20.100000000000001" customHeight="1" x14ac:dyDescent="0.25">
      <c r="A13" s="5"/>
      <c r="D13" s="109" t="str" cm="1">
        <f t="array" ref="D13:E14">_xlfn.CHOOSECOLS(MMS_PastureBeef_Soil_AtmosphericDeposition_Equations.VEERG_4_2_1_5__2_MassOfNitrogenVolatilisedOnPasture_Arguments(),1,2)</f>
        <v>AE</v>
      </c>
      <c r="E13" s="110" t="str">
        <v>total mass of nitrogen excreted on PRP for beef cattle</v>
      </c>
      <c r="F13" s="111"/>
      <c r="G13" s="112"/>
      <c r="H13" s="109" t="str" cm="1">
        <f t="array" ref="H13:I14">_xlfn.CHOOSECOLS(MMS_PastureBeef_Soil_AtmosphericDeposition_Equations.VEERG_4_2_1_5__2_MassOfNitrogenVolatilisedOnPasture_Arguments(),3,4)</f>
        <v>kg N</v>
      </c>
      <c r="I13" s="114" t="str">
        <v>Calculated from 4.2.1.3 (2)</v>
      </c>
      <c r="J13" s="109">
        <f ca="1">VEERG_4_2_1_3__2_TotalNitrogenExcretedToPastureRangeAndPaddock_Result_Method1</f>
        <v>60490.349382369524</v>
      </c>
      <c r="N13" s="109" t="str" cm="1">
        <f t="array" ref="N13:O14">_xlfn.CHOOSECOLS(MMS_PastureBeef_Soil_AtmosphericDeposition_Equations.VEERG_4_2_1_5__2_MassOfNitrogenVolatilisedOnPasture_Arguments(),1,2)</f>
        <v>AE</v>
      </c>
      <c r="O13" s="110" t="str">
        <v>total mass of nitrogen excreted on PRP for beef cattle</v>
      </c>
      <c r="P13" s="111"/>
      <c r="Q13" s="112"/>
      <c r="R13" s="109" t="str" cm="1">
        <f t="array" ref="R13:S14">_xlfn.CHOOSECOLS(MMS_PastureBeef_Soil_AtmosphericDeposition_Equations.VEERG_4_2_1_5__2_MassOfNitrogenVolatilisedOnPasture_Arguments(),3,4)</f>
        <v>kg N</v>
      </c>
      <c r="S13" s="114" t="str">
        <v>Calculated from 4.2.1.3 (2)</v>
      </c>
      <c r="T13" s="124">
        <f ca="1">VEERG_4_2_1_3__2_TotalNitrogenExcretedToPastureRangeAndPaddock_Result_Method2</f>
        <v>58623.490314488175</v>
      </c>
    </row>
    <row r="14" spans="1:22" ht="20.100000000000001" customHeight="1" x14ac:dyDescent="0.25">
      <c r="A14" s="5"/>
      <c r="D14" s="109" t="str">
        <v>FracGASMsoil</v>
      </c>
      <c r="E14" s="110" t="str">
        <v>fraction of nitrogen volatilised from urine and faeces deposited on pasture ((kg NH3-N + NOx-N)/kg N)</v>
      </c>
      <c r="F14" s="111"/>
      <c r="G14" s="112"/>
      <c r="H14" s="109" t="str">
        <v>fraction</v>
      </c>
      <c r="I14" s="114" t="str">
        <v>Constant</v>
      </c>
      <c r="J14" s="109">
        <f>SourceData_PastureBeef_FracGASMSoil_Data</f>
        <v>0.21</v>
      </c>
      <c r="N14" s="109" t="str">
        <v>FracGASMsoil</v>
      </c>
      <c r="O14" s="110" t="str">
        <v>fraction of nitrogen volatilised from urine and faeces deposited on pasture ((kg NH3-N + NOx-N)/kg N)</v>
      </c>
      <c r="P14" s="111"/>
      <c r="Q14" s="112"/>
      <c r="R14" s="109" t="str">
        <v>fraction</v>
      </c>
      <c r="S14" s="114" t="str">
        <v>Constant</v>
      </c>
      <c r="T14" s="124"/>
    </row>
    <row r="15" spans="1:22" ht="20.100000000000001" customHeight="1" x14ac:dyDescent="0.25">
      <c r="A15" s="5"/>
    </row>
    <row r="16" spans="1:22" ht="20.100000000000001" customHeight="1" x14ac:dyDescent="0.25">
      <c r="A16" s="5"/>
      <c r="D16" s="128" t="s">
        <v>464</v>
      </c>
      <c r="E16" s="120" cm="1">
        <f t="array" aca="1" ref="E16" ca="1">MMS_PastureBeef_Soil_AtmosphericDeposition_Equations.VEERG_4_2_1_5__2_MassOfNitrogenVolatilisedOnPasture(J13,J14)</f>
        <v>12702.973370297599</v>
      </c>
      <c r="F16" s="127" t="str">
        <f>E11</f>
        <v>kg N</v>
      </c>
      <c r="L16" s="102"/>
      <c r="N16" s="128" t="s">
        <v>464</v>
      </c>
      <c r="O16" s="120" cm="1">
        <f t="array" aca="1" ref="O16" ca="1">MMS_PastureBeef_Soil_AtmosphericDeposition_Equations.VEERG_4_2_1_5__2_MassOfNitrogenVolatilisedOnPasture(T13,$J$14)</f>
        <v>12310.932966042516</v>
      </c>
      <c r="P16" s="127">
        <f>O11</f>
        <v>0</v>
      </c>
    </row>
    <row r="17" spans="1:22" ht="20.100000000000001" customHeight="1" x14ac:dyDescent="0.25">
      <c r="A17" s="5"/>
      <c r="L17" s="102"/>
    </row>
    <row r="18" spans="1:22" ht="20.100000000000001" customHeight="1" x14ac:dyDescent="0.25">
      <c r="A18" s="5"/>
      <c r="L18" s="102"/>
    </row>
    <row r="19" spans="1:22" ht="20.100000000000001" customHeight="1" x14ac:dyDescent="0.25">
      <c r="A19" s="5"/>
      <c r="C19" s="120"/>
      <c r="D19" s="120"/>
      <c r="E19" s="120"/>
      <c r="F19" s="120"/>
      <c r="G19" s="120"/>
      <c r="H19" s="120"/>
      <c r="I19" s="120"/>
      <c r="J19" s="120"/>
      <c r="K19" s="120"/>
      <c r="L19" s="102"/>
      <c r="M19" s="120"/>
      <c r="N19" s="120"/>
      <c r="O19" s="120"/>
      <c r="P19" s="120"/>
      <c r="Q19" s="120"/>
      <c r="R19" s="120"/>
      <c r="S19" s="120"/>
      <c r="T19" s="120"/>
      <c r="U19" s="120"/>
      <c r="V19" s="120"/>
    </row>
    <row r="20" spans="1:22" ht="20.100000000000001" customHeight="1" x14ac:dyDescent="0.25">
      <c r="A20" s="5"/>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c r="D22" s="107" t="s">
        <v>358</v>
      </c>
      <c r="E22" s="107"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row>
    <row r="24" spans="1:22" ht="20.100000000000001" customHeight="1" x14ac:dyDescent="0.25">
      <c r="A24" s="5"/>
    </row>
    <row r="25" spans="1:22" ht="20.100000000000001" customHeight="1" x14ac:dyDescent="0.25">
      <c r="A25" s="5"/>
      <c r="D25" s="88" t="s">
        <v>360</v>
      </c>
      <c r="E25" s="1" t="str" cm="1">
        <f t="array" ref="E25">MMS_PastureBeef_Soil_AtmosphericDeposition_Equations.VEERG_4_2_1_5__1_AtmosphericDepositionEmissionsFromUrineAndDungOnPasture_Variable()</f>
        <v>E_N2Oad</v>
      </c>
    </row>
    <row r="26" spans="1:22" ht="20.100000000000001" customHeight="1" x14ac:dyDescent="0.25">
      <c r="A26" s="5"/>
      <c r="D26" s="88" t="s">
        <v>128</v>
      </c>
      <c r="E26" s="15"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09" t="str" cm="1">
        <f t="array" ref="D28:E33">_xlfn.CHOOSECOLS(MMS_PastureBeef_Soil_AtmosphericDeposition_Equations.VEERG_4_2_1_5__1_AtmosphericDepositionEmissionsFromUrineAndDungOnPasture_Arguments(),1,2)</f>
        <v>M_vol</v>
      </c>
      <c r="E28" s="110" t="str">
        <v>mass of nitrogen volatilised from urine and faeces deposited on pasture</v>
      </c>
      <c r="F28" s="112"/>
      <c r="G28" s="109" t="str" cm="1">
        <f t="array" ref="G28:H33">_xlfn.CHOOSECOLS(MMS_PastureBeef_Soil_AtmosphericDeposition_Equations.VEERG_4_2_1_5__1_AtmosphericDepositionEmissionsFromUrineAndDungOnPasture_Arguments(),3,4)</f>
        <v>kg N</v>
      </c>
      <c r="H28" s="114" t="str">
        <v>Calculated from 4.2.1.5 (2)</v>
      </c>
      <c r="I28" s="109">
        <f ca="1">E16</f>
        <v>12702.973370297599</v>
      </c>
      <c r="N28" s="109" t="str" cm="1">
        <f t="array" ref="N28:O33">_xlfn.CHOOSECOLS(MMS_PastureBeef_Soil_AtmosphericDeposition_Equations.VEERG_4_2_1_5__1_AtmosphericDepositionEmissionsFromUrineAndDungOnPasture_Arguments(),1,2)</f>
        <v>M_vol</v>
      </c>
      <c r="O28" s="110" t="str">
        <v>mass of nitrogen volatilised from urine and faeces deposited on pasture</v>
      </c>
      <c r="P28" s="112"/>
      <c r="Q28" s="109" t="str" cm="1">
        <f t="array" ref="Q28:R33">_xlfn.CHOOSECOLS(MMS_PastureBeef_Soil_AtmosphericDeposition_Equations.VEERG_4_2_1_5__1_AtmosphericDepositionEmissionsFromUrineAndDungOnPasture_Arguments(),3,4)</f>
        <v>kg N</v>
      </c>
      <c r="R28" s="114" t="str">
        <v>Calculated from 4.2.1.5 (2)</v>
      </c>
      <c r="S28" s="124">
        <f ca="1">O16</f>
        <v>12310.932966042516</v>
      </c>
    </row>
    <row r="29" spans="1:22" ht="20.100000000000001" customHeight="1" x14ac:dyDescent="0.25">
      <c r="A29" s="6"/>
      <c r="D29" s="109" t="str">
        <v>EF_N2O</v>
      </c>
      <c r="E29" s="110" t="str">
        <v>nitrous oxide emission factor for atmospheric deposition</v>
      </c>
      <c r="F29" s="112"/>
      <c r="G29" s="109" t="str">
        <v>kg N2O-N/kg N</v>
      </c>
      <c r="H29" s="114" t="str">
        <v>Constant</v>
      </c>
      <c r="I29" s="10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9" t="str">
        <v>EF_N2O</v>
      </c>
      <c r="O29" s="110" t="str">
        <v>nitrous oxide emission factor for atmospheric deposition</v>
      </c>
      <c r="P29" s="112"/>
      <c r="Q29" s="109" t="str">
        <v>kg N2O-N/kg N</v>
      </c>
      <c r="R29" s="114" t="str">
        <v>Constant</v>
      </c>
      <c r="S29" s="124"/>
    </row>
    <row r="30" spans="1:22" ht="20.100000000000001" customHeight="1" x14ac:dyDescent="0.25">
      <c r="A30" s="5"/>
      <c r="D30" s="109" t="str">
        <v>C_N2O</v>
      </c>
      <c r="E30" s="110" t="str">
        <v>factor to convert elemental mass of N2O to molecular mass</v>
      </c>
      <c r="F30" s="112"/>
      <c r="G30" s="109" t="str">
        <v/>
      </c>
      <c r="H30" s="114" t="str">
        <v>Constant</v>
      </c>
      <c r="I30" s="109">
        <f>Common_InputFunctions.Utility_LookupValueInTableNumber("N2O",Table_GasToMolecularConversionFactor[Gas],Table_GasToMolecularConversionFactor[Conversion factor combined])</f>
        <v>1.5714285714285714</v>
      </c>
      <c r="N30" s="109" t="str">
        <v>C_N2O</v>
      </c>
      <c r="O30" s="110" t="str">
        <v>factor to convert elemental mass of N2O to molecular mass</v>
      </c>
      <c r="P30" s="112"/>
      <c r="Q30" s="109" t="str">
        <v/>
      </c>
      <c r="R30" s="114" t="str">
        <v>Constant</v>
      </c>
      <c r="S30" s="124"/>
    </row>
    <row r="31" spans="1:22" ht="20.100000000000001" customHeight="1" x14ac:dyDescent="0.25">
      <c r="A31" s="5"/>
      <c r="D31" s="109" t="str">
        <v>j</v>
      </c>
      <c r="E31" s="110" t="str">
        <v>production system</v>
      </c>
      <c r="F31" s="112"/>
      <c r="G31" s="109" t="str">
        <v/>
      </c>
      <c r="H31" s="113" t="str">
        <v>Input</v>
      </c>
      <c r="I31" s="109" t="str">
        <f>X_Cell_PastureBeef_GrazingProductionSystem</f>
        <v>Pasture</v>
      </c>
      <c r="N31" s="109" t="str">
        <v>j</v>
      </c>
      <c r="O31" s="110" t="str">
        <v>production system</v>
      </c>
      <c r="P31" s="112"/>
      <c r="Q31" s="109" t="str">
        <v/>
      </c>
      <c r="R31" s="113" t="str">
        <v>Input</v>
      </c>
      <c r="S31" s="124"/>
    </row>
    <row r="32" spans="1:22" ht="20.100000000000001" customHeight="1" x14ac:dyDescent="0.25">
      <c r="A32" s="108"/>
      <c r="D32" s="109" t="str">
        <v>i</v>
      </c>
      <c r="E32" s="110" t="str">
        <v>irrigation method</v>
      </c>
      <c r="F32" s="112"/>
      <c r="G32" s="109" t="str">
        <v/>
      </c>
      <c r="H32" s="113" t="str">
        <v>Input</v>
      </c>
      <c r="I32" s="109" t="str">
        <f>X_Cell_PastureBeef_GrazingIrrigationMethod</f>
        <v>Sprinkler irrigation</v>
      </c>
      <c r="N32" s="109" t="str">
        <v>i</v>
      </c>
      <c r="O32" s="110" t="str">
        <v>irrigation method</v>
      </c>
      <c r="P32" s="112"/>
      <c r="Q32" s="109" t="str">
        <v/>
      </c>
      <c r="R32" s="113" t="str">
        <v>Input</v>
      </c>
      <c r="S32" s="124"/>
    </row>
    <row r="33" spans="1:19" ht="20.100000000000001" customHeight="1" x14ac:dyDescent="0.25">
      <c r="A33" s="5"/>
      <c r="D33" s="109" t="str">
        <v>r</v>
      </c>
      <c r="E33" s="110" t="str">
        <v>rainfall zone</v>
      </c>
      <c r="F33" s="112"/>
      <c r="G33" s="109" t="str">
        <v/>
      </c>
      <c r="H33" s="113" t="str">
        <v>Input</v>
      </c>
      <c r="I33" s="109" t="str">
        <f>X_Cell_Site_RainfallZone</f>
        <v>High rainfall</v>
      </c>
      <c r="N33" s="109" t="str">
        <v>r</v>
      </c>
      <c r="O33" s="110" t="str">
        <v>rainfall zone</v>
      </c>
      <c r="P33" s="112"/>
      <c r="Q33" s="109" t="str">
        <v/>
      </c>
      <c r="R33" s="113" t="str">
        <v>Input</v>
      </c>
      <c r="S33" s="124"/>
    </row>
    <row r="34" spans="1:19" ht="20.100000000000001" customHeight="1" x14ac:dyDescent="0.25">
      <c r="A34" s="5"/>
    </row>
    <row r="35" spans="1:19" ht="20.100000000000001" customHeight="1" x14ac:dyDescent="0.25">
      <c r="A35" s="5"/>
      <c r="D35" s="128" t="s">
        <v>465</v>
      </c>
      <c r="E35" s="120" cm="1">
        <f t="array" aca="1" ref="E35" ca="1">MMS_PastureBeef_Soil_AtmosphericDeposition_Equations.VEERG_4_2_1_5__1_AtmosphericDepositionEmissionsFromUrineAndDungOnPasture(I28,I29,I30)</f>
        <v>0.11777471024747345</v>
      </c>
      <c r="F35" s="127" t="str">
        <f>$E$26</f>
        <v>t N2O</v>
      </c>
      <c r="N35" s="128" t="s">
        <v>465</v>
      </c>
      <c r="O35" s="120" cm="1">
        <f t="array" aca="1" ref="O35" ca="1">MMS_PastureBeef_Soil_AtmosphericDeposition_Equations.VEERG_4_2_1_5__1_AtmosphericDepositionEmissionsFromUrineAndDungOnPasture(S28,I29,I30)</f>
        <v>0.11413993564230847</v>
      </c>
      <c r="P35" s="127" t="str">
        <f>$E$26</f>
        <v>t N2O</v>
      </c>
    </row>
    <row r="36" spans="1:19" ht="20.100000000000001" customHeight="1" x14ac:dyDescent="0.25">
      <c r="A36" s="5"/>
    </row>
    <row r="37" spans="1:19" ht="20.100000000000001" customHeight="1" x14ac:dyDescent="0.25">
      <c r="A37" s="5"/>
      <c r="D37" s="124" t="str" cm="1">
        <f t="array" ref="D37:E38">Common_Equations.Common_ConvertN2OToCO2e_Arguments()</f>
        <v>EN2O</v>
      </c>
      <c r="E37" s="125" t="str">
        <v>Nitrous oxide emissions (t N2O)</v>
      </c>
      <c r="F37" s="126"/>
      <c r="G37" s="25">
        <f ca="1">VEERG_4_2_1_5__1_AtmosphericDepositionEmissionsFromUrineAndDungOnPasture_Result_Method1</f>
        <v>0.11777471024747345</v>
      </c>
      <c r="N37" s="124" t="str" cm="1">
        <f t="array" ref="N37:O38">Common_Equations.Common_ConvertN2OToCO2e_Arguments()</f>
        <v>EN2O</v>
      </c>
      <c r="O37" s="125" t="str">
        <v>Nitrous oxide emissions (t N2O)</v>
      </c>
      <c r="P37" s="126"/>
      <c r="Q37" s="25">
        <f ca="1">VEERG_4_2_1_5__1_AtmosphericDepositionEmissionsFromUrineAndDungOnPasture_Result_Method2</f>
        <v>0.11413993564230847</v>
      </c>
    </row>
    <row r="38" spans="1:19" ht="20.100000000000001" customHeight="1" x14ac:dyDescent="0.25">
      <c r="A38" s="5"/>
      <c r="D38" s="124" t="str">
        <v>GWPN2O</v>
      </c>
      <c r="E38" s="125" t="str">
        <v>Global warming potential for nitrous oxide (t CO2-e / t N2O)</v>
      </c>
      <c r="F38" s="126"/>
      <c r="G38" s="25">
        <f>Common_InputFunctions.Utility_LookupValueInTableNumber("N2O",Table_GWPData[Gas],Table_GWPData[CO2-e factor])</f>
        <v>265</v>
      </c>
      <c r="N38" s="124" t="str">
        <v>GWPN2O</v>
      </c>
      <c r="O38" s="125" t="str">
        <v>Global warming potential for nitrous oxide (t CO2-e / t N2O)</v>
      </c>
      <c r="P38" s="126"/>
      <c r="Q38" s="25">
        <f>Common_InputFunctions.Utility_LookupValueInTableNumber("N2O",Table_GWPData[Gas],Table_GWPData[CO2-e factor])</f>
        <v>265</v>
      </c>
    </row>
    <row r="39" spans="1:19" ht="20.100000000000001" customHeight="1" x14ac:dyDescent="0.25">
      <c r="A39" s="5"/>
    </row>
    <row r="40" spans="1:19" ht="20.100000000000001" customHeight="1" x14ac:dyDescent="0.25">
      <c r="A40" s="5"/>
      <c r="D40" s="120" t="s">
        <v>422</v>
      </c>
      <c r="E40" s="120" cm="1">
        <f t="array" aca="1" ref="E40" ca="1">Common_Equations.Common_ConvertN2OToCO2e(G37,G38)</f>
        <v>31.210298215580465</v>
      </c>
      <c r="F40" s="127" t="str" cm="1">
        <f t="array" ref="F40">Common_Equations.Common_ConvertN2OToCO2e_Unit()</f>
        <v>t CO2e</v>
      </c>
      <c r="N40" s="120" t="s">
        <v>422</v>
      </c>
      <c r="O40" s="120" cm="1">
        <f t="array" aca="1" ref="O40" ca="1">Common_Equations.Common_ConvertN2OToCO2e(Q37,Q38)</f>
        <v>30.247082945211744</v>
      </c>
      <c r="P40" s="127" t="str" cm="1">
        <f t="array" ref="P40">Common_Equations.Common_ConvertN2OToCO2e_Unit()</f>
        <v>t CO2e</v>
      </c>
    </row>
    <row r="41" spans="1:19" ht="20.100000000000001" customHeight="1" x14ac:dyDescent="0.25">
      <c r="A41" s="5"/>
    </row>
    <row r="42" spans="1:19" ht="20.100000000000001" customHeight="1" x14ac:dyDescent="0.25">
      <c r="A42" s="5"/>
    </row>
    <row r="43" spans="1:19" ht="20.100000000000001" customHeight="1" x14ac:dyDescent="0.25">
      <c r="A43" s="5"/>
    </row>
    <row r="44" spans="1:19" ht="20.100000000000001" customHeight="1" x14ac:dyDescent="0.25">
      <c r="A44" s="5"/>
    </row>
    <row r="45" spans="1:19" ht="20.100000000000001" customHeight="1" x14ac:dyDescent="0.25">
      <c r="A45" s="5"/>
    </row>
    <row r="46" spans="1:19" ht="20.100000000000001" customHeight="1" x14ac:dyDescent="0.25">
      <c r="A46" s="5"/>
    </row>
    <row r="47" spans="1:19" ht="20.100000000000001" customHeight="1" x14ac:dyDescent="0.25">
      <c r="A47" s="5"/>
    </row>
    <row r="48" spans="1:19"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B8713F53-DDF0-427B-A4B6-754BC81FAB22}"/>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0A0B1-03A1-4445-A18E-D2A8699AC548}">
  <dimension ref="A1:S165"/>
  <sheetViews>
    <sheetView showGridLines="0" topLeftCell="E2"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466</v>
      </c>
    </row>
    <row r="2" spans="1:19" s="3" customFormat="1" ht="20.100000000000001" customHeight="1" x14ac:dyDescent="0.25">
      <c r="A2"/>
    </row>
    <row r="3" spans="1:19" ht="20.100000000000001" customHeight="1" x14ac:dyDescent="0.25">
      <c r="A3" s="5"/>
      <c r="C3" s="33"/>
      <c r="D3" s="33" t="s">
        <v>145</v>
      </c>
      <c r="E3" s="33"/>
      <c r="F3" s="33"/>
      <c r="G3" s="33"/>
      <c r="H3" s="33"/>
      <c r="I3" s="33"/>
      <c r="J3" s="33"/>
      <c r="L3" s="33"/>
      <c r="M3" s="33" t="s">
        <v>146</v>
      </c>
      <c r="N3" s="33"/>
      <c r="O3" s="33"/>
      <c r="P3" s="33"/>
      <c r="Q3" s="33"/>
      <c r="R3" s="33"/>
      <c r="S3" s="33"/>
    </row>
    <row r="4" spans="1:19" ht="20.100000000000001" customHeight="1" x14ac:dyDescent="0.25">
      <c r="A4" s="5"/>
    </row>
    <row r="5" spans="1:19" ht="20.100000000000001" customHeight="1" x14ac:dyDescent="0.25">
      <c r="A5" s="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7" t="s">
        <v>358</v>
      </c>
      <c r="E7" s="107" t="str" cm="1">
        <f t="array" aca="1" ref="E7" ca="1">Common_InputFunctions.Utility_DisplayFunctionName(E20)</f>
        <v>=MMS_PastureBeef_Soil_LeachingAndRunoff.VEERG_4_2_1_7__2_MassOfNitrogenLostToLeachingAndRunoffOnPasture</v>
      </c>
    </row>
    <row r="8" spans="1:19" ht="20.100000000000001" customHeight="1" x14ac:dyDescent="0.25">
      <c r="A8" s="7"/>
    </row>
    <row r="9" spans="1:19" ht="20.100000000000001" customHeight="1" x14ac:dyDescent="0.25">
      <c r="A9" s="5"/>
    </row>
    <row r="10" spans="1:19" ht="20.100000000000001" customHeight="1" x14ac:dyDescent="0.25">
      <c r="A10" s="5"/>
      <c r="D10" s="88" t="s">
        <v>360</v>
      </c>
      <c r="E10" s="1" t="str" cm="1">
        <f t="array" ref="E10">MMS_PastureBeef_Soil_LeachingAndRunoff.VEERG_4_2_1_7__2_MassOfNitrogenLostToLeachingAndRunoffOnPasture_Variable()</f>
        <v>M_leach</v>
      </c>
    </row>
    <row r="11" spans="1:19" ht="20.100000000000001" customHeight="1" x14ac:dyDescent="0.25">
      <c r="A11" s="5"/>
      <c r="D11" s="88" t="s">
        <v>128</v>
      </c>
      <c r="E11" s="15" t="str" cm="1">
        <f t="array" ref="E11">MMS_PastureBeef_Soil_LeachingAndRunoff.VEERG_4_2_1_7__2_MassOfNitrogenLostToLeachingAndRunoffOnPasture_Unit()</f>
        <v>kg N</v>
      </c>
    </row>
    <row r="12" spans="1:19" ht="20.100000000000001" customHeight="1" x14ac:dyDescent="0.25">
      <c r="A12" s="5"/>
    </row>
    <row r="13" spans="1:19" ht="20.100000000000001" customHeight="1" x14ac:dyDescent="0.25">
      <c r="A13" s="5"/>
      <c r="D13" s="109" t="str" cm="1">
        <f t="array" ref="D13:E18">_xlfn.CHOOSECOLS(MMS_PastureBeef_Soil_LeachingAndRunoff.VEERG_4_2_1_7__2_MassOfNitrogenLostToLeachingAndRunoffOnPasture_Arguments(),1,2)</f>
        <v>AE</v>
      </c>
      <c r="E13" s="110" t="str">
        <v>total mass of nitrogen excreted on PRP for beef cattle</v>
      </c>
      <c r="F13" s="112"/>
      <c r="G13" s="109" t="str" cm="1">
        <f t="array" ref="G13:H18">_xlfn.CHOOSECOLS(MMS_PastureBeef_Soil_LeachingAndRunoff.VEERG_4_2_1_7__2_MassOfNitrogenLostToLeachingAndRunoffOnPasture_Arguments(),3,4)</f>
        <v>kg N</v>
      </c>
      <c r="H13" s="114" t="str">
        <v>Calculated from 4.2.1.3 (2)</v>
      </c>
      <c r="I13" s="109">
        <f ca="1">VEERG_4_2_1_3__2_TotalNitrogenExcretedToPastureRangeAndPaddock_Result_Method1</f>
        <v>60490.349382369524</v>
      </c>
      <c r="M13" s="109" t="str" cm="1">
        <f t="array" ref="M13:N18">_xlfn.CHOOSECOLS(MMS_PastureBeef_Soil_LeachingAndRunoff.VEERG_4_2_1_7__2_MassOfNitrogenLostToLeachingAndRunoffOnPasture_Arguments(),1,2)</f>
        <v>AE</v>
      </c>
      <c r="N13" s="110" t="str">
        <v>total mass of nitrogen excreted on PRP for beef cattle</v>
      </c>
      <c r="O13" s="112"/>
      <c r="P13" s="109" t="str" cm="1">
        <f t="array" ref="P13:Q18">_xlfn.CHOOSECOLS(MMS_PastureBeef_Soil_LeachingAndRunoff.VEERG_4_2_1_7__2_MassOfNitrogenLostToLeachingAndRunoffOnPasture_Arguments(),3,4)</f>
        <v>kg N</v>
      </c>
      <c r="Q13" s="114" t="str">
        <v>Calculated from 4.2.1.3 (2)</v>
      </c>
      <c r="R13" s="109">
        <f ca="1">VEERG_4_2_1_3__2_TotalNitrogenExcretedToPastureRangeAndPaddock_Result_Method2</f>
        <v>58623.490314488175</v>
      </c>
    </row>
    <row r="14" spans="1:19" ht="20.100000000000001" customHeight="1" x14ac:dyDescent="0.25">
      <c r="A14" s="5"/>
      <c r="D14" s="109" t="str">
        <v>FracWet</v>
      </c>
      <c r="E14" s="110" t="str">
        <v>fraction of N available for leaching and runoff</v>
      </c>
      <c r="F14" s="112"/>
      <c r="G14" s="109" t="str">
        <v>fraction</v>
      </c>
      <c r="H14" s="114" t="str">
        <v>Constant</v>
      </c>
      <c r="I14" s="109">
        <f>Common_InputFunctions.CommonCropping_GetFracWET(I16,I18,Table_SourceData_FracWET[Is in leaching zone],Table_SourceData_FracWET[FracWET],Table_SourceData_FracWETIrrigation[Irrigation type i],Table_SourceData_FracWETIrrigation[FracWET])</f>
        <v>1</v>
      </c>
      <c r="M14" s="109" t="str">
        <v>FracWet</v>
      </c>
      <c r="N14" s="110" t="str">
        <v>fraction of N available for leaching and runoff</v>
      </c>
      <c r="O14" s="112"/>
      <c r="P14" s="109" t="str">
        <v>fraction</v>
      </c>
      <c r="Q14" s="114" t="str">
        <v>Constant</v>
      </c>
      <c r="R14" s="109"/>
    </row>
    <row r="15" spans="1:19" ht="20.100000000000001" customHeight="1" x14ac:dyDescent="0.25">
      <c r="A15" s="5"/>
      <c r="D15" s="109" t="str">
        <v>FracLEACH</v>
      </c>
      <c r="E15" s="110" t="str">
        <v>fraction of all N that is lost through leaching and runoff</v>
      </c>
      <c r="F15" s="112"/>
      <c r="G15" s="109" t="str">
        <v>fraction</v>
      </c>
      <c r="H15" s="114" t="str">
        <v>Constant</v>
      </c>
      <c r="I15" s="109">
        <f>SourceData_PastureBeef_FracLEACH_Data</f>
        <v>0.24</v>
      </c>
      <c r="M15" s="109" t="str">
        <v>FracLEACH</v>
      </c>
      <c r="N15" s="110" t="str">
        <v>fraction of all N that is lost through leaching and runoff</v>
      </c>
      <c r="O15" s="112"/>
      <c r="P15" s="109" t="str">
        <v>fraction</v>
      </c>
      <c r="Q15" s="114" t="str">
        <v>Constant</v>
      </c>
      <c r="R15" s="109"/>
    </row>
    <row r="16" spans="1:19" ht="20.100000000000001" customHeight="1" x14ac:dyDescent="0.25">
      <c r="A16" s="5"/>
      <c r="D16" s="109" t="str">
        <v>z</v>
      </c>
      <c r="E16" s="110" t="str">
        <v>location in leaching zone</v>
      </c>
      <c r="F16" s="112"/>
      <c r="G16" s="109" t="str">
        <v/>
      </c>
      <c r="H16" s="113" t="str">
        <v>Input</v>
      </c>
      <c r="I16" s="109" t="str">
        <f>X_Cell_Site_LeachingZone</f>
        <v>NO - Not in leaching zone</v>
      </c>
      <c r="M16" s="109" t="str">
        <v>z</v>
      </c>
      <c r="N16" s="110" t="str">
        <v>location in leaching zone</v>
      </c>
      <c r="O16" s="112"/>
      <c r="P16" s="109" t="str">
        <v/>
      </c>
      <c r="Q16" s="113" t="str">
        <v>Input</v>
      </c>
      <c r="R16" s="109"/>
    </row>
    <row r="17" spans="1:19" ht="20.100000000000001" customHeight="1" x14ac:dyDescent="0.25">
      <c r="A17" s="5"/>
      <c r="D17" s="109" t="str">
        <v>j</v>
      </c>
      <c r="E17" s="110" t="str">
        <v>production system</v>
      </c>
      <c r="F17" s="112"/>
      <c r="G17" s="109" t="str">
        <v/>
      </c>
      <c r="H17" s="113" t="str">
        <v>Input</v>
      </c>
      <c r="I17" s="109" t="str">
        <f>X_Cell_PastureBeef_GrazingProductionSystem</f>
        <v>Pasture</v>
      </c>
      <c r="M17" s="109" t="str">
        <v>j</v>
      </c>
      <c r="N17" s="110" t="str">
        <v>production system</v>
      </c>
      <c r="O17" s="112"/>
      <c r="P17" s="109" t="str">
        <v/>
      </c>
      <c r="Q17" s="113" t="str">
        <v>Input</v>
      </c>
      <c r="R17" s="109"/>
    </row>
    <row r="18" spans="1:19" ht="20.100000000000001" customHeight="1" x14ac:dyDescent="0.25">
      <c r="A18" s="5"/>
      <c r="D18" s="109" t="str">
        <v>ir</v>
      </c>
      <c r="E18" s="110" t="str">
        <v>irrigation method</v>
      </c>
      <c r="F18" s="112"/>
      <c r="G18" s="109" t="str">
        <v/>
      </c>
      <c r="H18" s="113" t="str">
        <v>Input</v>
      </c>
      <c r="I18" s="109" t="str">
        <f>X_Cell_PastureBeef_GrazingIrrigationMethod</f>
        <v>Sprinkler irrigation</v>
      </c>
      <c r="M18" s="109" t="str">
        <v>ir</v>
      </c>
      <c r="N18" s="110" t="str">
        <v>irrigation method</v>
      </c>
      <c r="O18" s="112"/>
      <c r="P18" s="109" t="str">
        <v/>
      </c>
      <c r="Q18" s="113" t="str">
        <v>Input</v>
      </c>
      <c r="R18" s="109"/>
    </row>
    <row r="19" spans="1:19" ht="20.100000000000001" customHeight="1" x14ac:dyDescent="0.25">
      <c r="A19" s="5"/>
    </row>
    <row r="20" spans="1:19" ht="20.100000000000001" customHeight="1" x14ac:dyDescent="0.25">
      <c r="A20" s="5"/>
      <c r="D20" s="128" t="s">
        <v>467</v>
      </c>
      <c r="E20" s="120" cm="1">
        <f t="array" aca="1" ref="E20" ca="1">MMS_PastureBeef_Soil_LeachingAndRunoff.VEERG_4_2_1_7__2_MassOfNitrogenLostToLeachingAndRunoffOnPasture($I$13,$I$14,$I$15)</f>
        <v>14517.683851768685</v>
      </c>
      <c r="F20" s="127" t="str">
        <f>$E$11</f>
        <v>kg N</v>
      </c>
      <c r="K20" s="102"/>
      <c r="M20" s="128" t="s">
        <v>467</v>
      </c>
      <c r="N20" s="120" cm="1">
        <f t="array" aca="1" ref="N20" ca="1">MMS_PastureBeef_Soil_LeachingAndRunoff.VEERG_4_2_1_7__2_MassOfNitrogenLostToLeachingAndRunoffOnPasture($R$13,$I$14,$I$15)</f>
        <v>14069.637675477161</v>
      </c>
      <c r="O20" s="127" t="str">
        <f>$E$11</f>
        <v>kg N</v>
      </c>
    </row>
    <row r="21" spans="1:19" ht="20.100000000000001" customHeight="1" x14ac:dyDescent="0.25">
      <c r="A21" s="5"/>
      <c r="K21" s="102"/>
    </row>
    <row r="22" spans="1:19" ht="20.100000000000001" customHeight="1" x14ac:dyDescent="0.25">
      <c r="A22" s="5"/>
      <c r="K22" s="102"/>
    </row>
    <row r="23" spans="1:19" ht="20.100000000000001" customHeight="1" x14ac:dyDescent="0.25">
      <c r="A23" s="5"/>
      <c r="C23" s="120"/>
      <c r="D23" s="120"/>
      <c r="E23" s="120"/>
      <c r="F23" s="120"/>
      <c r="G23" s="120"/>
      <c r="H23" s="120"/>
      <c r="I23" s="120"/>
      <c r="J23" s="120"/>
      <c r="K23" s="102"/>
      <c r="L23" s="120"/>
      <c r="M23" s="120"/>
      <c r="N23" s="120"/>
      <c r="O23" s="120"/>
      <c r="P23" s="120"/>
      <c r="Q23" s="120"/>
      <c r="R23" s="120"/>
      <c r="S23" s="120"/>
    </row>
    <row r="24" spans="1:19" ht="20.100000000000001" customHeight="1" x14ac:dyDescent="0.25">
      <c r="A24" s="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c r="D25" s="27" t="str" cm="1">
        <f t="array" ref="D25">MMS_PastureBeef_Soil_LeachingAndRunoff.VEERG_4_2_1_7__1_LeachingAndRunoffEmissionsFromUrineAndDungOnPasture_Source()</f>
        <v>VEERG 2026: 4.2.1.7, Equation (1)</v>
      </c>
    </row>
    <row r="26" spans="1:19" ht="20.100000000000001" customHeight="1" x14ac:dyDescent="0.25">
      <c r="A26" s="5"/>
      <c r="D26" s="107" t="s">
        <v>358</v>
      </c>
      <c r="E26" s="107"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A29" s="6"/>
      <c r="D29" s="88" t="s">
        <v>360</v>
      </c>
      <c r="E29" s="1" t="str" cm="1">
        <f t="array" ref="E29">MMS_PastureBeef_Soil_LeachingAndRunoff.VEERG_4_2_1_7__1_LeachingAndRunoffEmissionsFromUrineAndDungOnPasture_Variable()</f>
        <v>E_N2Oleach</v>
      </c>
    </row>
    <row r="30" spans="1:19" ht="20.100000000000001" customHeight="1" x14ac:dyDescent="0.25">
      <c r="A30" s="5"/>
      <c r="D30" s="88" t="s">
        <v>128</v>
      </c>
      <c r="E30" s="15" t="str" cm="1">
        <f t="array" ref="E30">MMS_PastureBeef_Soil_LeachingAndRunoff.VEERG_4_2_1_7__1_LeachingAndRunoffEmissionsFromUrineAndDungOnPasture_Unit()</f>
        <v>t N2O</v>
      </c>
    </row>
    <row r="31" spans="1:19" ht="20.100000000000001" customHeight="1" x14ac:dyDescent="0.25">
      <c r="A31" s="5"/>
    </row>
    <row r="32" spans="1:19" ht="20.100000000000001" customHeight="1" x14ac:dyDescent="0.25">
      <c r="A32" s="5"/>
      <c r="D32" s="109" t="str" cm="1">
        <f t="array" ref="D32:E34">_xlfn.CHOOSECOLS(MMS_PastureBeef_Soil_LeachingAndRunoff.VEERG_4_2_1_7__1_LeachingAndRunoffEmissionsFromUrineAndDungOnPasture_Arguments(),1,2)</f>
        <v>M_leach</v>
      </c>
      <c r="E32" s="110" t="str">
        <v>mass of nitrogen lost to leaching and runoff</v>
      </c>
      <c r="F32" s="112"/>
      <c r="G32" s="109" t="str" cm="1">
        <f t="array" ref="G32:H34">_xlfn.CHOOSECOLS(MMS_PastureBeef_Soil_LeachingAndRunoff.VEERG_4_2_1_7__1_LeachingAndRunoffEmissionsFromUrineAndDungOnPasture_Arguments(),3,4)</f>
        <v>kg N</v>
      </c>
      <c r="H32" s="114" t="str">
        <v>Calculated from 4.2.1.7 (2)</v>
      </c>
      <c r="I32" s="109">
        <f ca="1">$E$20</f>
        <v>14517.683851768685</v>
      </c>
      <c r="M32" s="109" t="str" cm="1">
        <f t="array" ref="M32:N34">_xlfn.CHOOSECOLS(MMS_PastureBeef_Soil_LeachingAndRunoff.VEERG_4_2_1_7__1_LeachingAndRunoffEmissionsFromUrineAndDungOnPasture_Arguments(),1,2)</f>
        <v>M_leach</v>
      </c>
      <c r="N32" s="110" t="str">
        <v>mass of nitrogen lost to leaching and runoff</v>
      </c>
      <c r="O32" s="112"/>
      <c r="P32" s="109" t="str" cm="1">
        <f t="array" ref="P32:Q34">_xlfn.CHOOSECOLS(MMS_PastureBeef_Soil_LeachingAndRunoff.VEERG_4_2_1_7__1_LeachingAndRunoffEmissionsFromUrineAndDungOnPasture_Arguments(),3,4)</f>
        <v>kg N</v>
      </c>
      <c r="Q32" s="114" t="str">
        <v>Calculated from 4.2.1.7 (2)</v>
      </c>
      <c r="R32" s="109">
        <f ca="1">$N$20</f>
        <v>14069.637675477161</v>
      </c>
    </row>
    <row r="33" spans="1:18" ht="20.100000000000001" customHeight="1" x14ac:dyDescent="0.25">
      <c r="A33" s="108"/>
      <c r="D33" s="109" t="str">
        <v>EF_leach</v>
      </c>
      <c r="E33" s="110" t="str">
        <v>emission factor for leaching and runoff</v>
      </c>
      <c r="F33" s="112"/>
      <c r="G33" s="109" t="str">
        <v>kg N2O-N/kg N</v>
      </c>
      <c r="H33" s="114" t="str">
        <v>Constant</v>
      </c>
      <c r="I33" s="109">
        <f>'Constants - Common'!$E$170</f>
        <v>1.0999999999999999E-2</v>
      </c>
      <c r="M33" s="109" t="str">
        <v>EF_leach</v>
      </c>
      <c r="N33" s="110" t="str">
        <v>emission factor for leaching and runoff</v>
      </c>
      <c r="O33" s="112"/>
      <c r="P33" s="109" t="str">
        <v>kg N2O-N/kg N</v>
      </c>
      <c r="Q33" s="114" t="str">
        <v>Constant</v>
      </c>
      <c r="R33" s="109"/>
    </row>
    <row r="34" spans="1:18" ht="20.100000000000001" customHeight="1" x14ac:dyDescent="0.25">
      <c r="A34" s="5"/>
      <c r="D34" s="109" t="str">
        <v>C_N2O</v>
      </c>
      <c r="E34" s="110" t="str">
        <v>factor to convert elemental mass of N2O to molecular mass</v>
      </c>
      <c r="F34" s="112"/>
      <c r="G34" s="109" t="str">
        <v/>
      </c>
      <c r="H34" s="114" t="str">
        <v>Constant</v>
      </c>
      <c r="I34" s="109">
        <f>Common_InputFunctions.Utility_LookupValueInTableNumber("N2O",Table_GasToMolecularConversionFactor[Gas],Table_GasToMolecularConversionFactor[Conversion factor combined])</f>
        <v>1.5714285714285714</v>
      </c>
      <c r="M34" s="109" t="str">
        <v>C_N2O</v>
      </c>
      <c r="N34" s="110" t="str">
        <v>factor to convert elemental mass of N2O to molecular mass</v>
      </c>
      <c r="O34" s="112"/>
      <c r="P34" s="109" t="str">
        <v/>
      </c>
      <c r="Q34" s="114" t="str">
        <v>Constant</v>
      </c>
      <c r="R34" s="109"/>
    </row>
    <row r="35" spans="1:18" ht="20.100000000000001" customHeight="1" x14ac:dyDescent="0.25">
      <c r="A35" s="5"/>
    </row>
    <row r="36" spans="1:18" ht="20.100000000000001" customHeight="1" x14ac:dyDescent="0.25">
      <c r="A36" s="5"/>
      <c r="D36" s="128" t="s">
        <v>468</v>
      </c>
      <c r="E36" s="120" cm="1">
        <f t="array" aca="1" ref="E36" ca="1">MMS_PastureBeef_Soil_LeachingAndRunoff.VEERG_4_2_1_7__1_LeachingAndRunoffEmissionsFromUrineAndDungOnPasture(I32,I33,I34)</f>
        <v>0.2509485351520015</v>
      </c>
      <c r="F36" s="127" t="str">
        <f>$E$30</f>
        <v>t N2O</v>
      </c>
      <c r="M36" s="128" t="s">
        <v>468</v>
      </c>
      <c r="N36" s="120" cm="1">
        <f t="array" aca="1" ref="N36" ca="1">MMS_PastureBeef_Soil_LeachingAndRunoff.VEERG_4_2_1_7__1_LeachingAndRunoffEmissionsFromUrineAndDungOnPasture(R32,I33,I34)</f>
        <v>0.24320373696181949</v>
      </c>
      <c r="O36" s="127" t="str">
        <f>$E$30</f>
        <v>t N2O</v>
      </c>
    </row>
    <row r="37" spans="1:18" ht="20.100000000000001" customHeight="1" x14ac:dyDescent="0.25">
      <c r="A37" s="5"/>
    </row>
    <row r="38" spans="1:18" ht="20.100000000000001" customHeight="1" x14ac:dyDescent="0.25">
      <c r="A38" s="5"/>
      <c r="D38" s="124" t="str" cm="1">
        <f t="array" ref="D38:E39">Common_Equations.Common_ConvertN2OToCO2e_Arguments()</f>
        <v>EN2O</v>
      </c>
      <c r="E38" s="125" t="str">
        <v>Nitrous oxide emissions (t N2O)</v>
      </c>
      <c r="F38" s="126"/>
      <c r="G38" s="25">
        <f ca="1">VEERG_4_2_1_7__1_LeachingAndRunoffEmissionsFromUrineAndDungOnPasture_Result_Method1</f>
        <v>0.2509485351520015</v>
      </c>
      <c r="M38" s="124" t="str" cm="1">
        <f t="array" ref="M38:N39">Common_Equations.Common_ConvertN2OToCO2e_Arguments()</f>
        <v>EN2O</v>
      </c>
      <c r="N38" s="125" t="str">
        <v>Nitrous oxide emissions (t N2O)</v>
      </c>
      <c r="O38" s="126"/>
      <c r="P38" s="25">
        <f ca="1">VEERG_4_2_1_7__1_LeachingAndRunoffEmissionsFromUrineAndDungOnPasture_Result_Method2</f>
        <v>0.24320373696181949</v>
      </c>
    </row>
    <row r="39" spans="1:18" ht="20.100000000000001" customHeight="1" x14ac:dyDescent="0.25">
      <c r="A39" s="5"/>
      <c r="D39" s="124" t="str">
        <v>GWPN2O</v>
      </c>
      <c r="E39" s="125" t="str">
        <v>Global warming potential for nitrous oxide (t CO2-e / t N2O)</v>
      </c>
      <c r="F39" s="126"/>
      <c r="G39" s="25">
        <f>Common_InputFunctions.Utility_LookupValueInTableNumber("N2O",Table_GWPData[Gas],Table_GWPData[CO2-e factor])</f>
        <v>265</v>
      </c>
      <c r="M39" s="124" t="str">
        <v>GWPN2O</v>
      </c>
      <c r="N39" s="125" t="str">
        <v>Global warming potential for nitrous oxide (t CO2-e / t N2O)</v>
      </c>
      <c r="O39" s="126"/>
      <c r="P39" s="25">
        <f>Common_InputFunctions.Utility_LookupValueInTableNumber("N2O",Table_GWPData[Gas],Table_GWPData[CO2-e factor])</f>
        <v>265</v>
      </c>
    </row>
    <row r="40" spans="1:18" ht="20.100000000000001" customHeight="1" x14ac:dyDescent="0.25">
      <c r="A40" s="5"/>
    </row>
    <row r="41" spans="1:18" ht="20.100000000000001" customHeight="1" x14ac:dyDescent="0.25">
      <c r="A41" s="5"/>
      <c r="D41" s="120" t="s">
        <v>422</v>
      </c>
      <c r="E41" s="120" cm="1">
        <f t="array" aca="1" ref="E41" ca="1">Common_Equations.Common_ConvertN2OToCO2e(G38,G39)</f>
        <v>66.50136181528039</v>
      </c>
      <c r="F41" s="127" t="str" cm="1">
        <f t="array" ref="F41">Common_Equations.Common_ConvertN2OToCO2e_Unit()</f>
        <v>t CO2e</v>
      </c>
      <c r="M41" s="120" t="s">
        <v>422</v>
      </c>
      <c r="N41" s="120" cm="1">
        <f t="array" aca="1" ref="N41" ca="1">Common_Equations.Common_ConvertN2OToCO2e(P38,P39)</f>
        <v>64.448990294882165</v>
      </c>
      <c r="O41" s="127" t="str" cm="1">
        <f t="array" ref="O41">Common_Equations.Common_ConvertN2OToCO2e_Unit()</f>
        <v>t CO2e</v>
      </c>
    </row>
    <row r="42" spans="1:18" ht="20.100000000000001" customHeight="1" x14ac:dyDescent="0.25">
      <c r="A42" s="5"/>
    </row>
    <row r="43" spans="1:18" ht="20.100000000000001" customHeight="1" x14ac:dyDescent="0.25">
      <c r="A43" s="5"/>
    </row>
    <row r="44" spans="1:18" ht="20.100000000000001" customHeight="1" x14ac:dyDescent="0.25">
      <c r="A44" s="5"/>
    </row>
    <row r="45" spans="1:18" ht="20.100000000000001" customHeight="1" x14ac:dyDescent="0.25">
      <c r="A45" s="5"/>
    </row>
    <row r="46" spans="1:18" ht="20.100000000000001" customHeight="1" x14ac:dyDescent="0.25">
      <c r="A46" s="5"/>
    </row>
    <row r="47" spans="1:18" ht="20.100000000000001" customHeight="1" x14ac:dyDescent="0.25">
      <c r="A47" s="5"/>
    </row>
    <row r="48" spans="1:18"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09CE7DC8-1633-446A-90B3-01BD03404429}"/>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ED19A-AAF0-40F2-8582-7E48DE722991}">
  <dimension ref="A1:X342"/>
  <sheetViews>
    <sheetView showGridLines="0" topLeftCell="F8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629</v>
      </c>
      <c r="K1"/>
    </row>
    <row r="2" spans="1:24" s="3" customFormat="1" ht="20.100000000000001" customHeight="1" x14ac:dyDescent="0.25">
      <c r="A2"/>
      <c r="K2"/>
    </row>
    <row r="3" spans="1:24" ht="20.100000000000001" customHeight="1" x14ac:dyDescent="0.25">
      <c r="A3" s="5"/>
      <c r="C3" s="33"/>
      <c r="D3" s="33" t="s">
        <v>145</v>
      </c>
      <c r="E3" s="33"/>
      <c r="F3" s="33"/>
      <c r="G3" s="33"/>
      <c r="H3" s="33"/>
      <c r="I3" s="33"/>
      <c r="J3" s="33"/>
      <c r="L3" s="33"/>
      <c r="M3" s="33" t="s">
        <v>146</v>
      </c>
      <c r="N3" s="33"/>
      <c r="O3" s="33"/>
      <c r="P3" s="33"/>
      <c r="Q3" s="33"/>
      <c r="R3" s="33"/>
      <c r="S3" s="33"/>
      <c r="T3" s="33"/>
      <c r="U3" s="33"/>
      <c r="V3" s="33"/>
      <c r="W3" s="33"/>
      <c r="X3" s="33"/>
    </row>
    <row r="4" spans="1:24" ht="20.100000000000001" customHeight="1" x14ac:dyDescent="0.25">
      <c r="A4" s="5"/>
    </row>
    <row r="5" spans="1:24" ht="20.100000000000001" customHeight="1" x14ac:dyDescent="0.25">
      <c r="A5" s="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7" t="s">
        <v>358</v>
      </c>
      <c r="E7" s="107" t="str" cm="1">
        <f t="array" aca="1" ref="E7" ca="1">Common_InputFunctions.Utility_DisplayFunctionName(G19)</f>
        <v>=Fertiliser_Equations_InorganicN2O.VEERG_5_1_1_1__2_MassOfNitrogenInInorganicFertiliser</v>
      </c>
    </row>
    <row r="8" spans="1:24" ht="20.100000000000001" customHeight="1" x14ac:dyDescent="0.25">
      <c r="A8" s="7"/>
    </row>
    <row r="9" spans="1:24" ht="20.100000000000001" customHeight="1" x14ac:dyDescent="0.25">
      <c r="A9" s="5"/>
      <c r="M9" s="88" t="s">
        <v>360</v>
      </c>
      <c r="N9" s="1" t="str" cm="1">
        <f t="array" ref="N9">Fertiliser_Equations_InorganicN2O.VEERG_5_1_1_2__1_EmissionFactorIrrigatedMaize_Variable()</f>
        <v>EF_fjIrrigatedMaizeN2O</v>
      </c>
    </row>
    <row r="10" spans="1:24" ht="20.100000000000001" customHeight="1" x14ac:dyDescent="0.25">
      <c r="A10" s="5"/>
      <c r="D10" s="88" t="s">
        <v>360</v>
      </c>
      <c r="E10" s="1" t="str" cm="1">
        <f t="array" ref="E10">Fertiliser_Equations_InorganicN2O.VEERG_5_1_1_1__2_MassOfNitrogenInInorganicFertiliser_Variable()</f>
        <v>MN_jf</v>
      </c>
      <c r="M10" s="88" t="s">
        <v>128</v>
      </c>
      <c r="N10" s="15" t="str" cm="1">
        <f t="array" ref="N10">Fertiliser_Equations_InorganicN2O.VEERG_5_1_1_2__1_EmissionFactorIrrigatedMaize_Unit()</f>
        <v>kg N2O-N/kg N applied</v>
      </c>
    </row>
    <row r="11" spans="1:24" ht="20.100000000000001" customHeight="1" x14ac:dyDescent="0.25">
      <c r="A11" s="5"/>
      <c r="D11" s="88" t="s">
        <v>128</v>
      </c>
      <c r="E11" s="15" t="str" cm="1">
        <f t="array" ref="E11">Fertiliser_Equations_InorganicN2O.VEERG_5_1_1_1__2_MassOfNitrogenInInorganicFertiliser_Unit()</f>
        <v>kg N</v>
      </c>
    </row>
    <row r="12" spans="1:24" ht="20.100000000000001" customHeight="1" x14ac:dyDescent="0.25">
      <c r="A12" s="5"/>
      <c r="M12" s="124" t="str" cm="1">
        <f t="array" ref="M12:N13">_xlfn.CHOOSECOLS(Fertiliser_Equations_InorganicN2O.VEERG_5_1_1_2__1_EmissionFactorIrrigatedMaize_Arguments(), 1, 2)</f>
        <v>N_fjIrrigatedMaize</v>
      </c>
      <c r="N12" s="125" t="str">
        <v>application rate of inorganic fertiliser type f in the irrigated maize crop</v>
      </c>
      <c r="O12" s="171"/>
      <c r="P12" s="124" t="str" cm="1">
        <f t="array" ref="P12:Q13">_xlfn.CHOOSECOLS(Fertiliser_Equations_InorganicN2O.VEERG_5_1_1_2__1_EmissionFactorIrrigatedMaize_Arguments(), 3,4)</f>
        <v>kg N/ha</v>
      </c>
      <c r="Q12" s="113" t="str">
        <v>Input</v>
      </c>
      <c r="R12" s="172" t="str" cm="1">
        <f t="array" aca="1" ref="R12" ca="1">HYPERLINK(Common_InputFunctions.Utility_SourceHyperlink($M$41), $M$41)</f>
        <v>M2_Table_FertApplications</v>
      </c>
      <c r="S12" s="173"/>
    </row>
    <row r="13" spans="1:24" ht="20.100000000000001" customHeight="1" x14ac:dyDescent="0.25">
      <c r="A13" s="5"/>
      <c r="D13" s="124" t="str" cm="1">
        <f t="array" ref="D13:E14">_xlfn.CHOOSECOLS(Fertiliser_Equations_InorganicN2O.VEERG_5_1_1_1__2_MassOfNitrogenInInorganicFertiliser_Arguments(), 1,2)</f>
        <v>TM_jf</v>
      </c>
      <c r="E13" s="124" t="str">
        <v>total mass of inorganic fertiliser type f applied to production system j</v>
      </c>
      <c r="F13" s="124"/>
      <c r="G13" s="124" t="str" cm="1">
        <f t="array" ref="G13:H14">_xlfn.CHOOSECOLS(Fertiliser_Equations_InorganicN2O.VEERG_5_1_1_1__2_MassOfNitrogenInInorganicFertiliser_Arguments(), 3,4)</f>
        <v>kg</v>
      </c>
      <c r="H13" s="113" t="str">
        <v>Input</v>
      </c>
      <c r="I13" s="115" t="str" cm="1">
        <f t="array" aca="1" ref="I13" ca="1">HYPERLINK(Common_InputFunctions.Utility_SourceHyperlink($D$16), $D$16)</f>
        <v>Table_MN_j_f</v>
      </c>
      <c r="M13" s="124" t="str">
        <v>f</v>
      </c>
      <c r="N13" s="125" t="str">
        <v>Inorganic fertiliser type</v>
      </c>
      <c r="O13" s="171"/>
      <c r="P13" s="124" t="str">
        <v/>
      </c>
      <c r="Q13" s="114" t="str">
        <v>Constant</v>
      </c>
      <c r="R13" s="125" t="s">
        <v>630</v>
      </c>
      <c r="S13" s="173"/>
    </row>
    <row r="14" spans="1:24" ht="20.100000000000001" customHeight="1" x14ac:dyDescent="0.25">
      <c r="A14" s="5"/>
      <c r="D14" s="124" t="str">
        <v>FN_inorganicf</v>
      </c>
      <c r="E14" s="125" t="str">
        <v xml:space="preserve">fraction of nitrogen in inorganic fertiliser type f </v>
      </c>
      <c r="F14" s="174"/>
      <c r="G14" s="124" t="str">
        <v>kg N/kg</v>
      </c>
      <c r="H14" s="114" t="str">
        <v>Constant</v>
      </c>
      <c r="I14" s="115" t="str" cm="1">
        <f t="array" aca="1" ref="I14" ca="1">HYPERLINK(Common_InputFunctions.Utility_SourceHyperlink($D$16), $D$16)</f>
        <v>Table_MN_j_f</v>
      </c>
    </row>
    <row r="15" spans="1:24" ht="20.100000000000001" customHeight="1" x14ac:dyDescent="0.25">
      <c r="A15" s="5"/>
    </row>
    <row r="16" spans="1:24" ht="20.100000000000001" customHeight="1" x14ac:dyDescent="0.25">
      <c r="A16" s="5"/>
      <c r="D16" s="116" t="s">
        <v>631</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c r="D17" s="117" t="s">
        <v>632</v>
      </c>
      <c r="M17" s="27" t="str" cm="1">
        <f t="array" ref="M17">Fertiliser_Equations_InorganicN2O.VEERG_5_1_1_2__2_EmissionFactorNonIrrigatedGrainsHighRainfall_Source()</f>
        <v>VEERG 2026: 5.1.1.2, Equation (2)</v>
      </c>
    </row>
    <row r="18" spans="1:19" ht="20.100000000000001" customHeight="1" x14ac:dyDescent="0.25">
      <c r="A18" s="5"/>
      <c r="D18" s="118" t="s">
        <v>633</v>
      </c>
      <c r="E18" s="94" t="s">
        <v>634</v>
      </c>
      <c r="F18" s="118" t="s">
        <v>635</v>
      </c>
      <c r="G18" s="118" t="s">
        <v>636</v>
      </c>
    </row>
    <row r="19" spans="1:19" ht="20.100000000000001" customHeight="1" x14ac:dyDescent="0.25">
      <c r="A19" s="5"/>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360</v>
      </c>
      <c r="N20" s="1" t="str" cm="1">
        <f t="array" ref="N20">Fertiliser_Equations_InorganicN2O.VEERG_5_1_1_2__2_EmissionFactorNonIrrigatedGrainsHighRainfall_Variable()</f>
        <v>EF_fjNonIrrigatedGrainsN2O</v>
      </c>
    </row>
    <row r="21" spans="1:19" ht="20.100000000000001" customHeight="1" x14ac:dyDescent="0.25">
      <c r="A21" s="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8" t="s">
        <v>128</v>
      </c>
      <c r="N21" s="15" t="str" cm="1">
        <f t="array" ref="N21">Fertiliser_Equations_InorganicN2O.VEERG_5_1_1_2__2_EmissionFactorNonIrrigatedGrainsHighRainfall_Unit()</f>
        <v>kg N2O-N/kg N applied</v>
      </c>
    </row>
    <row r="22" spans="1:19" ht="20.100000000000001" customHeight="1" x14ac:dyDescent="0.25">
      <c r="A22" s="5"/>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4" t="str" cm="1">
        <f t="array" ref="M23:N24">_xlfn.CHOOSECOLS(Fertiliser_Equations_InorganicN2O.VEERG_5_1_1_2__2_EmissionFactorNonIrrigatedGrainsHighRainfall_Arguments(), 1, 2)</f>
        <v>N_fjNonIrrigatedGrains</v>
      </c>
      <c r="N23" s="125" t="str">
        <v>application rate of inorganic fertiliser type f in the grains crop</v>
      </c>
      <c r="O23" s="171"/>
      <c r="P23" s="124" t="str" cm="1">
        <f t="array" ref="P23:Q24">_xlfn.CHOOSECOLS(Fertiliser_Equations_InorganicN2O.VEERG_5_1_1_2__2_EmissionFactorNonIrrigatedGrainsHighRainfall_Arguments(), 3,4)</f>
        <v>kg N/ha</v>
      </c>
      <c r="Q23" s="113" t="str">
        <v>Input</v>
      </c>
      <c r="R23" s="172" t="str" cm="1">
        <f t="array" aca="1" ref="R23" ca="1">HYPERLINK(Common_InputFunctions.Utility_SourceHyperlink($M$41), $M$41)</f>
        <v>M2_Table_FertApplications</v>
      </c>
      <c r="S23" s="174"/>
    </row>
    <row r="24" spans="1:19" ht="20.100000000000001" customHeight="1" x14ac:dyDescent="0.25">
      <c r="A24" s="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24" t="str">
        <v>f</v>
      </c>
      <c r="N24" s="125" t="str">
        <v>Inorganic fertiliser type</v>
      </c>
      <c r="O24" s="171"/>
      <c r="P24" s="124" t="str">
        <v/>
      </c>
      <c r="Q24" s="114" t="str">
        <v>Constant</v>
      </c>
      <c r="R24" s="125" t="s">
        <v>630</v>
      </c>
      <c r="S24" s="174"/>
    </row>
    <row r="25" spans="1:19" ht="20.100000000000001" customHeight="1" x14ac:dyDescent="0.25">
      <c r="A25" s="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6"/>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5"/>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8" t="s">
        <v>360</v>
      </c>
      <c r="N32" s="1" t="str" cm="1">
        <f t="array" ref="N32">Fertiliser_Equations_InorganicN2O.VEERG_5_1_1_2__3_EmissionFactorCotton_Variable()</f>
        <v>EF_fjCottonN2O</v>
      </c>
    </row>
    <row r="33" spans="1:23" ht="20.100000000000001" customHeight="1" x14ac:dyDescent="0.25">
      <c r="A33" s="5"/>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8" t="s">
        <v>128</v>
      </c>
      <c r="N33" s="15" t="str" cm="1">
        <f t="array" ref="N33">Fertiliser_Equations_InorganicN2O.VEERG_5_1_1_2__3_EmissionFactorCotton_Unit()</f>
        <v>kg N2O-N/kg N applied</v>
      </c>
    </row>
    <row r="34" spans="1:23" ht="20.100000000000001" customHeight="1" x14ac:dyDescent="0.25">
      <c r="A34" s="108"/>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24" t="str" cm="1">
        <f t="array" ref="M35:N36">_xlfn.CHOOSECOLS(Fertiliser_Equations_InorganicN2O.VEERG_5_1_1_2__3_EmissionFactorCotton_Arguments(), 1, 2)</f>
        <v>N_fjCotton</v>
      </c>
      <c r="N35" s="125" t="str">
        <v>application rate of inorganic fertiliser type f in the cotton crop</v>
      </c>
      <c r="O35" s="171"/>
      <c r="P35" s="125" t="str" cm="1">
        <f t="array" ref="P35:Q36">_xlfn.CHOOSECOLS(Fertiliser_Equations_InorganicN2O.VEERG_5_1_1_2__3_EmissionFactorCotton_Arguments(), 3,4)</f>
        <v>kg N/ha</v>
      </c>
      <c r="Q35" s="113" t="str">
        <v>Input</v>
      </c>
      <c r="R35" s="172" t="str" cm="1">
        <f t="array" aca="1" ref="R35" ca="1">HYPERLINK(Common_InputFunctions.Utility_SourceHyperlink($M$41), $M$41)</f>
        <v>M2_Table_FertApplications</v>
      </c>
      <c r="S35" s="174"/>
    </row>
    <row r="36" spans="1:23" ht="20.100000000000001" customHeight="1" x14ac:dyDescent="0.25">
      <c r="A36" s="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24" t="str">
        <v>f</v>
      </c>
      <c r="N36" s="125" t="str">
        <v>Inorganic fertiliser type</v>
      </c>
      <c r="O36" s="171"/>
      <c r="P36" s="125" t="str">
        <v/>
      </c>
      <c r="Q36" s="114" t="str">
        <v>Constant</v>
      </c>
      <c r="R36" s="125" t="s">
        <v>630</v>
      </c>
      <c r="S36" s="174"/>
    </row>
    <row r="37" spans="1:23" ht="20.100000000000001" customHeight="1" x14ac:dyDescent="0.25">
      <c r="A37" s="5"/>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c r="N38" s="92"/>
      <c r="O38" s="92"/>
      <c r="P38" s="92"/>
    </row>
    <row r="39" spans="1:23" ht="20.100000000000001" customHeight="1" x14ac:dyDescent="0.25">
      <c r="A39" s="5"/>
      <c r="C39" s="120"/>
      <c r="D39" s="120"/>
      <c r="E39" s="120"/>
      <c r="F39" s="120"/>
      <c r="G39" s="120"/>
      <c r="H39" s="120"/>
      <c r="I39" s="120"/>
      <c r="J39" s="120"/>
      <c r="M39" s="92" t="s">
        <v>637</v>
      </c>
    </row>
    <row r="40" spans="1:23" ht="20.100000000000001" customHeight="1" x14ac:dyDescent="0.25">
      <c r="A40" s="5"/>
      <c r="D40" s="2" t="str" cm="1">
        <f t="array" ref="D40">Fertiliser_Equations_InorganicN2O.VEERG_5_1_1_1__1_InorganicFertiliserApplicationN2OEmissions_Title()</f>
        <v>Nitrous oxide emissions from the application of all inorganic fertiliser types f to all production systems j</v>
      </c>
      <c r="M40" s="80" t="s">
        <v>638</v>
      </c>
      <c r="N40" s="80"/>
      <c r="O40" s="80"/>
      <c r="P40" s="80"/>
      <c r="Q40" s="80"/>
      <c r="R40" s="80"/>
      <c r="S40" s="80"/>
    </row>
    <row r="41" spans="1:23" ht="20.100000000000001" customHeight="1" x14ac:dyDescent="0.25">
      <c r="A41" s="5"/>
      <c r="D41" s="27" t="str" cm="1">
        <f t="array" ref="D41">Fertiliser_Equations_InorganicN2O.VEERG_5_1_1_1__1_InorganicFertiliserApplicationN2OEmissions_Source()</f>
        <v>VEERG 2026: 5.1.1.1, Equation (1)</v>
      </c>
      <c r="M41" s="116" t="s">
        <v>639</v>
      </c>
      <c r="T41" s="134" t="s">
        <v>640</v>
      </c>
    </row>
    <row r="42" spans="1:23" ht="20.100000000000001" customHeight="1" x14ac:dyDescent="0.25">
      <c r="A42" s="5"/>
      <c r="D42" s="107" t="s">
        <v>358</v>
      </c>
      <c r="E42" s="107" t="str" cm="1">
        <f t="array" aca="1" ref="E42" ca="1">Common_InputFunctions.Utility_DisplayFunctionName($E$60)</f>
        <v>=Fertiliser_Equations_InorganicN2O.VEERG_5_1_1_1__1_InorganicFertiliserApplicationN2OEmissions</v>
      </c>
      <c r="F42" s="26"/>
      <c r="M42" s="117" t="s">
        <v>641</v>
      </c>
    </row>
    <row r="43" spans="1:23" ht="20.100000000000001" customHeight="1" x14ac:dyDescent="0.25">
      <c r="A43" s="5"/>
      <c r="F43" s="26"/>
      <c r="O43" s="175" t="s">
        <v>642</v>
      </c>
      <c r="P43" s="175" t="s">
        <v>643</v>
      </c>
      <c r="Q43" s="175" t="s">
        <v>644</v>
      </c>
      <c r="R43" s="175" t="str">
        <f>$N$10</f>
        <v>kg N2O-N/kg N applied</v>
      </c>
      <c r="S43" s="175" t="str">
        <f>$N$21</f>
        <v>kg N2O-N/kg N applied</v>
      </c>
      <c r="T43" s="175" t="s">
        <v>642</v>
      </c>
      <c r="U43" s="175" t="s">
        <v>644</v>
      </c>
      <c r="V43" s="175" t="str">
        <f>$N$33</f>
        <v>kg N2O-N/kg N applied</v>
      </c>
      <c r="W43" s="175" t="s">
        <v>645</v>
      </c>
    </row>
    <row r="44" spans="1:23" ht="20.100000000000001" customHeight="1" x14ac:dyDescent="0.25">
      <c r="A44" s="5"/>
      <c r="F44" s="26"/>
      <c r="M44" s="118" t="s">
        <v>646</v>
      </c>
      <c r="N44" s="94" t="s">
        <v>646</v>
      </c>
      <c r="O44" s="94" t="s">
        <v>647</v>
      </c>
      <c r="P44" s="94" t="s">
        <v>648</v>
      </c>
      <c r="Q44" s="118" t="s">
        <v>649</v>
      </c>
      <c r="R44" s="118" t="str">
        <f>N9</f>
        <v>EF_fjIrrigatedMaizeN2O</v>
      </c>
      <c r="S44" s="118" t="str">
        <f>N20</f>
        <v>EF_fjNonIrrigatedGrainsN2O</v>
      </c>
      <c r="T44" s="118" t="s">
        <v>650</v>
      </c>
      <c r="U44" s="118" t="s">
        <v>651</v>
      </c>
      <c r="V44" s="118" t="str">
        <f>N32</f>
        <v>EF_fjCottonN2O</v>
      </c>
      <c r="W44" s="118" t="s">
        <v>652</v>
      </c>
    </row>
    <row r="45" spans="1:23" ht="20.100000000000001" customHeight="1" x14ac:dyDescent="0.25">
      <c r="A45" s="5"/>
      <c r="F45" s="26"/>
      <c r="M45" s="25" t="s">
        <v>653</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c r="D46" s="88" t="s">
        <v>360</v>
      </c>
      <c r="E46" s="1" t="str" cm="1">
        <f t="array" ref="E46">Fertiliser_Equations_InorganicN2O.VEERG_5_1_1_1__1_InorganicFertiliserApplicationN2OEmissions_Variable()</f>
        <v>E_N2O</v>
      </c>
      <c r="F46" s="26"/>
      <c r="M46" s="25" t="s">
        <v>653</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7" spans="1:23" ht="20.100000000000001" customHeight="1" x14ac:dyDescent="0.25">
      <c r="A47" s="5"/>
      <c r="D47" s="88" t="s">
        <v>128</v>
      </c>
      <c r="E47" s="15" t="str" cm="1">
        <f t="array" ref="E47">Fertiliser_Equations_InorganicN2O.VEERG_5_1_1_1__1_InorganicFertiliserApplicationN2OEmissions_Unit()</f>
        <v>t N2O</v>
      </c>
      <c r="F47" s="26"/>
      <c r="M47" s="25" t="s">
        <v>653</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8" spans="1:23" ht="20.100000000000001" customHeight="1" x14ac:dyDescent="0.25">
      <c r="A48" s="5"/>
      <c r="F48" s="26"/>
      <c r="M48" s="25" t="s">
        <v>653</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D49" s="124" t="str" cm="1">
        <f t="array" ref="D49:E55">_xlfn.CHOOSECOLS(Fertiliser_Equations_InorganicN2O.VEERG_5_1_1_1__1_InorganicFertiliserApplicationN2OEmissions_Arguments(), 1, 2)</f>
        <v>MN_jf</v>
      </c>
      <c r="E49" s="125" t="str">
        <v>mass of nitrogen in inorganic fertiliser type f applied to production system j</v>
      </c>
      <c r="F49" s="171"/>
      <c r="G49" s="124" t="str" cm="1">
        <f t="array" ref="G49:H55">_xlfn.CHOOSECOLS(Fertiliser_Equations_InorganicN2O.VEERG_5_1_1_1__1_InorganicFertiliserApplicationN2OEmissions_Arguments(), 3,4)</f>
        <v>kg N</v>
      </c>
      <c r="H49" s="114" t="str">
        <v>Calculated from 5.1.1.1 (2)</v>
      </c>
      <c r="I49" s="115" t="str" cm="1">
        <f t="array" aca="1" ref="I49" ca="1">HYPERLINK(Common_InputFunctions.Utility_SourceHyperlink(D16), D16)</f>
        <v>Table_MN_j_f</v>
      </c>
      <c r="M49" s="25" t="s">
        <v>653</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D50" s="124" t="str">
        <v>EF_jN2O</v>
      </c>
      <c r="E50" s="125" t="str">
        <v>emission factor for nitrous oxide for inorganic fertilisers</v>
      </c>
      <c r="F50" s="171"/>
      <c r="G50" s="124" t="str">
        <v>kg N2O-N/kg N applied</v>
      </c>
      <c r="H50" s="114" t="str">
        <v>Constant</v>
      </c>
      <c r="I50" s="124">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653</v>
      </c>
      <c r="N50" s="25">
        <v>0</v>
      </c>
      <c r="O50" s="25">
        <v>0</v>
      </c>
      <c r="P50" s="25">
        <v>1000</v>
      </c>
      <c r="Q50" s="25"/>
      <c r="R50" s="25"/>
      <c r="S50" s="25"/>
      <c r="T50" s="25"/>
      <c r="U50" s="25"/>
      <c r="V50" s="25"/>
      <c r="W50" s="25"/>
    </row>
    <row r="51" spans="1:23" ht="20.100000000000001" customHeight="1" x14ac:dyDescent="0.25">
      <c r="A51" s="100"/>
      <c r="D51" s="124" t="str">
        <v>C_N2O</v>
      </c>
      <c r="E51" s="125" t="str">
        <v>factor to convert elemental mass of nitrous oxide to molecular mass</v>
      </c>
      <c r="F51" s="171"/>
      <c r="G51" s="124" t="str">
        <v/>
      </c>
      <c r="H51" s="114" t="str">
        <v>Constant</v>
      </c>
      <c r="I51" s="124">
        <f>Common_InputFunctions.Utility_LookupValueInTableNumber("N2O",Table_GasToMolecularConversionFactor[Gas],Table_GasToMolecularConversionFactor[Conversion factor combined])</f>
        <v>1.5714285714285714</v>
      </c>
      <c r="M51" s="25" t="s">
        <v>653</v>
      </c>
      <c r="N51" s="25">
        <v>0</v>
      </c>
      <c r="O51" s="25">
        <v>0</v>
      </c>
      <c r="P51" s="25">
        <v>1000</v>
      </c>
      <c r="Q51" s="25"/>
      <c r="R51" s="25"/>
      <c r="S51" s="25"/>
      <c r="T51" s="25"/>
      <c r="U51" s="25"/>
      <c r="V51" s="25"/>
      <c r="W51" s="25"/>
    </row>
    <row r="52" spans="1:23" ht="20.100000000000001" customHeight="1" x14ac:dyDescent="0.25">
      <c r="A52" s="5"/>
      <c r="D52" s="124" t="str">
        <v>j</v>
      </c>
      <c r="E52" s="125" t="str">
        <v>Production system</v>
      </c>
      <c r="F52" s="171"/>
      <c r="G52" s="124" t="str">
        <v/>
      </c>
      <c r="H52" s="113" t="str">
        <v>Input</v>
      </c>
      <c r="I52" s="124" t="str">
        <f>X_Cell_Fertiliser_ProductionSystem</f>
        <v>Pasture</v>
      </c>
      <c r="M52" s="25" t="s">
        <v>653</v>
      </c>
      <c r="N52" s="25">
        <v>0</v>
      </c>
      <c r="O52" s="25">
        <v>0</v>
      </c>
      <c r="P52" s="25">
        <v>1000</v>
      </c>
      <c r="Q52" s="25"/>
      <c r="R52" s="25"/>
      <c r="S52" s="25"/>
      <c r="T52" s="25"/>
      <c r="U52" s="25"/>
      <c r="V52" s="25"/>
      <c r="W52" s="25"/>
    </row>
    <row r="53" spans="1:23" ht="20.100000000000001" customHeight="1" x14ac:dyDescent="0.25">
      <c r="A53" s="5"/>
      <c r="D53" s="124" t="str">
        <v>f</v>
      </c>
      <c r="E53" s="125" t="str">
        <v>Inorganic fertiliser type</v>
      </c>
      <c r="F53" s="171"/>
      <c r="G53" s="124" t="str">
        <v/>
      </c>
      <c r="H53" s="114" t="str">
        <v>Constant</v>
      </c>
      <c r="I53" s="124" t="str">
        <f>"See " &amp; D57</f>
        <v>See M1_Table_E_N2O</v>
      </c>
      <c r="M53" s="25" t="s">
        <v>653</v>
      </c>
      <c r="N53" s="25">
        <v>0</v>
      </c>
      <c r="O53" s="25">
        <v>0</v>
      </c>
      <c r="P53" s="25">
        <v>1000</v>
      </c>
      <c r="Q53" s="25"/>
      <c r="R53" s="25"/>
      <c r="S53" s="25"/>
      <c r="T53" s="25"/>
      <c r="U53" s="25"/>
      <c r="V53" s="25"/>
      <c r="W53" s="25"/>
    </row>
    <row r="54" spans="1:23" ht="20.100000000000001" customHeight="1" x14ac:dyDescent="0.25">
      <c r="A54" s="5"/>
      <c r="D54" s="124" t="str">
        <v>ir</v>
      </c>
      <c r="E54" s="125" t="str">
        <v>irrigation method</v>
      </c>
      <c r="F54" s="171"/>
      <c r="G54" s="124" t="str">
        <v/>
      </c>
      <c r="H54" s="113" t="str">
        <v>Input</v>
      </c>
      <c r="I54" s="124" t="str">
        <f>X_Cell_Fertiliser_IrrigationMethod</f>
        <v>Surface irrigation</v>
      </c>
      <c r="M54" s="25" t="s">
        <v>653</v>
      </c>
      <c r="N54" s="25">
        <v>0</v>
      </c>
      <c r="O54" s="25">
        <v>0</v>
      </c>
      <c r="P54" s="25">
        <v>1000</v>
      </c>
      <c r="Q54" s="25"/>
      <c r="R54" s="25"/>
      <c r="S54" s="25"/>
      <c r="T54" s="25"/>
      <c r="U54" s="25"/>
      <c r="V54" s="25"/>
      <c r="W54" s="25"/>
    </row>
    <row r="55" spans="1:23" ht="20.100000000000001" customHeight="1" x14ac:dyDescent="0.25">
      <c r="A55" s="5"/>
      <c r="D55" s="124" t="str">
        <v>z</v>
      </c>
      <c r="E55" s="125" t="str">
        <v>rainfall zone</v>
      </c>
      <c r="F55" s="171"/>
      <c r="G55" s="124" t="str">
        <v/>
      </c>
      <c r="H55" s="113" t="str">
        <v>Input</v>
      </c>
      <c r="I55" s="124" t="str">
        <f>X_Cell_Site_RainfallZone</f>
        <v>High rainfall</v>
      </c>
      <c r="M55" s="25" t="s">
        <v>654</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6" spans="1:23" ht="20.100000000000001" customHeight="1" x14ac:dyDescent="0.25">
      <c r="A56" s="5"/>
      <c r="F56" s="26"/>
      <c r="M56" s="25" t="s">
        <v>654</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7" spans="1:23" ht="20.100000000000001" customHeight="1" x14ac:dyDescent="0.25">
      <c r="A57" s="5"/>
      <c r="D57" s="116" t="s">
        <v>655</v>
      </c>
      <c r="F57" s="26"/>
      <c r="M57" s="25" t="s">
        <v>654</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8" spans="1:23" ht="20.100000000000001" customHeight="1" x14ac:dyDescent="0.25">
      <c r="A58" s="5"/>
      <c r="D58" s="117" t="s">
        <v>656</v>
      </c>
      <c r="F58" s="26"/>
      <c r="M58" s="25" t="s">
        <v>654</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s="5"/>
      <c r="D59" s="118" t="s">
        <v>633</v>
      </c>
      <c r="E59" s="118" t="s">
        <v>657</v>
      </c>
      <c r="M59" s="25" t="s">
        <v>654</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s="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654</v>
      </c>
      <c r="N60" s="25">
        <v>0</v>
      </c>
      <c r="O60" s="25">
        <v>0</v>
      </c>
      <c r="P60" s="25">
        <v>1000</v>
      </c>
      <c r="Q60" s="25"/>
      <c r="R60" s="25"/>
      <c r="S60" s="25"/>
      <c r="T60" s="25"/>
      <c r="U60" s="25"/>
      <c r="V60" s="25"/>
      <c r="W60" s="25"/>
    </row>
    <row r="61" spans="1:23" ht="20.100000000000001" customHeight="1" x14ac:dyDescent="0.25">
      <c r="A61" s="5"/>
      <c r="D61" s="25" t="str">
        <v>Diammonium phosphate (DAP)</v>
      </c>
      <c r="E61" s="25" cm="1">
        <f t="array" ref="E61">Fertiliser_Equations_InorganicN2O.VEERG_5_1_1_1__1_InorganicFertiliserApplicationN2OEmissions(G20,$I$50,$I$51)</f>
        <v>0</v>
      </c>
      <c r="M61" s="25" t="s">
        <v>654</v>
      </c>
      <c r="N61" s="25">
        <v>0</v>
      </c>
      <c r="O61" s="25">
        <v>0</v>
      </c>
      <c r="P61" s="25">
        <v>1000</v>
      </c>
      <c r="Q61" s="25"/>
      <c r="R61" s="25"/>
      <c r="S61" s="25"/>
      <c r="T61" s="25"/>
      <c r="U61" s="25"/>
      <c r="V61" s="25"/>
      <c r="W61" s="25"/>
    </row>
    <row r="62" spans="1:23" ht="20.100000000000001" customHeight="1" x14ac:dyDescent="0.25">
      <c r="D62" s="25" t="str">
        <v>Urea</v>
      </c>
      <c r="E62" s="25" cm="1">
        <f t="array" ref="E62">Fertiliser_Equations_InorganicN2O.VEERG_5_1_1_1__1_InorganicFertiliserApplicationN2OEmissions(G21,$I$50,$I$51)</f>
        <v>1.0754856586571429</v>
      </c>
      <c r="M62" s="25" t="s">
        <v>654</v>
      </c>
      <c r="N62" s="25">
        <v>0</v>
      </c>
      <c r="O62" s="25">
        <v>0</v>
      </c>
      <c r="P62" s="25">
        <v>1000</v>
      </c>
      <c r="Q62" s="25"/>
      <c r="R62" s="25"/>
      <c r="S62" s="25"/>
      <c r="T62" s="25"/>
      <c r="U62" s="25"/>
      <c r="V62" s="25"/>
      <c r="W62" s="25"/>
    </row>
    <row r="63" spans="1:23" ht="20.100000000000001" customHeight="1" x14ac:dyDescent="0.25">
      <c r="D63" s="25" t="str">
        <v>Sulphate of ammonia (SOA)</v>
      </c>
      <c r="E63" s="25" cm="1">
        <f t="array" ref="E63">Fertiliser_Equations_InorganicN2O.VEERG_5_1_1_1__1_InorganicFertiliserApplicationN2OEmissions(G22,$I$50,$I$51)</f>
        <v>0</v>
      </c>
      <c r="M63" s="25" t="s">
        <v>654</v>
      </c>
      <c r="N63" s="25">
        <v>0</v>
      </c>
      <c r="O63" s="25">
        <v>0</v>
      </c>
      <c r="P63" s="25">
        <v>1000</v>
      </c>
      <c r="Q63" s="25"/>
      <c r="R63" s="25"/>
      <c r="S63" s="25"/>
      <c r="T63" s="25"/>
      <c r="U63" s="25"/>
      <c r="V63" s="25"/>
      <c r="W63" s="25"/>
    </row>
    <row r="64" spans="1:23" ht="20.100000000000001" customHeight="1" x14ac:dyDescent="0.25">
      <c r="D64" s="25" t="str">
        <v>Urea-ammonium nitrate (UAN)</v>
      </c>
      <c r="E64" s="25" cm="1">
        <f t="array" ref="E64">Fertiliser_Equations_InorganicN2O.VEERG_5_1_1_1__1_InorganicFertiliserApplicationN2OEmissions(G23,$I$50,$I$51)</f>
        <v>0</v>
      </c>
      <c r="M64" s="25" t="s">
        <v>654</v>
      </c>
      <c r="N64" s="25">
        <v>0</v>
      </c>
      <c r="O64" s="25">
        <v>0</v>
      </c>
      <c r="P64" s="25">
        <v>1000</v>
      </c>
      <c r="Q64" s="25"/>
      <c r="R64" s="25"/>
      <c r="S64" s="25"/>
      <c r="T64" s="25"/>
      <c r="U64" s="25"/>
      <c r="V64" s="25"/>
      <c r="W64" s="25"/>
    </row>
    <row r="65" spans="4:24" ht="20.100000000000001" customHeight="1" x14ac:dyDescent="0.25">
      <c r="D65" s="25" t="str">
        <v>Ammonium nitrate (AN)</v>
      </c>
      <c r="E65" s="25" cm="1">
        <f t="array" ref="E65">Fertiliser_Equations_InorganicN2O.VEERG_5_1_1_1__1_InorganicFertiliserApplicationN2OEmissions(G24,$I$50,$I$51)</f>
        <v>0</v>
      </c>
    </row>
    <row r="66" spans="4:24" ht="20.100000000000001" customHeight="1" x14ac:dyDescent="0.25">
      <c r="D66" s="25" t="str">
        <v>Calcium ammonium nitrate (CAN)</v>
      </c>
      <c r="E66" s="25" cm="1">
        <f t="array" ref="E66">Fertiliser_Equations_InorganicN2O.VEERG_5_1_1_1__1_InorganicFertiliserApplicationN2OEmissions(G25,$I$50,$I$51)</f>
        <v>0</v>
      </c>
    </row>
    <row r="67" spans="4:24" ht="20.100000000000001" customHeight="1" x14ac:dyDescent="0.25">
      <c r="D67" s="25" t="str">
        <v>Nitrogen - Ammoniacal</v>
      </c>
      <c r="E67" s="25" cm="1">
        <f t="array" ref="E67">Fertiliser_Equations_InorganicN2O.VEERG_5_1_1_1__1_InorganicFertiliserApplicationN2OEmissions(G26,$I$50,$I$51)</f>
        <v>0.11496571428571428</v>
      </c>
      <c r="L67" s="120"/>
      <c r="M67" s="120"/>
      <c r="N67" s="120"/>
      <c r="O67" s="120"/>
      <c r="P67" s="120"/>
      <c r="Q67" s="120"/>
      <c r="R67" s="120"/>
      <c r="S67" s="120"/>
      <c r="T67" s="120"/>
      <c r="U67" s="120"/>
      <c r="V67" s="120"/>
      <c r="W67" s="120"/>
      <c r="X67" s="120"/>
    </row>
    <row r="68" spans="4:24" ht="20.100000000000001" customHeight="1" x14ac:dyDescent="0.25">
      <c r="D68" s="25" t="str">
        <v>Nitrogen - Nitrate</v>
      </c>
      <c r="E68" s="25" cm="1">
        <f t="array" ref="E68">Fertiliser_Equations_InorganicN2O.VEERG_5_1_1_1__1_InorganicFertiliserApplicationN2OEmissions(G27,$I$50,$I$51)</f>
        <v>5.0992857142857131E-2</v>
      </c>
      <c r="M68" s="2"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4:24" ht="20.100000000000001" customHeight="1" x14ac:dyDescent="0.25">
      <c r="D70" s="25" t="str">
        <v>Phosphorus - Generic</v>
      </c>
      <c r="E70" s="25" cm="1">
        <f t="array" ref="E70">Fertiliser_Equations_InorganicN2O.VEERG_5_1_1_1__1_InorganicFertiliserApplicationN2OEmissions(G29,$I$50,$I$51)</f>
        <v>0</v>
      </c>
      <c r="M70" s="107" t="s">
        <v>358</v>
      </c>
      <c r="N70" s="107" t="str" cm="1">
        <f t="array" aca="1" ref="N70" ca="1">Common_InputFunctions.Utility_DisplayFunctionName($E$60)</f>
        <v>=Fertiliser_Equations_InorganicN2O.VEERG_5_1_1_1__1_InorganicFertiliserApplicationN2OEmissions</v>
      </c>
    </row>
    <row r="71" spans="4:24" ht="20.100000000000001" customHeight="1" x14ac:dyDescent="0.25">
      <c r="D71" s="25" t="str">
        <v>Potassium - Generic</v>
      </c>
      <c r="E71" s="25" cm="1">
        <f t="array" ref="E71">Fertiliser_Equations_InorganicN2O.VEERG_5_1_1_1__1_InorganicFertiliserApplicationN2OEmissions(G30,$I$50,$I$51)</f>
        <v>0</v>
      </c>
    </row>
    <row r="72" spans="4:24" ht="20.100000000000001" customHeight="1" x14ac:dyDescent="0.25">
      <c r="D72" s="25" t="str">
        <v>Sulfur - Generic</v>
      </c>
      <c r="E72" s="25" cm="1">
        <f t="array" ref="E72">Fertiliser_Equations_InorganicN2O.VEERG_5_1_1_1__1_InorganicFertiliserApplicationN2OEmissions(G31,$I$50,$I$51)</f>
        <v>0</v>
      </c>
    </row>
    <row r="73" spans="4:24" ht="20.100000000000001" customHeight="1" x14ac:dyDescent="0.25">
      <c r="D73" s="25" t="str">
        <v>Zinc - Generic</v>
      </c>
      <c r="E73" s="25" cm="1">
        <f t="array" ref="E73">Fertiliser_Equations_InorganicN2O.VEERG_5_1_1_1__1_InorganicFertiliserApplicationN2OEmissions(G32,$I$50,$I$51)</f>
        <v>0</v>
      </c>
    </row>
    <row r="74" spans="4:24" ht="20.100000000000001" customHeight="1" x14ac:dyDescent="0.25">
      <c r="D74" s="25" t="str">
        <v>Muriate of potash (MOP)</v>
      </c>
      <c r="E74" s="25" cm="1">
        <f t="array" ref="E74">Fertiliser_Equations_InorganicN2O.VEERG_5_1_1_1__1_InorganicFertiliserApplicationN2OEmissions(G33,$I$50,$I$51)</f>
        <v>0</v>
      </c>
      <c r="M74" s="88" t="s">
        <v>360</v>
      </c>
      <c r="N74" s="1" t="str" cm="1">
        <f t="array" ref="N74">Fertiliser_Equations_InorganicN2O.VEERG_5_1_1_1__1_InorganicFertiliserApplicationN2OEmissions_Variable()</f>
        <v>E_N2O</v>
      </c>
    </row>
    <row r="75" spans="4:24" ht="20.100000000000001" customHeight="1" x14ac:dyDescent="0.25">
      <c r="D75" s="25" t="str">
        <v>Double superphosphate</v>
      </c>
      <c r="E75" s="25" cm="1">
        <f t="array" ref="E75">Fertiliser_Equations_InorganicN2O.VEERG_5_1_1_1__1_InorganicFertiliserApplicationN2OEmissions(G34,$I$50,$I$51)</f>
        <v>0</v>
      </c>
      <c r="M75" s="88" t="s">
        <v>128</v>
      </c>
      <c r="N75" s="15" t="str" cm="1">
        <f t="array" ref="N75">Fertiliser_Equations_InorganicN2O.VEERG_5_1_1_1__1_InorganicFertiliserApplicationN2OEmissions_Unit()</f>
        <v>t N2O</v>
      </c>
    </row>
    <row r="76" spans="4:24" ht="20.100000000000001" customHeight="1" x14ac:dyDescent="0.25">
      <c r="D76" s="25" t="str">
        <v>Single superphosphate (SSP)</v>
      </c>
      <c r="E76" s="25" cm="1">
        <f t="array" ref="E76">Fertiliser_Equations_InorganicN2O.VEERG_5_1_1_1__1_InorganicFertiliserApplicationN2OEmissions(G35,$I$50,$I$51)</f>
        <v>0</v>
      </c>
    </row>
    <row r="77" spans="4:24" ht="20.100000000000001" customHeight="1" x14ac:dyDescent="0.25">
      <c r="D77" s="25" t="str">
        <v>Ammonia</v>
      </c>
      <c r="E77" s="25" cm="1">
        <f t="array" ref="E77">Fertiliser_Equations_InorganicN2O.VEERG_5_1_1_1__1_InorganicFertiliserApplicationN2OEmissions(G36,$I$50,$I$51)</f>
        <v>0.38175107142857145</v>
      </c>
      <c r="M77" s="124" t="str" cm="1">
        <f t="array" ref="M77:N84">_xlfn.CHOOSECOLS(Fertiliser_Equations_InorganicN2O.VEERG_5_1_1_1__1_InorganicFertiliserApplicationN2OEmissions_Arguments_Method2(), 1, 2)</f>
        <v>MN_jf</v>
      </c>
      <c r="N77" s="125" t="str">
        <v>mass of nitrogen in inorganic fertiliser type f applied to production system j</v>
      </c>
      <c r="O77" s="171"/>
      <c r="P77" s="174"/>
      <c r="Q77" s="124" t="str" cm="1">
        <f t="array" ref="Q77:R84">_xlfn.CHOOSECOLS(Fertiliser_Equations_InorganicN2O.VEERG_5_1_1_1__1_InorganicFertiliserApplicationN2OEmissions_Arguments_Method2(), 3,4)</f>
        <v>kg N</v>
      </c>
      <c r="R77" s="114" t="str">
        <v>Calculated from 5.1.1.1 (2)</v>
      </c>
      <c r="S77" s="115" t="str" cm="1">
        <f t="array" aca="1" ref="S77" ca="1">HYPERLINK(Common_InputFunctions.Utility_SourceHyperlink(M41), M41)</f>
        <v>M2_Table_FertApplications</v>
      </c>
    </row>
    <row r="78" spans="4:24" ht="20.100000000000001" customHeight="1" x14ac:dyDescent="0.25">
      <c r="D78" s="25" t="str">
        <v>Calcium nitrate</v>
      </c>
      <c r="E78" s="25" cm="1">
        <f t="array" ref="E78">Fertiliser_Equations_InorganicN2O.VEERG_5_1_1_1__1_InorganicFertiliserApplicationN2OEmissions(G37,$I$50,$I$51)</f>
        <v>7.1853571428571433E-2</v>
      </c>
      <c r="M78" s="124" t="str">
        <v>EF_jN2O</v>
      </c>
      <c r="N78" s="125" t="str">
        <v>emission factor for nitrous oxide for inorganic fertilisers</v>
      </c>
      <c r="O78" s="171"/>
      <c r="P78" s="174"/>
      <c r="Q78" s="124" t="str">
        <v>kg N2O-N/kg N applied</v>
      </c>
      <c r="R78" s="114" t="str">
        <v>Calculated from 5.1.1.2 (1)(2)(3)</v>
      </c>
      <c r="S78" s="124" t="str" cm="1">
        <f t="array" ref="S78">_xlfn.IFS(
  AND(S80="crop", S81="grains", S83="not irrigated", S84="high rainfall"), $S$44,
  AND(S80="Crop", S81="maize", S83&lt;&gt;"not irrigated"), $R$44,
  AND(S80="Crop", S81="cotton"), $V$44,
  TRUE, $W$44
)</f>
        <v>EF_jN2O</v>
      </c>
    </row>
    <row r="79" spans="4:24" ht="20.100000000000001" customHeight="1" x14ac:dyDescent="0.25">
      <c r="M79" s="124" t="str">
        <v>C_N2O</v>
      </c>
      <c r="N79" s="125" t="str">
        <v>factor to convert elemental mass of nitrous oxide to molecular mass</v>
      </c>
      <c r="O79" s="171"/>
      <c r="P79" s="174"/>
      <c r="Q79" s="124" t="str">
        <v/>
      </c>
      <c r="R79" s="114" t="str">
        <v>Constant</v>
      </c>
      <c r="S79" s="124">
        <f>Common_InputFunctions.Utility_LookupValueInTableNumber("N2O",Table_GasToMolecularConversionFactor[Gas],Table_GasToMolecularConversionFactor[Conversion factor combined])</f>
        <v>1.5714285714285714</v>
      </c>
    </row>
    <row r="80" spans="4:24" ht="20.100000000000001" customHeight="1" x14ac:dyDescent="0.25">
      <c r="D80" s="121" t="s">
        <v>658</v>
      </c>
      <c r="E80" s="122">
        <f>SUM(E60:E78)</f>
        <v>1.6950488729428572</v>
      </c>
      <c r="F80" s="123" t="str">
        <f>$E$47</f>
        <v>t N2O</v>
      </c>
      <c r="M80" s="124" t="str">
        <v>j</v>
      </c>
      <c r="N80" s="125" t="str">
        <v>Production system</v>
      </c>
      <c r="O80" s="171"/>
      <c r="P80" s="174"/>
      <c r="Q80" s="124" t="str">
        <v/>
      </c>
      <c r="R80" s="113" t="str">
        <v>Input</v>
      </c>
      <c r="S80" s="124" t="str">
        <f>X_Cell_Fertiliser_ProductionSystem</f>
        <v>Pasture</v>
      </c>
    </row>
    <row r="81" spans="4:19" ht="20.100000000000001" customHeight="1" x14ac:dyDescent="0.25">
      <c r="M81" s="124" t="str">
        <v>c</v>
      </c>
      <c r="N81" s="125" t="str">
        <v>Crop type</v>
      </c>
      <c r="O81" s="171"/>
      <c r="P81" s="174"/>
      <c r="Q81" s="124" t="str">
        <v/>
      </c>
      <c r="R81" s="113" t="str">
        <v>Input</v>
      </c>
      <c r="S81" s="124" t="str">
        <f>X_Cell_Fertiliser_CropType</f>
        <v>Pasture</v>
      </c>
    </row>
    <row r="82" spans="4:19" ht="20.100000000000001" customHeight="1" x14ac:dyDescent="0.25">
      <c r="D82" s="124" t="str" cm="1">
        <f t="array" ref="D82:E83">Common_Equations.Common_ConvertN2OToCO2e_Arguments()</f>
        <v>EN2O</v>
      </c>
      <c r="E82" s="125" t="str">
        <v>Nitrous oxide emissions (t N2O)</v>
      </c>
      <c r="F82" s="126"/>
      <c r="G82" s="25">
        <f>VEERG_5_1_1_1__1_InorganicFertiliserApplicationN2OEmissions_Result_Method1</f>
        <v>1.6950488729428572</v>
      </c>
      <c r="M82" s="124" t="str">
        <v>f</v>
      </c>
      <c r="N82" s="125" t="str">
        <v>Inorganic fertiliser type</v>
      </c>
      <c r="O82" s="171"/>
      <c r="P82" s="174"/>
      <c r="Q82" s="124" t="str">
        <v/>
      </c>
      <c r="R82" s="114" t="str">
        <v>Constant</v>
      </c>
      <c r="S82" s="124" t="s">
        <v>659</v>
      </c>
    </row>
    <row r="83" spans="4:19" ht="20.100000000000001" customHeight="1" x14ac:dyDescent="0.25">
      <c r="D83" s="124" t="str">
        <v>GWPN2O</v>
      </c>
      <c r="E83" s="125" t="str">
        <v>Global warming potential for nitrous oxide (t CO2-e / t N2O)</v>
      </c>
      <c r="F83" s="126"/>
      <c r="G83" s="25">
        <f>Common_InputFunctions.Utility_LookupValueInTableNumber("N2O",Table_GWPData[Gas],Table_GWPData[CO2-e factor])</f>
        <v>265</v>
      </c>
      <c r="M83" s="124" t="str">
        <v>ir</v>
      </c>
      <c r="N83" s="125" t="str">
        <v>irrigation method</v>
      </c>
      <c r="O83" s="171"/>
      <c r="P83" s="174"/>
      <c r="Q83" s="124" t="str">
        <v/>
      </c>
      <c r="R83" s="113" t="str">
        <v>Input</v>
      </c>
      <c r="S83" s="124" t="str">
        <f>X_Cell_Fertiliser_IrrigationMethod</f>
        <v>Surface irrigation</v>
      </c>
    </row>
    <row r="84" spans="4:19" ht="20.100000000000001" customHeight="1" x14ac:dyDescent="0.25">
      <c r="M84" s="125" t="str">
        <v>z</v>
      </c>
      <c r="N84" s="125" t="str">
        <v>rainfall zone</v>
      </c>
      <c r="O84" s="171"/>
      <c r="P84" s="171"/>
      <c r="Q84" s="124" t="str">
        <v/>
      </c>
      <c r="R84" s="113" t="str">
        <v>Input</v>
      </c>
      <c r="S84" s="124" t="str">
        <f>X_Cell_Site_RainfallZone</f>
        <v>High rainfall</v>
      </c>
    </row>
    <row r="85" spans="4:19" ht="20.100000000000001" customHeight="1" x14ac:dyDescent="0.25">
      <c r="D85" s="120" t="s">
        <v>422</v>
      </c>
      <c r="E85" s="120" cm="1">
        <f t="array" ref="E85">Common_Equations.Common_ConvertN2OToCO2e(G82,G83)</f>
        <v>449.18795132985719</v>
      </c>
      <c r="F85" s="127" t="str" cm="1">
        <f t="array" ref="F85">Common_Equations.Common_ConvertN2OToCO2e_Unit()</f>
        <v>t CO2e</v>
      </c>
    </row>
    <row r="86" spans="4:19" ht="20.100000000000001" customHeight="1" x14ac:dyDescent="0.25">
      <c r="M86" s="118" t="s">
        <v>646</v>
      </c>
      <c r="N86" s="118" t="s">
        <v>646</v>
      </c>
      <c r="O86" s="118" t="s">
        <v>660</v>
      </c>
      <c r="P86" s="118" t="s">
        <v>657</v>
      </c>
    </row>
    <row r="87" spans="4:19" ht="20.100000000000001" customHeight="1" x14ac:dyDescent="0.25">
      <c r="M87" s="25" t="s">
        <v>653</v>
      </c>
      <c r="N87" s="25" t="str" cm="1">
        <f t="array" ref="N87:N96">Table_Input_InorganicFertiliser_Brands[Product (select)]</f>
        <v>Urea</v>
      </c>
      <c r="O87" s="25" cm="1">
        <f t="array" ref="O87">_xlfn.XLOOKUP(N87,$N$45:$N$64,_xlfn.XLOOKUP($S$78,$R$44:$W$44,$R$45:$W$64), "")</f>
        <v>5.8999999999999999E-3</v>
      </c>
      <c r="P87" s="25" cm="1">
        <f t="array" ref="P87">Fertiliser_Equations_InorganicN2O.VEERG_5_1_1_1__1_InorganicFertiliserApplicationN2OEmissions(Q45,O87,$S$79)</f>
        <v>0.4264857142857143</v>
      </c>
    </row>
    <row r="88" spans="4:19" ht="20.100000000000001" customHeight="1" x14ac:dyDescent="0.25">
      <c r="M88" s="25" t="s">
        <v>653</v>
      </c>
      <c r="N88" s="25" t="str">
        <v>Boost-It</v>
      </c>
      <c r="O88" s="25" cm="1">
        <f t="array" ref="O88">_xlfn.XLOOKUP(N88,$N$45:$N$64,_xlfn.XLOOKUP($S$78,$R$44:$W$44,$R$45:$W$64), "")</f>
        <v>5.8999999999999999E-3</v>
      </c>
      <c r="P88" s="25" cm="1">
        <f t="array" ref="P88">Fertiliser_Equations_InorganicN2O.VEERG_5_1_1_1__1_InorganicFertiliserApplicationN2OEmissions(Q46,O88,$S$79)</f>
        <v>0.22251428571428572</v>
      </c>
    </row>
    <row r="89" spans="4:19" ht="20.100000000000001" customHeight="1" x14ac:dyDescent="0.25">
      <c r="M89" s="25" t="s">
        <v>653</v>
      </c>
      <c r="N89" s="25" t="str">
        <v>Cal-Gran 50/50</v>
      </c>
      <c r="O89" s="25" cm="1">
        <f t="array" ref="O89">_xlfn.XLOOKUP(N89,$N$45:$N$64,_xlfn.XLOOKUP($S$78,$R$44:$W$44,$R$45:$W$64), "")</f>
        <v>5.8999999999999999E-3</v>
      </c>
      <c r="P89" s="25" cm="1">
        <f t="array" ref="P89">Fertiliser_Equations_InorganicN2O.VEERG_5_1_1_1__1_InorganicFertiliserApplicationN2OEmissions(Q47,O89,$S$79)</f>
        <v>0.16595857142857143</v>
      </c>
    </row>
    <row r="90" spans="4:19" ht="20.100000000000001" customHeight="1" x14ac:dyDescent="0.25">
      <c r="M90" s="25" t="s">
        <v>653</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653</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653</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653</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653</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653</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653</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654</v>
      </c>
      <c r="N97" s="25" t="str" cm="1">
        <f t="array" ref="N97:N106">Table_Input_InorganicFertiliser_Custom[Custom blend name]</f>
        <v>My first custom blend</v>
      </c>
      <c r="O97" s="25" cm="1">
        <f t="array" ref="O97">_xlfn.XLOOKUP(N97,$N$45:$N$64,_xlfn.XLOOKUP($S$78,$R$44:$W$44,$R$45:$W$64), "")</f>
        <v>5.8999999999999999E-3</v>
      </c>
      <c r="P97" s="25" cm="1">
        <f t="array" ref="P97">Fertiliser_Equations_InorganicN2O.VEERG_5_1_1_1__1_InorganicFertiliserApplicationN2OEmissions(Q55,O97,$S$79)</f>
        <v>7.1853571428571433E-2</v>
      </c>
    </row>
    <row r="98" spans="13:16" ht="20.100000000000001" customHeight="1" x14ac:dyDescent="0.25">
      <c r="M98" s="25" t="s">
        <v>654</v>
      </c>
      <c r="N98" s="25" t="str">
        <v>My second custom blend</v>
      </c>
      <c r="O98" s="25" cm="1">
        <f t="array" ref="O98">_xlfn.XLOOKUP(N98,$N$45:$N$64,_xlfn.XLOOKUP($S$78,$R$44:$W$44,$R$45:$W$64), "")</f>
        <v>5.8999999999999999E-3</v>
      </c>
      <c r="P98" s="25" cm="1">
        <f t="array" ref="P98">Fertiliser_Equations_InorganicN2O.VEERG_5_1_1_1__1_InorganicFertiliserApplicationN2OEmissions(Q56,O98,$S$79)</f>
        <v>0.4264857142857143</v>
      </c>
    </row>
    <row r="99" spans="13:16" ht="20.100000000000001" customHeight="1" x14ac:dyDescent="0.25">
      <c r="M99" s="25" t="s">
        <v>654</v>
      </c>
      <c r="N99" s="25" t="str">
        <v>My third custom blend</v>
      </c>
      <c r="O99" s="25" cm="1">
        <f t="array" ref="O99">_xlfn.XLOOKUP(N99,$N$45:$N$64,_xlfn.XLOOKUP($S$78,$R$44:$W$44,$R$45:$W$64), "")</f>
        <v>5.8999999999999999E-3</v>
      </c>
      <c r="P99" s="25" cm="1">
        <f t="array" ref="P99">Fertiliser_Equations_InorganicN2O.VEERG_5_1_1_1__1_InorganicFertiliserApplicationN2OEmissions(Q57,O99,$S$79)</f>
        <v>0.38175107142857145</v>
      </c>
    </row>
    <row r="100" spans="13:16" ht="20.100000000000001" customHeight="1" x14ac:dyDescent="0.25">
      <c r="M100" s="25" t="s">
        <v>654</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654</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654</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654</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654</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654</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654</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21" t="s">
        <v>658</v>
      </c>
      <c r="N108" s="122">
        <f>SUM(P87:P106)</f>
        <v>1.6950489285714285</v>
      </c>
      <c r="O108" s="123" t="str">
        <f>$E$47</f>
        <v>t N2O</v>
      </c>
    </row>
    <row r="109" spans="13:16" ht="20.100000000000001" customHeight="1" x14ac:dyDescent="0.25"/>
    <row r="110" spans="13:16" ht="20.100000000000001" customHeight="1" x14ac:dyDescent="0.25">
      <c r="M110" s="124" t="str" cm="1">
        <f t="array" ref="M110:N111">Common_Equations.Common_ConvertN2OToCO2e_Arguments()</f>
        <v>EN2O</v>
      </c>
      <c r="N110" s="125" t="str">
        <v>Nitrous oxide emissions (t N2O)</v>
      </c>
      <c r="O110" s="126"/>
      <c r="P110" s="25">
        <f>VEERG_5_1_1_1__1_InorganicFertiliserApplicationN2OEmissions_Result_Method2</f>
        <v>1.6950489285714285</v>
      </c>
    </row>
    <row r="111" spans="13:16" ht="20.100000000000001" customHeight="1" x14ac:dyDescent="0.25">
      <c r="M111" s="124" t="str">
        <v>GWPN2O</v>
      </c>
      <c r="N111" s="125" t="str">
        <v>Global warming potential for nitrous oxide (t CO2-e / t N2O)</v>
      </c>
      <c r="O111" s="126"/>
      <c r="P111" s="25">
        <f>Common_InputFunctions.Utility_LookupValueInTableNumber("N2O",Table_GWPData[Gas],Table_GWPData[CO2-e factor])</f>
        <v>265</v>
      </c>
    </row>
    <row r="112" spans="13:16" ht="20.100000000000001" customHeight="1" x14ac:dyDescent="0.25"/>
    <row r="113" spans="13:15" ht="20.100000000000001" customHeight="1" x14ac:dyDescent="0.25">
      <c r="M113" s="120" t="s">
        <v>422</v>
      </c>
      <c r="N113" s="120" cm="1">
        <f t="array" ref="N113">Common_Equations.Common_ConvertN2OToCO2e(P110,P111)</f>
        <v>449.18796607142855</v>
      </c>
      <c r="O113" s="127"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92DD845A-1E2C-4087-97B2-65B85F4311F0}"/>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86E36-FB0C-4A0E-A15F-8E070E549452}">
  <dimension ref="A1:U165"/>
  <sheetViews>
    <sheetView showGridLines="0" topLeftCell="A9"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661</v>
      </c>
    </row>
    <row r="2" spans="1:21" s="3" customFormat="1" ht="20.100000000000001" customHeight="1" x14ac:dyDescent="0.25">
      <c r="A2"/>
    </row>
    <row r="3" spans="1:21" ht="20.100000000000001" customHeight="1" x14ac:dyDescent="0.25">
      <c r="A3" s="5"/>
      <c r="C3" s="33"/>
      <c r="D3" s="33" t="s">
        <v>145</v>
      </c>
      <c r="E3" s="33"/>
      <c r="F3" s="33"/>
      <c r="G3" s="33"/>
      <c r="H3" s="33"/>
      <c r="I3" s="33"/>
      <c r="J3" s="33"/>
      <c r="K3" s="33"/>
      <c r="L3" s="33"/>
      <c r="N3" s="33"/>
      <c r="O3" s="33" t="s">
        <v>146</v>
      </c>
      <c r="P3" s="33"/>
      <c r="Q3" s="33"/>
      <c r="R3" s="33"/>
      <c r="S3" s="33"/>
      <c r="T3" s="33"/>
      <c r="U3" s="33"/>
    </row>
    <row r="4" spans="1:21" ht="20.100000000000001" customHeight="1" x14ac:dyDescent="0.25">
      <c r="A4" s="5"/>
    </row>
    <row r="5" spans="1:21" ht="20.100000000000001" customHeight="1" x14ac:dyDescent="0.25">
      <c r="A5" s="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7" t="s">
        <v>358</v>
      </c>
      <c r="E7" s="107" t="str" cm="1">
        <f t="array" aca="1" ref="E7" ca="1">Common_InputFunctions.Utility_DisplayFunctionName(G19)</f>
        <v>=Fertiliser_Equations_InorganicCO2.VEERG_5_1_1_3__2_MassOfUreaInInorganicFertiliser</v>
      </c>
    </row>
    <row r="8" spans="1:21" ht="20.100000000000001" customHeight="1" x14ac:dyDescent="0.25">
      <c r="A8" s="7"/>
    </row>
    <row r="9" spans="1:21" ht="20.100000000000001" customHeight="1" x14ac:dyDescent="0.25">
      <c r="A9" s="5"/>
    </row>
    <row r="10" spans="1:21" ht="20.100000000000001" customHeight="1" x14ac:dyDescent="0.25">
      <c r="A10" s="5"/>
      <c r="D10" s="88" t="s">
        <v>360</v>
      </c>
      <c r="E10" s="1" t="str" cm="1">
        <f t="array" ref="E10">Fertiliser_Equations_InorganicCO2.VEERG_5_1_1_3__2_MassOfUreaInInorganicFertiliser_Variable()</f>
        <v>MU_jf</v>
      </c>
    </row>
    <row r="11" spans="1:21" ht="20.100000000000001" customHeight="1" x14ac:dyDescent="0.25">
      <c r="A11" s="5"/>
      <c r="D11" s="88" t="s">
        <v>128</v>
      </c>
      <c r="E11" s="15" t="str" cm="1">
        <f t="array" ref="E11">Fertiliser_Equations_InorganicCO2.VEERG_5_1_1_3__2_MassOfUreaInInorganicFertiliser_Unit()</f>
        <v>kg urea</v>
      </c>
    </row>
    <row r="12" spans="1:21" ht="20.100000000000001" customHeight="1" x14ac:dyDescent="0.25">
      <c r="A12" s="5"/>
    </row>
    <row r="13" spans="1:21" ht="20.100000000000001" customHeight="1" x14ac:dyDescent="0.25">
      <c r="A13" s="5"/>
      <c r="D13" s="124" t="str" cm="1">
        <f t="array" ref="D13:E14">_xlfn.CHOOSECOLS(Fertiliser_Equations_InorganicCO2.VEERG_5_1_1_3__2_MassOfUreaInInorganicFertiliser_Arguments(), 1, 2)</f>
        <v>TM_jf</v>
      </c>
      <c r="E13" s="125" t="str">
        <v>total mass of inorganic fertiliser type f applied to production system j</v>
      </c>
      <c r="F13" s="174"/>
      <c r="G13" s="124" t="str" cm="1">
        <f t="array" ref="G13:H14">_xlfn.CHOOSECOLS(Fertiliser_Equations_InorganicCO2.VEERG_5_1_1_3__2_MassOfUreaInInorganicFertiliser_Arguments(), 3, 4)</f>
        <v>kg</v>
      </c>
      <c r="H13" s="113" t="str">
        <v>Input</v>
      </c>
      <c r="I13" s="115" t="str" cm="1">
        <f t="array" aca="1" ref="I13" ca="1">HYPERLINK(Common_InputFunctions.Utility_SourceHyperlink($D$16), $D$16)</f>
        <v>Table_MU_j_f</v>
      </c>
    </row>
    <row r="14" spans="1:21" ht="20.100000000000001" customHeight="1" x14ac:dyDescent="0.25">
      <c r="A14" s="5"/>
      <c r="D14" s="124" t="str">
        <v>FU_f</v>
      </c>
      <c r="E14" s="125" t="str">
        <v>fraction of urea in fertiliser type f</v>
      </c>
      <c r="F14" s="174"/>
      <c r="G14" s="124" t="str">
        <v>kg urea/kg</v>
      </c>
      <c r="H14" s="114" t="str">
        <v>Lookup</v>
      </c>
      <c r="I14" s="115" t="str" cm="1">
        <f t="array" aca="1" ref="I14" ca="1">HYPERLINK(Common_InputFunctions.Utility_SourceHyperlink($D$16), $D$16)</f>
        <v>Table_MU_j_f</v>
      </c>
    </row>
    <row r="15" spans="1:21" ht="20.100000000000001" customHeight="1" x14ac:dyDescent="0.25">
      <c r="A15" s="5"/>
    </row>
    <row r="16" spans="1:21" ht="20.100000000000001" customHeight="1" x14ac:dyDescent="0.25">
      <c r="A16" s="5"/>
      <c r="D16" s="116" t="s">
        <v>662</v>
      </c>
    </row>
    <row r="17" spans="1:7" ht="20.100000000000001" customHeight="1" x14ac:dyDescent="0.25">
      <c r="A17" s="5"/>
      <c r="D17" s="117" t="s">
        <v>663</v>
      </c>
    </row>
    <row r="18" spans="1:7" ht="20.100000000000001" customHeight="1" x14ac:dyDescent="0.25">
      <c r="A18" s="5"/>
      <c r="D18" s="118" t="s">
        <v>633</v>
      </c>
      <c r="E18" s="94" t="s">
        <v>634</v>
      </c>
      <c r="F18" s="118" t="s">
        <v>664</v>
      </c>
      <c r="G18" s="118" t="s">
        <v>665</v>
      </c>
    </row>
    <row r="19" spans="1:7" ht="20.100000000000001" customHeight="1" x14ac:dyDescent="0.25">
      <c r="A19" s="5"/>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A22" s="5"/>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6"/>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108"/>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row>
    <row r="39" spans="1:12" ht="20.100000000000001" customHeight="1" x14ac:dyDescent="0.25">
      <c r="A39" s="5"/>
    </row>
    <row r="40" spans="1:12" ht="20.100000000000001" customHeight="1" x14ac:dyDescent="0.25">
      <c r="A40" s="5"/>
      <c r="C40" s="120"/>
      <c r="D40" s="120"/>
      <c r="E40" s="120"/>
      <c r="F40" s="120"/>
      <c r="G40" s="120"/>
      <c r="H40" s="120"/>
      <c r="I40" s="120"/>
      <c r="J40" s="120"/>
      <c r="K40" s="120"/>
      <c r="L40" s="120"/>
    </row>
    <row r="41" spans="1:12" ht="20.100000000000001" customHeight="1" x14ac:dyDescent="0.25">
      <c r="A41" s="5"/>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c r="D42" s="27" t="str" cm="1">
        <f t="array" ref="D42">Fertiliser_Equations_InorganicCO2.VEERG_5_1_1_3__1_InorganicFertiliserApplicationCO2Emissions_Source()</f>
        <v>VEERG 2026: 5.1.1.3, Equation (1)</v>
      </c>
    </row>
    <row r="43" spans="1:12" ht="20.100000000000001" customHeight="1" x14ac:dyDescent="0.25">
      <c r="A43" s="5"/>
      <c r="D43" s="107" t="s">
        <v>358</v>
      </c>
      <c r="E43" s="107" t="str" cm="1">
        <f t="array" aca="1" ref="E43" ca="1">Common_InputFunctions.Utility_DisplayFunctionName(E58)</f>
        <v>=Fertiliser_Equations_InorganicCO2.VEERG_5_1_1_3__1_InorganicFertiliserApplicationCO2Emissions</v>
      </c>
    </row>
    <row r="44" spans="1:12" ht="20.100000000000001" customHeight="1" x14ac:dyDescent="0.25">
      <c r="A44" s="5"/>
    </row>
    <row r="45" spans="1:12" ht="20.100000000000001" customHeight="1" x14ac:dyDescent="0.25">
      <c r="A45" s="5"/>
    </row>
    <row r="46" spans="1:12" ht="20.100000000000001" customHeight="1" x14ac:dyDescent="0.25">
      <c r="A46" s="5"/>
      <c r="D46" s="88" t="s">
        <v>360</v>
      </c>
      <c r="E46" s="1" t="str" cm="1">
        <f t="array" ref="E46">Fertiliser_Equations_InorganicCO2.VEERG_5_1_1_3__1_InorganicFertiliserApplicationCO2Emissions_Variable()</f>
        <v>E_CO2</v>
      </c>
    </row>
    <row r="47" spans="1:12" ht="20.100000000000001" customHeight="1" x14ac:dyDescent="0.25">
      <c r="A47" s="5"/>
      <c r="D47" s="88" t="s">
        <v>128</v>
      </c>
      <c r="E47" s="15" t="str" cm="1">
        <f t="array" ref="E47">Fertiliser_Equations_InorganicCO2.VEERG_5_1_1_3__1_InorganicFertiliserApplicationCO2Emissions_Unit()</f>
        <v>t CO2</v>
      </c>
    </row>
    <row r="48" spans="1:12" ht="20.100000000000001" customHeight="1" x14ac:dyDescent="0.25">
      <c r="A48" s="5"/>
    </row>
    <row r="49" spans="1:9" ht="20.100000000000001" customHeight="1" x14ac:dyDescent="0.25">
      <c r="D49" s="124" t="str" cm="1">
        <f t="array" ref="D49:E53">_xlfn.CHOOSECOLS(Fertiliser_Equations_InorganicCO2.VEERG_5_1_1_3__1_InorganicFertiliserApplicationCO2Emissions_Arguments(), 1, 2)</f>
        <v>MU_jf</v>
      </c>
      <c r="E49" s="125" t="str">
        <v>mass of urea of inorganic fertiliser type f applied to production system j</v>
      </c>
      <c r="F49" s="174"/>
      <c r="G49" s="124" t="str" cm="1">
        <f t="array" ref="G49:H53">_xlfn.CHOOSECOLS(Fertiliser_Equations_InorganicCO2.VEERG_5_1_1_3__1_InorganicFertiliserApplicationCO2Emissions_Arguments(), 3,4)</f>
        <v>kg urea</v>
      </c>
      <c r="H49" s="114" t="str">
        <v>Calculated</v>
      </c>
      <c r="I49" s="115" t="str" cm="1">
        <f t="array" aca="1" ref="I49" ca="1">HYPERLINK(Common_InputFunctions.Utility_SourceHyperlink($D$16), $D$16)</f>
        <v>Table_MU_j_f</v>
      </c>
    </row>
    <row r="50" spans="1:9" ht="20.100000000000001" customHeight="1" x14ac:dyDescent="0.25">
      <c r="D50" s="124" t="str">
        <v>EF_ureaCO2</v>
      </c>
      <c r="E50" s="125" t="str">
        <v>emission factor for carbon emissions from urea-based fertilisers</v>
      </c>
      <c r="F50" s="174"/>
      <c r="G50" s="124" t="str">
        <v>kg C/kg urea</v>
      </c>
      <c r="H50" s="114" t="str">
        <v>Constant</v>
      </c>
      <c r="I50" s="124">
        <f>Fertiliser_EFUreaCO2_Data</f>
        <v>0.2</v>
      </c>
    </row>
    <row r="51" spans="1:9" ht="20.100000000000001" customHeight="1" x14ac:dyDescent="0.25">
      <c r="A51" s="100"/>
      <c r="D51" s="124" t="str">
        <v>C_CO2</v>
      </c>
      <c r="E51" s="125" t="str">
        <v>factor to convert elemental mass of carbon to molecular mass of carbon dioxide</v>
      </c>
      <c r="F51" s="174"/>
      <c r="G51" s="124" t="str">
        <v/>
      </c>
      <c r="H51" s="114" t="str">
        <v>Constant</v>
      </c>
      <c r="I51" s="124">
        <f>Common_InputFunctions.Utility_LookupValueInTableNumber("CO2",Table_GasToMolecularConversionFactor[Gas], Table_GasToMolecularConversionFactor[Conversion factor combined])</f>
        <v>3.6666666666666665</v>
      </c>
    </row>
    <row r="52" spans="1:9" ht="20.100000000000001" customHeight="1" x14ac:dyDescent="0.25">
      <c r="A52" s="5"/>
      <c r="D52" s="124" t="str">
        <v>j</v>
      </c>
      <c r="E52" s="125" t="str">
        <v>Production system</v>
      </c>
      <c r="F52" s="174"/>
      <c r="G52" s="124" t="str">
        <v/>
      </c>
      <c r="H52" s="113" t="str">
        <v>Input</v>
      </c>
      <c r="I52" s="124" t="str">
        <f>X_Cell_Fertiliser_ProductionSystem</f>
        <v>Pasture</v>
      </c>
    </row>
    <row r="53" spans="1:9" ht="20.100000000000001" customHeight="1" x14ac:dyDescent="0.25">
      <c r="A53" s="5"/>
      <c r="D53" s="124" t="str">
        <v>f</v>
      </c>
      <c r="E53" s="125" t="str">
        <v>Inorganic fertiliser type</v>
      </c>
      <c r="F53" s="174"/>
      <c r="G53" s="124" t="str">
        <v/>
      </c>
      <c r="H53" s="114" t="str">
        <v>Lookup</v>
      </c>
      <c r="I53" s="115" t="str" cm="1">
        <f t="array" aca="1" ref="I53" ca="1">HYPERLINK(Common_InputFunctions.Utility_SourceHyperlink($D$16), $D$16)</f>
        <v>Table_MU_j_f</v>
      </c>
    </row>
    <row r="54" spans="1:9" ht="20.100000000000001" customHeight="1" x14ac:dyDescent="0.25">
      <c r="A54" s="5"/>
    </row>
    <row r="55" spans="1:9" ht="20.100000000000001" customHeight="1" x14ac:dyDescent="0.25">
      <c r="A55" s="5"/>
      <c r="D55" s="116" t="s">
        <v>666</v>
      </c>
    </row>
    <row r="56" spans="1:9" ht="20.100000000000001" customHeight="1" x14ac:dyDescent="0.25">
      <c r="A56" s="5"/>
      <c r="D56" s="117" t="s">
        <v>667</v>
      </c>
    </row>
    <row r="57" spans="1:9" ht="20.100000000000001" customHeight="1" x14ac:dyDescent="0.25">
      <c r="A57" s="5"/>
      <c r="D57" s="118" t="s">
        <v>633</v>
      </c>
      <c r="E57" s="118" t="s">
        <v>657</v>
      </c>
    </row>
    <row r="58" spans="1:9" ht="20.100000000000001" customHeight="1" x14ac:dyDescent="0.25">
      <c r="A58" s="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c r="D59" s="25" t="str">
        <v>Diammonium phosphate (DAP)</v>
      </c>
      <c r="E59" s="25" cm="1">
        <f t="array" ref="E59">Fertiliser_Equations_InorganicCO2.VEERG_5_1_1_3__1_InorganicFertiliserApplicationCO2Emissions(G20,$I$50,$I$51)</f>
        <v>0</v>
      </c>
    </row>
    <row r="60" spans="1:9" ht="20.100000000000001" customHeight="1" x14ac:dyDescent="0.25">
      <c r="A60" s="5"/>
      <c r="D60" s="25" t="str">
        <v>Urea</v>
      </c>
      <c r="E60" s="25" cm="1">
        <f t="array" ref="E60">Fertiliser_Equations_InorganicCO2.VEERG_5_1_1_3__1_InorganicFertiliserApplicationCO2Emissions(G21,$I$50,$I$51)</f>
        <v>184.92752666666664</v>
      </c>
    </row>
    <row r="61" spans="1:9" ht="20.100000000000001" customHeight="1" x14ac:dyDescent="0.25">
      <c r="A61" s="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21" t="s">
        <v>668</v>
      </c>
      <c r="E78" s="122">
        <f>SUM(E58:E76)</f>
        <v>184.92752666666664</v>
      </c>
      <c r="F78" s="123"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42B4C-2C52-40BC-9563-05838E051FBF}">
  <dimension ref="A1:U165"/>
  <sheetViews>
    <sheetView showGridLines="0" topLeftCell="A5"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669</v>
      </c>
    </row>
    <row r="2" spans="1:21" s="3" customFormat="1" ht="20.100000000000001" customHeight="1" x14ac:dyDescent="0.25">
      <c r="A2"/>
    </row>
    <row r="3" spans="1:21" ht="20.100000000000001" customHeight="1" x14ac:dyDescent="0.25">
      <c r="A3" s="5"/>
      <c r="C3" s="33"/>
      <c r="D3" s="33" t="s">
        <v>145</v>
      </c>
      <c r="E3" s="33"/>
      <c r="F3" s="33"/>
      <c r="G3" s="33"/>
      <c r="H3" s="33"/>
      <c r="I3" s="33"/>
      <c r="J3" s="33"/>
      <c r="K3" s="33"/>
      <c r="L3" s="33"/>
      <c r="N3" s="33"/>
      <c r="O3" s="33" t="s">
        <v>146</v>
      </c>
      <c r="P3" s="33"/>
      <c r="Q3" s="33"/>
      <c r="R3" s="33"/>
      <c r="S3" s="33"/>
      <c r="T3" s="33"/>
      <c r="U3" s="33"/>
    </row>
    <row r="4" spans="1:21" ht="20.100000000000001" customHeight="1" x14ac:dyDescent="0.25">
      <c r="A4" s="5"/>
    </row>
    <row r="5" spans="1:21" ht="20.100000000000001" customHeight="1" x14ac:dyDescent="0.25">
      <c r="A5" s="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7" t="s">
        <v>358</v>
      </c>
      <c r="E7" s="107" t="str" cm="1">
        <f t="array" aca="1" ref="E7" ca="1">Common_InputFunctions.Utility_DisplayFunctionName($I$20)</f>
        <v>=Fertiliser_Equations_OrganicN2O.VEERG_5_2_1_1__2_MassOfNitrogenInOrganicFertiliser</v>
      </c>
    </row>
    <row r="8" spans="1:21" ht="20.100000000000001" customHeight="1" x14ac:dyDescent="0.25">
      <c r="A8" s="7"/>
    </row>
    <row r="9" spans="1:21" ht="20.100000000000001" customHeight="1" x14ac:dyDescent="0.25">
      <c r="A9" s="5"/>
    </row>
    <row r="10" spans="1:21" ht="20.100000000000001" customHeight="1" x14ac:dyDescent="0.25">
      <c r="A10" s="5"/>
      <c r="D10" s="88" t="s">
        <v>360</v>
      </c>
      <c r="E10" s="1" t="str" cm="1">
        <f t="array" ref="E10">Fertiliser_Equations_OrganicN2O.VEERG_5_2_1_1__2_MassOfNitrogenInOrganicFertiliser_Variable()</f>
        <v>MNSoil_jf</v>
      </c>
    </row>
    <row r="11" spans="1:21" ht="20.100000000000001" customHeight="1" x14ac:dyDescent="0.25">
      <c r="A11" s="5"/>
      <c r="D11" s="88" t="s">
        <v>128</v>
      </c>
      <c r="E11" s="15" t="str" cm="1">
        <f t="array" ref="E11">Fertiliser_Equations_OrganicN2O.VEERG_5_2_1_1__2_MassOfNitrogenInOrganicFertiliser_Unit()</f>
        <v>kg N</v>
      </c>
    </row>
    <row r="12" spans="1:21" ht="20.100000000000001" customHeight="1" x14ac:dyDescent="0.25">
      <c r="A12" s="5"/>
    </row>
    <row r="13" spans="1:21" ht="20.100000000000001" customHeight="1" x14ac:dyDescent="0.25">
      <c r="A13" s="5"/>
      <c r="D13" s="124" t="str" cm="1">
        <f t="array" ref="D13:E15">_xlfn.CHOOSECOLS(Fertiliser_Equations_OrganicN2O.VEERG_5_2_1_1__2_MassOfNitrogenInOrganicFertiliser_Arguments(), 1, 2)</f>
        <v>M_organicjf</v>
      </c>
      <c r="E13" s="125" t="str">
        <v>mass of organic fertiliser type f applied to production system j</v>
      </c>
      <c r="F13" s="174"/>
      <c r="G13" s="109" t="str" cm="1">
        <f t="array" ref="G13:H15">_xlfn.CHOOSECOLS(Fertiliser_Equations_OrganicN2O.VEERG_5_2_1_1__2_MassOfNitrogenInOrganicFertiliser_Arguments(), 3,4)</f>
        <v>kg</v>
      </c>
      <c r="H13" s="113" t="str">
        <v>Input</v>
      </c>
      <c r="I13" s="115" t="str" cm="1">
        <f t="array" aca="1" ref="I13" ca="1">HYPERLINK(Common_InputFunctions.Utility_SourceHyperlink($D$17), $D$17)</f>
        <v>Table_MNSoil_j_f</v>
      </c>
    </row>
    <row r="14" spans="1:21" ht="20.100000000000001" customHeight="1" x14ac:dyDescent="0.25">
      <c r="A14" s="5"/>
      <c r="D14" s="124" t="str">
        <v>FN_organicf</v>
      </c>
      <c r="E14" s="125" t="str">
        <v>nitrogen fraction of organic fertiliser type f</v>
      </c>
      <c r="F14" s="174"/>
      <c r="G14" s="109" t="str">
        <v>kg N/kg</v>
      </c>
      <c r="H14" s="113" t="str">
        <v>Input</v>
      </c>
      <c r="I14" s="115" t="str" cm="1">
        <f t="array" aca="1" ref="I14" ca="1">HYPERLINK(Common_InputFunctions.Utility_SourceHyperlink($D$17), $D$17)</f>
        <v>Table_MNSoil_j_f</v>
      </c>
    </row>
    <row r="15" spans="1:21" ht="20.100000000000001" customHeight="1" x14ac:dyDescent="0.25">
      <c r="A15" s="5"/>
      <c r="D15" s="124" t="str">
        <v>f</v>
      </c>
      <c r="E15" s="125" t="str">
        <v>Organic fertiliser type</v>
      </c>
      <c r="F15" s="174"/>
      <c r="G15" s="109" t="str">
        <v/>
      </c>
      <c r="H15" s="113" t="str">
        <v>Input</v>
      </c>
      <c r="I15" s="115" t="str" cm="1">
        <f t="array" aca="1" ref="I15" ca="1">HYPERLINK(Common_InputFunctions.Utility_SourceHyperlink($D$17), $D$17)</f>
        <v>Table_MNSoil_j_f</v>
      </c>
    </row>
    <row r="16" spans="1:21" ht="20.100000000000001" customHeight="1" x14ac:dyDescent="0.25">
      <c r="A16" s="5"/>
    </row>
    <row r="17" spans="1:10" ht="20.100000000000001" customHeight="1" x14ac:dyDescent="0.25">
      <c r="A17" s="5"/>
      <c r="D17" s="116" t="s">
        <v>670</v>
      </c>
    </row>
    <row r="18" spans="1:10" ht="20.100000000000001" customHeight="1" x14ac:dyDescent="0.25">
      <c r="A18" s="5"/>
      <c r="D18" s="117" t="s">
        <v>671</v>
      </c>
    </row>
    <row r="19" spans="1:10" ht="20.100000000000001" customHeight="1" x14ac:dyDescent="0.25">
      <c r="A19" s="5"/>
      <c r="D19" s="94" t="s">
        <v>672</v>
      </c>
      <c r="E19" s="94" t="s">
        <v>673</v>
      </c>
      <c r="F19" s="94" t="s">
        <v>573</v>
      </c>
      <c r="G19" s="176" t="s">
        <v>674</v>
      </c>
      <c r="H19" s="94" t="s">
        <v>675</v>
      </c>
      <c r="I19" s="176" t="s">
        <v>676</v>
      </c>
    </row>
    <row r="20" spans="1:10" ht="20.100000000000001" customHeight="1" x14ac:dyDescent="0.25">
      <c r="A20" s="5"/>
      <c r="D20" s="25" t="str" cm="1">
        <f t="array" ref="D20:D22">Table_Input_OrganicFertiliser[Organic fertiliser type (select)]</f>
        <v>Manure - Other</v>
      </c>
      <c r="E20" s="177" cm="1">
        <f t="array" ref="E20:E22">Table_Input_OrganicFertiliser[Amount applied (kg/hectare)]</f>
        <v>10</v>
      </c>
      <c r="F20" s="177" cm="1">
        <f t="array" ref="F20:F22">Table_Input_OrganicFertiliser[Application area (ha)]</f>
        <v>1000</v>
      </c>
      <c r="G20" s="25" cm="1">
        <f t="array" ref="G20:G22">Table_Input_OrganicFertiliser[Amount applied (kg/hectare)]*Table_Input_OrganicFertiliser[Application area (ha)]</f>
        <v>10000</v>
      </c>
      <c r="H20" s="17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c r="D23" s="25"/>
      <c r="E23" s="25"/>
      <c r="F23" s="25"/>
      <c r="G23" s="25"/>
      <c r="H23" s="25"/>
      <c r="I23" s="25" cm="1">
        <f t="array" ref="I23">Fertiliser_Equations_Organic.VEERG_5_2_1_1__2_MassOfNitrogenInOrganicFertiliser(G23,H23)</f>
        <v>0</v>
      </c>
    </row>
    <row r="24" spans="1:10" ht="20.100000000000001" customHeight="1" x14ac:dyDescent="0.25">
      <c r="A24" s="5"/>
      <c r="D24" s="25"/>
      <c r="E24" s="25"/>
      <c r="F24" s="25"/>
      <c r="G24" s="25"/>
      <c r="H24" s="25"/>
      <c r="I24" s="25" cm="1">
        <f t="array" ref="I24">Fertiliser_Equations_Organic.VEERG_5_2_1_1__2_MassOfNitrogenInOrganicFertiliser(G24,H24)</f>
        <v>0</v>
      </c>
    </row>
    <row r="25" spans="1:10" ht="20.100000000000001" customHeight="1" x14ac:dyDescent="0.25">
      <c r="A25" s="5"/>
      <c r="D25" s="25"/>
      <c r="E25" s="25"/>
      <c r="F25" s="25"/>
      <c r="G25" s="25"/>
      <c r="H25" s="25"/>
      <c r="I25" s="25" cm="1">
        <f t="array" ref="I25">Fertiliser_Equations_Organic.VEERG_5_2_1_1__2_MassOfNitrogenInOrganicFertiliser(G25,H25)</f>
        <v>0</v>
      </c>
    </row>
    <row r="26" spans="1:10" ht="20.100000000000001" customHeight="1" x14ac:dyDescent="0.25">
      <c r="A26" s="5"/>
      <c r="D26" s="25"/>
      <c r="E26" s="25"/>
      <c r="F26" s="25"/>
      <c r="G26" s="25"/>
      <c r="H26" s="25"/>
      <c r="I26" s="25" cm="1">
        <f t="array" ref="I26">Fertiliser_Equations_Organic.VEERG_5_2_1_1__2_MassOfNitrogenInOrganicFertiliser(G26,H26)</f>
        <v>0</v>
      </c>
    </row>
    <row r="27" spans="1:10" ht="20.100000000000001" customHeight="1" x14ac:dyDescent="0.25">
      <c r="D27" s="25"/>
      <c r="E27" s="25"/>
      <c r="F27" s="25"/>
      <c r="G27" s="25"/>
      <c r="H27" s="25"/>
      <c r="I27" s="25" cm="1">
        <f t="array" ref="I27">Fertiliser_Equations_Organic.VEERG_5_2_1_1__2_MassOfNitrogenInOrganicFertiliser(G27,H27)</f>
        <v>0</v>
      </c>
    </row>
    <row r="28" spans="1:10" ht="20.100000000000001" customHeight="1" x14ac:dyDescent="0.25">
      <c r="D28" s="25"/>
      <c r="E28" s="25"/>
      <c r="F28" s="25"/>
      <c r="G28" s="25"/>
      <c r="H28" s="25"/>
      <c r="I28" s="25" cm="1">
        <f t="array" ref="I28">Fertiliser_Equations_Organic.VEERG_5_2_1_1__2_MassOfNitrogenInOrganicFertiliser(G28,H28)</f>
        <v>0</v>
      </c>
    </row>
    <row r="29" spans="1:10" ht="20.100000000000001" customHeight="1" x14ac:dyDescent="0.25">
      <c r="A29" s="6"/>
      <c r="D29" s="25"/>
      <c r="E29" s="25"/>
      <c r="F29" s="25"/>
      <c r="G29" s="25"/>
      <c r="H29" s="25"/>
      <c r="I29" s="25" cm="1">
        <f t="array" ref="I29">Fertiliser_Equations_Organic.VEERG_5_2_1_1__2_MassOfNitrogenInOrganicFertiliser(G29,H29)</f>
        <v>0</v>
      </c>
    </row>
    <row r="30" spans="1:10" ht="20.100000000000001" customHeight="1" x14ac:dyDescent="0.25">
      <c r="A30" s="5"/>
      <c r="D30" s="25"/>
      <c r="E30" s="25"/>
      <c r="F30" s="25"/>
      <c r="G30" s="25"/>
      <c r="H30" s="25"/>
      <c r="I30" s="25" cm="1">
        <f t="array" ref="I30">Fertiliser_Equations_Organic.VEERG_5_2_1_1__2_MassOfNitrogenInOrganicFertiliser(G30,H30)</f>
        <v>0</v>
      </c>
    </row>
    <row r="31" spans="1:10" ht="20.100000000000001" customHeight="1" x14ac:dyDescent="0.25">
      <c r="A31" s="5"/>
      <c r="D31" s="179"/>
      <c r="E31" s="179"/>
      <c r="F31" s="179"/>
      <c r="G31" s="179"/>
      <c r="H31" s="179"/>
      <c r="I31" s="179"/>
      <c r="J31" s="179"/>
    </row>
    <row r="32" spans="1:10" ht="20.100000000000001" customHeight="1" x14ac:dyDescent="0.25">
      <c r="A32" s="5"/>
      <c r="D32" s="128" t="s">
        <v>677</v>
      </c>
      <c r="E32" s="128">
        <f>SUM(I20:I30)</f>
        <v>7100</v>
      </c>
      <c r="F32" s="180" t="str">
        <f>$E$11</f>
        <v>kg N</v>
      </c>
      <c r="G32" s="179"/>
      <c r="H32" s="179"/>
      <c r="I32" s="179"/>
      <c r="J32" s="179"/>
    </row>
    <row r="33" spans="1:12" ht="20.100000000000001" customHeight="1" x14ac:dyDescent="0.25">
      <c r="A33" s="5"/>
    </row>
    <row r="34" spans="1:12" ht="20.100000000000001" customHeight="1" x14ac:dyDescent="0.25">
      <c r="A34" s="5"/>
    </row>
    <row r="35" spans="1:12" ht="20.100000000000001" customHeight="1" x14ac:dyDescent="0.25">
      <c r="A35" s="5"/>
      <c r="C35" s="181"/>
      <c r="D35" s="181"/>
      <c r="E35" s="181"/>
      <c r="F35" s="181"/>
      <c r="G35" s="181"/>
      <c r="H35" s="181"/>
      <c r="I35" s="181"/>
      <c r="J35" s="181"/>
      <c r="K35" s="181"/>
      <c r="L35" s="181"/>
    </row>
    <row r="36" spans="1:12" ht="20.100000000000001" customHeight="1" x14ac:dyDescent="0.25">
      <c r="A36" s="108"/>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c r="D37" s="27" t="str" cm="1">
        <f t="array" ref="D37">Fertiliser_Equations_OrganicN2O.VEERG_5_2_1_1__1_OrganicFertiliserApplicationN2OEmissions_Source()</f>
        <v>VEERG 2026: 5.2.1.1, Equation (1)</v>
      </c>
    </row>
    <row r="38" spans="1:12" ht="20.100000000000001" customHeight="1" x14ac:dyDescent="0.25">
      <c r="A38" s="5"/>
      <c r="D38" s="107" t="s">
        <v>358</v>
      </c>
      <c r="E38" s="107" t="str" cm="1">
        <f t="array" aca="1" ref="E38" ca="1">Common_InputFunctions.Utility_DisplayFunctionName($I$20)</f>
        <v>=Fertiliser_Equations_OrganicN2O.VEERG_5_2_1_1__2_MassOfNitrogenInOrganicFertiliser</v>
      </c>
    </row>
    <row r="39" spans="1:12" ht="20.100000000000001" customHeight="1" x14ac:dyDescent="0.25">
      <c r="A39" s="5"/>
    </row>
    <row r="40" spans="1:12" ht="20.100000000000001" customHeight="1" x14ac:dyDescent="0.25">
      <c r="A40" s="5"/>
    </row>
    <row r="41" spans="1:12" ht="20.100000000000001" customHeight="1" x14ac:dyDescent="0.25">
      <c r="A41" s="5"/>
      <c r="D41" s="88" t="s">
        <v>360</v>
      </c>
      <c r="E41" s="1" t="str" cm="1">
        <f t="array" ref="E41">Fertiliser_Equations_OrganicN2O.VEERG_5_2_1_1__1_OrganicFertiliserApplicationN2OEmissions_Variable()</f>
        <v>E_N2O</v>
      </c>
    </row>
    <row r="42" spans="1:12" ht="20.100000000000001" customHeight="1" x14ac:dyDescent="0.25">
      <c r="A42" s="5"/>
      <c r="D42" s="88" t="s">
        <v>128</v>
      </c>
      <c r="E42" s="15" t="str" cm="1">
        <f t="array" ref="E42">Fertiliser_Equations_OrganicN2O.VEERG_5_2_1_1__1_OrganicFertiliserApplicationN2OEmissions_Unit()</f>
        <v>t N2O</v>
      </c>
    </row>
    <row r="43" spans="1:12" ht="20.100000000000001" customHeight="1" x14ac:dyDescent="0.25">
      <c r="A43" s="5"/>
    </row>
    <row r="44" spans="1:12" ht="20.100000000000001" customHeight="1" x14ac:dyDescent="0.25">
      <c r="A44" s="5"/>
      <c r="D44" s="109" t="str" cm="1">
        <f t="array" ref="D44:E48">_xlfn.CHOOSECOLS(Fertiliser_Equations_OrganicN2O.VEERG_5_2_1_1__1_OrganicFertiliserApplicationN2OEmissions_Arguments(), 1, 2)</f>
        <v>MNSoil_jf</v>
      </c>
      <c r="E44" s="110" t="str">
        <v>mass of nitrogen in organic fertiliser type f applied to production system j</v>
      </c>
      <c r="F44" s="111"/>
      <c r="G44" s="111"/>
      <c r="H44" s="112"/>
      <c r="I44" s="109" t="str" cm="1">
        <f t="array" ref="I44:J48">_xlfn.CHOOSECOLS(Fertiliser_Equations_OrganicN2O.VEERG_5_2_1_1__1_OrganicFertiliserApplicationN2OEmissions_Arguments(), 3,4)</f>
        <v>kg N</v>
      </c>
      <c r="J44" s="114" t="str">
        <v>Calculated from 5.2.1.1 (2)</v>
      </c>
      <c r="K44" s="109">
        <f>$E$32</f>
        <v>7100</v>
      </c>
    </row>
    <row r="45" spans="1:12" ht="20.100000000000001" customHeight="1" x14ac:dyDescent="0.25">
      <c r="A45" s="5"/>
      <c r="D45" s="109" t="str">
        <v>EF_N2Oi</v>
      </c>
      <c r="E45" s="110" t="str">
        <v>emission factor for direct nitrous oxide emissions from organic fertiliser applied to soils and aquatic systems in climate zone i</v>
      </c>
      <c r="F45" s="111"/>
      <c r="G45" s="111"/>
      <c r="H45" s="112"/>
      <c r="I45" s="109" t="str">
        <v>kg N2O-N/kg N</v>
      </c>
      <c r="J45" s="114" t="str">
        <v>Lookup</v>
      </c>
      <c r="K45" s="10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c r="D46" s="109" t="str">
        <v>C_N2O</v>
      </c>
      <c r="E46" s="110" t="str">
        <v>factor to convert elemental mass of nitrous oxide to molecular mass</v>
      </c>
      <c r="F46" s="111"/>
      <c r="G46" s="111"/>
      <c r="H46" s="112"/>
      <c r="I46" s="109" t="str">
        <v/>
      </c>
      <c r="J46" s="114" t="str">
        <v>Constant</v>
      </c>
      <c r="K46" s="124">
        <f>Common_InputFunctions.Utility_LookupValueInTableNumber("N2O",Table_GasToMolecularConversionFactor[Gas],Table_GasToMolecularConversionFactor[Conversion factor combined])</f>
        <v>1.5714285714285714</v>
      </c>
    </row>
    <row r="47" spans="1:12" ht="20.100000000000001" customHeight="1" x14ac:dyDescent="0.25">
      <c r="A47" s="5"/>
      <c r="D47" s="109" t="str">
        <v>j</v>
      </c>
      <c r="E47" s="110" t="str">
        <v>Production system</v>
      </c>
      <c r="F47" s="111"/>
      <c r="G47" s="111"/>
      <c r="H47" s="112"/>
      <c r="I47" s="109" t="str">
        <v/>
      </c>
      <c r="J47" s="113" t="str">
        <v>Input</v>
      </c>
      <c r="K47" s="109" t="str">
        <f>X_Cell_Fertiliser_ProductionSystem</f>
        <v>Pasture</v>
      </c>
    </row>
    <row r="48" spans="1:12" ht="20.100000000000001" customHeight="1" x14ac:dyDescent="0.25">
      <c r="A48" s="5"/>
      <c r="D48" s="109" t="str">
        <v>i</v>
      </c>
      <c r="E48" s="110" t="str">
        <v>Wet or dry climate zone</v>
      </c>
      <c r="F48" s="111"/>
      <c r="G48" s="111"/>
      <c r="H48" s="112"/>
      <c r="I48" s="109" t="str">
        <v/>
      </c>
      <c r="J48" s="113" t="str">
        <v>Input</v>
      </c>
      <c r="K48" s="109" t="str">
        <f>X_Cell_Site_WetOrDryClimateZone</f>
        <v>Dry climate zone</v>
      </c>
    </row>
    <row r="49" spans="1:7" ht="20.100000000000001" customHeight="1" x14ac:dyDescent="0.25"/>
    <row r="50" spans="1:7" ht="20.100000000000001" customHeight="1" x14ac:dyDescent="0.25">
      <c r="D50" s="121" t="s">
        <v>658</v>
      </c>
      <c r="E50" s="122" cm="1">
        <f t="array" ref="E50">Fertiliser_Equations_OrganicN2O.VEERG_5_2_1_1__1_OrganicFertiliserApplicationN2OEmissions(K44,K45,K46)</f>
        <v>5.5785714285714286E-2</v>
      </c>
      <c r="F50" s="123" t="str">
        <f>$E$42</f>
        <v>t N2O</v>
      </c>
    </row>
    <row r="51" spans="1:7" ht="20.100000000000001" customHeight="1" x14ac:dyDescent="0.25">
      <c r="A51" s="100"/>
    </row>
    <row r="52" spans="1:7" ht="20.100000000000001" customHeight="1" x14ac:dyDescent="0.25">
      <c r="A52" s="5"/>
      <c r="D52" s="124" t="str" cm="1">
        <f t="array" ref="D52:E53">Common_Equations.Common_ConvertN2OToCO2e_Arguments()</f>
        <v>EN2O</v>
      </c>
      <c r="E52" s="125" t="str">
        <v>Nitrous oxide emissions (t N2O)</v>
      </c>
      <c r="F52" s="126"/>
      <c r="G52" s="25">
        <f>VEERG_5_2_1_1__2_MassOfNitrogenInOrganicFertiliser_Result_Method1</f>
        <v>5.5785714285714286E-2</v>
      </c>
    </row>
    <row r="53" spans="1:7" ht="20.100000000000001" customHeight="1" x14ac:dyDescent="0.25">
      <c r="A53" s="5"/>
      <c r="D53" s="124" t="str">
        <v>GWPN2O</v>
      </c>
      <c r="E53" s="125" t="str">
        <v>Global warming potential for nitrous oxide (t CO2-e / t N2O)</v>
      </c>
      <c r="F53" s="126"/>
      <c r="G53" s="25">
        <f>Common_InputFunctions.Utility_LookupValueInTableNumber("N2O",Table_GWPData[Gas],Table_GWPData[CO2-e factor])</f>
        <v>265</v>
      </c>
    </row>
    <row r="54" spans="1:7" ht="20.100000000000001" customHeight="1" x14ac:dyDescent="0.25">
      <c r="A54" s="5"/>
    </row>
    <row r="55" spans="1:7" ht="20.100000000000001" customHeight="1" x14ac:dyDescent="0.25">
      <c r="A55" s="5"/>
      <c r="D55" s="120" t="s">
        <v>422</v>
      </c>
      <c r="E55" s="120" cm="1">
        <f t="array" ref="E55">Common_Equations.Common_ConvertN2OToCO2e(G52,G53)</f>
        <v>14.783214285714285</v>
      </c>
      <c r="F55" s="127" t="str" cm="1">
        <f t="array" ref="F55">Common_Equations.Common_ConvertN2OToCO2e_Unit()</f>
        <v>t CO2e</v>
      </c>
    </row>
    <row r="56" spans="1:7" ht="20.100000000000001" customHeight="1" x14ac:dyDescent="0.25">
      <c r="A56" s="5"/>
    </row>
    <row r="57" spans="1:7" ht="20.100000000000001" customHeight="1" x14ac:dyDescent="0.25">
      <c r="A57" s="5"/>
    </row>
    <row r="58" spans="1:7" ht="20.100000000000001" customHeight="1" x14ac:dyDescent="0.25">
      <c r="A58" s="5"/>
    </row>
    <row r="59" spans="1:7" ht="20.100000000000001" customHeight="1" x14ac:dyDescent="0.25">
      <c r="A59" s="5"/>
    </row>
    <row r="60" spans="1:7" ht="20.100000000000001" customHeight="1" x14ac:dyDescent="0.25">
      <c r="A60" s="5"/>
    </row>
    <row r="61" spans="1:7" ht="20.100000000000001" customHeight="1" x14ac:dyDescent="0.25">
      <c r="A61" s="5"/>
    </row>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A364B-A8BE-4A0C-8E4C-C7E4BCD16374}">
  <dimension ref="A1:U165"/>
  <sheetViews>
    <sheetView showGridLines="0" topLeftCell="A9"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678</v>
      </c>
    </row>
    <row r="2" spans="1:21" s="3" customFormat="1" ht="20.100000000000001" customHeight="1" x14ac:dyDescent="0.25">
      <c r="A2"/>
    </row>
    <row r="3" spans="1:21" ht="20.100000000000001" customHeight="1" x14ac:dyDescent="0.25">
      <c r="A3" s="5"/>
      <c r="C3" s="33"/>
      <c r="D3" s="33" t="s">
        <v>145</v>
      </c>
      <c r="E3" s="33"/>
      <c r="F3" s="33"/>
      <c r="G3" s="33"/>
      <c r="H3" s="33"/>
      <c r="I3" s="33"/>
      <c r="J3" s="33"/>
      <c r="K3" s="33"/>
      <c r="L3" s="33"/>
      <c r="N3" s="33"/>
      <c r="O3" s="33" t="s">
        <v>146</v>
      </c>
      <c r="P3" s="33"/>
      <c r="Q3" s="33"/>
      <c r="R3" s="33"/>
      <c r="S3" s="33"/>
      <c r="T3" s="33"/>
      <c r="U3" s="33"/>
    </row>
    <row r="4" spans="1:21" ht="20.100000000000001" customHeight="1" x14ac:dyDescent="0.25">
      <c r="A4" s="5"/>
    </row>
    <row r="5" spans="1:21" ht="20.100000000000001" customHeight="1" x14ac:dyDescent="0.25">
      <c r="A5" s="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7" t="s">
        <v>358</v>
      </c>
      <c r="E7" s="107" t="str" cm="1">
        <f t="array" aca="1" ref="E7" ca="1">Common_InputFunctions.Utility_DisplayFunctionName(H25)</f>
        <v>=Fertiliser_Equations_Lime.VEERG_5_3_1_1__1_LimeApplicationCO2Emissions</v>
      </c>
    </row>
    <row r="8" spans="1:21" ht="20.100000000000001" customHeight="1" x14ac:dyDescent="0.25">
      <c r="A8" s="7"/>
    </row>
    <row r="9" spans="1:21" ht="20.100000000000001" customHeight="1" x14ac:dyDescent="0.25">
      <c r="A9" s="5"/>
    </row>
    <row r="10" spans="1:21" ht="20.100000000000001" customHeight="1" x14ac:dyDescent="0.25">
      <c r="A10" s="5"/>
      <c r="D10" s="88" t="s">
        <v>360</v>
      </c>
      <c r="E10" s="1" t="str" cm="1">
        <f t="array" ref="E10">Fertiliser_Equations_Lime.VEERG_5_3_1_1__1_LimeApplicationCO2Emissions_Variable()</f>
        <v>E_lime</v>
      </c>
    </row>
    <row r="11" spans="1:21" ht="20.100000000000001" customHeight="1" x14ac:dyDescent="0.25">
      <c r="A11" s="5"/>
      <c r="D11" s="88" t="s">
        <v>128</v>
      </c>
      <c r="E11" s="15" t="str" cm="1">
        <f t="array" ref="E11">Fertiliser_Equations_Lime.VEERG_5_3_1_1__1_LimeApplicationCO2Emissions_Unit()</f>
        <v>t CO2</v>
      </c>
    </row>
    <row r="12" spans="1:21" ht="20.100000000000001" customHeight="1" x14ac:dyDescent="0.25">
      <c r="A12" s="5"/>
    </row>
    <row r="13" spans="1:21" ht="20.100000000000001" customHeight="1" x14ac:dyDescent="0.25">
      <c r="A13" s="5"/>
      <c r="D13" s="109" t="str" cm="1">
        <f t="array" ref="D13:E20">_xlfn.CHOOSECOLS(Fertiliser_Equations_Lime.VEERG_5_3_1_1__1_LimeApplicationCO2Emissions_Arguments(), 1, 2)</f>
        <v>M_lime</v>
      </c>
      <c r="E13" s="110" t="str">
        <v>total mass of lime applied to production system</v>
      </c>
      <c r="F13" s="112"/>
      <c r="G13" s="109" t="str" cm="1">
        <f t="array" ref="G13:H20">_xlfn.CHOOSECOLS(Fertiliser_Equations_Lime.VEERG_5_3_1_1__1_LimeApplicationCO2Emissions_Arguments(), 3,4)</f>
        <v>kg</v>
      </c>
      <c r="H13" s="113" t="str">
        <v>Input</v>
      </c>
      <c r="I13" s="115" t="str" cm="1">
        <f t="array" aca="1" ref="I13" ca="1">HYPERLINK(Common_InputFunctions.Utility_SourceHyperlink($D$22), $D$22)</f>
        <v>Table_E_lime</v>
      </c>
    </row>
    <row r="14" spans="1:21" ht="20.100000000000001" customHeight="1" x14ac:dyDescent="0.25">
      <c r="A14" s="5"/>
      <c r="D14" s="109" t="str">
        <v>FracLime</v>
      </c>
      <c r="E14" s="110" t="str">
        <v>fraction of lime as limestone (CaCO3)</v>
      </c>
      <c r="F14" s="112"/>
      <c r="G14" s="109" t="str">
        <v>fraction</v>
      </c>
      <c r="H14" s="113" t="str">
        <v>Input</v>
      </c>
      <c r="I14" s="115" t="str" cm="1">
        <f t="array" aca="1" ref="I14" ca="1">HYPERLINK(Common_InputFunctions.Utility_SourceHyperlink($D$22), $D$22)</f>
        <v>Table_E_lime</v>
      </c>
    </row>
    <row r="15" spans="1:21" ht="20.100000000000001" customHeight="1" x14ac:dyDescent="0.25">
      <c r="A15" s="5"/>
      <c r="D15" s="109" t="str">
        <v>P_lime</v>
      </c>
      <c r="E15" s="110" t="str">
        <v>fractional purity of limestone</v>
      </c>
      <c r="F15" s="112"/>
      <c r="G15" s="109" t="str">
        <v>fraction</v>
      </c>
      <c r="H15" s="114" t="str">
        <v>Constant</v>
      </c>
      <c r="I15" s="109">
        <f>'Constants - Fertiliser'!$E$66</f>
        <v>0.9</v>
      </c>
    </row>
    <row r="16" spans="1:21" ht="20.100000000000001" customHeight="1" x14ac:dyDescent="0.25">
      <c r="A16" s="5"/>
      <c r="D16" s="109" t="str">
        <v>EF_lime</v>
      </c>
      <c r="E16" s="110" t="str">
        <v>emission factor for limestone fraction of lime</v>
      </c>
      <c r="F16" s="112"/>
      <c r="G16" s="109" t="str">
        <v>kg C/kg</v>
      </c>
      <c r="H16" s="114" t="str">
        <v>Constant</v>
      </c>
      <c r="I16" s="109">
        <f>'Constants - Fertiliser'!$F$66</f>
        <v>0.12</v>
      </c>
    </row>
    <row r="17" spans="1:9" ht="20.100000000000001" customHeight="1" x14ac:dyDescent="0.25">
      <c r="A17" s="5"/>
      <c r="D17" s="109" t="str">
        <v>FracDol</v>
      </c>
      <c r="E17" s="110" t="str">
        <v>fraction of lime as dolomite</v>
      </c>
      <c r="F17" s="112"/>
      <c r="G17" s="109" t="str">
        <v>fraction</v>
      </c>
      <c r="H17" s="113" t="str">
        <v>Input</v>
      </c>
      <c r="I17" s="115" t="str" cm="1">
        <f t="array" aca="1" ref="I17" ca="1">HYPERLINK(Common_InputFunctions.Utility_SourceHyperlink($D$22), $D$22)</f>
        <v>Table_E_lime</v>
      </c>
    </row>
    <row r="18" spans="1:9" ht="20.100000000000001" customHeight="1" x14ac:dyDescent="0.25">
      <c r="A18" s="5"/>
      <c r="D18" s="109" t="str">
        <v>P_dol</v>
      </c>
      <c r="E18" s="110" t="str">
        <v>fractional purity of dolomite</v>
      </c>
      <c r="F18" s="112"/>
      <c r="G18" s="109" t="str">
        <v>fraction</v>
      </c>
      <c r="H18" s="114" t="str">
        <v>Constant</v>
      </c>
      <c r="I18" s="109">
        <f>'Constants - Fertiliser'!$E$67</f>
        <v>0.95</v>
      </c>
    </row>
    <row r="19" spans="1:9" ht="20.100000000000001" customHeight="1" x14ac:dyDescent="0.25">
      <c r="A19" s="5"/>
      <c r="D19" s="109" t="str">
        <v>EF_dol</v>
      </c>
      <c r="E19" s="110" t="str">
        <v>emission factor for dolomite fraction of lime</v>
      </c>
      <c r="F19" s="112"/>
      <c r="G19" s="109" t="str">
        <v>kg C/kg</v>
      </c>
      <c r="H19" s="114" t="str">
        <v>Constant</v>
      </c>
      <c r="I19" s="109">
        <f>'Constants - Fertiliser'!$F$67</f>
        <v>0.13</v>
      </c>
    </row>
    <row r="20" spans="1:9" ht="20.100000000000001" customHeight="1" x14ac:dyDescent="0.25">
      <c r="A20" s="5"/>
      <c r="D20" s="109" t="str">
        <v>C_CO2</v>
      </c>
      <c r="E20" s="110" t="str">
        <v>factor to convert elemental mass of carbon dioxide to molecular mass</v>
      </c>
      <c r="F20" s="112"/>
      <c r="G20" s="109" t="str">
        <v/>
      </c>
      <c r="H20" s="114" t="str">
        <v>Constant</v>
      </c>
      <c r="I20" s="124">
        <f>Common_InputFunctions.Utility_LookupValueInTableNumber("CO2",Table_GasToMolecularConversionFactor[Gas], Table_GasToMolecularConversionFactor[Conversion factor combined])</f>
        <v>3.6666666666666665</v>
      </c>
    </row>
    <row r="21" spans="1:9" ht="20.100000000000001" customHeight="1" x14ac:dyDescent="0.25">
      <c r="A21" s="5"/>
    </row>
    <row r="22" spans="1:9" ht="20.100000000000001" customHeight="1" x14ac:dyDescent="0.25">
      <c r="A22" s="5"/>
      <c r="D22" s="116" t="s">
        <v>679</v>
      </c>
    </row>
    <row r="23" spans="1:9" ht="20.100000000000001" customHeight="1" x14ac:dyDescent="0.25">
      <c r="A23" s="5"/>
      <c r="D23" s="117" t="s">
        <v>293</v>
      </c>
    </row>
    <row r="24" spans="1:9" ht="20.100000000000001" customHeight="1" x14ac:dyDescent="0.25">
      <c r="A24" s="5"/>
      <c r="D24" s="94" t="s">
        <v>680</v>
      </c>
      <c r="E24" s="94" t="s">
        <v>681</v>
      </c>
      <c r="F24" s="94" t="s">
        <v>682</v>
      </c>
      <c r="G24" s="94" t="s">
        <v>683</v>
      </c>
      <c r="H24" s="118" t="s">
        <v>684</v>
      </c>
    </row>
    <row r="25" spans="1:9" ht="20.100000000000001" customHeight="1" x14ac:dyDescent="0.25">
      <c r="A25" s="5"/>
      <c r="D25" s="25" t="str" cm="1">
        <f t="array" ref="D25:D27">Table_Input_Lime[Product]</f>
        <v>Lime product 1</v>
      </c>
      <c r="E25" s="182" cm="1">
        <f t="array" ref="E25:E27">Table_Input_Lime[Total amount applied (t)]*10^3</f>
        <v>1000000</v>
      </c>
      <c r="F25" s="183" cm="1">
        <f t="array" ref="F25:F27">Table_Input_Lime[Percent Lime CaCO3]</f>
        <v>0.8</v>
      </c>
      <c r="G25" s="183"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D28" s="25"/>
      <c r="E28" s="25"/>
      <c r="F28" s="25"/>
      <c r="G28" s="25"/>
      <c r="H28" s="25" cm="1">
        <f t="array" ref="H28">Fertiliser_Equations_Lime.VEERG_5_3_1_1__1_LimeApplicationCO2Emissions(E28,F28,$I$15,$I$16,G28,$I$18,$I$19,$I$20)</f>
        <v>0</v>
      </c>
    </row>
    <row r="29" spans="1:9" ht="20.100000000000001" customHeight="1" x14ac:dyDescent="0.25">
      <c r="A29" s="6"/>
      <c r="D29" s="25"/>
      <c r="E29" s="25"/>
      <c r="F29" s="25"/>
      <c r="G29" s="25"/>
      <c r="H29" s="25" cm="1">
        <f t="array" ref="H29">Fertiliser_Equations_Lime.VEERG_5_3_1_1__1_LimeApplicationCO2Emissions(E29,F29,$I$15,$I$16,G29,$I$18,$I$19,$I$20)</f>
        <v>0</v>
      </c>
    </row>
    <row r="30" spans="1:9" ht="20.100000000000001" customHeight="1" x14ac:dyDescent="0.25">
      <c r="A30" s="5"/>
    </row>
    <row r="31" spans="1:9" ht="20.100000000000001" customHeight="1" x14ac:dyDescent="0.25">
      <c r="A31" s="5"/>
      <c r="D31" s="121" t="s">
        <v>685</v>
      </c>
      <c r="E31" s="122">
        <f>SUM(H25:H29)</f>
        <v>758.08333333333326</v>
      </c>
      <c r="F31" s="184" t="s">
        <v>141</v>
      </c>
    </row>
    <row r="32" spans="1:9" ht="20.100000000000001" customHeight="1" x14ac:dyDescent="0.25">
      <c r="A32" s="5"/>
    </row>
    <row r="33" spans="1:1" ht="20.100000000000001" customHeight="1" x14ac:dyDescent="0.25">
      <c r="A33" s="5"/>
    </row>
    <row r="34" spans="1:1" ht="20.100000000000001" customHeight="1" x14ac:dyDescent="0.25">
      <c r="A34" s="5"/>
    </row>
    <row r="35" spans="1:1" ht="20.100000000000001" customHeight="1" x14ac:dyDescent="0.25">
      <c r="A35" s="5"/>
    </row>
    <row r="36" spans="1:1" ht="20.100000000000001" customHeight="1" x14ac:dyDescent="0.25">
      <c r="A36" s="5"/>
    </row>
    <row r="37" spans="1:1" ht="20.100000000000001" customHeight="1" x14ac:dyDescent="0.25">
      <c r="A37" s="108"/>
    </row>
    <row r="38" spans="1:1" ht="20.100000000000001" customHeight="1" x14ac:dyDescent="0.25">
      <c r="A38" s="5"/>
    </row>
    <row r="39" spans="1:1" ht="20.100000000000001" customHeight="1" x14ac:dyDescent="0.25">
      <c r="A39" s="5"/>
    </row>
    <row r="40" spans="1:1" ht="20.100000000000001" customHeight="1" x14ac:dyDescent="0.25">
      <c r="A40" s="5"/>
    </row>
    <row r="41" spans="1:1" ht="20.100000000000001" customHeight="1" x14ac:dyDescent="0.25">
      <c r="A41" s="5"/>
    </row>
    <row r="42" spans="1:1" ht="20.100000000000001" customHeight="1" x14ac:dyDescent="0.25">
      <c r="A42" s="5"/>
    </row>
    <row r="43" spans="1:1" ht="20.100000000000001" customHeight="1" x14ac:dyDescent="0.25">
      <c r="A43" s="5"/>
    </row>
    <row r="44" spans="1:1" ht="20.100000000000001" customHeight="1" x14ac:dyDescent="0.25">
      <c r="A44" s="5"/>
    </row>
    <row r="45" spans="1:1" ht="20.100000000000001" customHeight="1" x14ac:dyDescent="0.25">
      <c r="A45" s="5"/>
    </row>
    <row r="46" spans="1:1" ht="20.100000000000001" customHeight="1" x14ac:dyDescent="0.25">
      <c r="A46" s="5"/>
    </row>
    <row r="47" spans="1:1" ht="20.100000000000001" customHeight="1" x14ac:dyDescent="0.25">
      <c r="A47" s="5"/>
    </row>
    <row r="48" spans="1:1"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3DB7E-374B-446F-A97C-D013278D0A0D}">
  <dimension ref="A1:U165"/>
  <sheetViews>
    <sheetView showGridLines="0" topLeftCell="A10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686</v>
      </c>
    </row>
    <row r="2" spans="1:21" s="3" customFormat="1" ht="20.100000000000001" customHeight="1" x14ac:dyDescent="0.25">
      <c r="A2"/>
    </row>
    <row r="3" spans="1:21" ht="20.100000000000001" customHeight="1" x14ac:dyDescent="0.25">
      <c r="A3" s="5"/>
      <c r="C3" s="33"/>
      <c r="D3" s="33" t="s">
        <v>145</v>
      </c>
      <c r="E3" s="33"/>
      <c r="F3" s="33"/>
      <c r="G3" s="33"/>
      <c r="H3" s="33"/>
      <c r="I3" s="33"/>
      <c r="J3" s="33"/>
      <c r="K3" s="33"/>
      <c r="L3" s="33"/>
      <c r="N3" s="33"/>
      <c r="O3" s="33" t="s">
        <v>146</v>
      </c>
      <c r="P3" s="33"/>
      <c r="Q3" s="33"/>
      <c r="R3" s="33"/>
      <c r="S3" s="33"/>
      <c r="T3" s="33"/>
      <c r="U3" s="33"/>
    </row>
    <row r="4" spans="1:21" ht="20.100000000000001" customHeight="1" x14ac:dyDescent="0.25">
      <c r="A4" s="5"/>
    </row>
    <row r="5" spans="1:21" ht="20.100000000000001" customHeight="1" x14ac:dyDescent="0.25">
      <c r="A5" s="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7" t="s">
        <v>358</v>
      </c>
      <c r="E7" s="107" t="str" cm="1">
        <f t="array" aca="1" ref="E7" ca="1">Common_InputFunctions.Utility_DisplayFunctionName(H19)</f>
        <v>=Fertiliser_Equations_AtmosphericDeposition.VEERG_5_4_1_1__2_MassOfNitrogenVolatilisedFromInorganicFertiliser</v>
      </c>
    </row>
    <row r="8" spans="1:21" ht="20.100000000000001" customHeight="1" x14ac:dyDescent="0.25">
      <c r="A8" s="7"/>
    </row>
    <row r="9" spans="1:21" ht="20.100000000000001" customHeight="1" x14ac:dyDescent="0.25">
      <c r="A9" s="5"/>
    </row>
    <row r="10" spans="1:21" ht="20.100000000000001" customHeight="1" x14ac:dyDescent="0.25">
      <c r="A10" s="5"/>
      <c r="D10" s="88" t="s">
        <v>360</v>
      </c>
      <c r="E10" s="1" t="str" cm="1">
        <f t="array" ref="E10">Fertiliser_Equations_AtmosphericDeposition.VEERG_5_4_1_1__2_MassOfNitrogenVolatilisedFromInorganicFertiliser_Variable()</f>
        <v>M_volinorganicjf</v>
      </c>
    </row>
    <row r="11" spans="1:21" ht="20.100000000000001" customHeight="1" x14ac:dyDescent="0.25">
      <c r="A11" s="5"/>
      <c r="D11" s="88" t="s">
        <v>128</v>
      </c>
      <c r="E11" s="15" t="str" cm="1">
        <f t="array" ref="E11">Fertiliser_Equations_AtmosphericDeposition.VEERG_5_4_1_1__2_MassOfNitrogenVolatilisedFromInorganicFertiliser_Unit()</f>
        <v>kg N</v>
      </c>
    </row>
    <row r="12" spans="1:21" ht="20.100000000000001" customHeight="1" x14ac:dyDescent="0.25">
      <c r="A12" s="5"/>
    </row>
    <row r="13" spans="1:21" ht="20.100000000000001" customHeight="1" x14ac:dyDescent="0.25">
      <c r="A13" s="5"/>
      <c r="D13" s="109" t="str" cm="1">
        <f t="array" ref="D13:E14">_xlfn.CHOOSECOLS(Fertiliser_Equations_AtmosphericDeposition.VEERG_5_4_1_1__2_MassOfNitrogenVolatilisedFromInorganicFertiliser_Arguments(), 1, 2)</f>
        <v>MN_jf</v>
      </c>
      <c r="E13" s="110" t="str">
        <v>mass of nitrogen in inorganic fertiliser applied</v>
      </c>
      <c r="F13" s="112"/>
      <c r="G13" s="109" t="str" cm="1">
        <f t="array" ref="G13:H14">_xlfn.CHOOSECOLS(Fertiliser_Equations_AtmosphericDeposition.VEERG_5_4_1_1__2_MassOfNitrogenVolatilisedFromInorganicFertiliser_Arguments(), 3,4)</f>
        <v>kg N</v>
      </c>
      <c r="H13" s="114" t="str">
        <v>Calculated from 5.1.1.1 (2)</v>
      </c>
      <c r="I13" s="115" t="str" cm="1">
        <f t="array" aca="1" ref="I13" ca="1">HYPERLINK(Common_InputFunctions.Utility_SourceHyperlink($D$16),$D$16)</f>
        <v>Table_M_vol_inorganic_j_f</v>
      </c>
    </row>
    <row r="14" spans="1:21" ht="20.100000000000001" customHeight="1" x14ac:dyDescent="0.25">
      <c r="A14" s="5"/>
      <c r="D14" s="109" t="str">
        <v>FracGASF_f</v>
      </c>
      <c r="E14" s="110" t="str">
        <v>fraction of inorganic fertiliser that volatilises</v>
      </c>
      <c r="F14" s="112"/>
      <c r="G14" s="109" t="str">
        <v>(kg NH3-N + NOx-N)/kg N</v>
      </c>
      <c r="H14" s="114" t="str">
        <v>Constant</v>
      </c>
      <c r="I14" s="115" t="str" cm="1">
        <f t="array" aca="1" ref="I14" ca="1">HYPERLINK(Common_InputFunctions.Utility_SourceHyperlink($D$16),$D$16)</f>
        <v>Table_M_vol_inorganic_j_f</v>
      </c>
    </row>
    <row r="15" spans="1:21" ht="20.100000000000001" customHeight="1" x14ac:dyDescent="0.25">
      <c r="A15" s="5"/>
    </row>
    <row r="16" spans="1:21" ht="20.100000000000001" customHeight="1" x14ac:dyDescent="0.25">
      <c r="A16" s="5"/>
      <c r="D16" s="116" t="s">
        <v>687</v>
      </c>
    </row>
    <row r="17" spans="1:8" ht="20.100000000000001" customHeight="1" x14ac:dyDescent="0.25">
      <c r="A17" s="5"/>
      <c r="D17" s="117" t="s">
        <v>688</v>
      </c>
    </row>
    <row r="18" spans="1:8" ht="20.100000000000001" customHeight="1" x14ac:dyDescent="0.25">
      <c r="A18" s="5"/>
      <c r="D18" s="118" t="s">
        <v>689</v>
      </c>
      <c r="E18" s="118" t="s">
        <v>690</v>
      </c>
      <c r="F18" s="118" t="s">
        <v>691</v>
      </c>
      <c r="G18" s="185" t="s">
        <v>692</v>
      </c>
      <c r="H18" s="185" t="s">
        <v>693</v>
      </c>
    </row>
    <row r="19" spans="1:8" ht="20.100000000000001" customHeight="1" x14ac:dyDescent="0.25">
      <c r="A19" s="5"/>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A22" s="5"/>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6"/>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108"/>
    </row>
    <row r="39" spans="1:12" ht="20.100000000000001" customHeight="1" x14ac:dyDescent="0.25">
      <c r="A39" s="5"/>
    </row>
    <row r="40" spans="1:12" ht="20.100000000000001" customHeight="1" x14ac:dyDescent="0.25">
      <c r="A40" s="5"/>
      <c r="C40" s="181"/>
      <c r="D40" s="181"/>
      <c r="E40" s="181"/>
      <c r="F40" s="181"/>
      <c r="G40" s="181"/>
      <c r="H40" s="181"/>
      <c r="I40" s="181"/>
      <c r="J40" s="181"/>
      <c r="K40" s="181"/>
      <c r="L40" s="181"/>
    </row>
    <row r="41" spans="1:12" ht="20.100000000000001" customHeight="1" x14ac:dyDescent="0.25">
      <c r="A41" s="5"/>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c r="D42" s="27" t="str" cm="1">
        <f t="array" ref="D42">Fertiliser_Equations_AtmosphericDeposition.VEERG_5_4_1_1__1_InorganicFertiliserAtmosphericDepositionN2OEmissions_Source()</f>
        <v>VEERG 2026: 5.4.1.1, Equation (1)</v>
      </c>
    </row>
    <row r="43" spans="1:12" ht="20.100000000000001" customHeight="1" x14ac:dyDescent="0.25">
      <c r="A43" s="5"/>
      <c r="D43" s="107" t="s">
        <v>358</v>
      </c>
      <c r="E43" s="10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row>
    <row r="45" spans="1:12" ht="20.100000000000001" customHeight="1" x14ac:dyDescent="0.25">
      <c r="A45" s="5"/>
    </row>
    <row r="46" spans="1:12" ht="20.100000000000001" customHeight="1" x14ac:dyDescent="0.25">
      <c r="A46" s="5"/>
      <c r="D46" s="88" t="s">
        <v>360</v>
      </c>
      <c r="E46" s="1" t="str" cm="1">
        <f t="array" ref="E46">Fertiliser_Equations_AtmosphericDeposition.VEERG_5_4_1_1__1_InorganicFertiliserAtmosphericDepositionN2OEmissions_Variable()</f>
        <v>E_adinorganic</v>
      </c>
    </row>
    <row r="47" spans="1:12" ht="20.100000000000001" customHeight="1" x14ac:dyDescent="0.25">
      <c r="A47" s="5"/>
      <c r="D47" s="88" t="s">
        <v>128</v>
      </c>
      <c r="E47" s="15" t="str" cm="1">
        <f t="array" ref="E47">Fertiliser_Equations_AtmosphericDeposition.VEERG_5_4_1_1__1_InorganicFertiliserAtmosphericDepositionN2OEmissions_Unit()</f>
        <v>t N2O</v>
      </c>
    </row>
    <row r="48" spans="1:12" ht="20.100000000000001" customHeight="1" x14ac:dyDescent="0.25">
      <c r="A48" s="5"/>
    </row>
    <row r="49" spans="1:10" ht="20.100000000000001" customHeight="1" x14ac:dyDescent="0.25">
      <c r="D49" s="109" t="str" cm="1">
        <f t="array" ref="D49:E54">_xlfn.CHOOSECOLS(Fertiliser_Equations_AtmosphericDeposition.VEERG_5_4_1_1__1_InorganicFertiliserAtmosphericDepositionN2OEmissions_Arguments(), 1, 2)</f>
        <v>M_volinorganicjf</v>
      </c>
      <c r="E49" s="110" t="str">
        <v>mass of nitrogen volatilised from inorganic fertiliser applied to production system</v>
      </c>
      <c r="F49" s="111"/>
      <c r="G49" s="112"/>
      <c r="H49" s="109" t="str" cm="1">
        <f t="array" ref="H49:I54">_xlfn.CHOOSECOLS(Fertiliser_Equations_AtmosphericDeposition.VEERG_5_4_1_1__1_InorganicFertiliserAtmosphericDepositionN2OEmissions_Arguments(), 3,4)</f>
        <v>kg N</v>
      </c>
      <c r="I49" s="114" t="str">
        <v>Calculated from 5.4.1.1 (2)</v>
      </c>
      <c r="J49" s="115" t="str" cm="1">
        <f t="array" aca="1" ref="J49" ca="1">HYPERLINK(Common_InputFunctions.Utility_SourceHyperlink($D$16),$D$16)</f>
        <v>Table_M_vol_inorganic_j_f</v>
      </c>
    </row>
    <row r="50" spans="1:10" ht="20.100000000000001" customHeight="1" x14ac:dyDescent="0.25">
      <c r="D50" s="109" t="str">
        <v>EF_N2Oj</v>
      </c>
      <c r="E50" s="110" t="str">
        <v>emission factor for atmospheric deposition</v>
      </c>
      <c r="F50" s="111"/>
      <c r="G50" s="112"/>
      <c r="H50" s="109" t="str">
        <v>kg N2O-N/kg N</v>
      </c>
      <c r="I50" s="114" t="str">
        <v>Constant</v>
      </c>
      <c r="J50" s="109">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100"/>
      <c r="D51" s="109" t="str">
        <v>C_N2O</v>
      </c>
      <c r="E51" s="110" t="str">
        <v>factor to convert elemental mass of nitrous oxide to molecular mass</v>
      </c>
      <c r="F51" s="111"/>
      <c r="G51" s="112"/>
      <c r="H51" s="109" t="str">
        <v/>
      </c>
      <c r="I51" s="114" t="str">
        <v>Constant</v>
      </c>
      <c r="J51" s="124">
        <f>Common_InputFunctions.Utility_LookupValueInTableNumber("N2O",Table_GasToMolecularConversionFactor[Gas],Table_GasToMolecularConversionFactor[Conversion factor combined])</f>
        <v>1.5714285714285714</v>
      </c>
    </row>
    <row r="52" spans="1:10" ht="20.100000000000001" customHeight="1" x14ac:dyDescent="0.25">
      <c r="A52" s="5"/>
      <c r="D52" s="109" t="str">
        <v>j</v>
      </c>
      <c r="E52" s="110" t="str">
        <v>Production system</v>
      </c>
      <c r="F52" s="111"/>
      <c r="G52" s="112"/>
      <c r="H52" s="109" t="str">
        <v/>
      </c>
      <c r="I52" s="113" t="str">
        <v>Input</v>
      </c>
      <c r="J52" s="109" t="str">
        <f>X_Cell_Fertiliser_ProductionSystem</f>
        <v>Pasture</v>
      </c>
    </row>
    <row r="53" spans="1:10" ht="20.100000000000001" customHeight="1" x14ac:dyDescent="0.25">
      <c r="A53" s="5"/>
      <c r="D53" s="109" t="str">
        <v>ir</v>
      </c>
      <c r="E53" s="110" t="str">
        <v>irrigation method</v>
      </c>
      <c r="F53" s="111"/>
      <c r="G53" s="112"/>
      <c r="H53" s="109" t="str">
        <v/>
      </c>
      <c r="I53" s="113" t="str">
        <v>Input</v>
      </c>
      <c r="J53" s="109" t="str">
        <f>X_Cell_Fertiliser_IrrigationMethod</f>
        <v>Surface irrigation</v>
      </c>
    </row>
    <row r="54" spans="1:10" ht="20.100000000000001" customHeight="1" x14ac:dyDescent="0.25">
      <c r="A54" s="5"/>
      <c r="D54" s="109" t="str">
        <v>r</v>
      </c>
      <c r="E54" s="110" t="str">
        <v>rainfall region</v>
      </c>
      <c r="F54" s="111"/>
      <c r="G54" s="112"/>
      <c r="H54" s="109" t="str">
        <v/>
      </c>
      <c r="I54" s="113" t="str">
        <v>Input</v>
      </c>
      <c r="J54" s="109" t="str">
        <f>X_Cell_Site_RainfallZone</f>
        <v>High rainfall</v>
      </c>
    </row>
    <row r="55" spans="1:10" ht="20.100000000000001" customHeight="1" x14ac:dyDescent="0.25">
      <c r="A55" s="5"/>
    </row>
    <row r="56" spans="1:10" ht="20.100000000000001" customHeight="1" x14ac:dyDescent="0.25">
      <c r="A56" s="5"/>
      <c r="D56" s="116" t="s">
        <v>694</v>
      </c>
    </row>
    <row r="57" spans="1:10" ht="20.100000000000001" customHeight="1" x14ac:dyDescent="0.25">
      <c r="A57" s="5"/>
      <c r="D57" s="117" t="s">
        <v>695</v>
      </c>
    </row>
    <row r="58" spans="1:10" ht="20.100000000000001" customHeight="1" x14ac:dyDescent="0.25">
      <c r="A58" s="5"/>
      <c r="D58" s="118" t="s">
        <v>689</v>
      </c>
      <c r="E58" s="185" t="s">
        <v>693</v>
      </c>
      <c r="F58" s="185" t="s">
        <v>696</v>
      </c>
    </row>
    <row r="59" spans="1:10" ht="20.100000000000001" customHeight="1" x14ac:dyDescent="0.25">
      <c r="A59" s="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c r="D61" s="25" t="str">
        <v>Urea</v>
      </c>
      <c r="E61" s="25">
        <f t="shared" si="0"/>
        <v>17399.999100000001</v>
      </c>
      <c r="F61" s="25" cm="1">
        <f t="array" ref="F61">Fertiliser_Equations_AtmosphericDeposition.VEERG_5_4_1_1__1_InorganicFertiliserAtmosphericDepositionN2OEmissions(E61,$J$50,$J$51)</f>
        <v>0.16132284879857145</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9.1972571428571431E-3</v>
      </c>
    </row>
    <row r="67" spans="4:6" ht="20.100000000000001" customHeight="1" x14ac:dyDescent="0.25">
      <c r="D67" s="25" t="str">
        <v>Nitrogen - Nitrate</v>
      </c>
      <c r="E67" s="25">
        <f t="shared" si="0"/>
        <v>55</v>
      </c>
      <c r="F67" s="25" cm="1">
        <f t="array" ref="F67">Fertiliser_Equations_AtmosphericDeposition.VEERG_5_4_1_1__1_InorganicFertiliserAtmosphericDepositionN2OEmissions(E67,$J$50,$J$51)</f>
        <v>5.0992857142857144E-4</v>
      </c>
    </row>
    <row r="68" spans="4: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21" t="s">
        <v>697</v>
      </c>
      <c r="E79" s="122">
        <f>SUM(F59:F77)</f>
        <v>0.20228865594142856</v>
      </c>
      <c r="F79" s="123" t="str">
        <f>$E$47</f>
        <v>t N2O</v>
      </c>
    </row>
    <row r="80" spans="4:6" ht="20.100000000000001" customHeight="1" x14ac:dyDescent="0.25"/>
    <row r="81" spans="3:12" ht="20.100000000000001" customHeight="1" x14ac:dyDescent="0.25">
      <c r="D81" s="124" t="str" cm="1">
        <f t="array" ref="D81:E82">Common_Equations.Common_ConvertN2OToCO2e_Arguments()</f>
        <v>EN2O</v>
      </c>
      <c r="E81" s="125" t="str">
        <v>Nitrous oxide emissions (t N2O)</v>
      </c>
      <c r="F81" s="126"/>
      <c r="G81" s="25">
        <f>VEERG_5_4_1_1__1_InorganicFertiliserAtmosphericDepositionN2OEmissions_Result_Method1</f>
        <v>0.20228865594142856</v>
      </c>
    </row>
    <row r="82" spans="3:12" ht="20.100000000000001" customHeight="1" x14ac:dyDescent="0.25">
      <c r="D82" s="124" t="str">
        <v>GWPN2O</v>
      </c>
      <c r="E82" s="125" t="str">
        <v>Global warming potential for nitrous oxide (t CO2-e / t N2O)</v>
      </c>
      <c r="F82" s="126"/>
      <c r="G82" s="25">
        <f>Common_InputFunctions.Utility_LookupValueInTableNumber("N2O",Table_GWPData[Gas],Table_GWPData[CO2-e factor])</f>
        <v>265</v>
      </c>
    </row>
    <row r="83" spans="3:12" ht="20.100000000000001" customHeight="1" x14ac:dyDescent="0.25"/>
    <row r="84" spans="3:12" ht="20.100000000000001" customHeight="1" x14ac:dyDescent="0.25">
      <c r="D84" s="120" t="s">
        <v>422</v>
      </c>
      <c r="E84" s="120" cm="1">
        <f t="array" ref="E84">Common_Equations.Common_ConvertN2OToCO2e(G81,G82)</f>
        <v>53.606493824478569</v>
      </c>
      <c r="F84" s="127"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81"/>
      <c r="D87" s="181"/>
      <c r="E87" s="181"/>
      <c r="F87" s="181"/>
      <c r="G87" s="181"/>
      <c r="H87" s="181"/>
      <c r="I87" s="181"/>
      <c r="J87" s="181"/>
      <c r="K87" s="181"/>
      <c r="L87" s="18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7" t="s">
        <v>358</v>
      </c>
      <c r="E90" s="107"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360</v>
      </c>
      <c r="E93" s="1" t="str" cm="1">
        <f t="array" ref="E93">Fertiliser_Equations_AtmosphericDeposition.VEERG_5_4_1_3__2_MassOfNitrogenVolatilisedFromOrganicFertiliser_Variable()</f>
        <v>M_volorganicjf</v>
      </c>
    </row>
    <row r="94" spans="3:12" ht="20.100000000000001" customHeight="1" x14ac:dyDescent="0.25">
      <c r="D94" s="88" t="s">
        <v>128</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9" t="str" cm="1">
        <f t="array" ref="D96:E97">_xlfn.CHOOSECOLS(Fertiliser_Equations_AtmosphericDeposition.VEERG_5_4_1_3__2_MassOfNitrogenVolatilisedFromOrganicFertiliser_Arguments(), 1, 2)</f>
        <v>MNSoil_jf</v>
      </c>
      <c r="E96" s="109" t="str">
        <v>mass of nitrogen in organic fertiliser type f applied to production system j</v>
      </c>
      <c r="F96" s="109"/>
      <c r="G96" s="109" t="str" cm="1">
        <f t="array" ref="G96:H97">_xlfn.CHOOSECOLS(Fertiliser_Equations_AtmosphericDeposition.VEERG_5_4_1_3__2_MassOfNitrogenVolatilisedFromOrganicFertiliser_Arguments(), 3,4)</f>
        <v>kg N</v>
      </c>
      <c r="H96" s="114" t="str">
        <v>Calculated from 5.2.1.1 (2)</v>
      </c>
      <c r="I96" s="115" t="str" cm="1">
        <f t="array" aca="1" ref="I96" ca="1">HYPERLINK(Common_InputFunctions.Utility_SourceHyperlink($D$99), $D$99)</f>
        <v>Table_M_vol_organic_j_f</v>
      </c>
    </row>
    <row r="97" spans="4:9" ht="20.100000000000001" customHeight="1" x14ac:dyDescent="0.25">
      <c r="D97" s="109" t="str">
        <v>FracGASM_soil</v>
      </c>
      <c r="E97" s="109" t="str">
        <v>fraction of organic fertiliser N that volatilises</v>
      </c>
      <c r="F97" s="109"/>
      <c r="G97" s="109" t="str">
        <v>(kg NH3-N + NOx-N)/kg N</v>
      </c>
      <c r="H97" s="114" t="str">
        <v>Constant</v>
      </c>
      <c r="I97" s="109">
        <f>Fertiliser_FracGASMSoil_Data</f>
        <v>0.21</v>
      </c>
    </row>
    <row r="98" spans="4:9" ht="20.100000000000001" customHeight="1" x14ac:dyDescent="0.25"/>
    <row r="99" spans="4:9" ht="20.100000000000001" customHeight="1" x14ac:dyDescent="0.25">
      <c r="D99" s="116" t="s">
        <v>698</v>
      </c>
    </row>
    <row r="100" spans="4:9" ht="20.100000000000001" customHeight="1" x14ac:dyDescent="0.25">
      <c r="D100" s="117" t="s">
        <v>699</v>
      </c>
    </row>
    <row r="101" spans="4:9" ht="20.100000000000001" customHeight="1" x14ac:dyDescent="0.25">
      <c r="D101" s="94" t="s">
        <v>672</v>
      </c>
      <c r="E101" s="176" t="s">
        <v>676</v>
      </c>
      <c r="F101" s="176" t="s">
        <v>700</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81"/>
      <c r="D115" s="181"/>
      <c r="E115" s="181"/>
      <c r="F115" s="181"/>
      <c r="G115" s="181"/>
      <c r="H115" s="181"/>
      <c r="I115" s="181"/>
      <c r="J115" s="181"/>
      <c r="K115" s="181"/>
      <c r="L115" s="18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7" t="s">
        <v>358</v>
      </c>
      <c r="E118" s="107"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360</v>
      </c>
      <c r="E121" s="1" t="str" cm="1">
        <f t="array" ref="E121">Fertiliser_Equations_AtmosphericDeposition.VEERG_5_4_1_3__1_OrganicFertiliserAtmosphericDepositionN2OEmissions_Variable()</f>
        <v>E_adorganic</v>
      </c>
    </row>
    <row r="122" spans="3:12" ht="20.100000000000001" customHeight="1" x14ac:dyDescent="0.25">
      <c r="D122" s="88" t="s">
        <v>128</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9" t="str" cm="1">
        <f t="array" ref="D124:E129">_xlfn.CHOOSECOLS(Fertiliser_Equations_AtmosphericDeposition.VEERG_5_4_1_3__1_OrganicFertiliserAtmosphericDepositionN2OEmissions_Arguments(), 1, 2)</f>
        <v>M_volorganicjf</v>
      </c>
      <c r="E124" s="110" t="str">
        <v>mass of nitrogen volatilised from organic fertiliser applied to production system</v>
      </c>
      <c r="F124" s="112"/>
      <c r="G124" s="109" t="str" cm="1">
        <f t="array" ref="G124:H129">_xlfn.CHOOSECOLS(Fertiliser_Equations_AtmosphericDeposition.VEERG_5_4_1_3__1_OrganicFertiliserAtmosphericDepositionN2OEmissions_Arguments(), 3,4)</f>
        <v>kg N</v>
      </c>
      <c r="H124" s="114" t="str">
        <v>Calculated from 5.4.1.3 (2)</v>
      </c>
      <c r="I124" s="115" t="str" cm="1">
        <f t="array" aca="1" ref="I124" ca="1">HYPERLINK(Common_InputFunctions.Utility_SourceHyperlink($D$99), $D$99)</f>
        <v>Table_M_vol_organic_j_f</v>
      </c>
    </row>
    <row r="125" spans="3:12" ht="20.100000000000001" customHeight="1" x14ac:dyDescent="0.25">
      <c r="D125" s="109" t="str">
        <v>EF_N2Oj</v>
      </c>
      <c r="E125" s="110" t="str">
        <v>emission factor for atmospheric deposition in production system j</v>
      </c>
      <c r="F125" s="112"/>
      <c r="G125" s="109" t="str">
        <v>kg N2O-N/kg N</v>
      </c>
      <c r="H125" s="114" t="str">
        <v>Constant</v>
      </c>
      <c r="I125" s="109">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9" t="str">
        <v>C_N2O</v>
      </c>
      <c r="E126" s="110" t="str">
        <v>factor to convert elemental mass of nitrous oxide to molecular mass</v>
      </c>
      <c r="F126" s="112"/>
      <c r="G126" s="109" t="str">
        <v/>
      </c>
      <c r="H126" s="114" t="str">
        <v>Constant</v>
      </c>
      <c r="I126" s="124">
        <f>Common_InputFunctions.Utility_LookupValueInTableNumber("N2O",Table_GasToMolecularConversionFactor[Gas],Table_GasToMolecularConversionFactor[Conversion factor combined])</f>
        <v>1.5714285714285714</v>
      </c>
    </row>
    <row r="127" spans="3:12" ht="20.100000000000001" customHeight="1" x14ac:dyDescent="0.25">
      <c r="D127" s="109" t="str">
        <v>j</v>
      </c>
      <c r="E127" s="110" t="str">
        <v>Production system</v>
      </c>
      <c r="F127" s="112"/>
      <c r="G127" s="109" t="str">
        <v/>
      </c>
      <c r="H127" s="113" t="str">
        <v>Input</v>
      </c>
      <c r="I127" s="109" t="str">
        <f>X_Cell_Fertiliser_ProductionSystem</f>
        <v>Pasture</v>
      </c>
    </row>
    <row r="128" spans="3:12" ht="20.100000000000001" customHeight="1" x14ac:dyDescent="0.25">
      <c r="D128" s="109" t="str">
        <v>ir</v>
      </c>
      <c r="E128" s="110" t="str">
        <v>irrigation method</v>
      </c>
      <c r="F128" s="112"/>
      <c r="G128" s="109" t="str">
        <v/>
      </c>
      <c r="H128" s="113" t="str">
        <v>Input</v>
      </c>
      <c r="I128" s="109" t="str">
        <f>X_Cell_Fertiliser_IrrigationMethod</f>
        <v>Surface irrigation</v>
      </c>
    </row>
    <row r="129" spans="4:9" ht="20.100000000000001" customHeight="1" x14ac:dyDescent="0.25">
      <c r="D129" s="109" t="str">
        <v>r</v>
      </c>
      <c r="E129" s="110" t="str">
        <v>rainfall region</v>
      </c>
      <c r="F129" s="112"/>
      <c r="G129" s="109" t="str">
        <v/>
      </c>
      <c r="H129" s="113" t="str">
        <v>Input</v>
      </c>
      <c r="I129" s="109" t="str">
        <f>X_Cell_Site_RainfallZone</f>
        <v>High rainfall</v>
      </c>
    </row>
    <row r="130" spans="4:9" ht="20.100000000000001" customHeight="1" x14ac:dyDescent="0.25"/>
    <row r="131" spans="4:9" ht="20.100000000000001" customHeight="1" x14ac:dyDescent="0.25">
      <c r="D131" s="116" t="s">
        <v>701</v>
      </c>
    </row>
    <row r="132" spans="4:9" ht="20.100000000000001" customHeight="1" x14ac:dyDescent="0.25">
      <c r="D132" s="117" t="s">
        <v>702</v>
      </c>
    </row>
    <row r="133" spans="4:9" ht="20.100000000000001" customHeight="1" x14ac:dyDescent="0.25">
      <c r="D133" s="94" t="s">
        <v>672</v>
      </c>
      <c r="E133" s="176" t="s">
        <v>700</v>
      </c>
      <c r="F133" s="176" t="s">
        <v>703</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21" t="s">
        <v>704</v>
      </c>
      <c r="E146" s="122">
        <f>SUM(F134:F144)</f>
        <v>1.38237E-2</v>
      </c>
      <c r="F146" s="123" t="str">
        <f>$E$122</f>
        <v>t N2O</v>
      </c>
    </row>
    <row r="147" spans="4:7" ht="20.100000000000001" customHeight="1" x14ac:dyDescent="0.25"/>
    <row r="148" spans="4:7" ht="20.100000000000001" customHeight="1" x14ac:dyDescent="0.25">
      <c r="D148" s="124" t="str" cm="1">
        <f t="array" ref="D148:E149">Common_Equations.Common_ConvertN2OToCO2e_Arguments()</f>
        <v>EN2O</v>
      </c>
      <c r="E148" s="125" t="str">
        <v>Nitrous oxide emissions (t N2O)</v>
      </c>
      <c r="F148" s="126"/>
      <c r="G148" s="25">
        <f>VEERG_5_4_1_3__1_OrganicFertiliserAtmosphericDepositionN2OEmissions_Result_Method1</f>
        <v>1.38237E-2</v>
      </c>
    </row>
    <row r="149" spans="4:7" ht="20.100000000000001" customHeight="1" x14ac:dyDescent="0.25">
      <c r="D149" s="124" t="str">
        <v>GWPN2O</v>
      </c>
      <c r="E149" s="125" t="str">
        <v>Global warming potential for nitrous oxide (t CO2-e / t N2O)</v>
      </c>
      <c r="F149" s="126"/>
      <c r="G149" s="25">
        <f>Common_InputFunctions.Utility_LookupValueInTableNumber("N2O",Table_GWPData[Gas],Table_GWPData[CO2-e factor])</f>
        <v>265</v>
      </c>
    </row>
    <row r="150" spans="4:7" ht="20.100000000000001" customHeight="1" x14ac:dyDescent="0.25"/>
    <row r="151" spans="4:7" ht="20.100000000000001" customHeight="1" x14ac:dyDescent="0.25">
      <c r="D151" s="120" t="s">
        <v>422</v>
      </c>
      <c r="E151" s="120" cm="1">
        <f t="array" ref="E151">Common_Equations.Common_ConvertN2OToCO2e(G148,G149)</f>
        <v>3.6632804999999999</v>
      </c>
      <c r="F151" s="127"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8151-6227-4EFB-B490-7E4893F43B96}">
  <dimension ref="A1:T165"/>
  <sheetViews>
    <sheetView showGridLines="0" topLeftCell="A1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705</v>
      </c>
    </row>
    <row r="2" spans="1:20" s="3" customFormat="1" ht="20.100000000000001" customHeight="1" x14ac:dyDescent="0.25">
      <c r="A2"/>
    </row>
    <row r="3" spans="1:20" ht="20.100000000000001" customHeight="1" x14ac:dyDescent="0.25">
      <c r="A3" s="5"/>
      <c r="C3" s="33"/>
      <c r="D3" s="33" t="s">
        <v>145</v>
      </c>
      <c r="E3" s="33"/>
      <c r="F3" s="33"/>
      <c r="G3" s="33"/>
      <c r="H3" s="33"/>
      <c r="I3" s="33"/>
      <c r="J3" s="33"/>
      <c r="K3" s="33"/>
      <c r="M3" s="33"/>
      <c r="N3" s="33" t="s">
        <v>146</v>
      </c>
      <c r="O3" s="33"/>
      <c r="P3" s="33"/>
      <c r="Q3" s="33"/>
      <c r="R3" s="33"/>
      <c r="S3" s="33"/>
      <c r="T3" s="33"/>
    </row>
    <row r="4" spans="1:20" ht="20.100000000000001" customHeight="1" x14ac:dyDescent="0.25">
      <c r="A4" s="5"/>
    </row>
    <row r="5" spans="1:20" ht="20.100000000000001" customHeight="1" x14ac:dyDescent="0.25">
      <c r="A5" s="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7" t="s">
        <v>358</v>
      </c>
      <c r="E7" s="107" t="str" cm="1">
        <f t="array" aca="1" ref="E7" ca="1">Common_InputFunctions.Utility_DisplayFunctionName(F23)</f>
        <v>=Fertiliser_Equations_LeachingAndRunoff.VEERG_5_5_1_1__2_MassOfNitrogenLeachedFromInorganicFertiliser</v>
      </c>
    </row>
    <row r="8" spans="1:20" ht="20.100000000000001" customHeight="1" x14ac:dyDescent="0.25">
      <c r="A8" s="7"/>
    </row>
    <row r="9" spans="1:20" ht="20.100000000000001" customHeight="1" x14ac:dyDescent="0.25">
      <c r="A9" s="5"/>
    </row>
    <row r="10" spans="1:20" ht="20.100000000000001" customHeight="1" x14ac:dyDescent="0.25">
      <c r="A10" s="5"/>
      <c r="D10" s="88" t="s">
        <v>360</v>
      </c>
      <c r="E10" s="1" t="str" cm="1">
        <f t="array" ref="E10">Fertiliser_Equations_LeachingAndRunoff.VEERG_5_5_1_1__2_MassOfNitrogenLeachedFromInorganicFertiliser_Variable()</f>
        <v>M_leachinorganicj</v>
      </c>
    </row>
    <row r="11" spans="1:20" ht="20.100000000000001" customHeight="1" x14ac:dyDescent="0.25">
      <c r="A11" s="5"/>
      <c r="D11" s="88" t="s">
        <v>128</v>
      </c>
      <c r="E11" s="15" t="str" cm="1">
        <f t="array" ref="E11">Fertiliser_Equations_LeachingAndRunoff.VEERG_5_5_1_1__2_MassOfNitrogenLeachedFromInorganicFertiliser_Unit()</f>
        <v>kg N</v>
      </c>
    </row>
    <row r="12" spans="1:20" ht="20.100000000000001" customHeight="1" x14ac:dyDescent="0.25">
      <c r="A12" s="5"/>
    </row>
    <row r="13" spans="1:20" ht="20.100000000000001" customHeight="1" x14ac:dyDescent="0.25">
      <c r="A13" s="5"/>
      <c r="D13" s="109" t="str" cm="1">
        <f t="array" ref="D13:E18">_xlfn.CHOOSECOLS(Fertiliser_Equations_LeachingAndRunoff.VEERG_5_5_1_1__2_MassOfNitrogenLeachedFromInorganicFertiliser_Arguments(), 1, 2)</f>
        <v>MN_jf</v>
      </c>
      <c r="E13" s="110" t="str">
        <v>mass of nitrogen in inorganic fertiliser</v>
      </c>
      <c r="F13" s="112"/>
      <c r="G13" s="109" t="str" cm="1">
        <f t="array" ref="G13:H18">_xlfn.CHOOSECOLS(Fertiliser_Equations_LeachingAndRunoff.VEERG_5_5_1_1__2_MassOfNitrogenLeachedFromInorganicFertiliser_Arguments(), 3,4)</f>
        <v>kg N</v>
      </c>
      <c r="H13" s="114" t="str">
        <v>Calculated from 5.1.1.1 (2)</v>
      </c>
      <c r="I13" s="115" t="str" cm="1">
        <f t="array" aca="1" ref="I13" ca="1">HYPERLINK(Common_InputFunctions.Utility_SourceHyperlink(D20), D20)</f>
        <v>Table_M_leach_inorganic_j</v>
      </c>
    </row>
    <row r="14" spans="1:20" ht="20.100000000000001" customHeight="1" x14ac:dyDescent="0.25">
      <c r="A14" s="5"/>
      <c r="D14" s="109" t="str">
        <v>FracWETj</v>
      </c>
      <c r="E14" s="110" t="str">
        <v>fraction of N available for leaching and runoff</v>
      </c>
      <c r="F14" s="112"/>
      <c r="G14" s="109" t="str">
        <v>fraction</v>
      </c>
      <c r="H14" s="114" t="str">
        <v>Constant</v>
      </c>
      <c r="I14" s="109">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c r="D15" s="109" t="str">
        <v>FracLEACH</v>
      </c>
      <c r="E15" s="110" t="str">
        <v>fraction of N that is lost through leaching and runoff</v>
      </c>
      <c r="F15" s="112"/>
      <c r="G15" s="109" t="str">
        <v>fraction</v>
      </c>
      <c r="H15" s="114" t="str">
        <v>Constant</v>
      </c>
      <c r="I15" s="109">
        <f>Fertiliser_FracLEACH_Data</f>
        <v>0.24</v>
      </c>
    </row>
    <row r="16" spans="1:20" ht="20.100000000000001" customHeight="1" x14ac:dyDescent="0.25">
      <c r="A16" s="5"/>
      <c r="D16" s="109" t="str">
        <v>z</v>
      </c>
      <c r="E16" s="110" t="str">
        <v>location in leaching zone</v>
      </c>
      <c r="F16" s="112"/>
      <c r="G16" s="109" t="str">
        <v/>
      </c>
      <c r="H16" s="113" t="str">
        <v>Input</v>
      </c>
      <c r="I16" s="109" t="str">
        <f>X_Cell_Site_LeachingZone</f>
        <v>NO - Not in leaching zone</v>
      </c>
    </row>
    <row r="17" spans="1:9" ht="20.100000000000001" customHeight="1" x14ac:dyDescent="0.25">
      <c r="A17" s="5"/>
      <c r="D17" s="109" t="str">
        <v>j</v>
      </c>
      <c r="E17" s="110" t="str">
        <v>production system</v>
      </c>
      <c r="F17" s="112"/>
      <c r="G17" s="109" t="str">
        <v/>
      </c>
      <c r="H17" s="113" t="str">
        <v>Input</v>
      </c>
      <c r="I17" s="109" t="str">
        <f>X_Cell_Fertiliser_ProductionSystem</f>
        <v>Pasture</v>
      </c>
    </row>
    <row r="18" spans="1:9" ht="20.100000000000001" customHeight="1" x14ac:dyDescent="0.25">
      <c r="A18" s="5"/>
      <c r="D18" s="109" t="str">
        <v>ir</v>
      </c>
      <c r="E18" s="110" t="str">
        <v>irrigation method</v>
      </c>
      <c r="F18" s="112"/>
      <c r="G18" s="109" t="str">
        <v/>
      </c>
      <c r="H18" s="113" t="str">
        <v>Input</v>
      </c>
      <c r="I18" s="109" t="str">
        <f>X_Cell_Fertiliser_IrrigationMethod</f>
        <v>Surface irrigation</v>
      </c>
    </row>
    <row r="19" spans="1:9" ht="20.100000000000001" customHeight="1" x14ac:dyDescent="0.25">
      <c r="A19" s="5"/>
    </row>
    <row r="20" spans="1:9" ht="20.100000000000001" customHeight="1" x14ac:dyDescent="0.25">
      <c r="A20" s="5"/>
      <c r="D20" s="116" t="s">
        <v>706</v>
      </c>
    </row>
    <row r="21" spans="1:9" ht="20.100000000000001" customHeight="1" x14ac:dyDescent="0.25">
      <c r="A21" s="5"/>
      <c r="D21" s="117" t="s">
        <v>707</v>
      </c>
    </row>
    <row r="22" spans="1:9" ht="20.100000000000001" customHeight="1" x14ac:dyDescent="0.25">
      <c r="A22" s="5"/>
      <c r="D22" s="118" t="s">
        <v>633</v>
      </c>
      <c r="E22" s="118" t="s">
        <v>690</v>
      </c>
      <c r="F22" s="118" t="s">
        <v>708</v>
      </c>
    </row>
    <row r="23" spans="1:9" ht="20.100000000000001" customHeight="1" x14ac:dyDescent="0.25">
      <c r="A23" s="5"/>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6"/>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108"/>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row>
    <row r="43" spans="1:11" ht="20.100000000000001" customHeight="1" x14ac:dyDescent="0.25">
      <c r="A43" s="5"/>
      <c r="D43" s="128" t="s">
        <v>709</v>
      </c>
      <c r="E43" s="120">
        <f>SUM(F23:F41)</f>
        <v>43877.99856</v>
      </c>
      <c r="F43" s="127" t="str">
        <f>$E$11</f>
        <v>kg N</v>
      </c>
    </row>
    <row r="44" spans="1:11" ht="20.100000000000001" customHeight="1" x14ac:dyDescent="0.25">
      <c r="A44" s="5"/>
    </row>
    <row r="45" spans="1:11" ht="20.100000000000001" customHeight="1" x14ac:dyDescent="0.25">
      <c r="A45" s="5"/>
      <c r="C45" s="186"/>
      <c r="D45" s="186"/>
      <c r="E45" s="186"/>
      <c r="F45" s="186"/>
      <c r="G45" s="186"/>
      <c r="H45" s="186"/>
      <c r="I45" s="186"/>
      <c r="J45" s="186"/>
      <c r="K45" s="186"/>
    </row>
    <row r="46" spans="1:11" ht="20.100000000000001" customHeight="1" x14ac:dyDescent="0.25">
      <c r="A46" s="5"/>
    </row>
    <row r="47" spans="1:11" ht="20.100000000000001" customHeight="1" x14ac:dyDescent="0.25">
      <c r="A47" s="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c r="D48" s="27" t="str" cm="1">
        <f t="array" ref="D48">Fertiliser_Equations_LeachingAndRunoff.VEERG_5_5_1_1__3_MassOfNitrogenLeachedFromOrganicFertiliser_Source()</f>
        <v>VEERG 2026: 5.5, Equation (3)</v>
      </c>
    </row>
    <row r="49" spans="1:9" ht="20.100000000000001" customHeight="1" x14ac:dyDescent="0.25">
      <c r="D49" s="107" t="s">
        <v>358</v>
      </c>
      <c r="E49" s="107"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c r="A51" s="100"/>
    </row>
    <row r="52" spans="1:9" ht="20.100000000000001" customHeight="1" x14ac:dyDescent="0.25">
      <c r="A52" s="5"/>
      <c r="D52" s="88" t="s">
        <v>360</v>
      </c>
      <c r="E52" s="1" t="str" cm="1">
        <f t="array" ref="E52">Fertiliser_Equations_LeachingAndRunoff.VEERG_5_5_1_1__3_MassOfNitrogenLeachedFromOrganicFertiliser_Variable()</f>
        <v>M_leachorganicj</v>
      </c>
    </row>
    <row r="53" spans="1:9" ht="20.100000000000001" customHeight="1" x14ac:dyDescent="0.25">
      <c r="A53" s="5"/>
      <c r="D53" s="88" t="s">
        <v>128</v>
      </c>
      <c r="E53" s="15" t="str" cm="1">
        <f t="array" ref="E53">Fertiliser_Equations_LeachingAndRunoff.VEERG_5_5_1_1__3_MassOfNitrogenLeachedFromOrganicFertiliser_Unit()</f>
        <v>kg N</v>
      </c>
    </row>
    <row r="54" spans="1:9" ht="20.100000000000001" customHeight="1" x14ac:dyDescent="0.25">
      <c r="A54" s="5"/>
    </row>
    <row r="55" spans="1:9" ht="20.100000000000001" customHeight="1" x14ac:dyDescent="0.25">
      <c r="A55" s="5"/>
      <c r="D55" s="109" t="str" cm="1">
        <f t="array" ref="D55:E60">_xlfn.CHOOSECOLS(Fertiliser_Equations_LeachingAndRunoff.VEERG_5_5_1_1__3_MassOfNitrogenLeachedFromOrganicFertiliser_Arguments(), 1, 2)</f>
        <v>MNSoil_jf</v>
      </c>
      <c r="E55" s="110" t="str">
        <v>mass of nitrogen in organic fertiliser</v>
      </c>
      <c r="F55" s="112"/>
      <c r="G55" s="109" t="str" cm="1">
        <f t="array" ref="G55:H60">_xlfn.CHOOSECOLS(Fertiliser_Equations_LeachingAndRunoff.VEERG_5_5_1_1__3_MassOfNitrogenLeachedFromOrganicFertiliser_Arguments(), 3,4)</f>
        <v>kg N</v>
      </c>
      <c r="H55" s="114" t="str">
        <v>Calculated from 5.2.1.1 (2)</v>
      </c>
      <c r="I55" s="115" t="str" cm="1">
        <f t="array" aca="1" ref="I55" ca="1">HYPERLINK(Common_InputFunctions.Utility_SourceHyperlink(D62), D62)</f>
        <v>Table_M_leach_organic_j</v>
      </c>
    </row>
    <row r="56" spans="1:9" ht="20.100000000000001" customHeight="1" x14ac:dyDescent="0.25">
      <c r="A56" s="5"/>
      <c r="D56" s="109" t="str">
        <v>FracWETj</v>
      </c>
      <c r="E56" s="110" t="str">
        <v>fraction of N available for leaching and runoff</v>
      </c>
      <c r="F56" s="112"/>
      <c r="G56" s="109" t="str">
        <v>fraction</v>
      </c>
      <c r="H56" s="114" t="str">
        <v>Constant</v>
      </c>
      <c r="I56" s="109">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c r="D57" s="109" t="str">
        <v>FracLEACH</v>
      </c>
      <c r="E57" s="110" t="str">
        <v>fraction of N that is lost through leaching and runoff</v>
      </c>
      <c r="F57" s="112"/>
      <c r="G57" s="109" t="str">
        <v>fraction</v>
      </c>
      <c r="H57" s="114" t="str">
        <v>Constant</v>
      </c>
      <c r="I57" s="109">
        <f>Fertiliser_FracLEACH_Data</f>
        <v>0.24</v>
      </c>
    </row>
    <row r="58" spans="1:9" ht="20.100000000000001" customHeight="1" x14ac:dyDescent="0.25">
      <c r="A58" s="5"/>
      <c r="D58" s="109" t="str">
        <v>z</v>
      </c>
      <c r="E58" s="110" t="str">
        <v>location in leaching zone</v>
      </c>
      <c r="F58" s="112"/>
      <c r="G58" s="109" t="str">
        <v/>
      </c>
      <c r="H58" s="113" t="str">
        <v>Input</v>
      </c>
      <c r="I58" s="109" t="str">
        <f>X_Cell_Site_LeachingZone</f>
        <v>NO - Not in leaching zone</v>
      </c>
    </row>
    <row r="59" spans="1:9" ht="20.100000000000001" customHeight="1" x14ac:dyDescent="0.25">
      <c r="A59" s="5"/>
      <c r="D59" s="109" t="str">
        <v>j</v>
      </c>
      <c r="E59" s="110" t="str">
        <v>production system</v>
      </c>
      <c r="F59" s="112"/>
      <c r="G59" s="109" t="str">
        <v/>
      </c>
      <c r="H59" s="113" t="str">
        <v>Input</v>
      </c>
      <c r="I59" s="109" t="str">
        <f>X_Cell_Fertiliser_ProductionSystem</f>
        <v>Pasture</v>
      </c>
    </row>
    <row r="60" spans="1:9" ht="20.100000000000001" customHeight="1" x14ac:dyDescent="0.25">
      <c r="A60" s="5"/>
      <c r="D60" s="109" t="str">
        <v>ir</v>
      </c>
      <c r="E60" s="110" t="str">
        <v>irrigation method</v>
      </c>
      <c r="F60" s="112"/>
      <c r="G60" s="109" t="str">
        <v/>
      </c>
      <c r="H60" s="113" t="str">
        <v>Input</v>
      </c>
      <c r="I60" s="109" t="str">
        <f>X_Cell_Fertiliser_IrrigationMethod</f>
        <v>Surface irrigation</v>
      </c>
    </row>
    <row r="61" spans="1:9" ht="20.100000000000001" customHeight="1" x14ac:dyDescent="0.25">
      <c r="A61" s="5"/>
    </row>
    <row r="62" spans="1:9" ht="20.100000000000001" customHeight="1" x14ac:dyDescent="0.25">
      <c r="D62" s="116" t="s">
        <v>710</v>
      </c>
    </row>
    <row r="63" spans="1:9" ht="20.100000000000001" customHeight="1" x14ac:dyDescent="0.25">
      <c r="D63" s="117" t="s">
        <v>711</v>
      </c>
    </row>
    <row r="64" spans="1:9" ht="20.100000000000001" customHeight="1" x14ac:dyDescent="0.25">
      <c r="D64" s="94" t="s">
        <v>672</v>
      </c>
      <c r="E64" s="187" t="s">
        <v>676</v>
      </c>
      <c r="F64" s="118" t="s">
        <v>712</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8" t="s">
        <v>713</v>
      </c>
      <c r="E77" s="120">
        <f>SUM(F65:F75)</f>
        <v>1704</v>
      </c>
      <c r="F77" s="127" t="str">
        <f>$E$53</f>
        <v>kg N</v>
      </c>
    </row>
    <row r="78" spans="3:11" ht="20.100000000000001" customHeight="1" x14ac:dyDescent="0.25"/>
    <row r="79" spans="3:11" ht="20.100000000000001" customHeight="1" x14ac:dyDescent="0.25">
      <c r="C79" s="186"/>
      <c r="D79" s="186"/>
      <c r="E79" s="186"/>
      <c r="F79" s="186"/>
      <c r="G79" s="186"/>
      <c r="H79" s="186"/>
      <c r="I79" s="186"/>
      <c r="J79" s="186"/>
      <c r="K79" s="186"/>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7" t="s">
        <v>358</v>
      </c>
      <c r="E83" s="107"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360</v>
      </c>
      <c r="E86" s="1" t="str" cm="1">
        <f t="array" ref="E86">Fertiliser_Equations_LeachingAndRunoff.VEERG_5_5_1_1__1_FertiliserLeachingAndRunoffN2OEmissions_Variable()</f>
        <v>E_fertleach</v>
      </c>
    </row>
    <row r="87" spans="4:10" ht="20.100000000000001" customHeight="1" x14ac:dyDescent="0.25">
      <c r="D87" s="88" t="s">
        <v>128</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9" t="str" cm="1">
        <f t="array" ref="D89:E92">_xlfn.CHOOSECOLS(Fertiliser_Equations_LeachingAndRunoff.VEERG_5_5_1_1__1_FertiliserLeachingAndRunoffN2OEmissions_Arguments(), 1, 2)</f>
        <v>M_leachinorganicj</v>
      </c>
      <c r="E89" s="110" t="str">
        <v>mass of nitrogen lost through leaching and runoff from inorganic fertiliser application in production system j</v>
      </c>
      <c r="F89" s="111"/>
      <c r="G89" s="112"/>
      <c r="H89" s="109" t="str" cm="1">
        <f t="array" ref="H89:I92">_xlfn.CHOOSECOLS(Fertiliser_Equations_LeachingAndRunoff.VEERG_5_5_1_1__1_FertiliserLeachingAndRunoffN2OEmissions_Arguments(), 3,4)</f>
        <v>kg N</v>
      </c>
      <c r="I89" s="114" t="str">
        <v>Calculated from 5.5.1.1 (2)</v>
      </c>
      <c r="J89" s="109">
        <f>$E$43</f>
        <v>43877.99856</v>
      </c>
    </row>
    <row r="90" spans="4:10" ht="20.100000000000001" customHeight="1" x14ac:dyDescent="0.25">
      <c r="D90" s="109" t="str">
        <v>M_leachorganicj</v>
      </c>
      <c r="E90" s="110" t="str">
        <v>mass of nitrogen lost through leaching and runoff from organic fertiliser application</v>
      </c>
      <c r="F90" s="111"/>
      <c r="G90" s="112"/>
      <c r="H90" s="109" t="str">
        <v>kg N</v>
      </c>
      <c r="I90" s="114" t="str">
        <v>Calculated from 5.5.1.1 (3)</v>
      </c>
      <c r="J90" s="109">
        <f>$E$77</f>
        <v>1704</v>
      </c>
    </row>
    <row r="91" spans="4:10" ht="20.100000000000001" customHeight="1" x14ac:dyDescent="0.25">
      <c r="D91" s="109" t="str">
        <v>EF_leach</v>
      </c>
      <c r="E91" s="110" t="str">
        <v>emission factor for nitrogen leaching and runoff</v>
      </c>
      <c r="F91" s="111"/>
      <c r="G91" s="112"/>
      <c r="H91" s="109" t="str">
        <v>kg N2O-N/kg N</v>
      </c>
      <c r="I91" s="114" t="str">
        <v>Constant</v>
      </c>
      <c r="J91" s="109">
        <f>Fertiliser_EFLeach_Data</f>
        <v>1.0999999999999999E-2</v>
      </c>
    </row>
    <row r="92" spans="4:10" ht="20.100000000000001" customHeight="1" x14ac:dyDescent="0.25">
      <c r="D92" s="109" t="str">
        <v>C_N2O</v>
      </c>
      <c r="E92" s="110" t="str">
        <v>factor to convert elemental mass of nitrous oxide to molecular mass</v>
      </c>
      <c r="F92" s="111"/>
      <c r="G92" s="112"/>
      <c r="H92" s="109" t="str">
        <v/>
      </c>
      <c r="I92" s="114" t="str">
        <v>Constant</v>
      </c>
      <c r="J92" s="12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21" t="s">
        <v>714</v>
      </c>
      <c r="E94" s="122" cm="1">
        <f t="array" ref="E94">Fertiliser_Equations_LeachingAndRunoff.VEERG_5_5_1_1__1_FertiliserLeachingAndRunoffN2OEmissions(J89,J90,J91,J92)</f>
        <v>0.78791740368000007</v>
      </c>
      <c r="F94" s="123" t="str">
        <f>$E$87</f>
        <v>t N2O</v>
      </c>
    </row>
    <row r="95" spans="4:10" ht="20.100000000000001" customHeight="1" x14ac:dyDescent="0.25"/>
    <row r="96" spans="4:10" ht="20.100000000000001" customHeight="1" x14ac:dyDescent="0.25">
      <c r="D96" s="124" t="str" cm="1">
        <f t="array" ref="D96:E97">Common_Equations.Common_ConvertN2OToCO2e_Arguments()</f>
        <v>EN2O</v>
      </c>
      <c r="E96" s="125" t="str">
        <v>Nitrous oxide emissions (t N2O)</v>
      </c>
      <c r="F96" s="126"/>
      <c r="G96" s="25">
        <f>VEERG_5_5_1_1__1_FertiliserLeachingAndRunoffN2OEmissions_result_Method1</f>
        <v>0.78791740368000007</v>
      </c>
    </row>
    <row r="97" spans="4:7" ht="20.100000000000001" customHeight="1" x14ac:dyDescent="0.25">
      <c r="D97" s="124" t="str">
        <v>GWPN2O</v>
      </c>
      <c r="E97" s="125" t="str">
        <v>Global warming potential for nitrous oxide (t CO2-e / t N2O)</v>
      </c>
      <c r="F97" s="126"/>
      <c r="G97" s="25">
        <f>Common_InputFunctions.Utility_LookupValueInTableNumber("N2O",Table_GWPData[Gas],Table_GWPData[CO2-e factor])</f>
        <v>265</v>
      </c>
    </row>
    <row r="98" spans="4:7" ht="20.100000000000001" customHeight="1" x14ac:dyDescent="0.25"/>
    <row r="99" spans="4:7" ht="20.100000000000001" customHeight="1" x14ac:dyDescent="0.25">
      <c r="D99" s="120" t="s">
        <v>422</v>
      </c>
      <c r="E99" s="120" cm="1">
        <f t="array" ref="E99">Common_Equations.Common_ConvertN2OToCO2e(G96,G97)</f>
        <v>208.79811197520002</v>
      </c>
      <c r="F99" s="127"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D9C23-E78E-4DB6-833C-7AE737B8D6CF}">
  <dimension ref="A1:U165"/>
  <sheetViews>
    <sheetView showGridLines="0" topLeftCell="A5"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974</v>
      </c>
    </row>
    <row r="2" spans="1:21" s="3" customFormat="1" ht="20.100000000000001" customHeight="1" x14ac:dyDescent="0.25">
      <c r="A2"/>
    </row>
    <row r="3" spans="1:21" ht="20.100000000000001" customHeight="1" x14ac:dyDescent="0.25">
      <c r="A3" s="5"/>
      <c r="C3" s="33"/>
      <c r="D3" s="33" t="s">
        <v>145</v>
      </c>
      <c r="E3" s="33"/>
      <c r="F3" s="33"/>
      <c r="G3" s="33"/>
      <c r="H3" s="33"/>
      <c r="I3" s="33"/>
      <c r="J3" s="33"/>
      <c r="K3" s="33"/>
      <c r="M3" s="33"/>
      <c r="N3" s="33" t="s">
        <v>146</v>
      </c>
      <c r="O3" s="33"/>
      <c r="P3" s="33"/>
      <c r="Q3" s="33"/>
      <c r="R3" s="33"/>
      <c r="S3" s="33"/>
      <c r="T3" s="33"/>
      <c r="U3" s="33"/>
    </row>
    <row r="4" spans="1:21" ht="20.100000000000001" customHeight="1" x14ac:dyDescent="0.25">
      <c r="A4" s="5"/>
    </row>
    <row r="5" spans="1:21" ht="20.100000000000001" customHeight="1" x14ac:dyDescent="0.25">
      <c r="A5" s="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7" t="s">
        <v>358</v>
      </c>
      <c r="E7" s="107" t="str" cm="1">
        <f t="array" aca="1" ref="E7" ca="1">Common_InputFunctions.Utility_DisplayFunctionName(E21)</f>
        <v>=AgResidue_Equations_PastureResidue.VEERG_6_2_1_1__2__MassOfNitrogenInPastureResidues</v>
      </c>
    </row>
    <row r="8" spans="1:21" ht="20.100000000000001" customHeight="1" x14ac:dyDescent="0.25">
      <c r="A8" s="7"/>
    </row>
    <row r="9" spans="1:21" ht="20.100000000000001" customHeight="1" x14ac:dyDescent="0.25">
      <c r="A9" s="5"/>
    </row>
    <row r="10" spans="1:21" ht="20.100000000000001" customHeight="1" x14ac:dyDescent="0.25">
      <c r="A10" s="5"/>
      <c r="D10" s="35" t="s">
        <v>360</v>
      </c>
      <c r="E10" s="1" t="str" cm="1">
        <f t="array" ref="E10">AgResidue_Equations_PastureResidue.VEERG_6_2_1_1__2__MassOfNitrogenInPastureResidues_Variable()</f>
        <v>Mp</v>
      </c>
    </row>
    <row r="11" spans="1:21" ht="20.100000000000001" customHeight="1" x14ac:dyDescent="0.25">
      <c r="A11" s="5"/>
      <c r="D11" s="35" t="s">
        <v>128</v>
      </c>
      <c r="E11" s="15" t="str" cm="1">
        <f t="array" ref="E11">AgResidue_Equations_PastureResidue.VEERG_6_2_1_1__2__MassOfNitrogenInPastureResidues_Unit()</f>
        <v>kg N</v>
      </c>
    </row>
    <row r="12" spans="1:21" ht="20.100000000000001" customHeight="1" x14ac:dyDescent="0.25">
      <c r="A12" s="5"/>
    </row>
    <row r="13" spans="1:21" ht="20.100000000000001" customHeight="1" x14ac:dyDescent="0.25">
      <c r="A13" s="5"/>
      <c r="D13" s="109" t="str" cm="1">
        <f t="array" ref="D13:E19">_xlfn.CHOOSECOLS(AgResidue_Equations_PastureResidue.VEERG_6_2_1_1__2__MassOfNitrogenInPastureResidues_Arguments(), 1, 2)</f>
        <v>A_p</v>
      </c>
      <c r="E13" s="110" t="str">
        <v>area of pasture renewed or removed</v>
      </c>
      <c r="F13" s="111"/>
      <c r="G13" s="112"/>
      <c r="H13" s="109" t="str" cm="1">
        <f t="array" ref="H13:I19">_xlfn.CHOOSECOLS(AgResidue_Equations_PastureResidue.VEERG_6_2_1_1__2__MassOfNitrogenInPastureResidues_Arguments(), 3,4)</f>
        <v>ha</v>
      </c>
      <c r="I13" s="113" t="str">
        <v>Input</v>
      </c>
      <c r="J13" s="109">
        <f>X_Cell_Pasture_AreaRemovedOrRenewed</f>
        <v>500</v>
      </c>
      <c r="N13" s="109" t="str" cm="1">
        <f t="array" ref="N13:O19">_xlfn.CHOOSECOLS(AgResidue_Equations_PastureResidue.VEERG_6_2_1_1__2__MassOfNitrogenInPastureResidues_Arguments_Method2(), 1, 2)</f>
        <v>A_p</v>
      </c>
      <c r="O13" s="110" t="str">
        <v>area of pasture renewed or removed</v>
      </c>
      <c r="P13" s="111"/>
      <c r="Q13" s="112"/>
      <c r="R13" s="109" t="str" cm="1">
        <f t="array" ref="R13:S19">_xlfn.CHOOSECOLS(AgResidue_Equations_PastureResidue.VEERG_6_2_1_1__2__MassOfNitrogenInPastureResidues_Arguments_Method2(), 3,4)</f>
        <v>ha</v>
      </c>
      <c r="S13" s="113" t="str">
        <v>Input</v>
      </c>
      <c r="T13" s="109"/>
    </row>
    <row r="14" spans="1:21" ht="20.100000000000001" customHeight="1" x14ac:dyDescent="0.25">
      <c r="A14" s="5"/>
      <c r="D14" s="109" t="str">
        <v>Y_p</v>
      </c>
      <c r="E14" s="110" t="str">
        <v>average yield of pasture crop</v>
      </c>
      <c r="F14" s="111"/>
      <c r="G14" s="112"/>
      <c r="H14" s="109" t="str">
        <v>t DM/ha</v>
      </c>
      <c r="I14" s="114" t="str">
        <v>Constant</v>
      </c>
      <c r="J14" s="109" cm="1">
        <f t="array" ref="J14">Common_InputFunctions.Utility_LookupValueInTableNumber($J$19,Table_SourceData_PastureAttributes[Pasture type],Table_SourceData_PastureAttributes[Average Yield (t DM ha) Yp])</f>
        <v>8.34</v>
      </c>
      <c r="N14" s="109" t="str">
        <v>Y_p</v>
      </c>
      <c r="O14" s="110" t="str">
        <v>average yield of pasture crop</v>
      </c>
      <c r="P14" s="111"/>
      <c r="Q14" s="112"/>
      <c r="R14" s="109" t="str">
        <v>t DM/ha</v>
      </c>
      <c r="S14" s="113" t="str">
        <v>Input</v>
      </c>
      <c r="T14" s="109">
        <f>X_Cell_Pasture_YieldPerHectare</f>
        <v>8.34</v>
      </c>
    </row>
    <row r="15" spans="1:21" ht="20.100000000000001" customHeight="1" x14ac:dyDescent="0.25">
      <c r="A15" s="5"/>
      <c r="D15" s="109" t="str">
        <v>NC_AGp</v>
      </c>
      <c r="E15" s="110" t="str">
        <v>N content of above-ground pasture residue</v>
      </c>
      <c r="F15" s="111"/>
      <c r="G15" s="112"/>
      <c r="H15" s="109" t="str">
        <v>kg N/kg DM</v>
      </c>
      <c r="I15" s="114" t="str">
        <v>Constant</v>
      </c>
      <c r="J15" s="109" cm="1">
        <f t="array" ref="J15">Common_InputFunctions.Utility_LookupValueInTableNumber($J$19,Table_SourceData_PastureAttributes[Pasture type],Table_SourceData_PastureAttributes[N content Above-ground NCAGp])</f>
        <v>2.5000000000000001E-2</v>
      </c>
      <c r="N15" s="109" t="str">
        <v>NC_AGp</v>
      </c>
      <c r="O15" s="110" t="str">
        <v>N content of above-ground pasture residue</v>
      </c>
      <c r="P15" s="111"/>
      <c r="Q15" s="112"/>
      <c r="R15" s="109" t="str">
        <v>kg N/kg DM</v>
      </c>
      <c r="S15" s="114" t="str">
        <v>Constant</v>
      </c>
      <c r="T15" s="109"/>
    </row>
    <row r="16" spans="1:21" ht="20.100000000000001" customHeight="1" x14ac:dyDescent="0.25">
      <c r="A16" s="5"/>
      <c r="D16" s="109" t="str">
        <v>R_BGp</v>
      </c>
      <c r="E16" s="110" t="str">
        <v>below-ground residue to above-ground residue ratio for pasture crop</v>
      </c>
      <c r="F16" s="111"/>
      <c r="G16" s="112"/>
      <c r="H16" s="109" t="str">
        <v/>
      </c>
      <c r="I16" s="114" t="str">
        <v>Constant</v>
      </c>
      <c r="J16" s="109" cm="1">
        <f t="array" ref="J16">Common_InputFunctions.Utility_LookupValueInTableNumber($J$19,Table_SourceData_PastureAttributes[Pasture type],Table_SourceData_PastureAttributes[Below-ground: above-ground residue ratio RBGp])</f>
        <v>0.8</v>
      </c>
      <c r="N16" s="109" t="str">
        <v>R_BGp</v>
      </c>
      <c r="O16" s="110" t="str">
        <v>below-ground residue to above-ground residue ratio for pasture crop</v>
      </c>
      <c r="P16" s="111"/>
      <c r="Q16" s="112"/>
      <c r="R16" s="109" t="str">
        <v/>
      </c>
      <c r="S16" s="114" t="str">
        <v>Constant</v>
      </c>
      <c r="T16" s="109"/>
    </row>
    <row r="17" spans="1:21" ht="20.100000000000001" customHeight="1" x14ac:dyDescent="0.25">
      <c r="A17" s="5"/>
      <c r="D17" s="109" t="str">
        <v>NC_BGp</v>
      </c>
      <c r="E17" s="110" t="str">
        <v>N content of below-ground pasture crop residue</v>
      </c>
      <c r="F17" s="111"/>
      <c r="G17" s="112"/>
      <c r="H17" s="109" t="str">
        <v>kg N/kg DM</v>
      </c>
      <c r="I17" s="114" t="str">
        <v>Constant</v>
      </c>
      <c r="J17" s="109" cm="1">
        <f t="array" ref="J17">Common_InputFunctions.Utility_LookupValueInTableNumber($J$19,Table_SourceData_PastureAttributes[Pasture type],Table_SourceData_PastureAttributes[N content Below-ground NCBGp])</f>
        <v>1.6E-2</v>
      </c>
      <c r="N17" s="109" t="str">
        <v>NC_BGp</v>
      </c>
      <c r="O17" s="110" t="str">
        <v>N content of below-ground pasture crop residue</v>
      </c>
      <c r="P17" s="111"/>
      <c r="Q17" s="112"/>
      <c r="R17" s="109" t="str">
        <v>kg N/kg DM</v>
      </c>
      <c r="S17" s="114" t="str">
        <v>Constant</v>
      </c>
      <c r="T17" s="109"/>
    </row>
    <row r="18" spans="1:21" ht="20.100000000000001" customHeight="1" x14ac:dyDescent="0.25">
      <c r="A18" s="5"/>
      <c r="D18" s="109" t="str">
        <v>FFOD_p</v>
      </c>
      <c r="E18" s="110" t="str">
        <v>fraction of pasture yield that is removed</v>
      </c>
      <c r="F18" s="111"/>
      <c r="G18" s="112"/>
      <c r="H18" s="109" t="str">
        <v>fraction</v>
      </c>
      <c r="I18" s="114" t="str">
        <v>Constant</v>
      </c>
      <c r="J18" s="109" cm="1">
        <f t="array" ref="J18">Common_InputFunctions.Utility_LookupValueInTableNumber($J$19,Table_SourceData_PastureAttributes[Pasture type],Table_SourceData_PastureAttributes[Fraction of pasture yield that is removed FFODp])</f>
        <v>0.8</v>
      </c>
      <c r="N18" s="109" t="str">
        <v>FFOD_p</v>
      </c>
      <c r="O18" s="110" t="str">
        <v>fraction of pasture yield that is removed</v>
      </c>
      <c r="P18" s="111"/>
      <c r="Q18" s="112"/>
      <c r="R18" s="109" t="str">
        <v>fraction</v>
      </c>
      <c r="S18" s="114" t="str">
        <v>Constant</v>
      </c>
      <c r="T18" s="109"/>
    </row>
    <row r="19" spans="1:21" ht="20.100000000000001" customHeight="1" x14ac:dyDescent="0.25">
      <c r="A19" s="5"/>
      <c r="D19" s="109" t="str">
        <v>p</v>
      </c>
      <c r="E19" s="110" t="str">
        <v>Pasture type</v>
      </c>
      <c r="F19" s="111"/>
      <c r="G19" s="112"/>
      <c r="H19" s="109" t="str">
        <v/>
      </c>
      <c r="I19" s="113" t="str">
        <v>Input</v>
      </c>
      <c r="J19" s="109" t="str">
        <f>X_Cell_Pasture_PastureType</f>
        <v>Grass clover mixture</v>
      </c>
      <c r="N19" s="109" t="str">
        <v>p</v>
      </c>
      <c r="O19" s="110" t="str">
        <v>Pasture type</v>
      </c>
      <c r="P19" s="111"/>
      <c r="Q19" s="112"/>
      <c r="R19" s="109" t="str">
        <v/>
      </c>
      <c r="S19" s="113" t="str">
        <v>Input</v>
      </c>
      <c r="T19" s="109"/>
    </row>
    <row r="20" spans="1:21" ht="20.100000000000001" customHeight="1" x14ac:dyDescent="0.25">
      <c r="A20" s="5"/>
    </row>
    <row r="21" spans="1:21" ht="20.100000000000001" customHeight="1" x14ac:dyDescent="0.25">
      <c r="A21" s="5"/>
      <c r="D21" s="128" t="s">
        <v>975</v>
      </c>
      <c r="E21" s="120" cm="1">
        <f t="array" ref="E21">AgResidue_Equations_PastureResidue.VEERG_6_2_1_1__2__MassOfNitrogenInPastureResidues(J13,J14,J18,J15,J16,J17)</f>
        <v>7.4226E-2</v>
      </c>
      <c r="F21" s="127" t="str" cm="1">
        <f t="array" ref="F21">AgResidue_Equations_PastureResidue.VEERG_6_2_1_1__2__MassOfNitrogenInPastureResidues_Unit()</f>
        <v>kg N</v>
      </c>
      <c r="N21" s="128" t="s">
        <v>975</v>
      </c>
      <c r="O21" s="120" cm="1">
        <f t="array" ref="O21">AgResidue_Equations_PastureResidue.VEERG_6_2_1_1__2__MassOfNitrogenInPastureResidues(J13,T14,J18,J15,J16,J17)</f>
        <v>7.4226E-2</v>
      </c>
      <c r="P21" s="127" t="str" cm="1">
        <f t="array" ref="P21">AgResidue_Equations_PastureResidue.VEERG_6_2_1_1__2__MassOfNitrogenInPastureResidues_Unit()</f>
        <v>kg N</v>
      </c>
    </row>
    <row r="22" spans="1:21" ht="20.100000000000001" customHeight="1" x14ac:dyDescent="0.25">
      <c r="A22" s="5"/>
    </row>
    <row r="23" spans="1:21" ht="20.100000000000001" customHeight="1" x14ac:dyDescent="0.25">
      <c r="A23" s="5"/>
    </row>
    <row r="24" spans="1:21" ht="20.100000000000001" customHeight="1" x14ac:dyDescent="0.25">
      <c r="A24" s="5"/>
      <c r="C24" s="120"/>
      <c r="D24" s="120"/>
      <c r="E24" s="120"/>
      <c r="F24" s="120"/>
      <c r="G24" s="120"/>
      <c r="H24" s="120"/>
      <c r="I24" s="120"/>
      <c r="J24" s="120"/>
      <c r="K24" s="120"/>
      <c r="M24" s="120"/>
      <c r="N24" s="120"/>
      <c r="O24" s="120"/>
      <c r="P24" s="120"/>
      <c r="Q24" s="120"/>
      <c r="R24" s="120"/>
      <c r="S24" s="120"/>
      <c r="T24" s="120"/>
      <c r="U24" s="120"/>
    </row>
    <row r="25" spans="1:21" ht="20.100000000000001" customHeight="1" x14ac:dyDescent="0.25">
      <c r="A25" s="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D27" s="107" t="s">
        <v>358</v>
      </c>
      <c r="E27" s="107" t="str">
        <f ca="1">Common_InputFunctions.Utility_DisplayFunctionName(VEERG_6_2_1_1__1__NitrousOxideEmissionsFromPastureResidues_Result_Method1)</f>
        <v>=AgResidue_Equations_PastureResidue.VEERG_6_2_1_1__1__NitrousOxideEmissionsFromPastureResidues</v>
      </c>
      <c r="N27" s="107" t="s">
        <v>358</v>
      </c>
      <c r="O27" s="107"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c r="A29" s="6"/>
    </row>
    <row r="30" spans="1:21" ht="20.100000000000001" customHeight="1" x14ac:dyDescent="0.25">
      <c r="A30" s="5"/>
      <c r="D30" s="35" t="s">
        <v>360</v>
      </c>
      <c r="E30" s="1" t="str" cm="1">
        <f t="array" ref="E30">AgResidue_Equations_PastureResidue.VEERG_6_2_1_1__1__NitrousOxideEmissionsFromPastureResidues_Variable()</f>
        <v>EN2O</v>
      </c>
      <c r="N30" s="35" t="s">
        <v>360</v>
      </c>
      <c r="O30" s="1" t="str" cm="1">
        <f t="array" ref="O30">AgResidue_Equations_PastureResidue.VEERG_6_2_1_1__1__NitrousOxideEmissionsFromPastureResidues_Variable()</f>
        <v>EN2O</v>
      </c>
    </row>
    <row r="31" spans="1:21" ht="20.100000000000001" customHeight="1" x14ac:dyDescent="0.25">
      <c r="A31" s="5"/>
      <c r="D31" s="35" t="s">
        <v>128</v>
      </c>
      <c r="E31" s="15" t="str" cm="1">
        <f t="array" ref="E31">AgResidue_Equations_PastureResidue.VEERG_6_2_1_1__1__NitrousOxideEmissionsFromPastureResidues_Unit()</f>
        <v>t N2O</v>
      </c>
      <c r="N31" s="35" t="s">
        <v>128</v>
      </c>
      <c r="O31" s="15" t="str" cm="1">
        <f t="array" ref="O31">AgResidue_Equations_PastureResidue.VEERG_6_2_1_1__1__NitrousOxideEmissionsFromPastureResidues_Unit()</f>
        <v>t N2O</v>
      </c>
    </row>
    <row r="32" spans="1:21" ht="20.100000000000001" customHeight="1" x14ac:dyDescent="0.25">
      <c r="A32" s="5"/>
    </row>
    <row r="33" spans="1:20" ht="20.100000000000001" customHeight="1" x14ac:dyDescent="0.25">
      <c r="A33" s="5"/>
      <c r="D33" s="109" t="str" cm="1">
        <f t="array" ref="D33:E37">_xlfn.CHOOSECOLS(AgResidue_Equations_PastureResidue.VEERG_6_2_1_1__1__NitrousOxideEmissionsFromPastureResidues_Arguments(), 1, 2)</f>
        <v>M_p</v>
      </c>
      <c r="E33" s="110" t="str">
        <v>mass of nitrogen in pasture p residues returned to the soil</v>
      </c>
      <c r="F33" s="111"/>
      <c r="G33" s="112"/>
      <c r="H33" s="109" t="str" cm="1">
        <f t="array" ref="H33:I37">_xlfn.CHOOSECOLS(AgResidue_Equations_PastureResidue.VEERG_6_2_1_1__1__NitrousOxideEmissionsFromPastureResidues_Arguments(), 3,4)</f>
        <v>kg N</v>
      </c>
      <c r="I33" s="114" t="str">
        <v>Calculated from 6.2.1.1 (2)</v>
      </c>
      <c r="J33" s="109">
        <f>$E$21</f>
        <v>7.4226E-2</v>
      </c>
      <c r="N33" s="109" t="str" cm="1">
        <f t="array" ref="N33:O37">_xlfn.CHOOSECOLS(AgResidue_Equations_PastureResidue.VEERG_6_2_1_1__1__NitrousOxideEmissionsFromPastureResidues_Arguments(), 1, 2)</f>
        <v>M_p</v>
      </c>
      <c r="O33" s="110" t="str">
        <v>mass of nitrogen in pasture p residues returned to the soil</v>
      </c>
      <c r="P33" s="111"/>
      <c r="Q33" s="112"/>
      <c r="R33" s="109" t="str" cm="1">
        <f t="array" ref="R33:S37">_xlfn.CHOOSECOLS(AgResidue_Equations_PastureResidue.VEERG_6_2_1_1__1__NitrousOxideEmissionsFromPastureResidues_Arguments(), 3,4)</f>
        <v>kg N</v>
      </c>
      <c r="S33" s="114" t="str">
        <v>Calculated from 6.2.1.1 (2)</v>
      </c>
      <c r="T33" s="109">
        <f>$O$21</f>
        <v>7.4226E-2</v>
      </c>
    </row>
    <row r="34" spans="1:20" ht="20.100000000000001" customHeight="1" x14ac:dyDescent="0.25">
      <c r="A34" s="5"/>
      <c r="D34" s="109" t="str">
        <v>EF_Ni</v>
      </c>
      <c r="E34" s="110" t="str">
        <v>emission factor for crop residues returned to the soil in climate zone i</v>
      </c>
      <c r="F34" s="111"/>
      <c r="G34" s="112"/>
      <c r="H34" s="109" t="str">
        <v>kg N2O-N/kg N</v>
      </c>
      <c r="I34" s="114" t="str">
        <v>Constant</v>
      </c>
      <c r="J34" s="109" cm="1">
        <f t="array" ref="J34">Common_InputFunctions.Utility_LookupValueInTableNumber(J37,Table_SourceData_N2OEFOrganicFert[Climate zone type i],Table_SourceData_N2OEFOrganicFert[EF i N2O])</f>
        <v>5.0000000000000001E-3</v>
      </c>
      <c r="N34" s="109" t="str">
        <v>EF_Ni</v>
      </c>
      <c r="O34" s="110" t="str">
        <v>emission factor for crop residues returned to the soil in climate zone i</v>
      </c>
      <c r="P34" s="111"/>
      <c r="Q34" s="112"/>
      <c r="R34" s="109" t="str">
        <v>kg N2O-N/kg N</v>
      </c>
      <c r="S34" s="114" t="str">
        <v>Constant</v>
      </c>
      <c r="T34" s="109"/>
    </row>
    <row r="35" spans="1:20" ht="20.100000000000001" customHeight="1" x14ac:dyDescent="0.25">
      <c r="A35" s="5"/>
      <c r="D35" s="109" t="str">
        <v>C_N2O</v>
      </c>
      <c r="E35" s="110" t="str">
        <v>factor to convert elemental mass of nitrous oxide to molecular mass</v>
      </c>
      <c r="F35" s="111"/>
      <c r="G35" s="112"/>
      <c r="H35" s="109" t="str">
        <v>dimensionless</v>
      </c>
      <c r="I35" s="114" t="str">
        <v>Constant</v>
      </c>
      <c r="J35" s="109">
        <f>Common_InputFunctions.Utility_LookupValueInTableNumber("N2O",Table_GasToMolecularConversionFactor[Gas],Table_GasToMolecularConversionFactor[Conversion factor combined])</f>
        <v>1.5714285714285714</v>
      </c>
      <c r="N35" s="109" t="str">
        <v>C_N2O</v>
      </c>
      <c r="O35" s="110" t="str">
        <v>factor to convert elemental mass of nitrous oxide to molecular mass</v>
      </c>
      <c r="P35" s="111"/>
      <c r="Q35" s="112"/>
      <c r="R35" s="109" t="str">
        <v>dimensionless</v>
      </c>
      <c r="S35" s="114" t="str">
        <v>Constant</v>
      </c>
      <c r="T35" s="109"/>
    </row>
    <row r="36" spans="1:20" ht="20.100000000000001" customHeight="1" x14ac:dyDescent="0.25">
      <c r="A36" s="5"/>
      <c r="D36" s="109" t="str">
        <v>p</v>
      </c>
      <c r="E36" s="110" t="str">
        <v>Pasture type</v>
      </c>
      <c r="F36" s="111"/>
      <c r="G36" s="112"/>
      <c r="H36" s="109" t="str">
        <v/>
      </c>
      <c r="I36" s="113" t="str">
        <v>Input</v>
      </c>
      <c r="J36" s="109" t="str">
        <f>X_Cell_Pasture_PastureType</f>
        <v>Grass clover mixture</v>
      </c>
      <c r="N36" s="109" t="str">
        <v>p</v>
      </c>
      <c r="O36" s="110" t="str">
        <v>Pasture type</v>
      </c>
      <c r="P36" s="111"/>
      <c r="Q36" s="112"/>
      <c r="R36" s="109" t="str">
        <v/>
      </c>
      <c r="S36" s="113" t="str">
        <v>Input</v>
      </c>
      <c r="T36" s="109"/>
    </row>
    <row r="37" spans="1:20" ht="20.100000000000001" customHeight="1" x14ac:dyDescent="0.25">
      <c r="A37" s="5"/>
      <c r="D37" s="109" t="str">
        <v>i</v>
      </c>
      <c r="E37" s="110" t="str">
        <v>Wet or dry climate zone</v>
      </c>
      <c r="F37" s="111"/>
      <c r="G37" s="112"/>
      <c r="H37" s="109" t="str">
        <v/>
      </c>
      <c r="I37" s="113" t="str">
        <v>Input</v>
      </c>
      <c r="J37" s="109" t="str">
        <f>X_Cell_Site_WetOrDryClimateZone</f>
        <v>Dry climate zone</v>
      </c>
      <c r="N37" s="109" t="str">
        <v>i</v>
      </c>
      <c r="O37" s="110" t="str">
        <v>Wet or dry climate zone</v>
      </c>
      <c r="P37" s="111"/>
      <c r="Q37" s="112"/>
      <c r="R37" s="109" t="str">
        <v/>
      </c>
      <c r="S37" s="113" t="str">
        <v>Input</v>
      </c>
      <c r="T37" s="109"/>
    </row>
    <row r="38" spans="1:20" ht="20.100000000000001" customHeight="1" x14ac:dyDescent="0.25">
      <c r="A38" s="5"/>
    </row>
    <row r="39" spans="1:20" ht="20.100000000000001" customHeight="1" x14ac:dyDescent="0.25">
      <c r="A39" s="5"/>
    </row>
    <row r="40" spans="1:20" ht="20.100000000000001" customHeight="1" x14ac:dyDescent="0.25">
      <c r="A40" s="108"/>
      <c r="D40" s="121" t="s">
        <v>658</v>
      </c>
      <c r="E40" s="122" cm="1">
        <f t="array" ref="E40">AgResidue_Equations_PastureResidue.VEERG_6_2_1_1__1__NitrousOxideEmissionsFromPastureResidues(J33,J34,J35)</f>
        <v>5.8320428571428569E-7</v>
      </c>
      <c r="F40" s="123" t="str" cm="1">
        <f t="array" ref="F40">AgResidue_Equations_PastureResidue.VEERG_6_2_1_1__1__NitrousOxideEmissionsFromPastureResidues_Unit()</f>
        <v>t N2O</v>
      </c>
      <c r="N40" s="121" t="s">
        <v>658</v>
      </c>
      <c r="O40" s="122" cm="1">
        <f t="array" ref="O40">AgResidue_Equations_PastureResidue.VEERG_6_2_1_1__1__NitrousOxideEmissionsFromPastureResidues(T33,J34,J35)</f>
        <v>5.8320428571428569E-7</v>
      </c>
      <c r="P40" s="123" t="str" cm="1">
        <f t="array" ref="P40">AgResidue_Equations_PastureResidue.VEERG_6_2_1_1__1__NitrousOxideEmissionsFromPastureResidues_Unit()</f>
        <v>t N2O</v>
      </c>
    </row>
    <row r="41" spans="1:20" ht="20.100000000000001" customHeight="1" x14ac:dyDescent="0.25">
      <c r="A41" s="5"/>
    </row>
    <row r="42" spans="1:20" ht="20.100000000000001" customHeight="1" x14ac:dyDescent="0.25">
      <c r="A42" s="5"/>
      <c r="D42" s="124" t="str" cm="1">
        <f t="array" ref="D42:E43">Common_Equations.Common_ConvertN2OToCO2e_Arguments()</f>
        <v>EN2O</v>
      </c>
      <c r="E42" s="125" t="str">
        <v>Nitrous oxide emissions (t N2O)</v>
      </c>
      <c r="F42" s="174"/>
      <c r="G42" s="124">
        <f>VEERG_6_2_1_1__1__NitrousOxideEmissionsFromPastureResidues_Result_Method1</f>
        <v>5.8320428571428569E-7</v>
      </c>
      <c r="N42" s="124" t="str" cm="1">
        <f t="array" ref="N42:O43">Common_Equations.Common_ConvertN2OToCO2e_Arguments()</f>
        <v>EN2O</v>
      </c>
      <c r="O42" s="125" t="str">
        <v>Nitrous oxide emissions (t N2O)</v>
      </c>
      <c r="P42" s="174"/>
      <c r="Q42" s="124">
        <f>VEERG_6_2_1_1__1__NitrousOxideEmissionsFromPastureResidues_Result_Method2</f>
        <v>5.8320428571428569E-7</v>
      </c>
    </row>
    <row r="43" spans="1:20" ht="20.100000000000001" customHeight="1" x14ac:dyDescent="0.25">
      <c r="A43" s="5"/>
      <c r="D43" s="124" t="str">
        <v>GWPN2O</v>
      </c>
      <c r="E43" s="125" t="str">
        <v>Global warming potential for nitrous oxide (t CO2-e / t N2O)</v>
      </c>
      <c r="F43" s="174"/>
      <c r="G43" s="25">
        <f>Common_InputFunctions.Utility_LookupValueInTableNumber("N2O",Table_GWPData[Gas],Table_GWPData[CO2-e factor])</f>
        <v>265</v>
      </c>
      <c r="N43" s="124" t="str">
        <v>GWPN2O</v>
      </c>
      <c r="O43" s="125" t="str">
        <v>Global warming potential for nitrous oxide (t CO2-e / t N2O)</v>
      </c>
      <c r="P43" s="174"/>
      <c r="Q43" s="25">
        <f>Common_InputFunctions.Utility_LookupValueInTableNumber("N2O",Table_GWPData[Gas],Table_GWPData[CO2-e factor])</f>
        <v>265</v>
      </c>
    </row>
    <row r="44" spans="1:20" ht="20.100000000000001" customHeight="1" x14ac:dyDescent="0.25">
      <c r="A44" s="5"/>
    </row>
    <row r="45" spans="1:20" ht="20.100000000000001" customHeight="1" x14ac:dyDescent="0.25">
      <c r="A45" s="5"/>
      <c r="D45" s="1" t="s">
        <v>976</v>
      </c>
      <c r="E45" s="1" cm="1">
        <f t="array" ref="E45">Common_Equations.Common_ConvertN2OToCO2e(G42,G43)</f>
        <v>1.545491357142857E-4</v>
      </c>
      <c r="F45" s="15" t="str" cm="1">
        <f t="array" ref="F45">Common_Equations.Common_ConvertN2OToCO2e_Unit()</f>
        <v>t CO2e</v>
      </c>
      <c r="N45" s="1" t="s">
        <v>976</v>
      </c>
      <c r="O45" s="1" cm="1">
        <f t="array" ref="O45">Common_Equations.Common_ConvertN2OToCO2e(Q42,Q43)</f>
        <v>1.545491357142857E-4</v>
      </c>
      <c r="P45" s="15" t="str" cm="1">
        <f t="array" ref="P45">Common_Equations.Common_ConvertN2OToCO2e_Unit()</f>
        <v>t CO2e</v>
      </c>
    </row>
    <row r="46" spans="1:20" ht="20.100000000000001" customHeight="1" x14ac:dyDescent="0.25">
      <c r="A46" s="5"/>
    </row>
    <row r="47" spans="1:20" ht="20.100000000000001" customHeight="1" x14ac:dyDescent="0.25">
      <c r="A47" s="5"/>
    </row>
    <row r="48" spans="1:20"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D0CB8-0CCF-4A80-B9CD-C56263F71303}">
  <dimension ref="A1:T165"/>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977</v>
      </c>
    </row>
    <row r="2" spans="1:20" s="3" customFormat="1" ht="20.100000000000001" customHeight="1" x14ac:dyDescent="0.25">
      <c r="A2"/>
    </row>
    <row r="3" spans="1:20" ht="20.100000000000001" customHeight="1" x14ac:dyDescent="0.25">
      <c r="A3" s="5"/>
      <c r="C3" s="33"/>
      <c r="D3" s="33" t="s">
        <v>145</v>
      </c>
      <c r="E3" s="33"/>
      <c r="F3" s="33"/>
      <c r="G3" s="33"/>
      <c r="H3" s="33"/>
      <c r="I3" s="33"/>
      <c r="J3" s="33"/>
      <c r="K3" s="33"/>
      <c r="M3" s="33"/>
      <c r="N3" s="33" t="s">
        <v>146</v>
      </c>
      <c r="O3" s="33"/>
      <c r="P3" s="33"/>
      <c r="Q3" s="33"/>
      <c r="R3" s="33"/>
      <c r="S3" s="33"/>
      <c r="T3" s="33"/>
    </row>
    <row r="4" spans="1:20" ht="20.100000000000001" customHeight="1" x14ac:dyDescent="0.25">
      <c r="A4" s="5"/>
    </row>
    <row r="5" spans="1:20" ht="20.100000000000001" customHeight="1" x14ac:dyDescent="0.25">
      <c r="A5" s="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7" t="s">
        <v>358</v>
      </c>
      <c r="E7" s="107" t="str" cm="1">
        <f t="array" aca="1" ref="E7" ca="1">Common_InputFunctions.Utility_DisplayFunctionName(I25)</f>
        <v>=AgResidue_Equations_Leaching.VEERG_6_3_1_1__2__MassOfNitrogenLostThroughLeachingAndRunoff</v>
      </c>
      <c r="F7" s="107"/>
      <c r="G7" s="8"/>
      <c r="H7" s="8"/>
      <c r="I7" s="8"/>
      <c r="J7" s="8"/>
      <c r="K7" s="8"/>
    </row>
    <row r="8" spans="1:20" ht="20.100000000000001" customHeight="1" x14ac:dyDescent="0.25">
      <c r="A8" s="7"/>
      <c r="C8" s="8"/>
      <c r="F8" s="8"/>
      <c r="G8" s="8"/>
      <c r="H8" s="8"/>
      <c r="I8" s="8"/>
      <c r="J8" s="8"/>
      <c r="K8" s="8"/>
    </row>
    <row r="9" spans="1:20" ht="20.100000000000001" customHeight="1" x14ac:dyDescent="0.25">
      <c r="A9" s="5"/>
      <c r="C9" s="8"/>
      <c r="D9" s="8"/>
      <c r="E9" s="8"/>
      <c r="F9" s="8"/>
      <c r="G9" s="8"/>
      <c r="H9" s="8"/>
      <c r="I9" s="8"/>
      <c r="J9" s="8"/>
      <c r="K9" s="8"/>
    </row>
    <row r="10" spans="1:20" ht="20.100000000000001" customHeight="1" x14ac:dyDescent="0.25">
      <c r="A10" s="5"/>
      <c r="C10" s="8"/>
      <c r="D10" s="12" t="s">
        <v>360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c r="C11" s="8"/>
      <c r="D11" s="12" t="s">
        <v>128</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c r="C12" s="8"/>
      <c r="D12" s="8"/>
      <c r="E12" s="8"/>
      <c r="F12" s="8"/>
      <c r="G12" s="8"/>
      <c r="H12" s="8"/>
      <c r="I12" s="8"/>
      <c r="J12" s="8"/>
      <c r="K12" s="8"/>
    </row>
    <row r="13" spans="1:20" ht="20.100000000000001" customHeight="1" x14ac:dyDescent="0.25">
      <c r="A13" s="5"/>
      <c r="C13" s="8"/>
      <c r="D13" s="109" t="str" cm="1">
        <f t="array" ref="D13:E19">_xlfn.CHOOSECOLS(AgResidue_Equations_Leaching.VEERG_6_3_1_1__2__MassOfNitrogenLostThroughLeachingAndRunoff_Arguments(), 1,2)</f>
        <v>M_cp</v>
      </c>
      <c r="E13" s="110" t="str">
        <v>mass of nitrogen in crop residues c or pasture residues p applied to soils</v>
      </c>
      <c r="F13" s="111"/>
      <c r="G13" s="112"/>
      <c r="H13" s="109" t="str" cm="1">
        <f t="array" ref="H13:I19">_xlfn.CHOOSECOLS(AgResidue_Equations_Leaching.VEERG_6_3_1_1__2__MassOfNitrogenLostThroughLeachingAndRunoff_Arguments(), 3,4)</f>
        <v>kg N</v>
      </c>
      <c r="I13" s="114" t="str">
        <v>Calc from 6.1.1.1 (2) and 6.2.1.1 (2)</v>
      </c>
      <c r="J13" s="115" t="str" cm="1">
        <f t="array" aca="1" ref="J13" ca="1">HYPERLINK(Common_InputFunctions.Utility_SourceHyperlink($D$21), $D$21)</f>
        <v>M1_Table_M_leach_cp</v>
      </c>
      <c r="K13" s="8"/>
    </row>
    <row r="14" spans="1:20" ht="20.100000000000001" customHeight="1" x14ac:dyDescent="0.25">
      <c r="A14" s="5"/>
      <c r="C14" s="8"/>
      <c r="D14" s="109" t="str">
        <v>FracWET_j</v>
      </c>
      <c r="E14" s="110" t="str">
        <v>fraction of N that is available for leaching and runoff from the leaching zone z and irrigation type ir</v>
      </c>
      <c r="F14" s="111"/>
      <c r="G14" s="112"/>
      <c r="H14" s="109" t="str">
        <v>fraction</v>
      </c>
      <c r="I14" s="114" t="str">
        <v>Constant</v>
      </c>
      <c r="J14" s="115" t="str" cm="1">
        <f t="array" aca="1" ref="J14" ca="1">HYPERLINK(Common_InputFunctions.Utility_SourceHyperlink($D$21), $D$21)</f>
        <v>M1_Table_M_leach_cp</v>
      </c>
      <c r="K14" s="8"/>
    </row>
    <row r="15" spans="1:20" ht="20.100000000000001" customHeight="1" x14ac:dyDescent="0.25">
      <c r="A15" s="5"/>
      <c r="C15" s="8"/>
      <c r="D15" s="109" t="str">
        <v>FracLEACH</v>
      </c>
      <c r="E15" s="110" t="str">
        <v>fraction of N that is lost through leaching and runoff</v>
      </c>
      <c r="F15" s="111"/>
      <c r="G15" s="112"/>
      <c r="H15" s="109" t="str">
        <v>fraction</v>
      </c>
      <c r="I15" s="114" t="str">
        <v>Constant</v>
      </c>
      <c r="J15" s="109">
        <f>'Constants - Common'!$E$164</f>
        <v>0.24</v>
      </c>
      <c r="K15" s="8"/>
    </row>
    <row r="16" spans="1:20" ht="20.100000000000001" customHeight="1" x14ac:dyDescent="0.25">
      <c r="A16" s="5"/>
      <c r="C16" s="8"/>
      <c r="D16" s="109" t="str">
        <v>z</v>
      </c>
      <c r="E16" s="110" t="str">
        <v>Location in leaching zone</v>
      </c>
      <c r="F16" s="111"/>
      <c r="G16" s="112"/>
      <c r="H16" s="109" t="str">
        <v/>
      </c>
      <c r="I16" s="113" t="str">
        <v>Input</v>
      </c>
      <c r="J16" s="115" t="str" cm="1">
        <f t="array" aca="1" ref="J16" ca="1">HYPERLINK(Common_InputFunctions.Utility_SourceHyperlink($D$21), $D$21)</f>
        <v>M1_Table_M_leach_cp</v>
      </c>
      <c r="K16" s="8"/>
    </row>
    <row r="17" spans="1:20" ht="20.100000000000001" customHeight="1" x14ac:dyDescent="0.25">
      <c r="A17" s="5"/>
      <c r="C17" s="8"/>
      <c r="D17" s="109" t="str">
        <v>c</v>
      </c>
      <c r="E17" s="110" t="str">
        <v>Crop residue type</v>
      </c>
      <c r="F17" s="111"/>
      <c r="G17" s="112"/>
      <c r="H17" s="109" t="str">
        <v/>
      </c>
      <c r="I17" s="113" t="str">
        <v>Input</v>
      </c>
      <c r="J17" s="109" t="s">
        <v>137</v>
      </c>
      <c r="K17" s="8"/>
    </row>
    <row r="18" spans="1:20" ht="20.100000000000001" customHeight="1" x14ac:dyDescent="0.25">
      <c r="A18" s="5"/>
      <c r="C18" s="8"/>
      <c r="D18" s="109" t="str">
        <v>p</v>
      </c>
      <c r="E18" s="110" t="str">
        <v>Pasture residue type</v>
      </c>
      <c r="F18" s="111"/>
      <c r="G18" s="112"/>
      <c r="H18" s="109" t="str">
        <v/>
      </c>
      <c r="I18" s="113" t="str">
        <v>Input</v>
      </c>
      <c r="J18" s="109" t="str">
        <f>X_Cell_Pasture_PastureType</f>
        <v>Grass clover mixture</v>
      </c>
      <c r="K18" s="8"/>
    </row>
    <row r="19" spans="1:20" ht="20.100000000000001" customHeight="1" x14ac:dyDescent="0.25">
      <c r="A19" s="5"/>
      <c r="C19" s="8"/>
      <c r="D19" s="109" t="str">
        <v>ir</v>
      </c>
      <c r="E19" s="110" t="str">
        <v>Irrigation type</v>
      </c>
      <c r="F19" s="111"/>
      <c r="G19" s="112"/>
      <c r="H19" s="109" t="str">
        <v/>
      </c>
      <c r="I19" s="113" t="str">
        <v>Input</v>
      </c>
      <c r="J19" s="115" t="str" cm="1">
        <f t="array" aca="1" ref="J19" ca="1">HYPERLINK(Common_InputFunctions.Utility_SourceHyperlink($D$21), $D$21)</f>
        <v>M1_Table_M_leach_cp</v>
      </c>
      <c r="K19" s="8"/>
    </row>
    <row r="20" spans="1:20" ht="20.100000000000001" customHeight="1" x14ac:dyDescent="0.25">
      <c r="A20" s="5"/>
      <c r="C20" s="8"/>
      <c r="D20" s="8"/>
      <c r="E20" s="8"/>
      <c r="F20" s="8"/>
      <c r="G20" s="8"/>
      <c r="H20" s="8"/>
      <c r="I20" s="8"/>
      <c r="J20" s="8"/>
      <c r="K20" s="8"/>
    </row>
    <row r="21" spans="1:20" ht="20.100000000000001" customHeight="1" x14ac:dyDescent="0.25">
      <c r="A21" s="5"/>
      <c r="C21" s="8"/>
      <c r="D21" s="116" t="s">
        <v>978</v>
      </c>
      <c r="E21" s="8"/>
      <c r="F21" s="8"/>
      <c r="G21" s="8"/>
      <c r="H21" s="8"/>
      <c r="I21" s="8"/>
      <c r="J21" s="8"/>
      <c r="K21" s="8"/>
      <c r="N21" s="116" t="s">
        <v>979</v>
      </c>
      <c r="O21" s="8"/>
      <c r="P21" s="8"/>
      <c r="Q21" s="8"/>
      <c r="R21" s="8"/>
      <c r="S21" s="8"/>
    </row>
    <row r="22" spans="1:20" ht="20.100000000000001" customHeight="1" x14ac:dyDescent="0.25">
      <c r="A22" s="5"/>
      <c r="C22" s="8"/>
      <c r="D22" s="117" t="s">
        <v>980</v>
      </c>
      <c r="E22" s="8"/>
      <c r="F22" s="8"/>
      <c r="G22" s="8"/>
      <c r="H22" s="8"/>
      <c r="I22" s="8"/>
      <c r="J22" s="8"/>
      <c r="K22" s="8"/>
      <c r="N22" s="117" t="s">
        <v>981</v>
      </c>
      <c r="O22" s="8"/>
      <c r="P22" s="8"/>
      <c r="Q22" s="8"/>
      <c r="R22" s="8"/>
      <c r="S22" s="8"/>
    </row>
    <row r="23" spans="1:20" ht="20.100000000000001" customHeight="1" x14ac:dyDescent="0.25">
      <c r="A23" s="5"/>
      <c r="C23" s="8"/>
      <c r="D23" s="94" t="s">
        <v>982</v>
      </c>
      <c r="E23" s="118" t="s">
        <v>983</v>
      </c>
      <c r="F23" s="94" t="s">
        <v>984</v>
      </c>
      <c r="G23" s="94" t="s">
        <v>110</v>
      </c>
      <c r="H23" s="118" t="s">
        <v>985</v>
      </c>
      <c r="I23" s="118" t="s">
        <v>986</v>
      </c>
      <c r="J23" s="8"/>
      <c r="K23" s="8"/>
      <c r="N23" s="94" t="s">
        <v>982</v>
      </c>
      <c r="O23" s="118" t="s">
        <v>983</v>
      </c>
      <c r="P23" s="94" t="s">
        <v>984</v>
      </c>
      <c r="Q23" s="94" t="s">
        <v>110</v>
      </c>
      <c r="R23" s="118" t="s">
        <v>985</v>
      </c>
      <c r="S23" s="118" t="s">
        <v>986</v>
      </c>
    </row>
    <row r="24" spans="1:20" ht="20.100000000000001" customHeight="1" x14ac:dyDescent="0.25">
      <c r="A24" s="5"/>
      <c r="D24" s="25" t="s">
        <v>725</v>
      </c>
      <c r="E24" s="25" t="s">
        <v>137</v>
      </c>
      <c r="F24" s="25" t="s">
        <v>137</v>
      </c>
      <c r="G24" s="25" t="s">
        <v>137</v>
      </c>
      <c r="H24" s="25" t="s">
        <v>137</v>
      </c>
      <c r="I24" s="25" t="s">
        <v>137</v>
      </c>
      <c r="N24" s="25"/>
      <c r="O24" s="25" t="s">
        <v>137</v>
      </c>
      <c r="P24" s="25"/>
      <c r="Q24" s="25"/>
      <c r="R24" s="25"/>
      <c r="S24" s="25" t="s">
        <v>137</v>
      </c>
    </row>
    <row r="25" spans="1:20" ht="20.100000000000001" customHeight="1" x14ac:dyDescent="0.25">
      <c r="A25" s="5"/>
      <c r="D25" s="25" t="s">
        <v>188</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row>
    <row r="27" spans="1:20" ht="20.100000000000001" customHeight="1" x14ac:dyDescent="0.25">
      <c r="C27" s="244"/>
      <c r="D27" s="244"/>
      <c r="E27" s="244"/>
      <c r="F27" s="244"/>
      <c r="G27" s="244"/>
      <c r="H27" s="244"/>
      <c r="I27" s="244"/>
      <c r="J27" s="244"/>
      <c r="K27" s="244"/>
      <c r="M27" s="244"/>
      <c r="N27" s="244"/>
      <c r="O27" s="244"/>
      <c r="P27" s="244"/>
      <c r="Q27" s="244"/>
      <c r="R27" s="244"/>
      <c r="S27" s="244"/>
      <c r="T27" s="244"/>
    </row>
    <row r="28" spans="1:20" ht="20.100000000000001"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45"/>
      <c r="G28" s="8"/>
      <c r="H28" s="8"/>
      <c r="I28" s="8"/>
      <c r="J28" s="8"/>
      <c r="K28" s="8"/>
    </row>
    <row r="29" spans="1:20" ht="20.100000000000001" customHeight="1" x14ac:dyDescent="0.25">
      <c r="A29" s="6"/>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c r="C30" s="8"/>
      <c r="D30" s="107" t="s">
        <v>358</v>
      </c>
      <c r="E30" s="107"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c r="C31" s="8"/>
      <c r="D31" s="8"/>
      <c r="E31" s="8"/>
      <c r="F31" s="8"/>
      <c r="G31" s="8"/>
      <c r="H31" s="8"/>
      <c r="I31" s="8"/>
      <c r="J31" s="8"/>
      <c r="K31" s="8"/>
    </row>
    <row r="32" spans="1:20" ht="20.100000000000001" customHeight="1" x14ac:dyDescent="0.25">
      <c r="A32" s="5"/>
      <c r="C32" s="8"/>
      <c r="D32" s="8"/>
      <c r="E32" s="8"/>
      <c r="F32" s="27"/>
      <c r="G32" s="8"/>
      <c r="H32" s="8"/>
      <c r="I32" s="8"/>
      <c r="J32" s="8"/>
      <c r="K32" s="8"/>
    </row>
    <row r="33" spans="1:17" ht="20.100000000000001" customHeight="1" x14ac:dyDescent="0.25">
      <c r="A33" s="5"/>
      <c r="C33" s="8"/>
      <c r="D33" s="12" t="s">
        <v>360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c r="C34" s="8"/>
      <c r="D34" s="12" t="s">
        <v>128</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c r="C35" s="8"/>
      <c r="D35" s="8"/>
      <c r="E35" s="8"/>
      <c r="F35" s="8"/>
      <c r="G35" s="8"/>
      <c r="H35" s="8"/>
      <c r="I35" s="8"/>
      <c r="J35" s="8"/>
      <c r="K35" s="8"/>
    </row>
    <row r="36" spans="1:17" ht="20.100000000000001" customHeight="1" x14ac:dyDescent="0.25">
      <c r="A36" s="5"/>
      <c r="C36" s="8"/>
      <c r="D36" s="109" t="str" cm="1">
        <f t="array" ref="D36:E40">_xlfn.CHOOSECOLS(AgResidue_Equations_Leaching.VEERG_6_3_1_1__1__LeachingAndRunoffEmissionsCropAndPastureResidue_Arguments(),1,2)</f>
        <v>M_leachcp</v>
      </c>
      <c r="E36" s="110" t="str">
        <v>mass of nitrogen lost through leaching and runoff from the crop residue c or pasture residue p</v>
      </c>
      <c r="F36" s="111"/>
      <c r="G36" s="112"/>
      <c r="H36" s="109" t="str" cm="1">
        <f t="array" ref="H36:I40">_xlfn.CHOOSECOLS(AgResidue_Equations_Leaching.VEERG_6_3_1_1__1__LeachingAndRunoffEmissionsCropAndPastureResidue_Arguments(),3,4)</f>
        <v>kg N</v>
      </c>
      <c r="I36" s="114" t="str">
        <v>Calculated from 6.3.1.1 (2)</v>
      </c>
      <c r="J36" s="109" t="str" cm="1">
        <f t="array" aca="1" ref="J36" ca="1">HYPERLINK(Common_InputFunctions.Utility_SourceHyperlink($D$21), $D$21)</f>
        <v>M1_Table_M_leach_cp</v>
      </c>
      <c r="K36" s="8"/>
    </row>
    <row r="37" spans="1:17" ht="20.100000000000001" customHeight="1" x14ac:dyDescent="0.25">
      <c r="A37" s="5"/>
      <c r="C37" s="8"/>
      <c r="D37" s="109" t="str">
        <v>EF_leach</v>
      </c>
      <c r="E37" s="110" t="str">
        <v>emission factor for leaching and runoff</v>
      </c>
      <c r="F37" s="111"/>
      <c r="G37" s="112"/>
      <c r="H37" s="109" t="str">
        <v>kg N2O-N/kg N</v>
      </c>
      <c r="I37" s="114" t="str">
        <v>Constant</v>
      </c>
      <c r="J37" s="109">
        <f>'Constants - Common'!$E$170</f>
        <v>1.0999999999999999E-2</v>
      </c>
      <c r="K37" s="8"/>
    </row>
    <row r="38" spans="1:17" ht="20.100000000000001" customHeight="1" x14ac:dyDescent="0.25">
      <c r="A38" s="5"/>
      <c r="C38" s="8"/>
      <c r="D38" s="109" t="str">
        <v>C_N2O</v>
      </c>
      <c r="E38" s="110" t="str">
        <v>factor to convert elemental mass of nitrous oxide to molecular mass</v>
      </c>
      <c r="F38" s="111"/>
      <c r="G38" s="112"/>
      <c r="H38" s="109" t="str">
        <v>dimensionless</v>
      </c>
      <c r="I38" s="114" t="str">
        <v>Constant</v>
      </c>
      <c r="J38" s="109">
        <f>Common_InputFunctions.Utility_LookupValueInTableNumber("N2O",Table_GasToMolecularConversionFactor[Gas],Table_GasToMolecularConversionFactor[Conversion factor combined])</f>
        <v>1.5714285714285714</v>
      </c>
      <c r="K38" s="8"/>
    </row>
    <row r="39" spans="1:17" ht="20.100000000000001" customHeight="1" x14ac:dyDescent="0.25">
      <c r="A39" s="5"/>
      <c r="C39" s="8"/>
      <c r="D39" s="109" t="str">
        <v>c</v>
      </c>
      <c r="E39" s="110" t="str">
        <v>Crop residue type</v>
      </c>
      <c r="F39" s="111"/>
      <c r="G39" s="112"/>
      <c r="H39" s="109" t="str">
        <v/>
      </c>
      <c r="I39" s="113" t="str">
        <v>Input</v>
      </c>
      <c r="J39" s="109" t="s">
        <v>137</v>
      </c>
      <c r="K39" s="8"/>
    </row>
    <row r="40" spans="1:17" ht="20.100000000000001" customHeight="1" x14ac:dyDescent="0.25">
      <c r="A40" s="5"/>
      <c r="C40" s="8"/>
      <c r="D40" s="109" t="str">
        <v>p</v>
      </c>
      <c r="E40" s="110" t="str">
        <v>Pasture residue type</v>
      </c>
      <c r="F40" s="111"/>
      <c r="G40" s="112"/>
      <c r="H40" s="109" t="str">
        <v/>
      </c>
      <c r="I40" s="113" t="str">
        <v>Input</v>
      </c>
      <c r="J40" s="109" t="str">
        <f>X_Cell_Pasture_PastureType</f>
        <v>Grass clover mixture</v>
      </c>
      <c r="K40" s="8"/>
    </row>
    <row r="41" spans="1:17" ht="20.100000000000001" customHeight="1" x14ac:dyDescent="0.25">
      <c r="A41" s="108"/>
      <c r="C41" s="8"/>
      <c r="D41" s="8"/>
      <c r="E41" s="8"/>
      <c r="F41" s="8"/>
      <c r="G41" s="8"/>
      <c r="H41" s="8"/>
      <c r="I41" s="8"/>
      <c r="J41" s="8"/>
      <c r="K41" s="8"/>
    </row>
    <row r="42" spans="1:17" ht="20.100000000000001" customHeight="1" x14ac:dyDescent="0.25">
      <c r="A42" s="5"/>
      <c r="C42" s="8"/>
      <c r="D42" s="116" t="s">
        <v>655</v>
      </c>
      <c r="E42" s="8"/>
      <c r="F42" s="8"/>
      <c r="G42" s="8"/>
      <c r="H42" s="8"/>
      <c r="I42" s="8"/>
      <c r="J42" s="8"/>
      <c r="K42" s="8"/>
      <c r="N42" s="116" t="s">
        <v>655</v>
      </c>
      <c r="O42" s="8"/>
      <c r="P42" s="8"/>
      <c r="Q42" s="8"/>
    </row>
    <row r="43" spans="1:17" ht="20.100000000000001" customHeight="1" x14ac:dyDescent="0.25">
      <c r="A43" s="5"/>
      <c r="C43" s="8"/>
      <c r="D43" s="117" t="s">
        <v>987</v>
      </c>
      <c r="E43" s="8"/>
      <c r="F43" s="8"/>
      <c r="G43" s="8"/>
      <c r="H43" s="8"/>
      <c r="I43" s="8"/>
      <c r="J43" s="8"/>
      <c r="K43" s="8"/>
      <c r="N43" s="117" t="s">
        <v>987</v>
      </c>
      <c r="O43" s="8"/>
      <c r="P43" s="8"/>
      <c r="Q43" s="8"/>
    </row>
    <row r="44" spans="1:17" ht="20.100000000000001" customHeight="1" x14ac:dyDescent="0.25">
      <c r="A44" s="5"/>
      <c r="C44" s="8"/>
      <c r="D44" s="118" t="s">
        <v>986</v>
      </c>
      <c r="E44" s="118" t="s">
        <v>988</v>
      </c>
      <c r="F44" s="8"/>
      <c r="G44" s="8"/>
      <c r="H44" s="8"/>
      <c r="I44" s="8"/>
      <c r="J44" s="8"/>
      <c r="K44" s="8"/>
      <c r="N44" s="118" t="s">
        <v>986</v>
      </c>
      <c r="O44" s="118" t="s">
        <v>988</v>
      </c>
      <c r="P44" s="8"/>
      <c r="Q44" s="8"/>
    </row>
    <row r="45" spans="1:17" ht="20.100000000000001" customHeight="1" x14ac:dyDescent="0.25">
      <c r="A45" s="5"/>
      <c r="C45" s="8"/>
      <c r="D45" s="25" t="str">
        <f>I24</f>
        <v>N/A</v>
      </c>
      <c r="E45" s="25" t="s">
        <v>137</v>
      </c>
      <c r="F45" s="8"/>
      <c r="G45" s="8"/>
      <c r="H45" s="8"/>
      <c r="I45" s="8"/>
      <c r="J45" s="8"/>
      <c r="K45" s="8"/>
      <c r="N45" s="25" t="str">
        <f>S24</f>
        <v>N/A</v>
      </c>
      <c r="O45" s="25" t="s">
        <v>137</v>
      </c>
      <c r="P45" s="8"/>
      <c r="Q45" s="8"/>
    </row>
    <row r="46" spans="1:17" ht="20.100000000000001" customHeight="1" x14ac:dyDescent="0.25">
      <c r="A46" s="5"/>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c r="C47" s="8"/>
      <c r="F47" s="8"/>
      <c r="G47" s="8"/>
      <c r="H47" s="8"/>
      <c r="I47" s="8"/>
      <c r="J47" s="8"/>
      <c r="K47" s="8"/>
      <c r="P47" s="8"/>
      <c r="Q47" s="8"/>
    </row>
    <row r="48" spans="1:17" ht="20.100000000000001" customHeight="1" x14ac:dyDescent="0.4">
      <c r="A48" s="5"/>
      <c r="C48" s="8"/>
      <c r="D48" s="246" t="s">
        <v>989</v>
      </c>
      <c r="E48" s="247">
        <f>SUM(E45:E46)</f>
        <v>3.0793186285714277E-7</v>
      </c>
      <c r="F48" s="123" t="str">
        <f>$E$34</f>
        <v>t N2O</v>
      </c>
      <c r="G48" s="8"/>
      <c r="H48" s="8"/>
      <c r="I48" s="8"/>
      <c r="J48" s="8"/>
      <c r="K48" s="8"/>
      <c r="N48" s="246" t="s">
        <v>989</v>
      </c>
      <c r="O48" s="247">
        <f>SUM(O45:O46)</f>
        <v>3.0793186285714277E-7</v>
      </c>
      <c r="P48" s="123" t="str">
        <f>$E$34</f>
        <v>t N2O</v>
      </c>
      <c r="Q48" s="8"/>
    </row>
    <row r="49" spans="1:17" ht="20.100000000000001" customHeight="1" x14ac:dyDescent="0.25">
      <c r="D49" s="8"/>
      <c r="E49" s="8"/>
      <c r="F49" s="8"/>
      <c r="G49" s="8"/>
      <c r="N49" s="8"/>
      <c r="O49" s="8"/>
      <c r="P49" s="8"/>
      <c r="Q49" s="8"/>
    </row>
    <row r="50" spans="1:17" ht="20.100000000000001" customHeight="1" x14ac:dyDescent="0.25">
      <c r="D50" s="124" t="str" cm="1">
        <f t="array" ref="D50:E51">Common_Equations.Common_ConvertN2OToCO2e_Arguments()</f>
        <v>EN2O</v>
      </c>
      <c r="E50" s="125" t="str">
        <v>Nitrous oxide emissions (t N2O)</v>
      </c>
      <c r="F50" s="126"/>
      <c r="G50" s="25">
        <f>VEERG_6_3_1_1__1__LeachingAndRunoffEmissionsCropAndPastureResidue_PastureOnly_Result_Method1</f>
        <v>3.0793186285714277E-7</v>
      </c>
      <c r="N50" s="124" t="str" cm="1">
        <f t="array" ref="N50:O51">Common_Equations.Common_ConvertN2OToCO2e_Arguments()</f>
        <v>EN2O</v>
      </c>
      <c r="O50" s="125" t="str">
        <v>Nitrous oxide emissions (t N2O)</v>
      </c>
      <c r="P50" s="126"/>
      <c r="Q50" s="25">
        <f>VEERG_6_3_1_1__1__LeachingAndRunoffEmissionsCropAndPastureResidue_PastureOnly_Result_Method2</f>
        <v>3.0793186285714277E-7</v>
      </c>
    </row>
    <row r="51" spans="1:17" ht="20.100000000000001" customHeight="1" x14ac:dyDescent="0.25">
      <c r="A51" s="100"/>
      <c r="D51" s="124" t="str">
        <v>GWPN2O</v>
      </c>
      <c r="E51" s="125" t="str">
        <v>Global warming potential for nitrous oxide (t CO2-e / t N2O)</v>
      </c>
      <c r="F51" s="126"/>
      <c r="G51" s="25">
        <f>Common_InputFunctions.Utility_LookupValueInTableNumber("N2O",Table_GWPData[Gas],Table_GWPData[CO2-e factor])</f>
        <v>265</v>
      </c>
      <c r="H51" s="8"/>
      <c r="I51" s="8"/>
      <c r="N51" s="124" t="str">
        <v>GWPN2O</v>
      </c>
      <c r="O51" s="125" t="str">
        <v>Global warming potential for nitrous oxide (t CO2-e / t N2O)</v>
      </c>
      <c r="P51" s="126"/>
      <c r="Q51" s="25">
        <f>Common_InputFunctions.Utility_LookupValueInTableNumber("N2O",Table_GWPData[Gas],Table_GWPData[CO2-e factor])</f>
        <v>265</v>
      </c>
    </row>
    <row r="52" spans="1:17" ht="20.100000000000001" customHeight="1" x14ac:dyDescent="0.25">
      <c r="A52" s="5"/>
      <c r="H52" s="8"/>
      <c r="I52" s="8"/>
    </row>
    <row r="53" spans="1:17" ht="20.100000000000001" customHeight="1" x14ac:dyDescent="0.25">
      <c r="A53" s="5"/>
      <c r="D53" s="120" t="s">
        <v>422</v>
      </c>
      <c r="E53" s="120" cm="1">
        <f t="array" ref="E53">Common_Equations.Common_ConvertN2OToCO2e(G50,G51)</f>
        <v>8.1601943657142831E-5</v>
      </c>
      <c r="F53" s="127" t="str" cm="1">
        <f t="array" ref="F53">Common_Equations.Common_ConvertN2OToCO2e_Unit()</f>
        <v>t CO2e</v>
      </c>
      <c r="I53" s="8"/>
      <c r="N53" s="120" t="s">
        <v>422</v>
      </c>
      <c r="O53" s="120" cm="1">
        <f t="array" ref="O53">Common_Equations.Common_ConvertN2OToCO2e(Q50,Q51)</f>
        <v>8.1601943657142831E-5</v>
      </c>
      <c r="P53" s="127" t="str" cm="1">
        <f t="array" ref="P53">Common_Equations.Common_ConvertN2OToCO2e_Unit()</f>
        <v>t CO2e</v>
      </c>
    </row>
    <row r="54" spans="1:17" ht="20.100000000000001" customHeight="1" x14ac:dyDescent="0.25">
      <c r="A54" s="5"/>
      <c r="I54" s="8"/>
    </row>
    <row r="55" spans="1:17" ht="20.100000000000001" customHeight="1" x14ac:dyDescent="0.25">
      <c r="A55" s="5"/>
    </row>
    <row r="56" spans="1:17" ht="20.100000000000001" customHeight="1" x14ac:dyDescent="0.25">
      <c r="A56" s="5"/>
    </row>
    <row r="57" spans="1:17" ht="20.100000000000001" customHeight="1" x14ac:dyDescent="0.25">
      <c r="A57" s="5"/>
    </row>
    <row r="58" spans="1:17" ht="20.100000000000001" customHeight="1" x14ac:dyDescent="0.25">
      <c r="A58" s="5"/>
    </row>
    <row r="59" spans="1:17" ht="20.100000000000001" customHeight="1" x14ac:dyDescent="0.25">
      <c r="A59" s="5"/>
    </row>
    <row r="60" spans="1:17" ht="20.100000000000001" customHeight="1" x14ac:dyDescent="0.25">
      <c r="A60" s="5"/>
      <c r="H60" s="8"/>
      <c r="I60" s="8"/>
    </row>
    <row r="61" spans="1:17" ht="20.100000000000001" customHeight="1" x14ac:dyDescent="0.25">
      <c r="A61" s="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6C50E-71DE-44EC-93E5-3F363A9CF2E3}">
  <dimension ref="A1:R342"/>
  <sheetViews>
    <sheetView showGridLines="0" topLeftCell="E45"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818</v>
      </c>
    </row>
    <row r="2" spans="1:18" s="3" customFormat="1" ht="20.100000000000001" customHeight="1" x14ac:dyDescent="0.25">
      <c r="A2"/>
    </row>
    <row r="3" spans="1:18" ht="20.100000000000001" customHeight="1" x14ac:dyDescent="0.25">
      <c r="A3" s="5"/>
      <c r="C3" s="33"/>
      <c r="D3" s="33" t="s">
        <v>145</v>
      </c>
      <c r="E3" s="33"/>
      <c r="F3" s="33"/>
      <c r="G3" s="33"/>
      <c r="H3" s="33"/>
      <c r="I3" s="33"/>
      <c r="J3" s="33"/>
      <c r="K3" s="33"/>
      <c r="L3" s="33"/>
      <c r="M3" s="33"/>
      <c r="N3" s="33"/>
      <c r="O3" s="33"/>
      <c r="P3" s="33"/>
      <c r="Q3" s="33"/>
      <c r="R3" s="33"/>
    </row>
    <row r="4" spans="1:18" ht="20.100000000000001" customHeight="1" x14ac:dyDescent="0.25">
      <c r="A4" s="5"/>
    </row>
    <row r="5" spans="1:18" ht="20.100000000000001" customHeight="1" x14ac:dyDescent="0.25">
      <c r="A5" s="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9"/>
      <c r="P5" s="179"/>
      <c r="Q5" s="17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9"/>
      <c r="P6" s="179"/>
      <c r="Q6" s="179"/>
    </row>
    <row r="7" spans="1:18" ht="20.100000000000001" customHeight="1" x14ac:dyDescent="0.25">
      <c r="D7" s="107" t="s">
        <v>358</v>
      </c>
      <c r="E7" s="107" t="str" cm="1">
        <f t="array" aca="1" ref="E7" ca="1">Common_InputFunctions.Utility_DisplayFunctionName(N25)</f>
        <v>=Fuel_Equations.VEERG_8_1_1_1__1_FuelCombustionTransport</v>
      </c>
      <c r="K7" s="107" t="s">
        <v>358</v>
      </c>
      <c r="L7" s="107" t="str" cm="1">
        <f t="array" aca="1" ref="L7" ca="1">Common_InputFunctions.Utility_DisplayFunctionName(Q25)</f>
        <v>=Scope3_Equations.VEERG_15_11_1_1__2_UpstreamTransportFuelEmissions</v>
      </c>
      <c r="O7" s="179"/>
      <c r="P7" s="179"/>
      <c r="Q7" s="179"/>
    </row>
    <row r="8" spans="1:18" ht="20.100000000000001" customHeight="1" x14ac:dyDescent="0.25">
      <c r="A8" s="7"/>
      <c r="E8" s="107"/>
      <c r="L8" s="107"/>
      <c r="O8" s="179"/>
      <c r="P8" s="179"/>
      <c r="Q8" s="179"/>
    </row>
    <row r="9" spans="1:18" ht="20.100000000000001" customHeight="1" x14ac:dyDescent="0.25">
      <c r="A9" s="5"/>
      <c r="G9" s="27"/>
      <c r="O9" s="179"/>
      <c r="P9" s="179"/>
      <c r="Q9" s="179"/>
    </row>
    <row r="10" spans="1:18" ht="20.100000000000001" customHeight="1" x14ac:dyDescent="0.25">
      <c r="A10" s="5"/>
      <c r="O10" s="179"/>
      <c r="P10" s="179"/>
      <c r="Q10" s="179"/>
    </row>
    <row r="11" spans="1:18" ht="20.100000000000001" customHeight="1" x14ac:dyDescent="0.25">
      <c r="A11" s="5"/>
      <c r="D11" s="88" t="s">
        <v>360</v>
      </c>
      <c r="E11" s="1" t="str" cm="1">
        <f t="array" ref="E11">Fuel_Equations.VEERG_8_1_1_1__1_FuelCombustionTransport_Variable()</f>
        <v>E_g</v>
      </c>
      <c r="K11" s="88" t="s">
        <v>360</v>
      </c>
      <c r="L11" s="1" t="str" cm="1">
        <f t="array" ref="L11">Scope3_Equations.VEERG_15_11_1_1__2_UpstreamTransportFuelEmissions_Variable()</f>
        <v>E_WTTtransq</v>
      </c>
      <c r="O11" s="179"/>
      <c r="P11" s="179"/>
      <c r="Q11" s="179"/>
    </row>
    <row r="12" spans="1:18" ht="20.100000000000001" customHeight="1" x14ac:dyDescent="0.25">
      <c r="A12" s="5"/>
      <c r="D12" s="88" t="s">
        <v>128</v>
      </c>
      <c r="E12" s="15" t="str" cm="1">
        <f t="array" ref="E12">Fuel_Equations.VEERG_8_1_1_1__1_FuelCombustionTransport_Unit()</f>
        <v>t CO2-e</v>
      </c>
      <c r="K12" s="88" t="s">
        <v>128</v>
      </c>
      <c r="L12" s="15" t="str" cm="1">
        <f t="array" ref="L12">Scope3_Equations.VEERG_15_11_1_1__2_UpstreamTransportFuelEmissions_Unit()</f>
        <v>t CO2e</v>
      </c>
    </row>
    <row r="13" spans="1:18" ht="20.100000000000001" customHeight="1" x14ac:dyDescent="0.25">
      <c r="A13" s="5"/>
    </row>
    <row r="14" spans="1:18" ht="20.100000000000001" customHeight="1" x14ac:dyDescent="0.25">
      <c r="A14" s="5"/>
      <c r="D14" s="109" t="str" cm="1">
        <f t="array" ref="D14:E20">_xlfn.CHOOSECOLS(Fuel_Equations.VEERG_8_1_1_1__1_FuelCombustionTransport_Arguments(), 1,2)</f>
        <v>Q_Transtq</v>
      </c>
      <c r="E14" s="110" t="str">
        <v>Amount of fuel type q combusted for transport energy purposes</v>
      </c>
      <c r="F14" s="112"/>
      <c r="G14" s="109" t="str" cm="1">
        <f t="array" ref="G14:H20">_xlfn.CHOOSECOLS(Fuel_Equations.VEERG_8_1_1_1__1_FuelCombustionTransport_Arguments(), 3,4)</f>
        <v>Varies based on fuel type: kL, m3, GJ</v>
      </c>
      <c r="H14" s="113" t="str">
        <v>Input</v>
      </c>
      <c r="I14" s="115" t="str" cm="1">
        <f t="array" aca="1" ref="I14" ca="1">HYPERLINK(Common_InputFunctions.Utility_SourceHyperlink($D$22), $D$22)</f>
        <v>Table_E_g</v>
      </c>
      <c r="K14" s="109" t="str" cm="1">
        <f t="array" ref="K14:L16">_xlfn.CHOOSECOLS(Scope3_Equations.VEERG_15_11_1_1__2_UpstreamTransportFuelEmissions_Arguments(),1,2)</f>
        <v>Q_Transq</v>
      </c>
      <c r="L14" s="109" t="str">
        <v>amount of fuel q combusted for transport energy purposes</v>
      </c>
      <c r="M14" s="109"/>
      <c r="N14" s="109" t="str" cm="1">
        <f t="array" ref="N14:O16">_xlfn.CHOOSECOLS(Scope3_Equations.VEERG_15_11_1_1__2_UpstreamTransportFuelEmissions_Arguments(),3,4)</f>
        <v>kL</v>
      </c>
      <c r="O14" s="113" t="str">
        <v>Input</v>
      </c>
      <c r="P14" s="115" t="str" cm="1">
        <f t="array" aca="1" ref="P14" ca="1">HYPERLINK(Common_InputFunctions.Utility_SourceHyperlink($D$22), $D$22)</f>
        <v>Table_E_g</v>
      </c>
      <c r="Q14" s="179"/>
    </row>
    <row r="15" spans="1:18" ht="20.100000000000001" customHeight="1" x14ac:dyDescent="0.25">
      <c r="A15" s="5"/>
      <c r="D15" s="109" t="str">
        <v>EC_Transq</v>
      </c>
      <c r="E15" s="110" t="str">
        <v>Energy content factor for transport energy purposes</v>
      </c>
      <c r="F15" s="112"/>
      <c r="G15" s="109" t="str">
        <v>GJ / unit of fuel</v>
      </c>
      <c r="H15" s="114" t="str">
        <v>Constant</v>
      </c>
      <c r="I15" s="115" t="str" cm="1">
        <f t="array" aca="1" ref="I15" ca="1">HYPERLINK(Common_InputFunctions.Utility_SourceHyperlink($D$22), $D$22)</f>
        <v>Table_E_g</v>
      </c>
      <c r="K15" s="109" t="str">
        <v>EC_Transq</v>
      </c>
      <c r="L15" s="109" t="str">
        <v>energy content factor for transport energy purposes</v>
      </c>
      <c r="M15" s="109"/>
      <c r="N15" s="109" t="str">
        <v>GJ/kL or GJ/m3</v>
      </c>
      <c r="O15" s="114" t="str">
        <v>Constant</v>
      </c>
      <c r="P15" s="115" t="str" cm="1">
        <f t="array" aca="1" ref="P15" ca="1">HYPERLINK(Common_InputFunctions.Utility_SourceHyperlink($D$22), $D$22)</f>
        <v>Table_E_g</v>
      </c>
      <c r="Q15" s="179"/>
    </row>
    <row r="16" spans="1:18" ht="20.100000000000001" customHeight="1" x14ac:dyDescent="0.25">
      <c r="A16" s="5"/>
      <c r="D16" s="109" t="str">
        <v>EF_Trans1tqg</v>
      </c>
      <c r="E16" s="110" t="str">
        <v>Scope 1 emission factor for transport energy purposes for each greenhouse gas</v>
      </c>
      <c r="F16" s="112"/>
      <c r="G16" s="109" t="str">
        <v>kg CO2e / GJ</v>
      </c>
      <c r="H16" s="114" t="str">
        <v>Constant</v>
      </c>
      <c r="I16" s="115" t="str" cm="1">
        <f t="array" aca="1" ref="I16" ca="1">HYPERLINK(Common_InputFunctions.Utility_SourceHyperlink($D$22), $D$22)</f>
        <v>Table_E_g</v>
      </c>
      <c r="K16" s="109" t="str">
        <v>EF_Trans3q</v>
      </c>
      <c r="L16" s="109" t="str">
        <v>scope 3 emission factor for transport energy purposes</v>
      </c>
      <c r="M16" s="109"/>
      <c r="N16" s="109" t="str">
        <v>kg CO2e/GJ</v>
      </c>
      <c r="O16" s="114" t="str">
        <v>Constant</v>
      </c>
      <c r="P16" s="115" t="str" cm="1">
        <f t="array" aca="1" ref="P16" ca="1">HYPERLINK(Common_InputFunctions.Utility_SourceHyperlink($D$22), $D$22)</f>
        <v>Table_E_g</v>
      </c>
      <c r="Q16" s="179"/>
    </row>
    <row r="17" spans="1:17" ht="20.100000000000001" customHeight="1" x14ac:dyDescent="0.25">
      <c r="A17" s="5"/>
      <c r="D17" s="109" t="str">
        <v>q</v>
      </c>
      <c r="E17" s="110" t="str">
        <v>Fuel type</v>
      </c>
      <c r="F17" s="112"/>
      <c r="G17" s="109" t="str">
        <v/>
      </c>
      <c r="H17" s="114" t="str">
        <v>Constant</v>
      </c>
      <c r="I17" s="115"/>
      <c r="J17" s="179"/>
      <c r="P17" s="179"/>
      <c r="Q17" s="179"/>
    </row>
    <row r="18" spans="1:17" ht="20.100000000000001" customHeight="1" x14ac:dyDescent="0.25">
      <c r="A18" s="5"/>
      <c r="D18" s="109" t="str">
        <v>Trans</v>
      </c>
      <c r="E18" s="110" t="str">
        <v>Transport combustion</v>
      </c>
      <c r="F18" s="112"/>
      <c r="G18" s="109" t="str">
        <v/>
      </c>
      <c r="H18" s="114" t="str">
        <v>Constant</v>
      </c>
      <c r="I18" s="115"/>
      <c r="J18" s="179"/>
      <c r="L18" s="179"/>
      <c r="M18" s="179"/>
      <c r="N18" s="179"/>
      <c r="O18" s="179"/>
      <c r="P18" s="179"/>
      <c r="Q18" s="179"/>
    </row>
    <row r="19" spans="1:17" ht="20.100000000000001" customHeight="1" x14ac:dyDescent="0.25">
      <c r="A19" s="5"/>
      <c r="D19" s="109" t="str">
        <v>g</v>
      </c>
      <c r="E19" s="110" t="str">
        <v>Greenhouse gas</v>
      </c>
      <c r="F19" s="112"/>
      <c r="G19" s="109" t="str">
        <v/>
      </c>
      <c r="H19" s="114" t="str">
        <v>Constant</v>
      </c>
      <c r="I19" s="115"/>
      <c r="J19" s="179"/>
      <c r="L19" s="179"/>
      <c r="M19" s="179"/>
      <c r="N19" s="179"/>
      <c r="O19" s="179"/>
      <c r="P19" s="179"/>
      <c r="Q19" s="179"/>
    </row>
    <row r="20" spans="1:17" ht="20.100000000000001" customHeight="1" x14ac:dyDescent="0.25">
      <c r="A20" s="5"/>
      <c r="D20" s="109" t="str">
        <v>1</v>
      </c>
      <c r="E20" s="110" t="str">
        <v>Scope 1</v>
      </c>
      <c r="F20" s="112"/>
      <c r="G20" s="109" t="str">
        <v/>
      </c>
      <c r="H20" s="114" t="str">
        <v>Constant</v>
      </c>
      <c r="I20" s="115"/>
      <c r="J20" s="179"/>
      <c r="L20" s="179"/>
      <c r="M20" s="179"/>
      <c r="N20" s="179"/>
      <c r="O20" s="179"/>
      <c r="P20" s="179"/>
      <c r="Q20" s="179"/>
    </row>
    <row r="21" spans="1:17" ht="20.100000000000001" customHeight="1" x14ac:dyDescent="0.25">
      <c r="A21" s="5"/>
      <c r="O21" s="179"/>
      <c r="P21" s="179"/>
      <c r="Q21" s="179"/>
    </row>
    <row r="22" spans="1:17" ht="20.100000000000001" customHeight="1" x14ac:dyDescent="0.25">
      <c r="A22" s="5"/>
      <c r="D22" s="116" t="s">
        <v>819</v>
      </c>
    </row>
    <row r="23" spans="1:17" ht="20.100000000000001" customHeight="1" x14ac:dyDescent="0.25">
      <c r="A23" s="5"/>
      <c r="D23" s="117" t="s">
        <v>820</v>
      </c>
    </row>
    <row r="24" spans="1:17" ht="20.100000000000001" customHeight="1" x14ac:dyDescent="0.25">
      <c r="A24" s="5"/>
      <c r="D24" s="118" t="s">
        <v>821</v>
      </c>
      <c r="E24" s="118" t="s">
        <v>822</v>
      </c>
      <c r="F24" s="118" t="s">
        <v>823</v>
      </c>
      <c r="G24" s="118" t="s">
        <v>824</v>
      </c>
      <c r="H24" s="118" t="s">
        <v>825</v>
      </c>
      <c r="I24" s="118" t="s">
        <v>826</v>
      </c>
      <c r="J24" s="118" t="s">
        <v>827</v>
      </c>
      <c r="K24" s="118" t="s">
        <v>828</v>
      </c>
      <c r="L24" s="94" t="s">
        <v>829</v>
      </c>
      <c r="M24" s="118" t="s">
        <v>830</v>
      </c>
      <c r="N24" s="118" t="s">
        <v>831</v>
      </c>
      <c r="O24" s="118" t="s">
        <v>832</v>
      </c>
      <c r="P24" s="118" t="s">
        <v>833</v>
      </c>
      <c r="Q24" s="118" t="s">
        <v>834</v>
      </c>
    </row>
    <row r="25" spans="1:17" ht="20.100000000000001" customHeight="1" x14ac:dyDescent="0.25">
      <c r="A25" s="5"/>
      <c r="D25" s="35" t="str">
        <f>Table_FuelTypesPerUse[[#Headers],[Cars and light commercial vehicles]]</f>
        <v>Cars and light commercial vehicles</v>
      </c>
      <c r="E25" s="203" t="str">
        <f>'Constants - Fuel'!$E$10</f>
        <v>Gasoline</v>
      </c>
      <c r="F25" s="20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3" cm="1">
        <f t="array" ref="L25">Fuel_InputFunctions.Fuel_TotalConsumption(Table_Input_Fuel[Amount consumed], Table_Input_Fuel[Fuel use (select)], D25, Table_Input_Fuel[Fuel type (select)],F25)</f>
        <v>0</v>
      </c>
      <c r="M25" s="183" t="str" cm="1">
        <f t="array" ref="M25">Common_InputFunctions.Utility_LookupValueInTable(F25,Table_FuelTypes_Units[Fuel type],Table_FuelTypes_Units[Unit])</f>
        <v>kL</v>
      </c>
      <c r="N25" s="204" cm="1">
        <f t="array" ref="N25">Fuel_Equations.VEERG_8_1_1_1__1_FuelCombustionTransport($L25,$G25,$H25)</f>
        <v>0</v>
      </c>
      <c r="O25" s="204" cm="1">
        <f t="array" ref="O25">Fuel_Equations.VEERG_8_1_1_1__1_FuelCombustionTransport($L25,$G25,$I25)</f>
        <v>0</v>
      </c>
      <c r="P25" s="204" cm="1">
        <f t="array" ref="P25">Fuel_Equations.VEERG_8_1_1_1__1_FuelCombustionTransport($L25,$G25,$J25)</f>
        <v>0</v>
      </c>
      <c r="Q25" s="204" cm="1">
        <f t="array" ref="Q25">Scope3_Equations.VEERG_15_11_1_1__2_UpstreamTransportFuelEmissions(L25,G25,K25)</f>
        <v>0</v>
      </c>
    </row>
    <row r="26" spans="1:17" ht="20.100000000000001" customHeight="1" x14ac:dyDescent="0.25">
      <c r="A26" s="5"/>
      <c r="D26" s="205" t="str">
        <f t="shared" ref="D26:D32" si="0">$D$25</f>
        <v>Cars and light commercial vehicles</v>
      </c>
      <c r="E26" s="203" t="str">
        <f>'Constants - Fuel'!$E$11</f>
        <v>Diesel oil</v>
      </c>
      <c r="F26" s="20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3" cm="1">
        <f t="array" ref="L26">Fuel_InputFunctions.Fuel_TotalConsumption(Table_Input_Fuel[Amount consumed], Table_Input_Fuel[Fuel use (select)], D26, Table_Input_Fuel[Fuel type (select)],F26)</f>
        <v>10</v>
      </c>
      <c r="M26" s="183" t="str" cm="1">
        <f t="array" ref="M26">Common_InputFunctions.Utility_LookupValueInTable(F26,Table_FuelTypes_Units[Fuel type],Table_FuelTypes_Units[Unit])</f>
        <v>kL</v>
      </c>
      <c r="N26" s="204" cm="1">
        <f t="array" ref="N26">Fuel_Equations.VEERG_8_1_1_1__1_FuelCombustionTransport($L26,$G26,$H26)</f>
        <v>26.981400000000001</v>
      </c>
      <c r="O26" s="204" cm="1">
        <f t="array" ref="O26">Fuel_Equations.VEERG_8_1_1_1__1_FuelCombustionTransport($L26,$G26,$I26)</f>
        <v>3.8600000000000001E-3</v>
      </c>
      <c r="P26" s="204" cm="1">
        <f t="array" ref="P26">Fuel_Equations.VEERG_8_1_1_1__1_FuelCombustionTransport($L26,$G26,$J26)</f>
        <v>0.193</v>
      </c>
      <c r="Q26" s="204" cm="1">
        <f t="array" ref="Q26">Scope3_Equations.VEERG_15_11_1_1__2_UpstreamTransportFuelEmissions(L26,G26,K26)</f>
        <v>6.6778000000000004</v>
      </c>
    </row>
    <row r="27" spans="1:17" ht="20.100000000000001" customHeight="1" x14ac:dyDescent="0.25">
      <c r="D27" s="205" t="str">
        <f t="shared" si="0"/>
        <v>Cars and light commercial vehicles</v>
      </c>
      <c r="E27" s="203" t="str">
        <f>'Constants - Fuel'!$E$12</f>
        <v>Liquefied petroleum gas (LPG)</v>
      </c>
      <c r="F27" s="20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3" cm="1">
        <f t="array" ref="L27">Fuel_InputFunctions.Fuel_TotalConsumption(Table_Input_Fuel[Amount consumed], Table_Input_Fuel[Fuel use (select)], D27, Table_Input_Fuel[Fuel type (select)],F27)</f>
        <v>0</v>
      </c>
      <c r="M27" s="183" t="str" cm="1">
        <f t="array" ref="M27">Common_InputFunctions.Utility_LookupValueInTable(F27,Table_FuelTypes_Units[Fuel type],Table_FuelTypes_Units[Unit])</f>
        <v>kL</v>
      </c>
      <c r="N27" s="204" cm="1">
        <f t="array" ref="N27">Fuel_Equations.VEERG_8_1_1_1__1_FuelCombustionTransport($L27,$G27,$H27)</f>
        <v>0</v>
      </c>
      <c r="O27" s="204" cm="1">
        <f t="array" ref="O27">Fuel_Equations.VEERG_8_1_1_1__1_FuelCombustionTransport($L27,$G27,$I27)</f>
        <v>0</v>
      </c>
      <c r="P27" s="204" cm="1">
        <f t="array" ref="P27">Fuel_Equations.VEERG_8_1_1_1__1_FuelCombustionTransport($L27,$G27,$J27)</f>
        <v>0</v>
      </c>
      <c r="Q27" s="204" cm="1">
        <f t="array" ref="Q27">Scope3_Equations.VEERG_15_11_1_1__2_UpstreamTransportFuelEmissions(L27,G27,K27)</f>
        <v>0</v>
      </c>
    </row>
    <row r="28" spans="1:17" ht="20.100000000000001" customHeight="1" x14ac:dyDescent="0.25">
      <c r="D28" s="205" t="str">
        <f t="shared" si="0"/>
        <v>Cars and light commercial vehicles</v>
      </c>
      <c r="E28" s="203" t="str">
        <f>'Constants - Fuel'!$E$13</f>
        <v>Fuel oil</v>
      </c>
      <c r="F28" s="20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3" cm="1">
        <f t="array" ref="L28">Fuel_InputFunctions.Fuel_TotalConsumption(Table_Input_Fuel[Amount consumed], Table_Input_Fuel[Fuel use (select)], D28, Table_Input_Fuel[Fuel type (select)],F28)</f>
        <v>0</v>
      </c>
      <c r="M28" s="183" t="str" cm="1">
        <f t="array" ref="M28">Common_InputFunctions.Utility_LookupValueInTable(F28,Table_FuelTypes_Units[Fuel type],Table_FuelTypes_Units[Unit])</f>
        <v>kL</v>
      </c>
      <c r="N28" s="204" cm="1">
        <f t="array" ref="N28">Fuel_Equations.VEERG_8_1_1_1__1_FuelCombustionTransport($L28,$G28,$H28)</f>
        <v>0</v>
      </c>
      <c r="O28" s="204" cm="1">
        <f t="array" ref="O28">Fuel_Equations.VEERG_8_1_1_1__1_FuelCombustionTransport($L28,$G28,$I28)</f>
        <v>0</v>
      </c>
      <c r="P28" s="204" cm="1">
        <f t="array" ref="P28">Fuel_Equations.VEERG_8_1_1_1__1_FuelCombustionTransport($L28,$G28,$J28)</f>
        <v>0</v>
      </c>
      <c r="Q28" s="204" cm="1">
        <f t="array" ref="Q28">Scope3_Equations.VEERG_15_11_1_1__2_UpstreamTransportFuelEmissions(L28,G28,K28)</f>
        <v>0</v>
      </c>
    </row>
    <row r="29" spans="1:17" ht="20.100000000000001" customHeight="1" x14ac:dyDescent="0.25">
      <c r="A29" s="6"/>
      <c r="D29" s="205" t="str">
        <f t="shared" si="0"/>
        <v>Cars and light commercial vehicles</v>
      </c>
      <c r="E29" s="203" t="str">
        <f>'Constants - Fuel'!$E$14</f>
        <v>Ethanol</v>
      </c>
      <c r="F29" s="20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3" cm="1">
        <f t="array" ref="L29">Fuel_InputFunctions.Fuel_TotalConsumption(Table_Input_Fuel[Amount consumed], Table_Input_Fuel[Fuel use (select)], D29, Table_Input_Fuel[Fuel type (select)],F29)</f>
        <v>0</v>
      </c>
      <c r="M29" s="183" t="str" cm="1">
        <f t="array" ref="M29">Common_InputFunctions.Utility_LookupValueInTable(F29,Table_FuelTypes_Units[Fuel type],Table_FuelTypes_Units[Unit])</f>
        <v>kL</v>
      </c>
      <c r="N29" s="204" cm="1">
        <f t="array" ref="N29">Fuel_Equations.VEERG_8_1_1_1__1_FuelCombustionTransport($L29,$G29,$H29)</f>
        <v>0</v>
      </c>
      <c r="O29" s="204" cm="1">
        <f t="array" ref="O29">Fuel_Equations.VEERG_8_1_1_1__1_FuelCombustionTransport($L29,$G29,$I29)</f>
        <v>0</v>
      </c>
      <c r="P29" s="204" cm="1">
        <f t="array" ref="P29">Fuel_Equations.VEERG_8_1_1_1__1_FuelCombustionTransport($L29,$G29,$J29)</f>
        <v>0</v>
      </c>
      <c r="Q29" s="204" cm="1">
        <f t="array" ref="Q29">Scope3_Equations.VEERG_15_11_1_1__2_UpstreamTransportFuelEmissions(L29,G29,IF(ISNUMBER(K29),K29,0))</f>
        <v>0</v>
      </c>
    </row>
    <row r="30" spans="1:17" ht="20.100000000000001" customHeight="1" x14ac:dyDescent="0.25">
      <c r="A30" s="5"/>
      <c r="D30" s="205" t="str">
        <f t="shared" si="0"/>
        <v>Cars and light commercial vehicles</v>
      </c>
      <c r="E30" s="203" t="str">
        <f>'Constants - Fuel'!$E$15</f>
        <v>Biodiesel</v>
      </c>
      <c r="F30" s="20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3" cm="1">
        <f t="array" ref="L30">Fuel_InputFunctions.Fuel_TotalConsumption(Table_Input_Fuel[Amount consumed], Table_Input_Fuel[Fuel use (select)], D30, Table_Input_Fuel[Fuel type (select)],F30)</f>
        <v>0</v>
      </c>
      <c r="M30" s="183" t="str" cm="1">
        <f t="array" ref="M30">Common_InputFunctions.Utility_LookupValueInTable(F30,Table_FuelTypes_Units[Fuel type],Table_FuelTypes_Units[Unit])</f>
        <v>kL</v>
      </c>
      <c r="N30" s="204" cm="1">
        <f t="array" ref="N30">Fuel_Equations.VEERG_8_1_1_1__1_FuelCombustionTransport($L30,$G30,$H30)</f>
        <v>0</v>
      </c>
      <c r="O30" s="204" cm="1">
        <f t="array" ref="O30">Fuel_Equations.VEERG_8_1_1_1__1_FuelCombustionTransport($L30,$G30,$I30)</f>
        <v>0</v>
      </c>
      <c r="P30" s="204" cm="1">
        <f t="array" ref="P30">Fuel_Equations.VEERG_8_1_1_1__1_FuelCombustionTransport($L30,$G30,$J30)</f>
        <v>0</v>
      </c>
      <c r="Q30" s="204" cm="1">
        <f t="array" ref="Q30">Scope3_Equations.VEERG_15_11_1_1__2_UpstreamTransportFuelEmissions(L30,G30,IF(ISNUMBER(K30),K30,0))</f>
        <v>0</v>
      </c>
    </row>
    <row r="31" spans="1:17" ht="20.100000000000001" customHeight="1" x14ac:dyDescent="0.25">
      <c r="A31" s="5"/>
      <c r="D31" s="205" t="str">
        <f t="shared" si="0"/>
        <v>Cars and light commercial vehicles</v>
      </c>
      <c r="E31" s="203" t="str">
        <f>'Constants - Fuel'!$E$16</f>
        <v>Renewable diesel</v>
      </c>
      <c r="F31" s="20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4" cm="1">
        <f t="array" ref="N31">Fuel_Equations.VEERG_8_1_1_1__1_FuelCombustionTransport($L31,$G31,$H31)</f>
        <v>0</v>
      </c>
      <c r="O31" s="204" cm="1">
        <f t="array" ref="O31">Fuel_Equations.VEERG_8_1_1_1__1_FuelCombustionTransport($L31,$G31,$I31)</f>
        <v>0</v>
      </c>
      <c r="P31" s="204" cm="1">
        <f t="array" ref="P31">Fuel_Equations.VEERG_8_1_1_1__1_FuelCombustionTransport($L31,$G31,$J31)</f>
        <v>0</v>
      </c>
      <c r="Q31" s="204" cm="1">
        <f t="array" ref="Q31">Scope3_Equations.VEERG_15_11_1_1__2_UpstreamTransportFuelEmissions(L31,G31,IF(ISNUMBER(K31),K31,0))</f>
        <v>0</v>
      </c>
    </row>
    <row r="32" spans="1:17" ht="20.100000000000001" customHeight="1" x14ac:dyDescent="0.25">
      <c r="A32" s="5"/>
      <c r="D32" s="205" t="str">
        <f t="shared" si="0"/>
        <v>Cars and light commercial vehicles</v>
      </c>
      <c r="E32" s="203" t="str">
        <f>'Constants - Fuel'!$E$17</f>
        <v>Other biofuels</v>
      </c>
      <c r="F32" s="20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01" t="str" cm="1">
        <f t="array" ref="K32">IFERROR(_xlfn.XLOOKUP(1, (Table_Fuel_EFs_Transport[Fuel combusted]=$E32)*(Table_Fuel_EFs_Transport[Transport type]=$D$25), Table_Fuel_EFs_Transport[Scope 3 Emission Factor (kg CO2 - e / GJ)]), 0)</f>
        <v>NE</v>
      </c>
      <c r="L32" s="206" cm="1">
        <f t="array" ref="L32">Fuel_InputFunctions.Fuel_TotalConsumption(Table_Input_Fuel[Amount consumed], Table_Input_Fuel[Fuel use (select)], D32, Table_Input_Fuel[Fuel type (select)],F32)</f>
        <v>0</v>
      </c>
      <c r="M32" s="183" t="str" cm="1">
        <f t="array" ref="M32">Common_InputFunctions.Utility_LookupValueInTable(F32,Table_FuelTypes_Units[Fuel type],Table_FuelTypes_Units[Unit])</f>
        <v>kL</v>
      </c>
      <c r="N32" s="207" cm="1">
        <f t="array" ref="N32">Fuel_Equations.VEERG_8_1_1_1__1_FuelCombustionTransport($L32,$G32,$H32)</f>
        <v>0</v>
      </c>
      <c r="O32" s="207" cm="1">
        <f t="array" ref="O32">Fuel_Equations.VEERG_8_1_1_1__1_FuelCombustionTransport($L32,$G32,$I32)</f>
        <v>0</v>
      </c>
      <c r="P32" s="207" cm="1">
        <f t="array" ref="P32">Fuel_Equations.VEERG_8_1_1_1__1_FuelCombustionTransport($L32,$G32,$J32)</f>
        <v>0</v>
      </c>
      <c r="Q32" s="204" cm="1">
        <f t="array" ref="Q32">Scope3_Equations.VEERG_15_11_1_1__2_UpstreamTransportFuelEmissions(L32,G32,IF(ISNUMBER(K32),K32,0))</f>
        <v>0</v>
      </c>
    </row>
    <row r="33" spans="1:17" ht="20.100000000000001" customHeight="1" x14ac:dyDescent="0.25">
      <c r="A33" s="5"/>
      <c r="D33" s="208" t="str">
        <f>Table_FuelTypesPerUse[[#Headers],[Off-road Agriculture and forestry equipment]]</f>
        <v>Off-road Agriculture and forestry equipment</v>
      </c>
      <c r="E33" s="209" t="str">
        <f>'Constants - Fuel'!$E$11</f>
        <v>Diesel oil</v>
      </c>
      <c r="F33" s="209" t="str">
        <f>'Constants - Fuel'!H131</f>
        <v>Diesel</v>
      </c>
      <c r="G33" s="210" cm="1">
        <f t="array" ref="G33">IFERROR(_xlfn.XLOOKUP(1, (Table_Fuel_EFs_Transport[Fuel combusted]=$E33)*(Table_Fuel_EFs_Transport[Transport type]=$D$33), Table_Fuel_EFs_Transport[Energy Content Factor (GJ per unit of fuel)]), 0)</f>
        <v>38.6</v>
      </c>
      <c r="H33" s="210" cm="1">
        <f t="array" ref="H33">IFERROR(_xlfn.XLOOKUP(1, (Table_Fuel_EFs_Transport[Fuel combusted]=$E33)*(Table_Fuel_EFs_Transport[Transport type]=$D$33), Table_Fuel_EFs_Transport[Scope 1 Emission Factor (kg CO2 - e / GJ) CO2]), 0)</f>
        <v>69.900000000000006</v>
      </c>
      <c r="I33" s="210" cm="1">
        <f t="array" ref="I33">IFERROR(_xlfn.XLOOKUP(1, (Table_Fuel_EFs_Transport[Fuel combusted]=$E33)*(Table_Fuel_EFs_Transport[Transport type]=$D$33), Table_Fuel_EFs_Transport[Scope 1 Emission Factor (kg CO2 - e / GJ) CH4]), 0)</f>
        <v>0.3</v>
      </c>
      <c r="J33" s="210" cm="1">
        <f t="array" ref="J33">IFERROR(_xlfn.XLOOKUP(1, (Table_Fuel_EFs_Transport[Fuel combusted]=$E33)*(Table_Fuel_EFs_Transport[Transport type]=$D$33), Table_Fuel_EFs_Transport[Scope 1 Emission Factor (kg CO2 - e / GJ) N2O]), 0)</f>
        <v>0.5</v>
      </c>
      <c r="K33" s="211" cm="1">
        <f t="array" ref="K33">IFERROR(_xlfn.XLOOKUP(1, (Table_Fuel_EFs_Transport[Fuel combusted]=$E33)*(Table_Fuel_EFs_Transport[Transport type]=$D$25), Table_Fuel_EFs_Transport[Scope 3 Emission Factor (kg CO2 - e / GJ)]), 0)</f>
        <v>17.3</v>
      </c>
      <c r="L33" s="212" cm="1">
        <f t="array" ref="L33">Fuel_InputFunctions.Fuel_TotalConsumption(Table_Input_Fuel[Amount consumed], Table_Input_Fuel[Fuel use (select)], D33, Table_Input_Fuel[Fuel type (select)],F33)</f>
        <v>10</v>
      </c>
      <c r="M33" s="213" t="str" cm="1">
        <f t="array" ref="M33">Common_InputFunctions.Utility_LookupValueInTable(F33,Table_FuelTypes_Units[Fuel type],Table_FuelTypes_Units[Unit])</f>
        <v>kL</v>
      </c>
      <c r="N33" s="214" cm="1">
        <f t="array" ref="N33">Fuel_Equations.VEERG_8_1_1_1__1_FuelCombustionTransport($L33,$G33,$H33)</f>
        <v>26.981400000000001</v>
      </c>
      <c r="O33" s="214" cm="1">
        <f t="array" ref="O33">Fuel_Equations.VEERG_8_1_1_1__1_FuelCombustionTransport($L33,$G33,$I33)</f>
        <v>0.1158</v>
      </c>
      <c r="P33" s="214" cm="1">
        <f t="array" ref="P33">Fuel_Equations.VEERG_8_1_1_1__1_FuelCombustionTransport($L33,$G33,$J33)</f>
        <v>0.193</v>
      </c>
      <c r="Q33" s="215" cm="1">
        <f t="array" ref="Q33">Scope3_Equations.VEERG_15_11_1_1__2_UpstreamTransportFuelEmissions(L33,G33,K33)</f>
        <v>6.6778000000000004</v>
      </c>
    </row>
    <row r="34" spans="1:17" ht="20.100000000000001" customHeight="1" x14ac:dyDescent="0.25">
      <c r="A34" s="5"/>
      <c r="D34" s="208" t="str">
        <f>Table_FuelTypesPerUse[[#Headers],[Aviation]]</f>
        <v>Aviation</v>
      </c>
      <c r="E34" s="209" t="str">
        <f>'Constants - Fuel'!$E$28</f>
        <v>Gasoline for use as fuel in an aircraft</v>
      </c>
      <c r="F34" s="209" t="str">
        <f>'Constants - Fuel'!$F$131</f>
        <v>Avgas</v>
      </c>
      <c r="G34" s="216" cm="1">
        <f t="array" ref="G34">IFERROR(_xlfn.XLOOKUP(1, (Table_Fuel_EFs_Transport[Fuel combusted]=$E34)*(Table_Fuel_EFs_Transport[Transport type]=$D$34), Table_Fuel_EFs_Transport[Energy Content Factor (GJ per unit of fuel)]), 0)</f>
        <v>33.1</v>
      </c>
      <c r="H34" s="216" cm="1">
        <f t="array" ref="H34">IFERROR(_xlfn.XLOOKUP(1, (Table_Fuel_EFs_Transport[Fuel combusted]=$E34)*(Table_Fuel_EFs_Transport[Transport type]=$D$34), Table_Fuel_EFs_Transport[Scope 1 Emission Factor (kg CO2 - e / GJ) CO2]), 0)</f>
        <v>67</v>
      </c>
      <c r="I34" s="216" cm="1">
        <f t="array" ref="I34">IFERROR(_xlfn.XLOOKUP(1, (Table_Fuel_EFs_Transport[Fuel combusted]=$E34)*(Table_Fuel_EFs_Transport[Transport type]=$D$34), Table_Fuel_EFs_Transport[Scope 1 Emission Factor (kg CO2 - e / GJ) CH4]), 0)</f>
        <v>0.06</v>
      </c>
      <c r="J34" s="216" cm="1">
        <f t="array" ref="J34">IFERROR(_xlfn.XLOOKUP(1, (Table_Fuel_EFs_Transport[Fuel combusted]=$E34)*(Table_Fuel_EFs_Transport[Transport type]=$D$34), Table_Fuel_EFs_Transport[Scope 1 Emission Factor (kg CO2 - e / GJ) N2O]), 0)</f>
        <v>0.6</v>
      </c>
      <c r="K34" s="216" cm="1">
        <f t="array" ref="K34">IFERROR(_xlfn.XLOOKUP(1, (Table_Fuel_EFs_Transport[Fuel combusted]=$E34)*(Table_Fuel_EFs_Transport[Transport type]=$D$25), Table_Fuel_EFs_Transport[Scope 3 Emission Factor (kg CO2 - e / GJ)]), 0)</f>
        <v>0</v>
      </c>
      <c r="L34" s="213" cm="1">
        <f t="array" ref="L34">Fuel_InputFunctions.Fuel_TotalConsumption(Table_Input_Fuel[Amount consumed], Table_Input_Fuel[Fuel use (select)], D34, Table_Input_Fuel[Fuel type (select)],F34)</f>
        <v>0</v>
      </c>
      <c r="M34" s="213" t="str" cm="1">
        <f t="array" ref="M34">Common_InputFunctions.Utility_LookupValueInTable(F34,Table_FuelTypes_Units[Fuel type],Table_FuelTypes_Units[Unit])</f>
        <v>kL</v>
      </c>
      <c r="N34" s="214" cm="1">
        <f t="array" ref="N34">Fuel_Equations.VEERG_8_1_1_1__1_FuelCombustionTransport($L34,$G34,$H34)</f>
        <v>0</v>
      </c>
      <c r="O34" s="214" cm="1">
        <f t="array" ref="O34">Fuel_Equations.VEERG_8_1_1_1__1_FuelCombustionTransport($L34,$G34,$I34)</f>
        <v>0</v>
      </c>
      <c r="P34" s="214" cm="1">
        <f t="array" ref="P34">Fuel_Equations.VEERG_8_1_1_1__1_FuelCombustionTransport($L34,$G34,$J34)</f>
        <v>0</v>
      </c>
      <c r="Q34" s="214" cm="1">
        <f t="array" ref="Q34">Scope3_Equations.VEERG_15_11_1_1__2_UpstreamTransportFuelEmissions(L34,G34,K34)</f>
        <v>0</v>
      </c>
    </row>
    <row r="35" spans="1:17" ht="20.100000000000001" customHeight="1" x14ac:dyDescent="0.25">
      <c r="A35" s="5"/>
      <c r="D35" s="205" t="str">
        <f>$D$34</f>
        <v>Aviation</v>
      </c>
      <c r="E35" s="203" t="str">
        <f>'Constants - Fuel'!$E$29</f>
        <v>Kerosene for use as fuel in an aircraft</v>
      </c>
      <c r="F35" s="20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3" cm="1">
        <f t="array" ref="L35">Fuel_InputFunctions.Fuel_TotalConsumption(Table_Input_Fuel[Amount consumed], Table_Input_Fuel[Fuel use (select)], D35, Table_Input_Fuel[Fuel type (select)],F35)</f>
        <v>0</v>
      </c>
      <c r="M35" s="183" t="str" cm="1">
        <f t="array" ref="M35">Common_InputFunctions.Utility_LookupValueInTable(F35,Table_FuelTypes_Units[Fuel type],Table_FuelTypes_Units[Unit])</f>
        <v>kL</v>
      </c>
      <c r="N35" s="204" cm="1">
        <f t="array" ref="N35">Fuel_Equations.VEERG_8_1_1_1__1_FuelCombustionTransport($L35,$G35,$H35)</f>
        <v>0</v>
      </c>
      <c r="O35" s="204" cm="1">
        <f t="array" ref="O35">Fuel_Equations.VEERG_8_1_1_1__1_FuelCombustionTransport($L35,$G35,$I35)</f>
        <v>0</v>
      </c>
      <c r="P35" s="204" cm="1">
        <f t="array" ref="P35">Fuel_Equations.VEERG_8_1_1_1__1_FuelCombustionTransport($L35,$G35,$J35)</f>
        <v>0</v>
      </c>
      <c r="Q35" s="204" cm="1">
        <f t="array" ref="Q35">Scope3_Equations.VEERG_15_11_1_1__2_UpstreamTransportFuelEmissions(L35,G35,K35)</f>
        <v>0</v>
      </c>
    </row>
    <row r="36" spans="1:17" ht="20.100000000000001" customHeight="1" x14ac:dyDescent="0.25">
      <c r="A36" s="5"/>
      <c r="D36" s="205" t="str">
        <f>$D$34</f>
        <v>Aviation</v>
      </c>
      <c r="E36" s="203" t="str">
        <f>'Constants - Fuel'!$E$30</f>
        <v>Renewable aviation kerosene</v>
      </c>
      <c r="F36" s="203" t="str">
        <f>'Constants - Fuel'!$F$133</f>
        <v>Renewable aviation kerosene</v>
      </c>
      <c r="G36" s="201" cm="1">
        <f t="array" ref="G36">IFERROR(_xlfn.XLOOKUP(1, (Table_Fuel_EFs_Transport[Fuel combusted]=$E36)*(Table_Fuel_EFs_Transport[Transport type]=$D$34), Table_Fuel_EFs_Transport[Energy Content Factor (GJ per unit of fuel)]), 0)</f>
        <v>36.799999999999997</v>
      </c>
      <c r="H36" s="201" cm="1">
        <f t="array" ref="H36">IFERROR(_xlfn.XLOOKUP(1, (Table_Fuel_EFs_Transport[Fuel combusted]=$E36)*(Table_Fuel_EFs_Transport[Transport type]=$D$34), Table_Fuel_EFs_Transport[Scope 1 Emission Factor (kg CO2 - e / GJ) CO2]), 0)</f>
        <v>0</v>
      </c>
      <c r="I36" s="201" cm="1">
        <f t="array" ref="I36">IFERROR(_xlfn.XLOOKUP(1, (Table_Fuel_EFs_Transport[Fuel combusted]=$E36)*(Table_Fuel_EFs_Transport[Transport type]=$D$34), Table_Fuel_EFs_Transport[Scope 1 Emission Factor (kg CO2 - e / GJ) CH4]), 0)</f>
        <v>0.01</v>
      </c>
      <c r="J36" s="201" cm="1">
        <f t="array" ref="J36">IFERROR(_xlfn.XLOOKUP(1, (Table_Fuel_EFs_Transport[Fuel combusted]=$E36)*(Table_Fuel_EFs_Transport[Transport type]=$D$34), Table_Fuel_EFs_Transport[Scope 1 Emission Factor (kg CO2 - e / GJ) N2O]), 0)</f>
        <v>0.6</v>
      </c>
      <c r="K36" s="201" cm="1">
        <f t="array" ref="K36">IFERROR(_xlfn.XLOOKUP(1, (Table_Fuel_EFs_Transport[Fuel combusted]=$E36)*(Table_Fuel_EFs_Transport[Transport type]=$D$25), Table_Fuel_EFs_Transport[Scope 3 Emission Factor (kg CO2 - e / GJ)]), 0)</f>
        <v>0</v>
      </c>
      <c r="L36" s="206" cm="1">
        <f t="array" ref="L36">Fuel_InputFunctions.Fuel_TotalConsumption(Table_Input_Fuel[Amount consumed], Table_Input_Fuel[Fuel use (select)], D36, Table_Input_Fuel[Fuel type (select)],F36)</f>
        <v>0</v>
      </c>
      <c r="M36" s="183" t="str" cm="1">
        <f t="array" ref="M36">Common_InputFunctions.Utility_LookupValueInTable(F36,Table_FuelTypes_Units[Fuel type],Table_FuelTypes_Units[Unit])</f>
        <v>kL</v>
      </c>
      <c r="N36" s="204" cm="1">
        <f t="array" ref="N36">Fuel_Equations.VEERG_8_1_1_1__1_FuelCombustionTransport($L36,$G36,$H36)</f>
        <v>0</v>
      </c>
      <c r="O36" s="204" cm="1">
        <f t="array" ref="O36">Fuel_Equations.VEERG_8_1_1_1__1_FuelCombustionTransport($L36,$G36,$I36)</f>
        <v>0</v>
      </c>
      <c r="P36" s="204" cm="1">
        <f t="array" ref="P36">Fuel_Equations.VEERG_8_1_1_1__1_FuelCombustionTransport($L36,$G36,$J36)</f>
        <v>0</v>
      </c>
      <c r="Q36" s="207" cm="1">
        <f t="array" ref="Q36">Scope3_Equations.VEERG_15_11_1_1__2_UpstreamTransportFuelEmissions(L36,G36,K36)</f>
        <v>0</v>
      </c>
    </row>
    <row r="37" spans="1:17" ht="20.100000000000001" customHeight="1" x14ac:dyDescent="0.25">
      <c r="A37" s="5"/>
      <c r="D37" s="208" t="str">
        <f>Table_FuelTypesPerUse[[#Headers],[Vessels]]</f>
        <v>Vessels</v>
      </c>
      <c r="E37" s="209" t="str">
        <f>'Constants - Fuel'!$E$10</f>
        <v>Gasoline</v>
      </c>
      <c r="F37" s="209" t="str">
        <f>'Constants - Fuel'!$I$131</f>
        <v>Petrol</v>
      </c>
      <c r="G37" s="216" cm="1">
        <f t="array" ref="G37">IFERROR(_xlfn.XLOOKUP(1, (Table_Fuel_EFs_Transport[Fuel combusted]=$E37)*(Table_Fuel_EFs_Transport[Transport type]=$D$37), Table_Fuel_EFs_Transport[Energy Content Factor (GJ per unit of fuel)]), 0)</f>
        <v>34.200000000000003</v>
      </c>
      <c r="H37" s="216" cm="1">
        <f t="array" ref="H37">IFERROR(_xlfn.XLOOKUP(1, (Table_Fuel_EFs_Transport[Fuel combusted]=$E37)*(Table_Fuel_EFs_Transport[Transport type]=$D$37), Table_Fuel_EFs_Transport[Scope 1 Emission Factor (kg CO2 - e / GJ) CO2]), 0)</f>
        <v>67.400000000000006</v>
      </c>
      <c r="I37" s="216" cm="1">
        <f t="array" ref="I37">IFERROR(_xlfn.XLOOKUP(1, (Table_Fuel_EFs_Transport[Fuel combusted]=$E37)*(Table_Fuel_EFs_Transport[Transport type]=$D$37), Table_Fuel_EFs_Transport[Scope 1 Emission Factor (kg CO2 - e / GJ) CH4]), 0)</f>
        <v>10.1</v>
      </c>
      <c r="J37" s="216" cm="1">
        <f t="array" ref="J37">IFERROR(_xlfn.XLOOKUP(1, (Table_Fuel_EFs_Transport[Fuel combusted]=$E37)*(Table_Fuel_EFs_Transport[Transport type]=$D$37), Table_Fuel_EFs_Transport[Scope 1 Emission Factor (kg CO2 - e / GJ) N2O]), 0)</f>
        <v>0.3</v>
      </c>
      <c r="K37" s="216" cm="1">
        <f t="array" ref="K37">IFERROR(_xlfn.XLOOKUP(1, (Table_Fuel_EFs_Transport[Fuel combusted]=$E37)*(Table_Fuel_EFs_Transport[Transport type]=$D$25), Table_Fuel_EFs_Transport[Scope 3 Emission Factor (kg CO2 - e / GJ)]), 0)</f>
        <v>17.2</v>
      </c>
      <c r="L37" s="213" cm="1">
        <f t="array" ref="L37">Fuel_InputFunctions.Fuel_TotalConsumption(Table_Input_Fuel[Amount consumed], Table_Input_Fuel[Fuel use (select)], D37, Table_Input_Fuel[Fuel type (select)],F37)</f>
        <v>0</v>
      </c>
      <c r="M37" s="217" t="str" cm="1">
        <f t="array" ref="M37">Common_InputFunctions.Utility_LookupValueInTable(F37,Table_FuelTypes_Units[Fuel type],Table_FuelTypes_Units[Unit])</f>
        <v>kL</v>
      </c>
      <c r="N37" s="214" cm="1">
        <f t="array" ref="N37">Fuel_Equations.VEERG_8_1_1_1__1_FuelCombustionTransport($L37,$G37,$H37)</f>
        <v>0</v>
      </c>
      <c r="O37" s="214" cm="1">
        <f t="array" ref="O37">Fuel_Equations.VEERG_8_1_1_1__1_FuelCombustionTransport($L37,$G37,$I37)</f>
        <v>0</v>
      </c>
      <c r="P37" s="214" cm="1">
        <f t="array" ref="P37">Fuel_Equations.VEERG_8_1_1_1__1_FuelCombustionTransport($L37,$G37,$J37)</f>
        <v>0</v>
      </c>
      <c r="Q37" s="214" cm="1">
        <f t="array" ref="Q37">Scope3_Equations.VEERG_15_11_1_1__2_UpstreamTransportFuelEmissions(L37,G37,K37)</f>
        <v>0</v>
      </c>
    </row>
    <row r="38" spans="1:17" ht="20.100000000000001" customHeight="1" x14ac:dyDescent="0.25">
      <c r="A38" s="5"/>
      <c r="D38" s="205" t="str">
        <f>$D$37</f>
        <v>Vessels</v>
      </c>
      <c r="E38" s="203" t="str">
        <f>'Constants - Fuel'!$E$11</f>
        <v>Diesel oil</v>
      </c>
      <c r="F38" s="20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3" cm="1">
        <f t="array" ref="L38">Fuel_InputFunctions.Fuel_TotalConsumption(Table_Input_Fuel[Amount consumed], Table_Input_Fuel[Fuel use (select)], D38, Table_Input_Fuel[Fuel type (select)],F38)</f>
        <v>0</v>
      </c>
      <c r="M38" s="183" t="str" cm="1">
        <f t="array" ref="M38">Common_InputFunctions.Utility_LookupValueInTable(F38,Table_FuelTypes_Units[Fuel type],Table_FuelTypes_Units[Unit])</f>
        <v>kL</v>
      </c>
      <c r="N38" s="204" cm="1">
        <f t="array" ref="N38">Fuel_Equations.VEERG_8_1_1_1__1_FuelCombustionTransport($L38,$G38,$H38)</f>
        <v>0</v>
      </c>
      <c r="O38" s="204" cm="1">
        <f t="array" ref="O38">Fuel_Equations.VEERG_8_1_1_1__1_FuelCombustionTransport($L38,$G38,$I38)</f>
        <v>0</v>
      </c>
      <c r="P38" s="204" cm="1">
        <f t="array" ref="P38">Fuel_Equations.VEERG_8_1_1_1__1_FuelCombustionTransport($L38,$G38,$J38)</f>
        <v>0</v>
      </c>
      <c r="Q38" s="204" cm="1">
        <f t="array" ref="Q38">Scope3_Equations.VEERG_15_11_1_1__2_UpstreamTransportFuelEmissions(L38,G38,K38)</f>
        <v>0</v>
      </c>
    </row>
    <row r="39" spans="1:17" ht="20.100000000000001" customHeight="1" x14ac:dyDescent="0.25">
      <c r="A39" s="5"/>
      <c r="D39" s="205" t="str">
        <f>$D$37</f>
        <v>Vessels</v>
      </c>
      <c r="E39" s="203" t="str">
        <f>'Constants - Fuel'!E33</f>
        <v>Fuel Oil</v>
      </c>
      <c r="F39" s="20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3" cm="1">
        <f t="array" ref="L39">Fuel_InputFunctions.Fuel_TotalConsumption(Table_Input_Fuel[Amount consumed], Table_Input_Fuel[Fuel use (select)], D39, Table_Input_Fuel[Fuel type (select)],F39)</f>
        <v>10</v>
      </c>
      <c r="M39" s="183" t="str" cm="1">
        <f t="array" ref="M39">Common_InputFunctions.Utility_LookupValueInTable(F39,Table_FuelTypes_Units[Fuel type],Table_FuelTypes_Units[Unit])</f>
        <v>kL</v>
      </c>
      <c r="N39" s="204" cm="1">
        <f t="array" ref="N39">Fuel_Equations.VEERG_8_1_1_1__1_FuelCombustionTransport($L39,$G39,$H39)</f>
        <v>29.219199999999997</v>
      </c>
      <c r="O39" s="204" cm="1">
        <f t="array" ref="O39">Fuel_Equations.VEERG_8_1_1_1__1_FuelCombustionTransport($L39,$G39,$I39)</f>
        <v>7.9400000000000012E-2</v>
      </c>
      <c r="P39" s="204" cm="1">
        <f t="array" ref="P39">Fuel_Equations.VEERG_8_1_1_1__1_FuelCombustionTransport($L39,$G39,$J39)</f>
        <v>0.19850000000000001</v>
      </c>
      <c r="Q39" s="204" cm="1">
        <f t="array" ref="Q39">Scope3_Equations.VEERG_15_11_1_1__2_UpstreamTransportFuelEmissions(L39,G39,K39)</f>
        <v>7.1459999999999999</v>
      </c>
    </row>
    <row r="40" spans="1:17" ht="20.100000000000001" customHeight="1" x14ac:dyDescent="0.25">
      <c r="A40" s="5"/>
      <c r="H40" s="179"/>
      <c r="I40" s="179"/>
      <c r="J40" s="179"/>
      <c r="L40" s="179"/>
      <c r="M40" s="179"/>
      <c r="N40" s="179"/>
      <c r="O40" s="179"/>
      <c r="P40" s="179"/>
      <c r="Q40" s="179"/>
    </row>
    <row r="41" spans="1:17" ht="20.100000000000001" customHeight="1" x14ac:dyDescent="0.25">
      <c r="A41" s="5"/>
      <c r="H41" s="179"/>
      <c r="I41" s="179"/>
      <c r="J41" s="179"/>
      <c r="L41" s="179"/>
      <c r="M41" s="179"/>
      <c r="N41" s="179"/>
      <c r="O41" s="179"/>
      <c r="P41" s="179"/>
      <c r="Q41" s="179"/>
    </row>
    <row r="42" spans="1:17" ht="20.100000000000001" customHeight="1" x14ac:dyDescent="0.25">
      <c r="A42" s="108"/>
      <c r="D42" s="218" t="str">
        <f>"Total scope 1 - " &amp; D25</f>
        <v>Total scope 1 - Cars and light commercial vehicles</v>
      </c>
      <c r="E42" s="219"/>
      <c r="F42" s="220"/>
    </row>
    <row r="43" spans="1:17" ht="20.100000000000001" customHeight="1" x14ac:dyDescent="0.25">
      <c r="A43" s="5"/>
      <c r="D43" s="35" t="s">
        <v>835</v>
      </c>
      <c r="E43" s="221">
        <f>SUM(N25:N32)+N("Partial sum")</f>
        <v>26.981400000000001</v>
      </c>
      <c r="F43" s="26" t="str">
        <f>$E$12</f>
        <v>t CO2-e</v>
      </c>
    </row>
    <row r="44" spans="1:17" ht="20.100000000000001" customHeight="1" x14ac:dyDescent="0.25">
      <c r="A44" s="5"/>
      <c r="D44" s="35" t="s">
        <v>836</v>
      </c>
      <c r="E44" s="221">
        <f>SUM(O25:O32)+N("Partial sum")</f>
        <v>3.8600000000000001E-3</v>
      </c>
      <c r="F44" s="26" t="str">
        <f t="shared" ref="F44:F46" si="1">$E$12</f>
        <v>t CO2-e</v>
      </c>
    </row>
    <row r="45" spans="1:17" ht="20.100000000000001" customHeight="1" x14ac:dyDescent="0.25">
      <c r="A45" s="5"/>
      <c r="D45" s="35" t="s">
        <v>837</v>
      </c>
      <c r="E45" s="221">
        <f>SUM(P25:P32)+N("Partial sum")</f>
        <v>0.193</v>
      </c>
      <c r="F45" s="26" t="str">
        <f t="shared" si="1"/>
        <v>t CO2-e</v>
      </c>
    </row>
    <row r="46" spans="1:17" ht="20.100000000000001" customHeight="1" x14ac:dyDescent="0.25">
      <c r="A46" s="5"/>
      <c r="D46" s="35" t="s">
        <v>838</v>
      </c>
      <c r="E46" s="221">
        <f>SUM(Q25:Q32)+N("Partial sum")</f>
        <v>6.6778000000000004</v>
      </c>
      <c r="F46" s="26" t="str">
        <f t="shared" si="1"/>
        <v>t CO2-e</v>
      </c>
    </row>
    <row r="47" spans="1:17" ht="20.100000000000001" customHeight="1" x14ac:dyDescent="0.25">
      <c r="A47" s="5"/>
      <c r="D47" s="179"/>
      <c r="E47" s="179"/>
      <c r="F47" s="179"/>
    </row>
    <row r="48" spans="1:17" ht="20.100000000000001" customHeight="1" x14ac:dyDescent="0.25">
      <c r="A48" s="5"/>
      <c r="D48" s="218" t="str">
        <f>"Total scope 1 - " &amp; D33</f>
        <v>Total scope 1 - Off-road Agriculture and forestry equipment</v>
      </c>
      <c r="E48" s="222"/>
      <c r="F48" s="220"/>
      <c r="H48" s="179"/>
      <c r="I48" s="179"/>
      <c r="J48" s="179"/>
      <c r="L48" s="179"/>
      <c r="M48" s="179"/>
      <c r="N48" s="179"/>
      <c r="O48" s="179"/>
      <c r="P48" s="179"/>
      <c r="Q48" s="179"/>
    </row>
    <row r="49" spans="1:17" ht="20.100000000000001" customHeight="1" x14ac:dyDescent="0.25">
      <c r="D49" s="35" t="s">
        <v>835</v>
      </c>
      <c r="E49" s="221">
        <f>SUM(N33:N33)+N("Partial sum")</f>
        <v>26.981400000000001</v>
      </c>
      <c r="F49" s="26" t="str">
        <f t="shared" ref="F49:F52" si="2">$E$12</f>
        <v>t CO2-e</v>
      </c>
      <c r="H49" s="179"/>
      <c r="I49" s="179"/>
      <c r="J49" s="179"/>
      <c r="L49" s="179"/>
      <c r="M49" s="179"/>
      <c r="N49" s="179"/>
      <c r="O49" s="179"/>
      <c r="P49" s="179"/>
      <c r="Q49" s="179"/>
    </row>
    <row r="50" spans="1:17" ht="20.100000000000001" customHeight="1" x14ac:dyDescent="0.25">
      <c r="D50" s="35" t="s">
        <v>836</v>
      </c>
      <c r="E50" s="221">
        <f>SUM(O33:O33)+N("Partial sum")</f>
        <v>0.1158</v>
      </c>
      <c r="F50" s="26" t="str">
        <f t="shared" si="2"/>
        <v>t CO2-e</v>
      </c>
      <c r="H50" s="179"/>
      <c r="I50" s="179"/>
      <c r="J50" s="179"/>
      <c r="L50" s="179"/>
      <c r="M50" s="179"/>
      <c r="N50" s="179"/>
      <c r="O50" s="179"/>
      <c r="P50" s="179"/>
      <c r="Q50" s="179"/>
    </row>
    <row r="51" spans="1:17" ht="20.100000000000001" customHeight="1" x14ac:dyDescent="0.25">
      <c r="A51" s="100"/>
      <c r="D51" s="35" t="s">
        <v>837</v>
      </c>
      <c r="E51" s="221">
        <f>SUM(P33:P33)+N("Partial sum")</f>
        <v>0.193</v>
      </c>
      <c r="F51" s="26" t="str">
        <f t="shared" si="2"/>
        <v>t CO2-e</v>
      </c>
      <c r="H51" s="179"/>
      <c r="I51" s="179"/>
      <c r="J51" s="179"/>
      <c r="L51" s="179"/>
      <c r="M51" s="179"/>
      <c r="N51" s="179"/>
      <c r="O51" s="179"/>
      <c r="P51" s="179"/>
      <c r="Q51" s="179"/>
    </row>
    <row r="52" spans="1:17" ht="20.100000000000001" customHeight="1" x14ac:dyDescent="0.25">
      <c r="A52" s="5"/>
      <c r="D52" s="35" t="s">
        <v>838</v>
      </c>
      <c r="E52" s="221">
        <f>SUM(Q33)+N("Partial sum")</f>
        <v>6.6778000000000004</v>
      </c>
      <c r="F52" s="26" t="str">
        <f t="shared" si="2"/>
        <v>t CO2-e</v>
      </c>
      <c r="H52" s="179"/>
      <c r="I52" s="179"/>
      <c r="J52" s="179"/>
      <c r="L52" s="179"/>
      <c r="M52" s="179"/>
      <c r="N52" s="179"/>
      <c r="O52" s="179"/>
      <c r="P52" s="179"/>
      <c r="Q52" s="179"/>
    </row>
    <row r="53" spans="1:17" ht="20.100000000000001" customHeight="1" x14ac:dyDescent="0.25">
      <c r="A53" s="5"/>
      <c r="D53" s="179"/>
      <c r="E53" s="223"/>
      <c r="F53" s="179"/>
      <c r="G53" s="179"/>
      <c r="H53" s="179"/>
      <c r="I53" s="179"/>
      <c r="J53" s="179"/>
      <c r="L53" s="179"/>
      <c r="M53" s="179"/>
      <c r="N53" s="179"/>
      <c r="O53" s="179"/>
      <c r="P53" s="179"/>
      <c r="Q53" s="179"/>
    </row>
    <row r="54" spans="1:17" ht="20.100000000000001" customHeight="1" x14ac:dyDescent="0.25">
      <c r="A54" s="5"/>
      <c r="D54" s="218" t="str">
        <f>"Total scope 1 - " &amp; D34</f>
        <v>Total scope 1 - Aviation</v>
      </c>
      <c r="E54" s="222"/>
      <c r="F54" s="220"/>
      <c r="G54" s="179"/>
      <c r="H54" s="179"/>
      <c r="I54" s="179"/>
      <c r="J54" s="179"/>
      <c r="L54" s="179"/>
      <c r="M54" s="179"/>
      <c r="N54" s="179"/>
      <c r="O54" s="179"/>
      <c r="P54" s="179"/>
      <c r="Q54" s="179"/>
    </row>
    <row r="55" spans="1:17" ht="20.100000000000001" customHeight="1" x14ac:dyDescent="0.25">
      <c r="A55" s="5"/>
      <c r="D55" s="35" t="s">
        <v>835</v>
      </c>
      <c r="E55" s="221">
        <f>SUM(N34:N36)+N("Partial sum")</f>
        <v>0</v>
      </c>
      <c r="F55" s="26" t="str">
        <f t="shared" ref="F55:F58" si="3">$E$12</f>
        <v>t CO2-e</v>
      </c>
      <c r="G55" s="179"/>
      <c r="H55" s="179"/>
      <c r="I55" s="179"/>
      <c r="J55" s="179"/>
      <c r="L55" s="179"/>
      <c r="M55" s="179"/>
      <c r="N55" s="179"/>
      <c r="O55" s="179"/>
      <c r="P55" s="179"/>
      <c r="Q55" s="179"/>
    </row>
    <row r="56" spans="1:17" ht="20.100000000000001" customHeight="1" x14ac:dyDescent="0.25">
      <c r="A56" s="5"/>
      <c r="D56" s="35" t="s">
        <v>836</v>
      </c>
      <c r="E56" s="221">
        <f>SUM(O34:O36)+N("Partial sum")</f>
        <v>0</v>
      </c>
      <c r="F56" s="26" t="str">
        <f t="shared" si="3"/>
        <v>t CO2-e</v>
      </c>
      <c r="G56" s="179"/>
      <c r="H56" s="179"/>
      <c r="I56" s="179"/>
      <c r="J56" s="179"/>
      <c r="L56" s="179"/>
      <c r="M56" s="179"/>
      <c r="N56" s="179"/>
      <c r="O56" s="179"/>
      <c r="P56" s="179"/>
      <c r="Q56" s="179"/>
    </row>
    <row r="57" spans="1:17" ht="20.100000000000001" customHeight="1" x14ac:dyDescent="0.25">
      <c r="A57" s="5"/>
      <c r="D57" s="35" t="s">
        <v>837</v>
      </c>
      <c r="E57" s="221">
        <f>SUM(P34:P36)+N("Partial sum")</f>
        <v>0</v>
      </c>
      <c r="F57" s="26" t="str">
        <f t="shared" si="3"/>
        <v>t CO2-e</v>
      </c>
      <c r="G57" s="179"/>
      <c r="H57" s="179"/>
      <c r="I57" s="179"/>
      <c r="J57" s="179"/>
      <c r="L57" s="179"/>
      <c r="M57" s="179"/>
      <c r="N57" s="179"/>
      <c r="O57" s="179"/>
      <c r="P57" s="179"/>
      <c r="Q57" s="179"/>
    </row>
    <row r="58" spans="1:17" ht="20.100000000000001" customHeight="1" x14ac:dyDescent="0.25">
      <c r="A58" s="5"/>
      <c r="D58" s="35" t="s">
        <v>838</v>
      </c>
      <c r="E58" s="221">
        <f>SUM(Q34:Q36)+N("Partial sum")</f>
        <v>0</v>
      </c>
      <c r="F58" s="26" t="str">
        <f t="shared" si="3"/>
        <v>t CO2-e</v>
      </c>
      <c r="G58" s="179"/>
      <c r="H58" s="179"/>
      <c r="I58" s="179"/>
      <c r="J58" s="179"/>
      <c r="L58" s="179"/>
      <c r="M58" s="179"/>
      <c r="N58" s="179"/>
      <c r="O58" s="179"/>
      <c r="P58" s="179"/>
      <c r="Q58" s="179"/>
    </row>
    <row r="59" spans="1:17" ht="20.100000000000001" customHeight="1" x14ac:dyDescent="0.25">
      <c r="A59" s="5"/>
      <c r="D59" s="179"/>
      <c r="E59" s="223"/>
      <c r="F59" s="179"/>
      <c r="G59" s="179"/>
      <c r="H59" s="179"/>
      <c r="I59" s="179"/>
      <c r="J59" s="179"/>
      <c r="L59" s="179"/>
      <c r="M59" s="179"/>
      <c r="N59" s="179"/>
      <c r="O59" s="179"/>
      <c r="P59" s="179"/>
      <c r="Q59" s="179"/>
    </row>
    <row r="60" spans="1:17" ht="20.100000000000001" customHeight="1" x14ac:dyDescent="0.25">
      <c r="A60" s="5"/>
      <c r="D60" s="218" t="str">
        <f>"Total scope 1 - " &amp; D37</f>
        <v>Total scope 1 - Vessels</v>
      </c>
      <c r="E60" s="222"/>
      <c r="F60" s="220"/>
      <c r="G60" s="179"/>
      <c r="H60" s="179"/>
      <c r="I60" s="179"/>
      <c r="J60" s="179"/>
      <c r="L60" s="179"/>
      <c r="M60" s="179"/>
      <c r="N60" s="179"/>
      <c r="O60" s="179"/>
      <c r="P60" s="179"/>
      <c r="Q60" s="179"/>
    </row>
    <row r="61" spans="1:17" ht="20.100000000000001" customHeight="1" x14ac:dyDescent="0.25">
      <c r="A61" s="5"/>
      <c r="D61" s="35" t="s">
        <v>835</v>
      </c>
      <c r="E61" s="221">
        <f>SUM(N37:N39)+N("Partial sum")</f>
        <v>29.219199999999997</v>
      </c>
      <c r="F61" s="26" t="str">
        <f t="shared" ref="F61:F64" si="4">$E$12</f>
        <v>t CO2-e</v>
      </c>
      <c r="G61" s="179"/>
      <c r="H61" s="179"/>
      <c r="I61" s="179"/>
      <c r="J61" s="179"/>
      <c r="L61" s="179"/>
      <c r="M61" s="179"/>
      <c r="N61" s="179"/>
      <c r="O61" s="179"/>
      <c r="P61" s="179"/>
      <c r="Q61" s="179"/>
    </row>
    <row r="62" spans="1:17" ht="20.100000000000001" customHeight="1" x14ac:dyDescent="0.25">
      <c r="D62" s="35" t="s">
        <v>836</v>
      </c>
      <c r="E62" s="221">
        <f>SUM(O37:O39)+N("Partial sum")</f>
        <v>7.9400000000000012E-2</v>
      </c>
      <c r="F62" s="26" t="str">
        <f t="shared" si="4"/>
        <v>t CO2-e</v>
      </c>
      <c r="G62" s="179"/>
      <c r="H62" s="179"/>
      <c r="I62" s="179"/>
      <c r="J62" s="179"/>
      <c r="L62" s="179"/>
      <c r="M62" s="179"/>
      <c r="N62" s="179"/>
      <c r="O62" s="179"/>
      <c r="P62" s="179"/>
      <c r="Q62" s="179"/>
    </row>
    <row r="63" spans="1:17" ht="20.100000000000001" customHeight="1" x14ac:dyDescent="0.25">
      <c r="D63" s="35" t="s">
        <v>837</v>
      </c>
      <c r="E63" s="221">
        <f>SUM(P37:P39)+N("Partial sum")</f>
        <v>0.19850000000000001</v>
      </c>
      <c r="F63" s="26" t="str">
        <f t="shared" si="4"/>
        <v>t CO2-e</v>
      </c>
      <c r="G63" s="179"/>
      <c r="H63" s="179"/>
      <c r="I63" s="179"/>
      <c r="J63" s="179"/>
      <c r="L63" s="179"/>
      <c r="M63" s="179"/>
      <c r="N63" s="179"/>
      <c r="O63" s="179"/>
      <c r="P63" s="179"/>
      <c r="Q63" s="179"/>
    </row>
    <row r="64" spans="1:17" ht="20.100000000000001" customHeight="1" x14ac:dyDescent="0.25">
      <c r="D64" s="35" t="s">
        <v>838</v>
      </c>
      <c r="E64" s="221">
        <f>SUM(Q37:Q39)+N("Partial sum")</f>
        <v>7.1459999999999999</v>
      </c>
      <c r="F64" s="26" t="str">
        <f t="shared" si="4"/>
        <v>t CO2-e</v>
      </c>
      <c r="G64" s="179"/>
      <c r="H64" s="179"/>
      <c r="I64" s="179"/>
      <c r="J64" s="179"/>
      <c r="L64" s="179"/>
      <c r="M64" s="179"/>
      <c r="N64" s="179"/>
      <c r="O64" s="179"/>
      <c r="P64" s="179"/>
      <c r="Q64" s="179"/>
    </row>
    <row r="65" spans="4:17" ht="20.100000000000001" customHeight="1" x14ac:dyDescent="0.25">
      <c r="G65" s="179"/>
      <c r="H65" s="179"/>
      <c r="I65" s="179"/>
      <c r="J65" s="179"/>
      <c r="L65" s="179"/>
      <c r="M65" s="179"/>
      <c r="N65" s="179"/>
      <c r="O65" s="179"/>
      <c r="P65" s="179"/>
      <c r="Q65" s="179"/>
    </row>
    <row r="66" spans="4:17" ht="20.100000000000001" customHeight="1" x14ac:dyDescent="0.25">
      <c r="D66" s="218" t="s">
        <v>839</v>
      </c>
      <c r="E66" s="224"/>
      <c r="F66" s="220"/>
      <c r="G66" s="179"/>
      <c r="H66" s="179"/>
      <c r="I66" s="179"/>
      <c r="J66" s="179"/>
      <c r="L66" s="179"/>
      <c r="M66" s="179"/>
      <c r="N66" s="179"/>
      <c r="O66" s="179"/>
      <c r="P66" s="179"/>
      <c r="Q66" s="179"/>
    </row>
    <row r="67" spans="4:17" ht="20.100000000000001" customHeight="1" x14ac:dyDescent="0.25">
      <c r="D67" s="35" t="s">
        <v>835</v>
      </c>
      <c r="E67" s="221">
        <f>E43+E49+E55+E61</f>
        <v>83.182000000000002</v>
      </c>
      <c r="F67" s="26" t="str">
        <f t="shared" ref="F67:F70" si="5">$E$12</f>
        <v>t CO2-e</v>
      </c>
      <c r="G67" s="179"/>
    </row>
    <row r="68" spans="4:17" ht="20.100000000000001" customHeight="1" x14ac:dyDescent="0.25">
      <c r="D68" s="35" t="s">
        <v>836</v>
      </c>
      <c r="E68" s="221">
        <f t="shared" ref="E68:E70" si="6">E44+E50+E56+E62</f>
        <v>0.19906000000000001</v>
      </c>
      <c r="F68" s="26" t="str">
        <f t="shared" si="5"/>
        <v>t CO2-e</v>
      </c>
      <c r="G68" s="179"/>
    </row>
    <row r="69" spans="4:17" ht="20.100000000000001" customHeight="1" x14ac:dyDescent="0.25">
      <c r="D69" s="35" t="s">
        <v>837</v>
      </c>
      <c r="E69" s="221">
        <f t="shared" si="6"/>
        <v>0.58450000000000002</v>
      </c>
      <c r="F69" s="26" t="str">
        <f t="shared" si="5"/>
        <v>t CO2-e</v>
      </c>
      <c r="G69" s="179"/>
    </row>
    <row r="70" spans="4:17" ht="20.100000000000001" customHeight="1" x14ac:dyDescent="0.25">
      <c r="D70" s="35" t="s">
        <v>838</v>
      </c>
      <c r="E70" s="221">
        <f t="shared" si="6"/>
        <v>20.5016</v>
      </c>
      <c r="F70" s="26" t="str">
        <f t="shared" si="5"/>
        <v>t CO2-e</v>
      </c>
      <c r="G70" s="179"/>
    </row>
    <row r="71" spans="4:17" ht="20.100000000000001" customHeight="1" x14ac:dyDescent="0.25">
      <c r="G71" s="17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96E84CD-C86F-486F-8A55-C62603FDA20F}"/>
  </dataValidations>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1EDE8-A0A5-4739-9758-7D28EFF0AD24}">
  <dimension ref="A1:R165"/>
  <sheetViews>
    <sheetView showGridLines="0" topLeftCell="A3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840</v>
      </c>
    </row>
    <row r="2" spans="1:18" s="3" customFormat="1" ht="20.100000000000001" customHeight="1" x14ac:dyDescent="0.25">
      <c r="A2"/>
    </row>
    <row r="3" spans="1:18" ht="20.100000000000001" customHeight="1" x14ac:dyDescent="0.25">
      <c r="A3" s="5"/>
      <c r="C3" s="33"/>
      <c r="D3" s="33" t="s">
        <v>145</v>
      </c>
      <c r="E3" s="33"/>
      <c r="F3" s="33"/>
      <c r="G3" s="33"/>
      <c r="H3" s="33"/>
      <c r="I3" s="33"/>
      <c r="J3" s="33"/>
      <c r="K3" s="33"/>
      <c r="L3" s="33"/>
      <c r="M3" s="33"/>
      <c r="N3" s="33"/>
      <c r="O3" s="33"/>
      <c r="P3" s="33"/>
      <c r="Q3" s="33"/>
      <c r="R3" s="33"/>
    </row>
    <row r="4" spans="1:18" ht="20.100000000000001" customHeight="1" x14ac:dyDescent="0.25">
      <c r="A4" s="5"/>
    </row>
    <row r="5" spans="1:18" ht="20.100000000000001" customHeight="1" x14ac:dyDescent="0.25">
      <c r="A5" s="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9"/>
      <c r="P5" s="179"/>
      <c r="Q5" s="179"/>
      <c r="R5" s="17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9"/>
      <c r="P6" s="179"/>
      <c r="Q6" s="179"/>
      <c r="R6" s="179"/>
    </row>
    <row r="7" spans="1:18" ht="20.100000000000001" customHeight="1" x14ac:dyDescent="0.25">
      <c r="D7" s="107" t="s">
        <v>358</v>
      </c>
      <c r="E7" s="107"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9"/>
      <c r="P7" s="179"/>
      <c r="Q7" s="179"/>
      <c r="R7" s="179"/>
    </row>
    <row r="8" spans="1:18" ht="20.100000000000001" customHeight="1" x14ac:dyDescent="0.25">
      <c r="A8" s="7"/>
      <c r="K8" s="107" t="s">
        <v>358</v>
      </c>
      <c r="L8" s="107" t="str" cm="1">
        <f t="array" aca="1" ref="L8" ca="1">Common_InputFunctions.Utility_DisplayFunctionName(Q25)</f>
        <v>=Fuel_Equations.VEERG_8_2_1_1__1_FuelCombustionStationary</v>
      </c>
      <c r="O8" s="179"/>
      <c r="P8" s="179"/>
      <c r="Q8" s="179"/>
      <c r="R8" s="179"/>
    </row>
    <row r="9" spans="1:18" ht="20.100000000000001" customHeight="1" x14ac:dyDescent="0.25">
      <c r="A9" s="5"/>
      <c r="G9" s="27"/>
      <c r="O9" s="179"/>
      <c r="P9" s="179"/>
      <c r="Q9" s="179"/>
      <c r="R9" s="179"/>
    </row>
    <row r="10" spans="1:18" ht="20.100000000000001" customHeight="1" x14ac:dyDescent="0.25">
      <c r="A10" s="5"/>
      <c r="O10" s="179"/>
      <c r="P10" s="179"/>
      <c r="Q10" s="179"/>
      <c r="R10" s="179"/>
    </row>
    <row r="11" spans="1:18" ht="20.100000000000001" customHeight="1" x14ac:dyDescent="0.25">
      <c r="A11" s="5"/>
      <c r="D11" s="88" t="s">
        <v>360</v>
      </c>
      <c r="E11" s="1" t="str" cm="1">
        <f t="array" ref="E11">Fuel_Equations.VEERG_8_2_1_1__1_FuelCombustionStationary_Variable()</f>
        <v>E_g</v>
      </c>
      <c r="K11" s="88" t="s">
        <v>360</v>
      </c>
      <c r="L11" s="1" t="str" cm="1">
        <f t="array" ref="L11">Scope3_Equations.VEERG_15_11_1_1__3_UpstreamStationaryFuelEmissions_Variable()</f>
        <v>E_WTTSCq</v>
      </c>
      <c r="O11" s="179"/>
      <c r="P11" s="179"/>
      <c r="Q11" s="179"/>
      <c r="R11" s="179"/>
    </row>
    <row r="12" spans="1:18" ht="20.100000000000001" customHeight="1" x14ac:dyDescent="0.25">
      <c r="A12" s="5"/>
      <c r="D12" s="88" t="s">
        <v>128</v>
      </c>
      <c r="E12" s="15" t="str" cm="1">
        <f t="array" ref="E12">Fuel_Equations.VEERG_8_2_1_1__1_FuelCombustionStationary_Unit()</f>
        <v>t CO2-e</v>
      </c>
      <c r="K12" s="88" t="s">
        <v>128</v>
      </c>
      <c r="L12" s="15" t="str" cm="1">
        <f t="array" ref="L12">Scope3_Equations.VEERG_15_11_1_1__3_UpstreamStationaryFuelEmissions_Unit()</f>
        <v>t CO2e</v>
      </c>
    </row>
    <row r="13" spans="1:18" ht="20.100000000000001" customHeight="1" x14ac:dyDescent="0.25">
      <c r="A13" s="5"/>
    </row>
    <row r="14" spans="1:18" ht="20.100000000000001" customHeight="1" x14ac:dyDescent="0.25">
      <c r="A14" s="5"/>
      <c r="D14" s="109" t="str" cm="1">
        <f t="array" ref="D14:E20">_xlfn.CHOOSECOLS(Fuel_Equations.VEERG_8_2_1_1__1_FuelCombustionStationary_Arguments(), 1,2)</f>
        <v>Q_SCq</v>
      </c>
      <c r="E14" s="110" t="str">
        <v>Amount of fuel type q used for stationary combustion operations</v>
      </c>
      <c r="F14" s="112"/>
      <c r="G14" s="109" t="str" cm="1">
        <f t="array" ref="G14:H20">_xlfn.CHOOSECOLS(Fuel_Equations.VEERG_8_2_1_1__1_FuelCombustionStationary_Arguments(), 3,4)</f>
        <v>Varies based on fuel type: kL, m3, GJ</v>
      </c>
      <c r="H14" s="113" t="str">
        <v>Input</v>
      </c>
      <c r="I14" s="115" t="str" cm="1">
        <f t="array" aca="1" ref="I14" ca="1">HYPERLINK(Common_InputFunctions.Utility_SourceHyperlink($D$22), $D$22)</f>
        <v>Table_E_g</v>
      </c>
      <c r="K14" s="109" t="str" cm="1">
        <f t="array" ref="K14:L18">_xlfn.CHOOSECOLS(Scope3_Equations.VEERG_15_11_1_1__3_UpstreamStationaryFuelEmissions_Arguments(),1,2)</f>
        <v>Q_SCq</v>
      </c>
      <c r="L14" s="109" t="str">
        <v>amount of fuel q used for stationary combustion operations</v>
      </c>
      <c r="M14" s="109"/>
      <c r="N14" s="109" t="str" cm="1">
        <f t="array" ref="N14:O18">_xlfn.CHOOSECOLS(Scope3_Equations.VEERG_15_11_1_1__3_UpstreamStationaryFuelEmissions_Arguments(),3,4)</f>
        <v>kL</v>
      </c>
      <c r="O14" s="113" t="str">
        <v>Input</v>
      </c>
      <c r="P14" s="115" t="str" cm="1">
        <f t="array" aca="1" ref="P14" ca="1">HYPERLINK(Common_InputFunctions.Utility_SourceHyperlink($D$22), $D$22)</f>
        <v>Table_E_g</v>
      </c>
      <c r="Q14" s="179"/>
    </row>
    <row r="15" spans="1:18" ht="20.100000000000001" customHeight="1" x14ac:dyDescent="0.25">
      <c r="A15" s="5"/>
      <c r="D15" s="109" t="str">
        <v>EC_SCq</v>
      </c>
      <c r="E15" s="110" t="str">
        <v>Energy content factor for stationary combustion operations</v>
      </c>
      <c r="F15" s="112"/>
      <c r="G15" s="109" t="str">
        <v>GJ / unit of fuel</v>
      </c>
      <c r="H15" s="114" t="str">
        <v>Constant</v>
      </c>
      <c r="I15" s="115" t="str" cm="1">
        <f t="array" aca="1" ref="I15" ca="1">HYPERLINK(Common_InputFunctions.Utility_SourceHyperlink($D$22), $D$22)</f>
        <v>Table_E_g</v>
      </c>
      <c r="K15" s="109" t="str">
        <v>EC_SCq</v>
      </c>
      <c r="L15" s="109" t="str">
        <v>energy content factor for stationary combustion operations</v>
      </c>
      <c r="M15" s="109"/>
      <c r="N15" s="109" t="str">
        <v>GJ/kL</v>
      </c>
      <c r="O15" s="114" t="str">
        <v>Constant</v>
      </c>
      <c r="P15" s="115" t="str" cm="1">
        <f t="array" aca="1" ref="P15" ca="1">HYPERLINK(Common_InputFunctions.Utility_SourceHyperlink($D$22), $D$22)</f>
        <v>Table_E_g</v>
      </c>
      <c r="Q15" s="179"/>
    </row>
    <row r="16" spans="1:18" ht="20.100000000000001" customHeight="1" x14ac:dyDescent="0.25">
      <c r="A16" s="5"/>
      <c r="D16" s="109" t="str">
        <v>EF_SC1qg</v>
      </c>
      <c r="E16" s="110" t="str">
        <v>Scope 1 emission factor for stationary combustion for each greenhouse gas</v>
      </c>
      <c r="F16" s="112"/>
      <c r="G16" s="109" t="str">
        <v>kg CO2e / GJ</v>
      </c>
      <c r="H16" s="114" t="str">
        <v>Constant</v>
      </c>
      <c r="I16" s="115" t="str" cm="1">
        <f t="array" aca="1" ref="I16" ca="1">HYPERLINK(Common_InputFunctions.Utility_SourceHyperlink($D$22), $D$22)</f>
        <v>Table_E_g</v>
      </c>
      <c r="K16" s="109" t="str">
        <v>EF_SC3q</v>
      </c>
      <c r="L16" s="109" t="str">
        <v>scope 3 emission factor for stationary combustion operations</v>
      </c>
      <c r="M16" s="109"/>
      <c r="N16" s="109" t="str">
        <v>kg CO2e/GJ</v>
      </c>
      <c r="O16" s="114" t="str">
        <v>Constant</v>
      </c>
      <c r="P16" s="115" t="str" cm="1">
        <f t="array" aca="1" ref="P16" ca="1">HYPERLINK(Common_InputFunctions.Utility_SourceHyperlink($D$22), $D$22)</f>
        <v>Table_E_g</v>
      </c>
      <c r="Q16" s="179"/>
    </row>
    <row r="17" spans="1:17" ht="20.100000000000001" customHeight="1" x14ac:dyDescent="0.25">
      <c r="A17" s="5"/>
      <c r="D17" s="109" t="str">
        <v>q</v>
      </c>
      <c r="E17" s="110" t="str">
        <v>Fuel type</v>
      </c>
      <c r="F17" s="112"/>
      <c r="G17" s="109" t="str">
        <v/>
      </c>
      <c r="H17" s="114" t="str">
        <v>Constant</v>
      </c>
      <c r="I17" s="115"/>
      <c r="J17" s="179"/>
      <c r="K17" s="109" t="str">
        <v>i</v>
      </c>
      <c r="L17" s="110" t="str">
        <v>state</v>
      </c>
      <c r="M17" s="112"/>
      <c r="N17" s="109" t="str">
        <v/>
      </c>
      <c r="O17" s="113" t="str">
        <v>Input</v>
      </c>
      <c r="P17" s="109" t="str">
        <f>X_Cell_Site_State</f>
        <v>Western Australia</v>
      </c>
      <c r="Q17" s="179"/>
    </row>
    <row r="18" spans="1:17" ht="20.100000000000001" customHeight="1" x14ac:dyDescent="0.25">
      <c r="A18" s="5"/>
      <c r="D18" s="109" t="str">
        <v>SC</v>
      </c>
      <c r="E18" s="110" t="str">
        <v>Stationary combustion</v>
      </c>
      <c r="F18" s="112"/>
      <c r="G18" s="109" t="str">
        <v/>
      </c>
      <c r="H18" s="114" t="str">
        <v>Constant</v>
      </c>
      <c r="I18" s="115"/>
      <c r="J18" s="179"/>
      <c r="K18" s="109" t="str">
        <v>m</v>
      </c>
      <c r="L18" s="110" t="str">
        <v>metropolitan/non-metropolitan location</v>
      </c>
      <c r="M18" s="112"/>
      <c r="N18" s="109" t="str">
        <v/>
      </c>
      <c r="O18" s="113" t="str">
        <v>Input</v>
      </c>
      <c r="P18" s="109" t="str">
        <f>X_Cell_Fuel_IsMetroLocation</f>
        <v>Metro</v>
      </c>
      <c r="Q18" s="179"/>
    </row>
    <row r="19" spans="1:17" ht="20.100000000000001" customHeight="1" x14ac:dyDescent="0.25">
      <c r="A19" s="5"/>
      <c r="D19" s="109" t="str">
        <v>g</v>
      </c>
      <c r="E19" s="110" t="str">
        <v>Greenhouse gas</v>
      </c>
      <c r="F19" s="112"/>
      <c r="G19" s="109" t="str">
        <v/>
      </c>
      <c r="H19" s="114" t="str">
        <v>Constant</v>
      </c>
      <c r="I19" s="115"/>
      <c r="J19" s="179"/>
      <c r="L19" s="179"/>
      <c r="N19" s="179"/>
      <c r="O19" s="179"/>
      <c r="P19" s="179"/>
      <c r="Q19" s="179"/>
    </row>
    <row r="20" spans="1:17" ht="20.100000000000001" customHeight="1" x14ac:dyDescent="0.25">
      <c r="A20" s="5"/>
      <c r="D20" s="109" t="str">
        <v>1</v>
      </c>
      <c r="E20" s="110" t="str">
        <v>Scope 1</v>
      </c>
      <c r="F20" s="112"/>
      <c r="G20" s="109" t="str">
        <v/>
      </c>
      <c r="H20" s="114" t="str">
        <v>Constant</v>
      </c>
      <c r="I20" s="115"/>
      <c r="J20" s="179"/>
      <c r="L20" s="179"/>
      <c r="N20" s="179"/>
      <c r="O20" s="179"/>
      <c r="P20" s="179"/>
      <c r="Q20" s="179"/>
    </row>
    <row r="21" spans="1:17" ht="20.100000000000001" customHeight="1" x14ac:dyDescent="0.25">
      <c r="A21" s="5"/>
      <c r="O21" s="179"/>
      <c r="P21" s="179"/>
      <c r="Q21" s="179"/>
    </row>
    <row r="22" spans="1:17" ht="20.100000000000001" customHeight="1" x14ac:dyDescent="0.25">
      <c r="A22" s="5"/>
      <c r="D22" s="116" t="s">
        <v>819</v>
      </c>
    </row>
    <row r="23" spans="1:17" ht="20.100000000000001" customHeight="1" x14ac:dyDescent="0.25">
      <c r="A23" s="5"/>
      <c r="D23" s="117" t="s">
        <v>841</v>
      </c>
    </row>
    <row r="24" spans="1:17" ht="20.100000000000001" customHeight="1" x14ac:dyDescent="0.25">
      <c r="A24" s="5"/>
      <c r="D24" s="118" t="s">
        <v>821</v>
      </c>
      <c r="E24" s="118" t="s">
        <v>822</v>
      </c>
      <c r="F24" s="118" t="s">
        <v>823</v>
      </c>
      <c r="G24" s="118" t="s">
        <v>842</v>
      </c>
      <c r="H24" s="118" t="s">
        <v>843</v>
      </c>
      <c r="I24" s="118" t="s">
        <v>844</v>
      </c>
      <c r="J24" s="118" t="s">
        <v>845</v>
      </c>
      <c r="K24" s="118" t="s">
        <v>846</v>
      </c>
      <c r="L24" s="94" t="s">
        <v>847</v>
      </c>
      <c r="M24" s="118" t="s">
        <v>830</v>
      </c>
      <c r="N24" s="118" t="s">
        <v>831</v>
      </c>
      <c r="O24" s="118" t="s">
        <v>832</v>
      </c>
      <c r="P24" s="118" t="s">
        <v>833</v>
      </c>
      <c r="Q24" s="118" t="s">
        <v>848</v>
      </c>
    </row>
    <row r="25" spans="1:17" ht="20.100000000000001" customHeight="1" x14ac:dyDescent="0.25">
      <c r="A25" s="5"/>
      <c r="D25" s="35" t="str">
        <f>Table_FuelTypesPerUse[[#Headers],[Generators]]</f>
        <v>Generators</v>
      </c>
      <c r="E25" s="203" t="str">
        <f>'Constants - Fuel'!$D$58</f>
        <v>Automotive gasoline / petrol (other than for use as fuel in an aircraft)</v>
      </c>
      <c r="F25" s="20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3" cm="1">
        <f t="array" ref="L25">Fuel_InputFunctions.Fuel_TotalConsumption(Table_Input_Fuel[Amount consumed], Table_Input_Fuel[Fuel use (select)], D25, Table_Input_Fuel[Fuel type (select)],F25)</f>
        <v>0</v>
      </c>
      <c r="M25" s="183" t="str" cm="1">
        <f t="array" ref="M25">Common_InputFunctions.Utility_LookupValueInTable(F25,Table_FuelTypes_Units[Fuel type],Table_FuelTypes_Units[Unit])</f>
        <v>kL</v>
      </c>
      <c r="N25" s="225" cm="1">
        <f t="array" ref="N25">Fuel_Equations.VEERG_8_2_1_1__1_FuelCombustionStationary($L25,$G25,H25)</f>
        <v>0</v>
      </c>
      <c r="O25" s="225" cm="1">
        <f t="array" ref="O25">Fuel_Equations.VEERG_8_2_1_1__1_FuelCombustionStationary($L25,$G25,I25)</f>
        <v>0</v>
      </c>
      <c r="P25" s="225" cm="1">
        <f t="array" ref="P25">Fuel_Equations.VEERG_8_2_1_1__1_FuelCombustionStationary($L25,$G25,J25)</f>
        <v>0</v>
      </c>
      <c r="Q25" s="225" cm="1">
        <f t="array" ref="Q25">Fuel_Equations.VEERG_8_2_1_1__1_FuelCombustionStationary($L25,$G25,IF(ISNUMBER(K25), K25, 0))</f>
        <v>0</v>
      </c>
    </row>
    <row r="26" spans="1:17" ht="20.100000000000001" customHeight="1" x14ac:dyDescent="0.25">
      <c r="A26" s="5"/>
      <c r="D26" s="205" t="str">
        <f t="shared" ref="D26:D31" si="0">$D$25</f>
        <v>Generators</v>
      </c>
      <c r="E26" s="203" t="str">
        <f>'Constants - Fuel'!$D$63</f>
        <v>Diesel oil</v>
      </c>
      <c r="F26" s="20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3" cm="1">
        <f t="array" ref="L26">Fuel_InputFunctions.Fuel_TotalConsumption(Table_Input_Fuel[Amount consumed], Table_Input_Fuel[Fuel use (select)], D26, Table_Input_Fuel[Fuel type (select)],F26)</f>
        <v>0</v>
      </c>
      <c r="M26" s="183" t="str" cm="1">
        <f t="array" ref="M26">Common_InputFunctions.Utility_LookupValueInTable(F26,Table_FuelTypes_Units[Fuel type],Table_FuelTypes_Units[Unit])</f>
        <v>kL</v>
      </c>
      <c r="N26" s="225" cm="1">
        <f t="array" ref="N26">Fuel_Equations.VEERG_8_2_1_1__1_FuelCombustionStationary($L26,$G26,H26)</f>
        <v>0</v>
      </c>
      <c r="O26" s="225" cm="1">
        <f t="array" ref="O26">Fuel_Equations.VEERG_8_2_1_1__1_FuelCombustionStationary($L26,$G26,I26)</f>
        <v>0</v>
      </c>
      <c r="P26" s="225" cm="1">
        <f t="array" ref="P26">Fuel_Equations.VEERG_8_2_1_1__1_FuelCombustionStationary($L26,$G26,J26)</f>
        <v>0</v>
      </c>
      <c r="Q26" s="225" cm="1">
        <f t="array" ref="Q26">Fuel_Equations.VEERG_8_2_1_1__1_FuelCombustionStationary($L26,$G26,IF(ISNUMBER(K26), K26, 0))</f>
        <v>0</v>
      </c>
    </row>
    <row r="27" spans="1:17" ht="20.100000000000001" customHeight="1" x14ac:dyDescent="0.25">
      <c r="D27" s="205" t="str">
        <f t="shared" si="0"/>
        <v>Generators</v>
      </c>
      <c r="E27" s="203" t="str">
        <f>'Constants - Fuel'!$D$67</f>
        <v>Liquefied petroleum gas (LPG)</v>
      </c>
      <c r="F27" s="20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3" cm="1">
        <f t="array" ref="L27">Fuel_InputFunctions.Fuel_TotalConsumption(Table_Input_Fuel[Amount consumed], Table_Input_Fuel[Fuel use (select)], D27, Table_Input_Fuel[Fuel type (select)],F27)</f>
        <v>0</v>
      </c>
      <c r="M27" s="183" t="str" cm="1">
        <f t="array" ref="M27">Common_InputFunctions.Utility_LookupValueInTable(F27,Table_FuelTypes_Units[Fuel type],Table_FuelTypes_Units[Unit])</f>
        <v>kL</v>
      </c>
      <c r="N27" s="225" cm="1">
        <f t="array" ref="N27">Fuel_Equations.VEERG_8_2_1_1__1_FuelCombustionStationary($L27,$G27,H27)</f>
        <v>0</v>
      </c>
      <c r="O27" s="225" cm="1">
        <f t="array" ref="O27">Fuel_Equations.VEERG_8_2_1_1__1_FuelCombustionStationary($L27,$G27,I27)</f>
        <v>0</v>
      </c>
      <c r="P27" s="225" cm="1">
        <f t="array" ref="P27">Fuel_Equations.VEERG_8_2_1_1__1_FuelCombustionStationary($L27,$G27,J27)</f>
        <v>0</v>
      </c>
      <c r="Q27" s="225" cm="1">
        <f t="array" ref="Q27">Fuel_Equations.VEERG_8_2_1_1__1_FuelCombustionStationary($L27,$G27,IF(ISNUMBER(K27), K27, 0))</f>
        <v>0</v>
      </c>
    </row>
    <row r="28" spans="1:17" ht="20.100000000000001" customHeight="1" x14ac:dyDescent="0.25">
      <c r="D28" s="205" t="str">
        <f t="shared" si="0"/>
        <v>Generators</v>
      </c>
      <c r="E28" s="203" t="str">
        <f>'Constants - Fuel'!$D$73</f>
        <v>Biodiesel</v>
      </c>
      <c r="F28" s="20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3" cm="1">
        <f t="array" ref="L28">Fuel_InputFunctions.Fuel_TotalConsumption(Table_Input_Fuel[Amount consumed], Table_Input_Fuel[Fuel use (select)], D28, Table_Input_Fuel[Fuel type (select)],F28)</f>
        <v>0</v>
      </c>
      <c r="M28" s="183" t="str" cm="1">
        <f t="array" ref="M28">Common_InputFunctions.Utility_LookupValueInTable(F28,Table_FuelTypes_Units[Fuel type],Table_FuelTypes_Units[Unit])</f>
        <v>kL</v>
      </c>
      <c r="N28" s="225" cm="1">
        <f t="array" ref="N28">Fuel_Equations.VEERG_8_2_1_1__1_FuelCombustionStationary($L28,$G28,H28)</f>
        <v>0</v>
      </c>
      <c r="O28" s="225" cm="1">
        <f t="array" ref="O28">Fuel_Equations.VEERG_8_2_1_1__1_FuelCombustionStationary($L28,$G28,I28)</f>
        <v>0</v>
      </c>
      <c r="P28" s="225" cm="1">
        <f t="array" ref="P28">Fuel_Equations.VEERG_8_2_1_1__1_FuelCombustionStationary($L28,$G28,J28)</f>
        <v>0</v>
      </c>
      <c r="Q28" s="225" cm="1">
        <f t="array" ref="Q28">Fuel_Equations.VEERG_8_2_1_1__1_FuelCombustionStationary($L28,$G28,IF(ISNUMBER(K28), K28, 0))</f>
        <v>0</v>
      </c>
    </row>
    <row r="29" spans="1:17" ht="20.100000000000001" customHeight="1" x14ac:dyDescent="0.25">
      <c r="A29" s="6"/>
      <c r="D29" s="205" t="str">
        <f t="shared" si="0"/>
        <v>Generators</v>
      </c>
      <c r="E29" s="203" t="str">
        <f>'Constants - Fuel'!$D$74</f>
        <v>Ethanol for use as a fuel in an internal combustion engine</v>
      </c>
      <c r="F29" s="20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3" cm="1">
        <f t="array" ref="L29">Fuel_InputFunctions.Fuel_TotalConsumption(Table_Input_Fuel[Amount consumed], Table_Input_Fuel[Fuel use (select)], D29, Table_Input_Fuel[Fuel type (select)],F29)</f>
        <v>0</v>
      </c>
      <c r="M29" s="183" t="str" cm="1">
        <f t="array" ref="M29">Common_InputFunctions.Utility_LookupValueInTable(F29,Table_FuelTypes_Units[Fuel type],Table_FuelTypes_Units[Unit])</f>
        <v>kL</v>
      </c>
      <c r="N29" s="225" cm="1">
        <f t="array" ref="N29">Fuel_Equations.VEERG_8_2_1_1__1_FuelCombustionStationary($L29,$G29,H29)</f>
        <v>0</v>
      </c>
      <c r="O29" s="225" cm="1">
        <f t="array" ref="O29">Fuel_Equations.VEERG_8_2_1_1__1_FuelCombustionStationary($L29,$G29,I29)</f>
        <v>0</v>
      </c>
      <c r="P29" s="225" cm="1">
        <f t="array" ref="P29">Fuel_Equations.VEERG_8_2_1_1__1_FuelCombustionStationary($L29,$G29,J29)</f>
        <v>0</v>
      </c>
      <c r="Q29" s="225" cm="1">
        <f t="array" ref="Q29">Fuel_Equations.VEERG_8_2_1_1__1_FuelCombustionStationary($L29,$G29,IF(ISNUMBER(K29), K29, 0))</f>
        <v>0</v>
      </c>
    </row>
    <row r="30" spans="1:17" ht="20.100000000000001" customHeight="1" x14ac:dyDescent="0.25">
      <c r="A30" s="5"/>
      <c r="D30" s="205" t="str">
        <f t="shared" si="0"/>
        <v>Generators</v>
      </c>
      <c r="E30" s="203" t="str">
        <f>'Constants - Fuel'!$D$75</f>
        <v>Biofuels other than those mentioned in the items above and below</v>
      </c>
      <c r="F30" s="20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3" cm="1">
        <f t="array" ref="L30">Fuel_InputFunctions.Fuel_TotalConsumption(Table_Input_Fuel[Amount consumed], Table_Input_Fuel[Fuel use (select)], D30, Table_Input_Fuel[Fuel type (select)],F30)</f>
        <v>0</v>
      </c>
      <c r="M30" s="183" t="str" cm="1">
        <f t="array" ref="M30">Common_InputFunctions.Utility_LookupValueInTable(F30,Table_FuelTypes_Units[Fuel type],Table_FuelTypes_Units[Unit])</f>
        <v>kL</v>
      </c>
      <c r="N30" s="225" cm="1">
        <f t="array" ref="N30">Fuel_Equations.VEERG_8_2_1_1__1_FuelCombustionStationary($L30,$G30,H30)</f>
        <v>0</v>
      </c>
      <c r="O30" s="225" cm="1">
        <f t="array" ref="O30">Fuel_Equations.VEERG_8_2_1_1__1_FuelCombustionStationary($L30,$G30,I30)</f>
        <v>0</v>
      </c>
      <c r="P30" s="225" cm="1">
        <f t="array" ref="P30">Fuel_Equations.VEERG_8_2_1_1__1_FuelCombustionStationary($L30,$G30,J30)</f>
        <v>0</v>
      </c>
      <c r="Q30" s="225" cm="1">
        <f t="array" ref="Q30">Fuel_Equations.VEERG_8_2_1_1__1_FuelCombustionStationary($L30,$G30,IF(ISNUMBER(K30), K30, 0))</f>
        <v>0</v>
      </c>
    </row>
    <row r="31" spans="1:17" ht="20.100000000000001" customHeight="1" x14ac:dyDescent="0.25">
      <c r="A31" s="5"/>
      <c r="D31" s="205" t="str">
        <f t="shared" si="0"/>
        <v>Generators</v>
      </c>
      <c r="E31" s="203" t="str">
        <f>'Constants - Fuel'!$D$77</f>
        <v>Renewable diesel</v>
      </c>
      <c r="F31" s="203" t="str">
        <f>'Constants - Fuel'!D137</f>
        <v>Renewable diesel</v>
      </c>
      <c r="G31" s="201">
        <f>IFERROR(_xlfn.XLOOKUP($E31, Table_Fuel_EFs_StationaryLiquid[Fuel combusted], Table_Fuel_EFs_StationaryLiquid[Energy Content Factor (GJ per unit of fuel)]),0)</f>
        <v>38.6</v>
      </c>
      <c r="H31" s="201">
        <f>IFERROR(_xlfn.XLOOKUP($E31, Table_Fuel_EFs_StationaryLiquid[Fuel combusted], Table_Fuel_EFs_StationaryLiquid[Scope 1 Emission Factor (kg CO2 - e / GJ) CO2]),0)</f>
        <v>0</v>
      </c>
      <c r="I31" s="201">
        <f>IFERROR(_xlfn.XLOOKUP($E31, Table_Fuel_EFs_StationaryLiquid[Fuel combusted], Table_Fuel_EFs_StationaryLiquid[Scope 1 Emission Factor (kg CO2 - e / GJ) CH4]),0)</f>
        <v>0.1</v>
      </c>
      <c r="J31" s="201">
        <f>IFERROR(_xlfn.XLOOKUP($E31, Table_Fuel_EFs_StationaryLiquid[Fuel combusted], Table_Fuel_EFs_StationaryLiquid[Scope 1 Emission Factor (kg CO2 - e / GJ) N2O]),0)</f>
        <v>0.2</v>
      </c>
      <c r="K31" s="201" t="str">
        <f>IFERROR(_xlfn.XLOOKUP($E31, Table_Fuel_EFs_StationaryLiquid[Fuel combusted], Table_Fuel_EFs_StationaryLiquid[Scope 3 Emission Factor (kg CO2 - e / GJ)]),0)</f>
        <v>NE</v>
      </c>
      <c r="L31" s="206" cm="1">
        <f t="array" ref="L31">Fuel_InputFunctions.Fuel_TotalConsumption(Table_Input_Fuel[Amount consumed], Table_Input_Fuel[Fuel use (select)], D31, Table_Input_Fuel[Fuel type (select)],F31)</f>
        <v>0</v>
      </c>
      <c r="M31" s="206" t="str" cm="1">
        <f t="array" ref="M31">Common_InputFunctions.Utility_LookupValueInTable(F31,Table_FuelTypes_Units[Fuel type],Table_FuelTypes_Units[Unit])</f>
        <v>kL</v>
      </c>
      <c r="N31" s="226" cm="1">
        <f t="array" ref="N31">Fuel_Equations.VEERG_8_2_1_1__1_FuelCombustionStationary($L31,$G31,H31)</f>
        <v>0</v>
      </c>
      <c r="O31" s="226" cm="1">
        <f t="array" ref="O31">Fuel_Equations.VEERG_8_2_1_1__1_FuelCombustionStationary($L31,$G31,I31)</f>
        <v>0</v>
      </c>
      <c r="P31" s="226" cm="1">
        <f t="array" ref="P31">Fuel_Equations.VEERG_8_2_1_1__1_FuelCombustionStationary($L31,$G31,J31)</f>
        <v>0</v>
      </c>
      <c r="Q31" s="226" cm="1">
        <f t="array" ref="Q31">Fuel_Equations.VEERG_8_2_1_1__1_FuelCombustionStationary($L31,$G31,IF(ISNUMBER(K31), K31, 0))</f>
        <v>0</v>
      </c>
    </row>
    <row r="32" spans="1:17" ht="20.100000000000001" customHeight="1" x14ac:dyDescent="0.25">
      <c r="A32" s="5"/>
      <c r="D32" s="208" t="str">
        <f>Table_FuelTypesPerUse[[#Headers],[Power standalone machinery or heating]]</f>
        <v>Power standalone machinery or heating</v>
      </c>
      <c r="E32" s="209" t="str">
        <f>'Constants - Fuel'!$D$58</f>
        <v>Automotive gasoline / petrol (other than for use as fuel in an aircraft)</v>
      </c>
      <c r="F32" s="209" t="str">
        <f>'Constants - Fuel'!E131</f>
        <v>Petrol</v>
      </c>
      <c r="G32" s="216">
        <f>IFERROR(_xlfn.XLOOKUP($E32, Table_Fuel_EFs_StationaryLiquid[Fuel combusted], Table_Fuel_EFs_StationaryLiquid[Energy Content Factor (GJ per unit of fuel)]),0)</f>
        <v>34.200000000000003</v>
      </c>
      <c r="H32" s="216">
        <f>IFERROR(_xlfn.XLOOKUP($E32, Table_Fuel_EFs_StationaryLiquid[Fuel combusted], Table_Fuel_EFs_StationaryLiquid[Scope 1 Emission Factor (kg CO2 - e / GJ) CO2]),0)</f>
        <v>67.400000000000006</v>
      </c>
      <c r="I32" s="216">
        <f>IFERROR(_xlfn.XLOOKUP($E32, Table_Fuel_EFs_StationaryLiquid[Fuel combusted], Table_Fuel_EFs_StationaryLiquid[Scope 1 Emission Factor (kg CO2 - e / GJ) CH4]),0)</f>
        <v>0.2</v>
      </c>
      <c r="J32" s="216">
        <f>IFERROR(_xlfn.XLOOKUP($E32, Table_Fuel_EFs_StationaryLiquid[Fuel combusted], Table_Fuel_EFs_StationaryLiquid[Scope 1 Emission Factor (kg CO2 - e / GJ) N2O]),0)</f>
        <v>0.2</v>
      </c>
      <c r="K32" s="216">
        <f>IFERROR(_xlfn.XLOOKUP($E32, Table_Fuel_EFs_StationaryLiquid[Fuel combusted], Table_Fuel_EFs_StationaryLiquid[Scope 3 Emission Factor (kg CO2 - e / GJ)]),0)</f>
        <v>17.2</v>
      </c>
      <c r="L32" s="212" cm="1">
        <f t="array" ref="L32">Fuel_InputFunctions.Fuel_TotalConsumption(Table_Input_Fuel[Amount consumed], Table_Input_Fuel[Fuel use (select)], D32, Table_Input_Fuel[Fuel type (select)],F32)</f>
        <v>10</v>
      </c>
      <c r="M32" s="213" t="str" cm="1">
        <f t="array" ref="M32">Common_InputFunctions.Utility_LookupValueInTable(F32,Table_FuelTypes_Units[Fuel type],Table_FuelTypes_Units[Unit])</f>
        <v>kL</v>
      </c>
      <c r="N32" s="227" cm="1">
        <f t="array" ref="N32">Fuel_Equations.VEERG_8_2_1_1__1_FuelCombustionStationary($L32,$G32,H32)</f>
        <v>23.050800000000002</v>
      </c>
      <c r="O32" s="227" cm="1">
        <f t="array" ref="O32">Fuel_Equations.VEERG_8_2_1_1__1_FuelCombustionStationary($L32,$G32,I32)</f>
        <v>6.8400000000000002E-2</v>
      </c>
      <c r="P32" s="227" cm="1">
        <f t="array" ref="P32">Fuel_Equations.VEERG_8_2_1_1__1_FuelCombustionStationary($L32,$G32,J32)</f>
        <v>6.8400000000000002E-2</v>
      </c>
      <c r="Q32" s="227" cm="1">
        <f t="array" ref="Q32">Fuel_Equations.VEERG_8_2_1_1__1_FuelCombustionStationary($L32,$G32,IF(ISNUMBER(K32), K32, 0))</f>
        <v>5.8823999999999996</v>
      </c>
    </row>
    <row r="33" spans="1:17" ht="20.100000000000001" customHeight="1" x14ac:dyDescent="0.25">
      <c r="A33" s="5"/>
      <c r="D33" s="205" t="str">
        <f t="shared" ref="D33:D40" si="1">$D$32</f>
        <v>Power standalone machinery or heating</v>
      </c>
      <c r="E33" s="203" t="str">
        <f>'Constants - Fuel'!$D$63</f>
        <v>Diesel oil</v>
      </c>
      <c r="F33" s="20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5" cm="1">
        <f t="array" ref="N33">Fuel_Equations.VEERG_8_2_1_1__1_FuelCombustionStationary($L33,$G33,H33)</f>
        <v>0</v>
      </c>
      <c r="O33" s="225" cm="1">
        <f t="array" ref="O33">Fuel_Equations.VEERG_8_2_1_1__1_FuelCombustionStationary($L33,$G33,I33)</f>
        <v>0</v>
      </c>
      <c r="P33" s="225" cm="1">
        <f t="array" ref="P33">Fuel_Equations.VEERG_8_2_1_1__1_FuelCombustionStationary($L33,$G33,J33)</f>
        <v>0</v>
      </c>
      <c r="Q33" s="225" cm="1">
        <f t="array" ref="Q33">Fuel_Equations.VEERG_8_2_1_1__1_FuelCombustionStationary($L33,$G33,IF(ISNUMBER(K33), K33, 0))</f>
        <v>0</v>
      </c>
    </row>
    <row r="34" spans="1:17" ht="20.100000000000001" customHeight="1" x14ac:dyDescent="0.25">
      <c r="A34" s="5"/>
      <c r="D34" s="205" t="str">
        <f t="shared" si="1"/>
        <v>Power standalone machinery or heating</v>
      </c>
      <c r="E34" s="203" t="str">
        <f>'Constants - Fuel'!$D$67</f>
        <v>Liquefied petroleum gas (LPG)</v>
      </c>
      <c r="F34" s="20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5" cm="1">
        <f t="array" ref="N34">Fuel_Equations.VEERG_8_2_1_1__1_FuelCombustionStationary($L34,$G34,H34)</f>
        <v>0</v>
      </c>
      <c r="O34" s="225" cm="1">
        <f t="array" ref="O34">Fuel_Equations.VEERG_8_2_1_1__1_FuelCombustionStationary($L34,$G34,I34)</f>
        <v>0</v>
      </c>
      <c r="P34" s="225" cm="1">
        <f t="array" ref="P34">Fuel_Equations.VEERG_8_2_1_1__1_FuelCombustionStationary($L34,$G34,J34)</f>
        <v>0</v>
      </c>
      <c r="Q34" s="225" cm="1">
        <f t="array" ref="Q34">Fuel_Equations.VEERG_8_2_1_1__1_FuelCombustionStationary($L34,$G34,IF(ISNUMBER(K34), K34, 0))</f>
        <v>0</v>
      </c>
    </row>
    <row r="35" spans="1:17" ht="20.100000000000001" customHeight="1" x14ac:dyDescent="0.25">
      <c r="A35" s="5"/>
      <c r="D35" s="205" t="str">
        <f t="shared" si="1"/>
        <v>Power standalone machinery or heating</v>
      </c>
      <c r="E35" s="203" t="str">
        <f>'Constants - Fuel'!$D$73</f>
        <v>Biodiesel</v>
      </c>
      <c r="F35" s="20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5" cm="1">
        <f t="array" ref="N35">Fuel_Equations.VEERG_8_2_1_1__1_FuelCombustionStationary($L35,$G35,H35)</f>
        <v>0</v>
      </c>
      <c r="O35" s="225" cm="1">
        <f t="array" ref="O35">Fuel_Equations.VEERG_8_2_1_1__1_FuelCombustionStationary($L35,$G35,I35)</f>
        <v>0</v>
      </c>
      <c r="P35" s="225" cm="1">
        <f t="array" ref="P35">Fuel_Equations.VEERG_8_2_1_1__1_FuelCombustionStationary($L35,$G35,J35)</f>
        <v>0</v>
      </c>
      <c r="Q35" s="225" cm="1">
        <f t="array" ref="Q35">Fuel_Equations.VEERG_8_2_1_1__1_FuelCombustionStationary($L35,$G35,IF(ISNUMBER(K35), K35, 0))</f>
        <v>0</v>
      </c>
    </row>
    <row r="36" spans="1:17" ht="20.100000000000001" customHeight="1" x14ac:dyDescent="0.25">
      <c r="A36" s="5"/>
      <c r="D36" s="205" t="str">
        <f t="shared" si="1"/>
        <v>Power standalone machinery or heating</v>
      </c>
      <c r="E36" s="203" t="str">
        <f>'Constants - Fuel'!$D$74</f>
        <v>Ethanol for use as a fuel in an internal combustion engine</v>
      </c>
      <c r="F36" s="20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5" cm="1">
        <f t="array" ref="N36">Fuel_Equations.VEERG_8_2_1_1__1_FuelCombustionStationary($L36,$G36,H36)</f>
        <v>0</v>
      </c>
      <c r="O36" s="225" cm="1">
        <f t="array" ref="O36">Fuel_Equations.VEERG_8_2_1_1__1_FuelCombustionStationary($L36,$G36,I36)</f>
        <v>0</v>
      </c>
      <c r="P36" s="225" cm="1">
        <f t="array" ref="P36">Fuel_Equations.VEERG_8_2_1_1__1_FuelCombustionStationary($L36,$G36,J36)</f>
        <v>0</v>
      </c>
      <c r="Q36" s="225" cm="1">
        <f t="array" ref="Q36">Fuel_Equations.VEERG_8_2_1_1__1_FuelCombustionStationary($L36,$G36,IF(ISNUMBER(K36), K36, 0))</f>
        <v>0</v>
      </c>
    </row>
    <row r="37" spans="1:17" ht="20.100000000000001" customHeight="1" x14ac:dyDescent="0.25">
      <c r="A37" s="5"/>
      <c r="D37" s="205" t="str">
        <f t="shared" si="1"/>
        <v>Power standalone machinery or heating</v>
      </c>
      <c r="E37" s="203" t="str">
        <f>'Constants - Fuel'!$D$75</f>
        <v>Biofuels other than those mentioned in the items above and below</v>
      </c>
      <c r="F37" s="20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5" cm="1">
        <f t="array" ref="N37">Fuel_Equations.VEERG_8_2_1_1__1_FuelCombustionStationary($L37,$G37,H37)</f>
        <v>0</v>
      </c>
      <c r="O37" s="225" cm="1">
        <f t="array" ref="O37">Fuel_Equations.VEERG_8_2_1_1__1_FuelCombustionStationary($L37,$G37,I37)</f>
        <v>0</v>
      </c>
      <c r="P37" s="225" cm="1">
        <f t="array" ref="P37">Fuel_Equations.VEERG_8_2_1_1__1_FuelCombustionStationary($L37,$G37,J37)</f>
        <v>0</v>
      </c>
      <c r="Q37" s="225" cm="1">
        <f t="array" ref="Q37">Fuel_Equations.VEERG_8_2_1_1__1_FuelCombustionStationary($L37,$G37,IF(ISNUMBER(K37), K37, 0))</f>
        <v>0</v>
      </c>
    </row>
    <row r="38" spans="1:17" ht="20.100000000000001" customHeight="1" x14ac:dyDescent="0.25">
      <c r="A38" s="5"/>
      <c r="D38" s="205" t="str">
        <f t="shared" si="1"/>
        <v>Power standalone machinery or heating</v>
      </c>
      <c r="E38" s="203" t="str">
        <f>'Constants - Fuel'!$D$77</f>
        <v>Renewable diesel</v>
      </c>
      <c r="F38" s="20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5" cm="1">
        <f t="array" ref="N38">Fuel_Equations.VEERG_8_2_1_1__1_FuelCombustionStationary($L38,$G38,H38)</f>
        <v>0</v>
      </c>
      <c r="O38" s="225" cm="1">
        <f t="array" ref="O38">Fuel_Equations.VEERG_8_2_1_1__1_FuelCombustionStationary($L38,$G38,I38)</f>
        <v>0</v>
      </c>
      <c r="P38" s="225" cm="1">
        <f t="array" ref="P38">Fuel_Equations.VEERG_8_2_1_1__1_FuelCombustionStationary($L38,$G38,J38)</f>
        <v>0</v>
      </c>
      <c r="Q38" s="225" cm="1">
        <f t="array" ref="Q38">Fuel_Equations.VEERG_8_2_1_1__1_FuelCombustionStationary($L38,$G38,IF(ISNUMBER(K38), K38, 0))</f>
        <v>0</v>
      </c>
    </row>
    <row r="39" spans="1:17" ht="20.100000000000001" customHeight="1" x14ac:dyDescent="0.25">
      <c r="A39" s="5"/>
      <c r="D39" s="205" t="str">
        <f t="shared" si="1"/>
        <v>Power standalone machinery or heating</v>
      </c>
      <c r="E39" s="203" t="str">
        <f>'Constants - Fuel'!$D$103</f>
        <v>Natural gas distributed in a pipeline - Gigajoules</v>
      </c>
      <c r="F39" s="20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3" cm="1">
        <f t="array" ref="L39">Fuel_InputFunctions.Fuel_TotalConsumption(Table_Input_Fuel[Amount consumed], Table_Input_Fuel[Fuel use (select)], D39, Table_Input_Fuel[Fuel type (select)],F39)</f>
        <v>0</v>
      </c>
      <c r="M39" s="183" t="str" cm="1">
        <f t="array" ref="M39">Common_InputFunctions.Utility_LookupValueInTable(F39,Table_FuelTypes_Units[Fuel type],Table_FuelTypes_Units[Unit])</f>
        <v>GJ</v>
      </c>
      <c r="N39" s="225" cm="1">
        <f t="array" ref="N39">Fuel_Equations.VEERG_8_2_1_1__1_FuelCombustionStationary($L39,$G39,H39)</f>
        <v>0</v>
      </c>
      <c r="O39" s="225" cm="1">
        <f t="array" ref="O39">Fuel_Equations.VEERG_8_2_1_1__1_FuelCombustionStationary($L39,$G39,I39)</f>
        <v>0</v>
      </c>
      <c r="P39" s="225" cm="1">
        <f t="array" ref="P39">Fuel_Equations.VEERG_8_2_1_1__1_FuelCombustionStationary($L39,$G39,J39)</f>
        <v>0</v>
      </c>
      <c r="Q39" s="225" cm="1">
        <f t="array" ref="Q39">Fuel_Equations.VEERG_8_2_1_1__1_FuelCombustionStationary($L39,$G39,IF(ISNUMBER(K39), K39, 0))</f>
        <v>0</v>
      </c>
    </row>
    <row r="40" spans="1:17" ht="20.100000000000001" customHeight="1" x14ac:dyDescent="0.25">
      <c r="A40" s="5"/>
      <c r="D40" s="205" t="str">
        <f t="shared" si="1"/>
        <v>Power standalone machinery or heating</v>
      </c>
      <c r="E40" s="203" t="str">
        <f>'Constants - Fuel'!$D$104</f>
        <v>Town gas - Gigajoules</v>
      </c>
      <c r="F40" s="20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3" cm="1">
        <f t="array" ref="L40">Fuel_InputFunctions.Fuel_TotalConsumption(Table_Input_Fuel[Amount consumed], Table_Input_Fuel[Fuel use (select)], D40, Table_Input_Fuel[Fuel type (select)],F40)</f>
        <v>100</v>
      </c>
      <c r="M40" s="183" t="str" cm="1">
        <f t="array" ref="M40">Common_InputFunctions.Utility_LookupValueInTable(F40,Table_FuelTypes_Units[Fuel type],Table_FuelTypes_Units[Unit])</f>
        <v>GJ</v>
      </c>
      <c r="N40" s="225" cm="1">
        <f t="array" ref="N40">Fuel_Equations.VEERG_8_2_1_1__1_FuelCombustionStationary($L40,$G40,H40)</f>
        <v>6.0200000000000005</v>
      </c>
      <c r="O40" s="225" cm="1">
        <f t="array" ref="O40">Fuel_Equations.VEERG_8_2_1_1__1_FuelCombustionStationary($L40,$G40,I40)</f>
        <v>4.0000000000000001E-3</v>
      </c>
      <c r="P40" s="225" cm="1">
        <f t="array" ref="P40">Fuel_Equations.VEERG_8_2_1_1__1_FuelCombustionStationary($L40,$G40,J40)</f>
        <v>3.0000000000000001E-3</v>
      </c>
      <c r="Q40" s="225" cm="1">
        <f t="array" ref="Q40">Fuel_Equations.VEERG_8_2_1_1__1_FuelCombustionStationary($L40,$G40,IF(ISNUMBER(K40), K40, 0))</f>
        <v>0.41</v>
      </c>
    </row>
    <row r="41" spans="1:17" ht="20.100000000000001" customHeight="1" x14ac:dyDescent="0.25">
      <c r="A41" s="5"/>
    </row>
    <row r="42" spans="1:17" ht="20.100000000000001" customHeight="1" x14ac:dyDescent="0.25">
      <c r="A42" s="5"/>
      <c r="D42" s="218" t="str">
        <f>"Total scope 1 - " &amp; D25</f>
        <v>Total scope 1 - Generators</v>
      </c>
      <c r="E42" s="219"/>
      <c r="F42" s="220"/>
    </row>
    <row r="43" spans="1:17" ht="20.100000000000001" customHeight="1" x14ac:dyDescent="0.25">
      <c r="A43" s="108"/>
      <c r="D43" s="35" t="s">
        <v>835</v>
      </c>
      <c r="E43" s="221">
        <f>SUM(N25:N31)+N("Partial sum")</f>
        <v>0</v>
      </c>
      <c r="F43" s="26" t="str">
        <f>$E$12</f>
        <v>t CO2-e</v>
      </c>
    </row>
    <row r="44" spans="1:17" ht="20.100000000000001" customHeight="1" x14ac:dyDescent="0.25">
      <c r="A44" s="5"/>
      <c r="D44" s="35" t="s">
        <v>836</v>
      </c>
      <c r="E44" s="221">
        <f>SUM(O25:O31)+N("Partial sum")</f>
        <v>0</v>
      </c>
      <c r="F44" s="26" t="str">
        <f t="shared" ref="F44:F46" si="2">$E$12</f>
        <v>t CO2-e</v>
      </c>
    </row>
    <row r="45" spans="1:17" ht="20.100000000000001" customHeight="1" x14ac:dyDescent="0.25">
      <c r="A45" s="5"/>
      <c r="D45" s="35" t="s">
        <v>837</v>
      </c>
      <c r="E45" s="221">
        <f>SUM(P25:P31)+N("Partial sum")</f>
        <v>0</v>
      </c>
      <c r="F45" s="26" t="str">
        <f t="shared" si="2"/>
        <v>t CO2-e</v>
      </c>
    </row>
    <row r="46" spans="1:17" ht="20.100000000000001" customHeight="1" x14ac:dyDescent="0.25">
      <c r="A46" s="5"/>
      <c r="D46" s="35" t="s">
        <v>838</v>
      </c>
      <c r="E46" s="221">
        <f>SUM(Q25:Q31)+N("Partial sum")</f>
        <v>0</v>
      </c>
      <c r="F46" s="26" t="str">
        <f t="shared" si="2"/>
        <v>t CO2-e</v>
      </c>
    </row>
    <row r="47" spans="1:17" ht="20.100000000000001" customHeight="1" x14ac:dyDescent="0.25">
      <c r="A47" s="5"/>
      <c r="H47" s="179"/>
      <c r="I47" s="179"/>
      <c r="J47" s="179"/>
      <c r="L47" s="179"/>
      <c r="N47" s="179"/>
      <c r="O47" s="179"/>
      <c r="P47" s="179"/>
      <c r="Q47" s="179"/>
    </row>
    <row r="48" spans="1:17" ht="20.100000000000001" customHeight="1" x14ac:dyDescent="0.25">
      <c r="A48" s="5"/>
      <c r="D48" s="218" t="str">
        <f>"Total scope 1 - " &amp; D32</f>
        <v>Total scope 1 - Power standalone machinery or heating</v>
      </c>
      <c r="E48" s="222"/>
      <c r="F48" s="220"/>
      <c r="H48" s="179"/>
      <c r="I48" s="179"/>
      <c r="J48" s="179"/>
      <c r="L48" s="179"/>
      <c r="N48" s="179"/>
      <c r="O48" s="179"/>
      <c r="P48" s="179"/>
      <c r="Q48" s="179"/>
    </row>
    <row r="49" spans="1:17" ht="20.100000000000001" customHeight="1" x14ac:dyDescent="0.25">
      <c r="D49" s="35" t="s">
        <v>835</v>
      </c>
      <c r="E49" s="221">
        <f>SUM(N32:N40)+N("Partial sum")</f>
        <v>29.070800000000002</v>
      </c>
      <c r="F49" s="26" t="str">
        <f t="shared" ref="F49:F52" si="3">$E$12</f>
        <v>t CO2-e</v>
      </c>
      <c r="H49" s="179"/>
      <c r="I49" s="179"/>
      <c r="J49" s="179"/>
      <c r="L49" s="179"/>
      <c r="N49" s="179"/>
      <c r="O49" s="179"/>
      <c r="P49" s="179"/>
      <c r="Q49" s="179"/>
    </row>
    <row r="50" spans="1:17" ht="20.100000000000001" customHeight="1" x14ac:dyDescent="0.25">
      <c r="D50" s="35" t="s">
        <v>836</v>
      </c>
      <c r="E50" s="221">
        <f>SUM(O32:O40)+N("Partial sum")</f>
        <v>7.2400000000000006E-2</v>
      </c>
      <c r="F50" s="26" t="str">
        <f t="shared" si="3"/>
        <v>t CO2-e</v>
      </c>
      <c r="H50" s="179"/>
      <c r="I50" s="179"/>
      <c r="J50" s="179"/>
      <c r="L50" s="179"/>
      <c r="N50" s="179"/>
      <c r="O50" s="179"/>
      <c r="P50" s="179"/>
      <c r="Q50" s="179"/>
    </row>
    <row r="51" spans="1:17" ht="20.100000000000001" customHeight="1" x14ac:dyDescent="0.25">
      <c r="A51" s="100"/>
      <c r="D51" s="35" t="s">
        <v>837</v>
      </c>
      <c r="E51" s="221">
        <f>SUM(P32:P40)+N("Partial sum")</f>
        <v>7.1400000000000005E-2</v>
      </c>
      <c r="F51" s="26" t="str">
        <f t="shared" si="3"/>
        <v>t CO2-e</v>
      </c>
      <c r="H51" s="179"/>
      <c r="I51" s="179"/>
      <c r="J51" s="179"/>
      <c r="L51" s="179"/>
      <c r="N51" s="179"/>
      <c r="O51" s="179"/>
      <c r="P51" s="179"/>
      <c r="Q51" s="179"/>
    </row>
    <row r="52" spans="1:17" ht="20.100000000000001" customHeight="1" x14ac:dyDescent="0.25">
      <c r="A52" s="5"/>
      <c r="D52" s="35" t="s">
        <v>838</v>
      </c>
      <c r="E52" s="221">
        <f>SUM(Q32:Q40)+N("Partial sum")</f>
        <v>6.2923999999999998</v>
      </c>
      <c r="F52" s="26" t="str">
        <f t="shared" si="3"/>
        <v>t CO2-e</v>
      </c>
      <c r="G52" s="179"/>
      <c r="H52" s="179"/>
      <c r="I52" s="179"/>
      <c r="J52" s="179"/>
      <c r="L52" s="179"/>
      <c r="N52" s="179"/>
      <c r="O52" s="179"/>
      <c r="P52" s="179"/>
      <c r="Q52" s="179"/>
    </row>
    <row r="53" spans="1:17" ht="20.100000000000001" customHeight="1" x14ac:dyDescent="0.25">
      <c r="A53" s="5"/>
      <c r="G53" s="179"/>
      <c r="H53" s="179"/>
      <c r="I53" s="179"/>
      <c r="J53" s="179"/>
      <c r="L53" s="179"/>
      <c r="N53" s="179"/>
      <c r="O53" s="179"/>
      <c r="P53" s="179"/>
      <c r="Q53" s="179"/>
    </row>
    <row r="54" spans="1:17" ht="20.100000000000001" customHeight="1" x14ac:dyDescent="0.25">
      <c r="A54" s="5"/>
      <c r="D54" s="218" t="s">
        <v>849</v>
      </c>
      <c r="E54" s="222"/>
      <c r="F54" s="220"/>
      <c r="G54" s="179"/>
      <c r="H54" s="179"/>
      <c r="I54" s="179"/>
      <c r="J54" s="179"/>
      <c r="L54" s="179"/>
      <c r="N54" s="179"/>
      <c r="O54" s="179"/>
      <c r="P54" s="179"/>
      <c r="Q54" s="179"/>
    </row>
    <row r="55" spans="1:17" ht="20.100000000000001" customHeight="1" x14ac:dyDescent="0.25">
      <c r="A55" s="5"/>
      <c r="D55" s="35" t="s">
        <v>835</v>
      </c>
      <c r="E55" s="221">
        <f>E43+E49</f>
        <v>29.070800000000002</v>
      </c>
      <c r="F55" s="26" t="str">
        <f t="shared" ref="F55:F58" si="4">$E$12</f>
        <v>t CO2-e</v>
      </c>
      <c r="G55" s="179"/>
      <c r="H55" s="179"/>
      <c r="I55" s="179"/>
      <c r="J55" s="179"/>
      <c r="L55" s="179"/>
      <c r="N55" s="179"/>
      <c r="O55" s="179"/>
      <c r="P55" s="179"/>
      <c r="Q55" s="179"/>
    </row>
    <row r="56" spans="1:17" ht="20.100000000000001" customHeight="1" x14ac:dyDescent="0.25">
      <c r="A56" s="5"/>
      <c r="D56" s="35" t="s">
        <v>836</v>
      </c>
      <c r="E56" s="221">
        <f>E44+E50</f>
        <v>7.2400000000000006E-2</v>
      </c>
      <c r="F56" s="26" t="str">
        <f t="shared" si="4"/>
        <v>t CO2-e</v>
      </c>
      <c r="H56" s="179"/>
    </row>
    <row r="57" spans="1:17" ht="20.100000000000001" customHeight="1" x14ac:dyDescent="0.25">
      <c r="A57" s="5"/>
      <c r="D57" s="35" t="s">
        <v>837</v>
      </c>
      <c r="E57" s="221">
        <f>E45+E51</f>
        <v>7.1400000000000005E-2</v>
      </c>
      <c r="F57" s="26" t="str">
        <f t="shared" si="4"/>
        <v>t CO2-e</v>
      </c>
      <c r="G57" s="179"/>
      <c r="H57" s="179"/>
      <c r="I57" s="179"/>
      <c r="J57" s="179"/>
      <c r="L57" s="179"/>
      <c r="N57" s="179"/>
      <c r="O57" s="179"/>
      <c r="P57" s="179"/>
      <c r="Q57" s="179"/>
    </row>
    <row r="58" spans="1:17" ht="20.100000000000001" customHeight="1" x14ac:dyDescent="0.25">
      <c r="A58" s="5"/>
      <c r="D58" s="35" t="s">
        <v>838</v>
      </c>
      <c r="E58" s="221">
        <f>E46+E52</f>
        <v>6.2923999999999998</v>
      </c>
      <c r="F58" s="26" t="str">
        <f t="shared" si="4"/>
        <v>t CO2-e</v>
      </c>
      <c r="G58" s="179"/>
      <c r="H58" s="179"/>
      <c r="I58" s="179"/>
      <c r="J58" s="179"/>
      <c r="L58" s="179"/>
      <c r="N58" s="179"/>
      <c r="O58" s="179"/>
      <c r="P58" s="179"/>
      <c r="Q58" s="179"/>
    </row>
    <row r="59" spans="1:17" ht="20.100000000000001" customHeight="1" x14ac:dyDescent="0.25">
      <c r="A59" s="5"/>
      <c r="G59" s="179"/>
      <c r="H59" s="179"/>
      <c r="I59" s="179"/>
      <c r="J59" s="179"/>
      <c r="L59" s="179"/>
      <c r="N59" s="179"/>
      <c r="O59" s="179"/>
      <c r="P59" s="179"/>
      <c r="Q59" s="179"/>
    </row>
    <row r="60" spans="1:17" ht="20.100000000000001" customHeight="1" x14ac:dyDescent="0.25">
      <c r="A60" s="5"/>
      <c r="G60" s="179"/>
      <c r="H60" s="179"/>
      <c r="I60" s="179"/>
      <c r="J60" s="179"/>
      <c r="L60" s="179"/>
      <c r="N60" s="179"/>
      <c r="O60" s="179"/>
      <c r="P60" s="179"/>
      <c r="Q60" s="179"/>
    </row>
    <row r="61" spans="1:17" ht="20.100000000000001" customHeight="1" x14ac:dyDescent="0.25">
      <c r="A61" s="5"/>
      <c r="G61" s="179"/>
      <c r="H61" s="179"/>
      <c r="I61" s="179"/>
      <c r="J61" s="179"/>
      <c r="L61" s="179"/>
      <c r="N61" s="179"/>
      <c r="O61" s="179"/>
      <c r="P61" s="179"/>
      <c r="Q61" s="179"/>
    </row>
    <row r="62" spans="1:17" ht="20.100000000000001" customHeight="1" x14ac:dyDescent="0.25">
      <c r="G62" s="179"/>
      <c r="H62" s="179"/>
      <c r="I62" s="179"/>
      <c r="J62" s="179"/>
      <c r="L62" s="179"/>
      <c r="N62" s="179"/>
      <c r="O62" s="179"/>
      <c r="P62" s="179"/>
      <c r="Q62" s="179"/>
    </row>
    <row r="63" spans="1:17" ht="20.100000000000001" customHeight="1" x14ac:dyDescent="0.25">
      <c r="G63" s="179"/>
      <c r="H63" s="179"/>
      <c r="I63" s="179"/>
      <c r="J63" s="179"/>
      <c r="L63" s="179"/>
      <c r="N63" s="179"/>
      <c r="O63" s="179"/>
      <c r="P63" s="179"/>
      <c r="Q63" s="179"/>
    </row>
    <row r="64" spans="1:17" ht="20.100000000000001" customHeight="1" x14ac:dyDescent="0.25">
      <c r="G64" s="179"/>
      <c r="H64" s="179"/>
      <c r="I64" s="179"/>
      <c r="J64" s="179"/>
      <c r="L64" s="179"/>
      <c r="N64" s="179"/>
      <c r="O64" s="179"/>
      <c r="P64" s="179"/>
      <c r="Q64" s="179"/>
    </row>
    <row r="65" spans="7:17" ht="20.100000000000001" customHeight="1" x14ac:dyDescent="0.25">
      <c r="G65" s="179"/>
      <c r="H65" s="179"/>
      <c r="I65" s="179"/>
      <c r="J65" s="179"/>
      <c r="L65" s="179"/>
      <c r="N65" s="179"/>
      <c r="O65" s="179"/>
      <c r="P65" s="179"/>
      <c r="Q65" s="179"/>
    </row>
    <row r="66" spans="7:17" ht="20.100000000000001" customHeight="1" x14ac:dyDescent="0.25">
      <c r="G66" s="179"/>
      <c r="H66" s="179"/>
      <c r="I66" s="179"/>
      <c r="J66" s="179"/>
      <c r="L66" s="179"/>
      <c r="N66" s="179"/>
      <c r="O66" s="179"/>
      <c r="P66" s="179"/>
      <c r="Q66" s="179"/>
    </row>
    <row r="67" spans="7:17" ht="20.100000000000001" customHeight="1" x14ac:dyDescent="0.25">
      <c r="G67" s="179"/>
    </row>
    <row r="68" spans="7:17" ht="20.100000000000001" customHeight="1" x14ac:dyDescent="0.25">
      <c r="G68" s="179"/>
    </row>
    <row r="69" spans="7:17" ht="20.100000000000001" customHeight="1" x14ac:dyDescent="0.25">
      <c r="G69" s="179"/>
    </row>
    <row r="70" spans="7:17" ht="20.100000000000001" customHeight="1" x14ac:dyDescent="0.25">
      <c r="G70" s="179"/>
    </row>
    <row r="71" spans="7:17" ht="20.100000000000001" customHeight="1" x14ac:dyDescent="0.25">
      <c r="G71" s="17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D9B956-36A1-41CA-976C-6FC38574FF3E}">
  <dimension ref="A1:K342"/>
  <sheetViews>
    <sheetView showGridLines="0" topLeftCell="C1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785</v>
      </c>
    </row>
    <row r="2" spans="1:11" s="3" customFormat="1" ht="20.100000000000001" customHeight="1" x14ac:dyDescent="0.25">
      <c r="A2"/>
    </row>
    <row r="3" spans="1:11" ht="20.100000000000001" customHeight="1" x14ac:dyDescent="0.25">
      <c r="A3" s="5"/>
      <c r="C3" s="33"/>
      <c r="D3" s="33" t="s">
        <v>145</v>
      </c>
      <c r="E3" s="33"/>
      <c r="F3" s="33"/>
      <c r="G3" s="33"/>
      <c r="H3" s="33"/>
      <c r="I3" s="33"/>
      <c r="J3" s="33"/>
      <c r="K3" s="33"/>
    </row>
    <row r="4" spans="1:11" ht="20.100000000000001" customHeight="1" x14ac:dyDescent="0.25">
      <c r="A4" s="5"/>
    </row>
    <row r="5" spans="1:11" ht="20.100000000000001" customHeight="1" x14ac:dyDescent="0.25">
      <c r="A5" s="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c r="D8" s="107" t="s">
        <v>358</v>
      </c>
      <c r="E8" s="107"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row>
    <row r="10" spans="1:11" ht="20.100000000000001" customHeight="1" x14ac:dyDescent="0.25">
      <c r="A10" s="5"/>
    </row>
    <row r="11" spans="1:11" ht="20.100000000000001" customHeight="1" x14ac:dyDescent="0.25">
      <c r="A11" s="5"/>
      <c r="D11" s="88" t="s">
        <v>360</v>
      </c>
      <c r="E11" s="1" t="str" cm="1">
        <f t="array" ref="E11">Electricity_Equations.VEERG_14_1_1__1_LocationBasedScopeElectricityEmissions_Variable()</f>
        <v>E_2elec</v>
      </c>
    </row>
    <row r="12" spans="1:11" ht="20.100000000000001" customHeight="1" x14ac:dyDescent="0.25">
      <c r="A12" s="5"/>
      <c r="D12" s="88" t="s">
        <v>128</v>
      </c>
      <c r="E12" s="15" t="str" cm="1">
        <f t="array" ref="E12">Electricity_Equations.VEERG_14_1_1__1_LocationBasedScopeElectricityEmissions_Unit()</f>
        <v>t CO2e</v>
      </c>
    </row>
    <row r="13" spans="1:11" ht="20.100000000000001" customHeight="1" x14ac:dyDescent="0.25">
      <c r="A13" s="5"/>
    </row>
    <row r="14" spans="1:11" ht="20.100000000000001" customHeight="1" x14ac:dyDescent="0.25">
      <c r="A14" s="5"/>
      <c r="D14" s="109" t="str" cm="1">
        <f t="array" ref="D14:E16">_xlfn.CHOOSECOLS(Electricity_Equations.VEERG_14_1_1__1_LocationBasedScopeElectricityEmissions_Arguments(),1,2)</f>
        <v>Q_elec</v>
      </c>
      <c r="E14" s="110" t="str">
        <v>amount of electricity purchased from the grid</v>
      </c>
      <c r="F14" s="112"/>
      <c r="G14" s="109" t="str" cm="1">
        <f t="array" ref="G14:H16">_xlfn.CHOOSECOLS(Electricity_Equations.VEERG_14_1_1__1_LocationBasedScopeElectricityEmissions_Arguments(),3,4)</f>
        <v>kWh</v>
      </c>
      <c r="H14" s="113" t="str">
        <v>Input</v>
      </c>
      <c r="I14" s="110">
        <f>X_Cell_Electricity_Location_AmountPurchasedInkWh</f>
        <v>30000</v>
      </c>
      <c r="J14" s="112"/>
    </row>
    <row r="15" spans="1:11" ht="20.100000000000001" customHeight="1" x14ac:dyDescent="0.25">
      <c r="A15" s="5"/>
      <c r="D15" s="109" t="str">
        <v>EF_2elec</v>
      </c>
      <c r="E15" s="110" t="str">
        <v>location-based Scope 2 emission factor for electricity</v>
      </c>
      <c r="F15" s="112"/>
      <c r="G15" s="109" t="str">
        <v>kg CO2e/kWh</v>
      </c>
      <c r="H15" s="114" t="str">
        <v>Constant</v>
      </c>
      <c r="I15" s="110" cm="1">
        <f t="array" ref="I15">Common_InputFunctions.Utility_LookupValueInTableNumber(I16,Table_SourceData_ElectricityEFs[State, Territory or grid description],Table_SourceData_ElectricityEFs[Scope 2 Emission Factors (kg CO2-e/kWh)])</f>
        <v>0.56000000000000005</v>
      </c>
      <c r="J15" s="112"/>
    </row>
    <row r="16" spans="1:11" ht="20.100000000000001" customHeight="1" x14ac:dyDescent="0.25">
      <c r="A16" s="5"/>
      <c r="D16" s="109" t="str">
        <v>g</v>
      </c>
      <c r="E16" s="110" t="str">
        <v>Grid electricity was purchased from</v>
      </c>
      <c r="F16" s="112"/>
      <c r="G16" s="109" t="str">
        <v/>
      </c>
      <c r="H16" s="113" t="str">
        <v>Input</v>
      </c>
      <c r="I16" s="110" t="str">
        <f>X_Cell_Electricity_Location_GridElectricityPurchasedFrom</f>
        <v>Western Australia - North Western Interconnected System (NWIS)</v>
      </c>
      <c r="J16" s="112"/>
    </row>
    <row r="17" spans="1:11" ht="20.100000000000001" customHeight="1" x14ac:dyDescent="0.25">
      <c r="A17" s="5"/>
    </row>
    <row r="18" spans="1:11" ht="20.100000000000001" customHeight="1" x14ac:dyDescent="0.25">
      <c r="A18" s="5"/>
      <c r="D18" s="121" t="s">
        <v>786</v>
      </c>
      <c r="E18" s="122" cm="1">
        <f t="array" ref="E18">Electricity_Equations.VEERG_14_1_1__1_LocationBasedScopeElectricityEmissions(I14,I15)</f>
        <v>16.8</v>
      </c>
      <c r="F18" s="123" t="str">
        <f>$E$12</f>
        <v>t CO2e</v>
      </c>
    </row>
    <row r="19" spans="1:11" ht="20.100000000000001" customHeight="1" x14ac:dyDescent="0.25">
      <c r="A19" s="5"/>
    </row>
    <row r="20" spans="1:11" ht="20.100000000000001" customHeight="1" x14ac:dyDescent="0.25">
      <c r="A20" s="5"/>
    </row>
    <row r="21" spans="1:11" ht="20.100000000000001" customHeight="1" x14ac:dyDescent="0.25">
      <c r="A21" s="5"/>
      <c r="C21" s="120"/>
      <c r="D21" s="120"/>
      <c r="E21" s="120"/>
      <c r="F21" s="120"/>
      <c r="G21" s="120"/>
      <c r="H21" s="120"/>
      <c r="I21" s="120"/>
      <c r="J21" s="120"/>
      <c r="K21" s="120"/>
    </row>
    <row r="22" spans="1:11" ht="20.100000000000001" customHeight="1" x14ac:dyDescent="0.25">
      <c r="A22" s="5"/>
      <c r="D22" s="2" t="str" cm="1">
        <f t="array" ref="D22">Electricity_Equations.VEERG_14_1_2__1_MarketBasedScopeElectricityEmissions_Title()</f>
        <v>Market-based Scope 2 emissions from purchased electricity</v>
      </c>
    </row>
    <row r="23" spans="1:11" ht="20.100000000000001" customHeight="1" x14ac:dyDescent="0.25">
      <c r="A23" s="5"/>
      <c r="D23" s="27" t="str" cm="1">
        <f t="array" ref="D23">Electricity_Equations.VEERG_14_1_2__1_MarketBasedScopeElectricityEmissions_Source()</f>
        <v>VEERG 2026: 14.1.2, Equation (1)</v>
      </c>
    </row>
    <row r="24" spans="1:11" ht="20.100000000000001" customHeight="1" x14ac:dyDescent="0.25">
      <c r="A24" s="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c r="D25" s="107" t="s">
        <v>358</v>
      </c>
      <c r="E25" s="107"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row>
    <row r="27" spans="1:11" ht="20.100000000000001" customHeight="1" x14ac:dyDescent="0.25"/>
    <row r="28" spans="1:11" ht="20.100000000000001" customHeight="1" x14ac:dyDescent="0.25">
      <c r="D28" s="88" t="s">
        <v>360</v>
      </c>
      <c r="E28" s="1" t="str" cm="1">
        <f t="array" ref="E28">Electricity_Equations.VEERG_14_1_2__1_MarketBasedScopeElectricityEmissions_Variable()</f>
        <v>E_2elec</v>
      </c>
    </row>
    <row r="29" spans="1:11" ht="20.100000000000001" customHeight="1" x14ac:dyDescent="0.25">
      <c r="A29" s="6"/>
      <c r="D29" s="88" t="s">
        <v>128</v>
      </c>
      <c r="E29" s="15" t="str" cm="1">
        <f t="array" ref="E29">Electricity_Equations.VEERG_14_1_2__1_MarketBasedScopeElectricityEmissions_Unit()</f>
        <v>t CO2e</v>
      </c>
    </row>
    <row r="30" spans="1:11" ht="20.100000000000001" customHeight="1" x14ac:dyDescent="0.25">
      <c r="A30" s="5"/>
    </row>
    <row r="31" spans="1:11" ht="20.100000000000001" customHeight="1" x14ac:dyDescent="0.25">
      <c r="A31" s="5"/>
      <c r="D31" s="109" t="str" cm="1">
        <f t="array" ref="D31:E37">_xlfn.CHOOSECOLS(Electricity_Equations.VEERG_14_1_2__1_MarketBasedScopeElectricityEmissions_Arguments(),1,2)</f>
        <v>Q_elec</v>
      </c>
      <c r="E31" s="110" t="str">
        <v>amount of electricity purchased from the grid</v>
      </c>
      <c r="F31" s="111"/>
      <c r="G31" s="111"/>
      <c r="H31" s="109" t="str" cm="1">
        <f t="array" ref="H31:I37">_xlfn.CHOOSECOLS(Electricity_Equations.VEERG_14_1_2__1_MarketBasedScopeElectricityEmissions_Arguments(),3,4)</f>
        <v>kWh</v>
      </c>
      <c r="I31" s="113" t="str">
        <v>Input</v>
      </c>
      <c r="J31" s="109">
        <f>X_Cell_Electricity_Market_AmountPurchasedExcludingGreenPower</f>
        <v>30000</v>
      </c>
    </row>
    <row r="32" spans="1:11" ht="20.100000000000001" customHeight="1" x14ac:dyDescent="0.25">
      <c r="A32" s="5"/>
      <c r="D32" s="109" t="str">
        <v>RPP</v>
      </c>
      <c r="E32" s="110" t="str">
        <v>Renewable Power Percentage under the Large-scale Renewable Energy Target (LRET)</v>
      </c>
      <c r="F32" s="111"/>
      <c r="G32" s="111"/>
      <c r="H32" s="109" t="str">
        <v>per cent</v>
      </c>
      <c r="I32" s="113" t="str">
        <v>Input</v>
      </c>
      <c r="J32" s="196">
        <f>X_Cell_Electricity_Market_RenewablePowerPercentage</f>
        <v>0.1</v>
      </c>
    </row>
    <row r="33" spans="1:10" ht="20.100000000000001" customHeight="1" x14ac:dyDescent="0.25">
      <c r="A33" s="5"/>
      <c r="D33" s="109" t="str">
        <v>JRPP</v>
      </c>
      <c r="E33" s="110" t="str">
        <v>jurisdictional renewable power percentage for the applicable period (ACT only)</v>
      </c>
      <c r="F33" s="111"/>
      <c r="G33" s="111"/>
      <c r="H33" s="109" t="str">
        <v>per cent</v>
      </c>
      <c r="I33" s="113" t="str">
        <v>Input</v>
      </c>
      <c r="J33" s="196" t="str">
        <f>IF(J37="ACT", X_Cell_Electricity_Market_JurisdictionalRenewablePowerPercentage, "N/A")</f>
        <v>N/A</v>
      </c>
    </row>
    <row r="34" spans="1:10" ht="20.100000000000001" customHeight="1" x14ac:dyDescent="0.25">
      <c r="A34" s="5"/>
      <c r="D34" s="109" t="str">
        <v>REC_surrendered</v>
      </c>
      <c r="E34" s="110" t="str">
        <v>Renewable Energy Certificates voluntarily surrendered in the reporting year</v>
      </c>
      <c r="F34" s="111"/>
      <c r="G34" s="111"/>
      <c r="H34" s="109" t="str">
        <v>MWh</v>
      </c>
      <c r="I34" s="113" t="str">
        <v>Input</v>
      </c>
      <c r="J34" s="109">
        <f>(X_Cell_Electricity_Market_AmountPurchasedGreenPower*10^-3)+X_Cell_TotalElegibleVoluntarilySurrenderedRECs</f>
        <v>20</v>
      </c>
    </row>
    <row r="35" spans="1:10" ht="20.100000000000001" customHeight="1" x14ac:dyDescent="0.25">
      <c r="A35" s="5"/>
      <c r="D35" s="109" t="str">
        <v>REC_onsite</v>
      </c>
      <c r="E35" s="110" t="str">
        <v>Renewable Energy Certificates issued for electricity produced on-site during the year and consumed by the entity</v>
      </c>
      <c r="F35" s="111"/>
      <c r="G35" s="111"/>
      <c r="H35" s="109" t="str">
        <v>MWh</v>
      </c>
      <c r="I35" s="113" t="str">
        <v>Input</v>
      </c>
      <c r="J35" s="109">
        <f>X_Cell_TotalElegibleRECsForElectricityProducedOnSite</f>
        <v>11</v>
      </c>
    </row>
    <row r="36" spans="1:10" ht="20.100000000000001" customHeight="1" x14ac:dyDescent="0.25">
      <c r="A36" s="5"/>
      <c r="D36" s="109" t="str">
        <v>EF_RMF2elec</v>
      </c>
      <c r="E36" s="110" t="str">
        <v>Scope 2 residual mix emission factor for electricity</v>
      </c>
      <c r="F36" s="111"/>
      <c r="G36" s="111"/>
      <c r="H36" s="109" t="str">
        <v>kg CO2e/kWh</v>
      </c>
      <c r="I36" s="114" t="str">
        <v>Constant</v>
      </c>
      <c r="J36" s="109" cm="1">
        <f t="array" ref="J36">Table_SourceData_ElectricityEFsMarketBased[Scope 2 EF (kg CO2-e/kWh)]</f>
        <v>0.81</v>
      </c>
    </row>
    <row r="37" spans="1:10" ht="20.100000000000001" customHeight="1" x14ac:dyDescent="0.25">
      <c r="A37" s="5"/>
      <c r="D37" s="109" t="str">
        <v>i</v>
      </c>
      <c r="E37" s="110" t="str">
        <v>state</v>
      </c>
      <c r="F37" s="111"/>
      <c r="G37" s="112"/>
      <c r="H37" s="109" t="str">
        <v/>
      </c>
      <c r="I37" s="113" t="str">
        <v>Input</v>
      </c>
      <c r="J37" s="109" t="str">
        <f>X_Cell_Site_State</f>
        <v>Western Australia</v>
      </c>
    </row>
    <row r="38" spans="1:10" ht="20.100000000000001" customHeight="1" x14ac:dyDescent="0.25">
      <c r="A38" s="5"/>
    </row>
    <row r="39" spans="1:10" ht="20.100000000000001" customHeight="1" x14ac:dyDescent="0.25">
      <c r="A39" s="5"/>
      <c r="D39" s="121" t="s">
        <v>786</v>
      </c>
      <c r="E39" s="122" cm="1">
        <f t="array" ref="E39">Electricity_Equations.VEERG_14_1_2__1_MarketBasedScopeElectricityEmissionsVariation(J31,J32,IF(ISNUMBER(J33), J33, 0),J34,J35,J36)</f>
        <v>14.580000000000002</v>
      </c>
      <c r="F39" s="123" t="str">
        <f>E29</f>
        <v>t CO2e</v>
      </c>
    </row>
    <row r="40" spans="1:10" ht="20.100000000000001" customHeight="1" x14ac:dyDescent="0.25">
      <c r="A40" s="5"/>
      <c r="H40" s="1" t="s">
        <v>780</v>
      </c>
    </row>
    <row r="41" spans="1:10" ht="20.100000000000001" customHeight="1" x14ac:dyDescent="0.25">
      <c r="A41" s="5"/>
    </row>
    <row r="42" spans="1:10" ht="20.100000000000001" customHeight="1" x14ac:dyDescent="0.25">
      <c r="A42" s="5"/>
    </row>
    <row r="43" spans="1:10" ht="20.100000000000001" customHeight="1" x14ac:dyDescent="0.25">
      <c r="A43" s="5"/>
    </row>
    <row r="44" spans="1:10" ht="20.100000000000001" customHeight="1" x14ac:dyDescent="0.25">
      <c r="A44" s="108"/>
      <c r="E44" s="153"/>
    </row>
    <row r="45" spans="1:10" ht="20.100000000000001" customHeight="1" x14ac:dyDescent="0.25">
      <c r="A45" s="5"/>
    </row>
    <row r="46" spans="1:10" ht="20.100000000000001" customHeight="1" x14ac:dyDescent="0.25">
      <c r="A46" s="5"/>
    </row>
    <row r="47" spans="1:10" ht="20.100000000000001" customHeight="1" x14ac:dyDescent="0.25">
      <c r="A47" s="5"/>
    </row>
    <row r="48" spans="1:10"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49CD10D5-D736-4526-80D8-71AC1F382DE2}"/>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45739-8781-49E8-A091-A81E3E9A22AB}">
  <sheetPr>
    <tabColor theme="9" tint="-0.249977111117893"/>
  </sheetPr>
  <dimension ref="A1:AO642"/>
  <sheetViews>
    <sheetView showGridLines="0" topLeftCell="L208"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40" width="35" style="1" customWidth="1"/>
    <col min="41" max="41" width="5.28515625" style="1" customWidth="1"/>
    <col min="42" max="16384" width="9.140625" style="249"/>
  </cols>
  <sheetData>
    <row r="1" spans="1:41" s="31" customFormat="1" ht="30" customHeight="1" x14ac:dyDescent="0.35">
      <c r="A1" s="16" t="e" vm="1">
        <v>#VALUE!</v>
      </c>
      <c r="C1" s="31" t="s">
        <v>1142</v>
      </c>
    </row>
    <row r="2" spans="1:41" s="3" customFormat="1" ht="20.100000000000001" customHeight="1" x14ac:dyDescent="0.25">
      <c r="A2"/>
    </row>
    <row r="3" spans="1:41" ht="20.100000000000001" customHeight="1" x14ac:dyDescent="0.25">
      <c r="A3" s="5"/>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row>
    <row r="5" spans="1:41" ht="20.100000000000001" customHeight="1" x14ac:dyDescent="0.25">
      <c r="A5" s="5"/>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7" t="s">
        <v>358</v>
      </c>
      <c r="E7" s="107" t="str" cm="1">
        <f t="array" aca="1" ref="E7" ca="1">Common_InputFunctions.Utility_DisplayFunctionName(J23)</f>
        <v>=Scope3_Equations.VEERG_15_1_1_1__1_EmissionsFromPurchasedLivestock</v>
      </c>
    </row>
    <row r="8" spans="1:41" ht="20.100000000000001" customHeight="1" x14ac:dyDescent="0.25">
      <c r="A8" s="7"/>
    </row>
    <row r="9" spans="1:41" ht="20.100000000000001" customHeight="1" x14ac:dyDescent="0.25">
      <c r="A9" s="5"/>
      <c r="H9" s="107"/>
    </row>
    <row r="10" spans="1:41" ht="20.100000000000001" customHeight="1" x14ac:dyDescent="0.25">
      <c r="A10" s="5"/>
      <c r="D10" s="88" t="s">
        <v>360</v>
      </c>
      <c r="E10" s="1" t="str" cm="1">
        <f t="array" ref="E10">Scope3_Equations.VEERG_15_1_1_1__1_EmissionsFromPurchasedLivestock_Variable()</f>
        <v>E</v>
      </c>
    </row>
    <row r="11" spans="1:41" ht="20.100000000000001" customHeight="1" x14ac:dyDescent="0.25">
      <c r="A11" s="5"/>
      <c r="D11" s="88" t="s">
        <v>128</v>
      </c>
      <c r="E11" s="15" t="str" cm="1">
        <f t="array" ref="E11">Scope3_Equations.VEERG_15_1_1_1__1_EmissionsFromPurchasedLivestock_Unit()</f>
        <v>t CO2e</v>
      </c>
    </row>
    <row r="12" spans="1:41" ht="20.100000000000001" customHeight="1" x14ac:dyDescent="0.25">
      <c r="A12" s="5"/>
    </row>
    <row r="13" spans="1:41" ht="20.100000000000001" customHeight="1" x14ac:dyDescent="0.25">
      <c r="A13" s="5"/>
      <c r="D13" s="109" t="str" cm="1">
        <f t="array" ref="D13:E17">_xlfn.CHOOSECOLS(Scope3_Equations.VEERG_15_1_1_1__1_EmissionsFromPurchasedLivestock_Arguments(),1,2)</f>
        <v>N_co</v>
      </c>
      <c r="E13" s="110" t="str">
        <v>number of animals purchased in livestock type c from origin o</v>
      </c>
      <c r="F13" s="112"/>
      <c r="G13" s="109" t="str" cm="1">
        <f t="array" ref="G13:H17">_xlfn.CHOOSECOLS(Scope3_Equations.VEERG_15_1_1_1__1_EmissionsFromPurchasedLivestock_Arguments(),3,4)</f>
        <v>head</v>
      </c>
      <c r="H13" s="264" t="str">
        <v>Input</v>
      </c>
    </row>
    <row r="14" spans="1:41" ht="20.100000000000001" customHeight="1" x14ac:dyDescent="0.25">
      <c r="A14" s="5"/>
      <c r="D14" s="109" t="str">
        <v>W_co</v>
      </c>
      <c r="E14" s="110" t="str">
        <v>average liveweight of purchased livestock at point of purchase</v>
      </c>
      <c r="F14" s="112"/>
      <c r="G14" s="109" t="str">
        <v>kg/head</v>
      </c>
      <c r="H14" s="264" t="str">
        <v>Input</v>
      </c>
    </row>
    <row r="15" spans="1:41" ht="20.100000000000001" customHeight="1" x14ac:dyDescent="0.25">
      <c r="A15" s="5"/>
      <c r="D15" s="109" t="str">
        <v>EF_co</v>
      </c>
      <c r="E15" s="110" t="str">
        <v>emission factor per livestock type and origin</v>
      </c>
      <c r="F15" s="112"/>
      <c r="G15" s="109" t="str">
        <v>kg CO2e/kg</v>
      </c>
      <c r="H15" s="114" t="str">
        <v>Constant</v>
      </c>
    </row>
    <row r="16" spans="1:41" ht="20.100000000000001" customHeight="1" x14ac:dyDescent="0.25">
      <c r="A16" s="5"/>
      <c r="D16" s="109" t="str">
        <v>c</v>
      </c>
      <c r="E16" s="110" t="str">
        <v>livestock type</v>
      </c>
      <c r="F16" s="112"/>
      <c r="G16" s="109" t="str">
        <v/>
      </c>
      <c r="H16" s="264" t="str">
        <v>Input</v>
      </c>
    </row>
    <row r="17" spans="1:16" ht="20.100000000000001" customHeight="1" x14ac:dyDescent="0.25">
      <c r="A17" s="5"/>
      <c r="D17" s="109" t="str">
        <v>o</v>
      </c>
      <c r="E17" s="110" t="str">
        <v>origin</v>
      </c>
      <c r="F17" s="112"/>
      <c r="G17" s="109" t="str">
        <v/>
      </c>
      <c r="H17" s="264" t="str">
        <v>Input</v>
      </c>
    </row>
    <row r="18" spans="1:16" ht="20.100000000000001" customHeight="1" x14ac:dyDescent="0.25">
      <c r="A18" s="5"/>
    </row>
    <row r="19" spans="1:16" ht="20.100000000000001" customHeight="1" x14ac:dyDescent="0.25">
      <c r="A19" s="5"/>
      <c r="D19" s="46" t="s">
        <v>1143</v>
      </c>
      <c r="E19" s="48"/>
      <c r="F19" s="49"/>
    </row>
    <row r="20" spans="1:16" ht="20.100000000000001" customHeight="1" x14ac:dyDescent="0.25">
      <c r="A20" s="5"/>
    </row>
    <row r="21" spans="1:16" ht="20.100000000000001" customHeight="1" x14ac:dyDescent="0.25">
      <c r="A21" s="5"/>
      <c r="D21" s="253" t="s">
        <v>1144</v>
      </c>
    </row>
    <row r="22" spans="1:16" ht="20.100000000000001" customHeight="1" x14ac:dyDescent="0.25">
      <c r="A22" s="5"/>
      <c r="D22" s="94" t="s">
        <v>1145</v>
      </c>
      <c r="E22" s="265" t="s">
        <v>1146</v>
      </c>
      <c r="F22" s="265" t="s">
        <v>1147</v>
      </c>
      <c r="G22" s="265" t="s">
        <v>1148</v>
      </c>
      <c r="H22" s="265" t="s">
        <v>1149</v>
      </c>
      <c r="I22" s="118" t="s">
        <v>1150</v>
      </c>
      <c r="J22" s="118" t="s">
        <v>1151</v>
      </c>
      <c r="K22" s="265" t="s">
        <v>1152</v>
      </c>
      <c r="L22" s="94" t="s">
        <v>1153</v>
      </c>
      <c r="M22" s="118" t="s">
        <v>1154</v>
      </c>
      <c r="N22" s="94" t="s">
        <v>1155</v>
      </c>
      <c r="O22" s="94" t="s">
        <v>1156</v>
      </c>
      <c r="P22" s="94" t="s">
        <v>1157</v>
      </c>
    </row>
    <row r="23" spans="1:16" ht="20.100000000000001" customHeight="1" x14ac:dyDescent="0.25">
      <c r="A23" s="5"/>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6" cm="1">
        <f t="array" ref="J23">Scope3_Equations.VEERG_15_1_1_1__1_EmissionsFromPurchasedLivestock(G23,H23,I23)</f>
        <v>436.8</v>
      </c>
      <c r="K23" s="25" cm="1">
        <f t="array" ref="K23:K32">IFERROR(INDEX(Table_Input_LivestockPurchases_Beefcattle[Liveweight (kg/head) Method 2], _xlfn.SEQUENCE(10)), "")</f>
        <v>205</v>
      </c>
      <c r="L23" s="86">
        <v>20</v>
      </c>
      <c r="M23" s="266" cm="1">
        <f t="array" ref="M23">Scope3_Equations.VEERG_15_1_1_1__1_EmissionsFromPurchasedLivestock(G23,K23,IF(L23, L23, I23))</f>
        <v>410</v>
      </c>
      <c r="N23" s="44" t="s">
        <v>1158</v>
      </c>
      <c r="O23" s="23" t="s">
        <v>1159</v>
      </c>
      <c r="P23" s="249" t="s">
        <v>1160</v>
      </c>
    </row>
    <row r="24" spans="1:16" ht="20.100000000000001" customHeight="1" x14ac:dyDescent="0.25">
      <c r="A24" s="5"/>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6" cm="1">
        <f t="array" ref="J24">Scope3_Equations.VEERG_15_1_1_1__1_EmissionsFromPurchasedLivestock(G24,H24,I24)</f>
        <v>615.70000000000005</v>
      </c>
      <c r="K24" s="25">
        <v>465</v>
      </c>
      <c r="L24" s="86">
        <v>13</v>
      </c>
      <c r="M24" s="266" cm="1">
        <f t="array" ref="M24">Scope3_Equations.VEERG_15_1_1_1__1_EmissionsFromPurchasedLivestock(G24,K24,IF(L24, L24, I24))</f>
        <v>604.5</v>
      </c>
      <c r="N24" s="44"/>
      <c r="O24" s="23"/>
      <c r="P24" s="44"/>
    </row>
    <row r="25" spans="1:16" ht="20.100000000000001" customHeight="1" x14ac:dyDescent="0.25">
      <c r="A25" s="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6" cm="1">
        <f t="array" ref="J25">Scope3_Equations.VEERG_15_1_1_1__1_EmissionsFromPurchasedLivestock(G25,H25,I25)</f>
        <v>0</v>
      </c>
      <c r="K25" s="25">
        <v>0</v>
      </c>
      <c r="L25" s="86"/>
      <c r="M25" s="266" cm="1">
        <f t="array" ref="M25">Scope3_Equations.VEERG_15_1_1_1__1_EmissionsFromPurchasedLivestock(G25,K25,IF(L25, L25, I25))</f>
        <v>0</v>
      </c>
      <c r="N25" s="44"/>
      <c r="O25" s="23"/>
      <c r="P25" s="44"/>
    </row>
    <row r="26" spans="1:16" ht="20.100000000000001" customHeight="1" x14ac:dyDescent="0.25">
      <c r="A26" s="5"/>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6" cm="1">
        <f t="array" ref="J26">Scope3_Equations.VEERG_15_1_1_1__1_EmissionsFromPurchasedLivestock(G26,H26,I26)</f>
        <v>0</v>
      </c>
      <c r="K26" s="25">
        <v>0</v>
      </c>
      <c r="L26" s="86"/>
      <c r="M26" s="266" cm="1">
        <f t="array" ref="M26">Scope3_Equations.VEERG_15_1_1_1__1_EmissionsFromPurchasedLivestock(G26,K26,IF(L26, L26, I26))</f>
        <v>0</v>
      </c>
      <c r="N26" s="44"/>
      <c r="O26" s="23"/>
      <c r="P26" s="44"/>
    </row>
    <row r="27" spans="1:16" ht="20.100000000000001" customHeight="1" x14ac:dyDescent="0.25">
      <c r="A27"/>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6" cm="1">
        <f t="array" ref="J27">Scope3_Equations.VEERG_15_1_1_1__1_EmissionsFromPurchasedLivestock(G27,H27,I27)</f>
        <v>0</v>
      </c>
      <c r="K27" s="25">
        <v>0</v>
      </c>
      <c r="L27" s="86"/>
      <c r="M27" s="266" cm="1">
        <f t="array" ref="M27">Scope3_Equations.VEERG_15_1_1_1__1_EmissionsFromPurchasedLivestock(G27,K27,IF(L27, L27, I27))</f>
        <v>0</v>
      </c>
      <c r="N27" s="44"/>
      <c r="O27" s="23"/>
      <c r="P27" s="44"/>
    </row>
    <row r="28" spans="1:16" ht="20.100000000000001" customHeight="1" x14ac:dyDescent="0.25">
      <c r="A28"/>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6" cm="1">
        <f t="array" ref="J28">Scope3_Equations.VEERG_15_1_1_1__1_EmissionsFromPurchasedLivestock(G28,H28,I28)</f>
        <v>0</v>
      </c>
      <c r="K28" s="25">
        <v>0</v>
      </c>
      <c r="L28" s="86"/>
      <c r="M28" s="266" cm="1">
        <f t="array" ref="M28">Scope3_Equations.VEERG_15_1_1_1__1_EmissionsFromPurchasedLivestock(G28,K28,IF(L28, L28, I28))</f>
        <v>0</v>
      </c>
      <c r="N28" s="44"/>
      <c r="O28" s="23"/>
      <c r="P28" s="44"/>
    </row>
    <row r="29" spans="1:16" ht="20.100000000000001" customHeight="1" x14ac:dyDescent="0.25">
      <c r="A29" s="6"/>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6" cm="1">
        <f t="array" ref="J29">Scope3_Equations.VEERG_15_1_1_1__1_EmissionsFromPurchasedLivestock(G29,H29,I29)</f>
        <v>0</v>
      </c>
      <c r="K29" s="25">
        <v>0</v>
      </c>
      <c r="L29" s="86"/>
      <c r="M29" s="266" cm="1">
        <f t="array" ref="M29">Scope3_Equations.VEERG_15_1_1_1__1_EmissionsFromPurchasedLivestock(G29,K29,IF(L29, L29, I29))</f>
        <v>0</v>
      </c>
      <c r="N29" s="44"/>
      <c r="O29" s="23"/>
      <c r="P29" s="44"/>
    </row>
    <row r="30" spans="1:16" ht="20.100000000000001" customHeight="1" x14ac:dyDescent="0.25">
      <c r="A30" s="5"/>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6" cm="1">
        <f t="array" ref="J30">Scope3_Equations.VEERG_15_1_1_1__1_EmissionsFromPurchasedLivestock(G30,H30,I30)</f>
        <v>0</v>
      </c>
      <c r="K30" s="25">
        <v>0</v>
      </c>
      <c r="L30" s="86"/>
      <c r="M30" s="266" cm="1">
        <f t="array" ref="M30">Scope3_Equations.VEERG_15_1_1_1__1_EmissionsFromPurchasedLivestock(G30,K30,IF(L30, L30, I30))</f>
        <v>0</v>
      </c>
      <c r="N30" s="44"/>
      <c r="O30" s="23"/>
      <c r="P30" s="44"/>
    </row>
    <row r="31" spans="1:16" ht="20.100000000000001" customHeight="1" x14ac:dyDescent="0.25">
      <c r="A31" s="5"/>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6" cm="1">
        <f t="array" ref="J31">Scope3_Equations.VEERG_15_1_1_1__1_EmissionsFromPurchasedLivestock(G31,H31,I31)</f>
        <v>0</v>
      </c>
      <c r="K31" s="25">
        <v>0</v>
      </c>
      <c r="L31" s="86"/>
      <c r="M31" s="266" cm="1">
        <f t="array" ref="M31">Scope3_Equations.VEERG_15_1_1_1__1_EmissionsFromPurchasedLivestock(G31,K31,IF(L31, L31, I31))</f>
        <v>0</v>
      </c>
      <c r="N31" s="44"/>
      <c r="O31" s="23"/>
      <c r="P31" s="44"/>
    </row>
    <row r="32" spans="1:16" ht="20.100000000000001" customHeight="1" x14ac:dyDescent="0.25">
      <c r="A32" s="5"/>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6" cm="1">
        <f t="array" ref="J32">Scope3_Equations.VEERG_15_1_1_1__1_EmissionsFromPurchasedLivestock(G32,H32,I32)</f>
        <v>0</v>
      </c>
      <c r="K32" s="25">
        <v>0</v>
      </c>
      <c r="L32" s="86"/>
      <c r="M32" s="266" cm="1">
        <f t="array" ref="M32">Scope3_Equations.VEERG_15_1_1_1__1_EmissionsFromPurchasedLivestock(G32,K32,IF(L32, L32, I32))</f>
        <v>0</v>
      </c>
      <c r="N32" s="44"/>
      <c r="O32" s="23"/>
      <c r="P32" s="44"/>
    </row>
    <row r="33" spans="1:13" ht="20.100000000000001" customHeight="1" x14ac:dyDescent="0.25">
      <c r="A33" s="5"/>
    </row>
    <row r="34" spans="1:13" ht="20.100000000000001" customHeight="1" x14ac:dyDescent="0.25">
      <c r="A34" s="5"/>
      <c r="D34" s="128" t="s">
        <v>1161</v>
      </c>
      <c r="E34" s="120">
        <f>SUM(J23:J32)</f>
        <v>1052.5</v>
      </c>
      <c r="F34" s="127" t="str">
        <f>$E$11</f>
        <v>t CO2e</v>
      </c>
    </row>
    <row r="35" spans="1:13" ht="20.100000000000001" customHeight="1" x14ac:dyDescent="0.25">
      <c r="A35" s="5"/>
      <c r="D35" s="128" t="s">
        <v>1162</v>
      </c>
      <c r="E35" s="120">
        <f>SUM(M23:M32)</f>
        <v>1014.5</v>
      </c>
      <c r="F35" s="127" t="str">
        <f>$E$11</f>
        <v>t CO2e</v>
      </c>
    </row>
    <row r="36" spans="1:13" ht="20.100000000000001" customHeight="1" x14ac:dyDescent="0.25">
      <c r="A36" s="5"/>
    </row>
    <row r="37" spans="1:13" ht="20.100000000000001" customHeight="1" x14ac:dyDescent="0.25">
      <c r="A37" s="5"/>
    </row>
    <row r="38" spans="1:13" ht="20.100000000000001" customHeight="1" x14ac:dyDescent="0.25">
      <c r="A38" s="5"/>
      <c r="D38" s="253" t="s">
        <v>1163</v>
      </c>
    </row>
    <row r="39" spans="1:13" ht="20.100000000000001" customHeight="1" x14ac:dyDescent="0.25">
      <c r="A39" s="5"/>
      <c r="D39" s="109" t="s">
        <v>1164</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row>
    <row r="41" spans="1:13" ht="20.100000000000001" customHeight="1" x14ac:dyDescent="0.25">
      <c r="A41" s="5"/>
      <c r="D41" s="94" t="s">
        <v>1145</v>
      </c>
      <c r="E41" s="265" t="s">
        <v>1148</v>
      </c>
      <c r="F41" s="265" t="s">
        <v>1149</v>
      </c>
      <c r="G41" s="118" t="s">
        <v>1151</v>
      </c>
      <c r="H41" s="265" t="s">
        <v>1152</v>
      </c>
      <c r="I41" s="94" t="s">
        <v>1153</v>
      </c>
      <c r="J41" s="118" t="s">
        <v>1154</v>
      </c>
      <c r="K41" s="94" t="s">
        <v>1155</v>
      </c>
      <c r="L41" s="94" t="s">
        <v>1156</v>
      </c>
      <c r="M41" s="94" t="s">
        <v>1157</v>
      </c>
    </row>
    <row r="42" spans="1:13" ht="20.100000000000001" customHeight="1" x14ac:dyDescent="0.25">
      <c r="A42" s="5"/>
      <c r="D42" s="25"/>
      <c r="E42" s="25"/>
      <c r="F42" s="25"/>
      <c r="G42" s="266" cm="1">
        <f t="array" ref="G42">Scope3_Equations.VEERG_15_1_1_1__1_EmissionsFromPurchasedLivestock(E42,F42,$E$39)</f>
        <v>0</v>
      </c>
      <c r="H42" s="25"/>
      <c r="I42" s="86">
        <v>4</v>
      </c>
      <c r="J42" s="266" cm="1">
        <f t="array" ref="J42">Scope3_Equations.VEERG_15_1_1_1__1_EmissionsFromPurchasedLivestock(E42,H42,IF(I42,I42,$E$39))</f>
        <v>0</v>
      </c>
      <c r="K42" s="44" t="s">
        <v>1158</v>
      </c>
      <c r="L42" s="23" t="s">
        <v>1159</v>
      </c>
      <c r="M42" s="249" t="s">
        <v>1160</v>
      </c>
    </row>
    <row r="43" spans="1:13" ht="20.100000000000001" customHeight="1" x14ac:dyDescent="0.25">
      <c r="A43" s="5"/>
      <c r="D43" s="25"/>
      <c r="E43" s="25"/>
      <c r="F43" s="25"/>
      <c r="G43" s="266" cm="1">
        <f t="array" ref="G43">Scope3_Equations.VEERG_15_1_1_1__1_EmissionsFromPurchasedLivestock(E43,F43,$E$39)</f>
        <v>0</v>
      </c>
      <c r="H43" s="25"/>
      <c r="I43" s="86"/>
      <c r="J43" s="266" cm="1">
        <f t="array" ref="J43">Scope3_Equations.VEERG_15_1_1_1__1_EmissionsFromPurchasedLivestock(E43,H43,IF(I43,I43,$E$39))</f>
        <v>0</v>
      </c>
      <c r="K43" s="44"/>
      <c r="L43" s="23"/>
      <c r="M43" s="44"/>
    </row>
    <row r="44" spans="1:13" ht="20.100000000000001" customHeight="1" x14ac:dyDescent="0.25">
      <c r="A44" s="5"/>
      <c r="D44" s="25"/>
      <c r="E44" s="25"/>
      <c r="F44" s="25"/>
      <c r="G44" s="266" cm="1">
        <f t="array" ref="G44">Scope3_Equations.VEERG_15_1_1_1__1_EmissionsFromPurchasedLivestock(E44,F44,$E$39)</f>
        <v>0</v>
      </c>
      <c r="H44" s="25"/>
      <c r="I44" s="86"/>
      <c r="J44" s="266" cm="1">
        <f t="array" ref="J44">Scope3_Equations.VEERG_15_1_1_1__1_EmissionsFromPurchasedLivestock(E44,H44,IF(I44,I44,$E$39))</f>
        <v>0</v>
      </c>
      <c r="K44" s="44"/>
      <c r="L44" s="23"/>
      <c r="M44" s="44"/>
    </row>
    <row r="45" spans="1:13" ht="20.100000000000001" customHeight="1" x14ac:dyDescent="0.25">
      <c r="A45" s="108"/>
      <c r="D45" s="25"/>
      <c r="E45" s="25"/>
      <c r="F45" s="25"/>
      <c r="G45" s="266" cm="1">
        <f t="array" ref="G45">Scope3_Equations.VEERG_15_1_1_1__1_EmissionsFromPurchasedLivestock(E45,F45,$E$39)</f>
        <v>0</v>
      </c>
      <c r="H45" s="25"/>
      <c r="I45" s="86"/>
      <c r="J45" s="266" cm="1">
        <f t="array" ref="J45">Scope3_Equations.VEERG_15_1_1_1__1_EmissionsFromPurchasedLivestock(E45,H45,IF(I45,I45,$E$39))</f>
        <v>0</v>
      </c>
      <c r="K45" s="44"/>
      <c r="L45" s="23"/>
      <c r="M45" s="44"/>
    </row>
    <row r="46" spans="1:13" ht="20.100000000000001" customHeight="1" x14ac:dyDescent="0.25">
      <c r="A46" s="5"/>
      <c r="D46" s="25"/>
      <c r="E46" s="25"/>
      <c r="F46" s="25"/>
      <c r="G46" s="266" cm="1">
        <f t="array" ref="G46">Scope3_Equations.VEERG_15_1_1_1__1_EmissionsFromPurchasedLivestock(E46,F46,$E$39)</f>
        <v>0</v>
      </c>
      <c r="H46" s="25"/>
      <c r="I46" s="86"/>
      <c r="J46" s="266" cm="1">
        <f t="array" ref="J46">Scope3_Equations.VEERG_15_1_1_1__1_EmissionsFromPurchasedLivestock(E46,H46,IF(I46,I46,$E$39))</f>
        <v>0</v>
      </c>
      <c r="K46" s="44"/>
      <c r="L46" s="23"/>
      <c r="M46" s="44"/>
    </row>
    <row r="47" spans="1:13" ht="20.100000000000001" customHeight="1" x14ac:dyDescent="0.25">
      <c r="A47" s="5"/>
      <c r="D47" s="25"/>
      <c r="E47" s="25"/>
      <c r="F47" s="25"/>
      <c r="G47" s="266" cm="1">
        <f t="array" ref="G47">Scope3_Equations.VEERG_15_1_1_1__1_EmissionsFromPurchasedLivestock(E47,F47,$E$39)</f>
        <v>0</v>
      </c>
      <c r="H47" s="25"/>
      <c r="I47" s="86"/>
      <c r="J47" s="266" cm="1">
        <f t="array" ref="J47">Scope3_Equations.VEERG_15_1_1_1__1_EmissionsFromPurchasedLivestock(E47,H47,IF(I47,I47,$E$39))</f>
        <v>0</v>
      </c>
      <c r="K47" s="44"/>
      <c r="L47" s="23"/>
      <c r="M47" s="44"/>
    </row>
    <row r="48" spans="1:13" ht="20.100000000000001" customHeight="1" x14ac:dyDescent="0.25">
      <c r="A48" s="5"/>
      <c r="D48" s="25"/>
      <c r="E48" s="25"/>
      <c r="F48" s="25"/>
      <c r="G48" s="266" cm="1">
        <f t="array" ref="G48">Scope3_Equations.VEERG_15_1_1_1__1_EmissionsFromPurchasedLivestock(E48,F48,$E$39)</f>
        <v>0</v>
      </c>
      <c r="H48" s="25"/>
      <c r="I48" s="86"/>
      <c r="J48" s="266" cm="1">
        <f t="array" ref="J48">Scope3_Equations.VEERG_15_1_1_1__1_EmissionsFromPurchasedLivestock(E48,H48,IF(I48,I48,$E$39))</f>
        <v>0</v>
      </c>
      <c r="K48" s="44"/>
      <c r="L48" s="23"/>
      <c r="M48" s="44"/>
    </row>
    <row r="49" spans="1:13" ht="20.100000000000001" customHeight="1" x14ac:dyDescent="0.25">
      <c r="A49"/>
      <c r="D49" s="25"/>
      <c r="E49" s="25"/>
      <c r="F49" s="25"/>
      <c r="G49" s="266" cm="1">
        <f t="array" ref="G49">Scope3_Equations.VEERG_15_1_1_1__1_EmissionsFromPurchasedLivestock(E49,F49,$E$39)</f>
        <v>0</v>
      </c>
      <c r="H49" s="25"/>
      <c r="I49" s="86"/>
      <c r="J49" s="266" cm="1">
        <f t="array" ref="J49">Scope3_Equations.VEERG_15_1_1_1__1_EmissionsFromPurchasedLivestock(E49,H49,IF(I49,I49,$E$39))</f>
        <v>0</v>
      </c>
      <c r="K49" s="44"/>
      <c r="L49" s="23"/>
      <c r="M49" s="44"/>
    </row>
    <row r="50" spans="1:13" ht="20.100000000000001" customHeight="1" x14ac:dyDescent="0.25">
      <c r="A50"/>
      <c r="D50" s="25"/>
      <c r="E50" s="25"/>
      <c r="F50" s="25"/>
      <c r="G50" s="266" cm="1">
        <f t="array" ref="G50">Scope3_Equations.VEERG_15_1_1_1__1_EmissionsFromPurchasedLivestock(E50,F50,$E$39)</f>
        <v>0</v>
      </c>
      <c r="H50" s="25"/>
      <c r="I50" s="86"/>
      <c r="J50" s="266" cm="1">
        <f t="array" ref="J50">Scope3_Equations.VEERG_15_1_1_1__1_EmissionsFromPurchasedLivestock(E50,H50,IF(I50,I50,$E$39))</f>
        <v>0</v>
      </c>
      <c r="K50" s="44"/>
      <c r="L50" s="23"/>
      <c r="M50" s="44"/>
    </row>
    <row r="51" spans="1:13" ht="20.100000000000001" customHeight="1" x14ac:dyDescent="0.25">
      <c r="A51" s="100"/>
      <c r="D51" s="25"/>
      <c r="E51" s="25"/>
      <c r="F51" s="25"/>
      <c r="G51" s="266" cm="1">
        <f t="array" ref="G51">Scope3_Equations.VEERG_15_1_1_1__1_EmissionsFromPurchasedLivestock(E51,F51,$E$39)</f>
        <v>0</v>
      </c>
      <c r="H51" s="25"/>
      <c r="I51" s="86"/>
      <c r="J51" s="266" cm="1">
        <f t="array" ref="J51">Scope3_Equations.VEERG_15_1_1_1__1_EmissionsFromPurchasedLivestock(E51,H51,IF(I51,I51,$E$39))</f>
        <v>0</v>
      </c>
      <c r="K51" s="44"/>
      <c r="L51" s="23"/>
      <c r="M51" s="44"/>
    </row>
    <row r="52" spans="1:13" ht="20.100000000000001" customHeight="1" x14ac:dyDescent="0.25">
      <c r="A52" s="5"/>
    </row>
    <row r="53" spans="1:13" ht="20.100000000000001" customHeight="1" x14ac:dyDescent="0.25">
      <c r="A53" s="5"/>
      <c r="D53" s="128" t="s">
        <v>1165</v>
      </c>
      <c r="E53" s="120">
        <f>SUM(G42:G51)</f>
        <v>0</v>
      </c>
      <c r="F53" s="127" t="str">
        <f>$E$11</f>
        <v>t CO2e</v>
      </c>
    </row>
    <row r="54" spans="1:13" ht="20.100000000000001" customHeight="1" x14ac:dyDescent="0.25">
      <c r="A54" s="5"/>
      <c r="D54" s="128" t="s">
        <v>1166</v>
      </c>
      <c r="E54" s="120">
        <f>SUM(J42:J51)</f>
        <v>0</v>
      </c>
      <c r="F54" s="127" t="str">
        <f>$E$11</f>
        <v>t CO2e</v>
      </c>
    </row>
    <row r="55" spans="1:13" ht="20.100000000000001" customHeight="1" x14ac:dyDescent="0.25">
      <c r="A55" s="5"/>
    </row>
    <row r="56" spans="1:13" ht="20.100000000000001" customHeight="1" x14ac:dyDescent="0.25">
      <c r="A56" s="5"/>
    </row>
    <row r="57" spans="1:13" ht="20.100000000000001" customHeight="1" x14ac:dyDescent="0.25">
      <c r="A57" s="5"/>
      <c r="D57" s="253" t="s">
        <v>1167</v>
      </c>
    </row>
    <row r="58" spans="1:13" ht="20.100000000000001" customHeight="1" x14ac:dyDescent="0.25">
      <c r="A58" s="5"/>
      <c r="D58" s="109" t="s">
        <v>1164</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row>
    <row r="60" spans="1:13" ht="20.100000000000001" customHeight="1" x14ac:dyDescent="0.25">
      <c r="A60" s="5"/>
      <c r="D60" s="94" t="s">
        <v>1145</v>
      </c>
      <c r="E60" s="265" t="s">
        <v>1148</v>
      </c>
      <c r="F60" s="265" t="s">
        <v>1149</v>
      </c>
      <c r="G60" s="118" t="s">
        <v>1151</v>
      </c>
      <c r="H60" s="265" t="s">
        <v>1152</v>
      </c>
      <c r="I60" s="94" t="s">
        <v>1153</v>
      </c>
      <c r="J60" s="118" t="s">
        <v>1154</v>
      </c>
      <c r="K60" s="94" t="s">
        <v>1155</v>
      </c>
      <c r="L60" s="94" t="s">
        <v>1156</v>
      </c>
      <c r="M60" s="94" t="s">
        <v>1157</v>
      </c>
    </row>
    <row r="61" spans="1:13" ht="20.100000000000001" customHeight="1" x14ac:dyDescent="0.25">
      <c r="A61" s="5"/>
      <c r="D61" s="25"/>
      <c r="E61" s="25"/>
      <c r="F61" s="25"/>
      <c r="G61" s="266" cm="1">
        <f t="array" ref="G61">Scope3_Equations.VEERG_15_1_1_1__1_EmissionsFromPurchasedLivestock(E61,F61,$E$58)</f>
        <v>0</v>
      </c>
      <c r="H61" s="25"/>
      <c r="I61" s="86">
        <v>3.38</v>
      </c>
      <c r="J61" s="266" cm="1">
        <f t="array" ref="J61">Scope3_Equations.VEERG_15_1_1_1__1_EmissionsFromPurchasedLivestock(E61,H61,IF(I61, I61,$E$58))</f>
        <v>0</v>
      </c>
      <c r="K61" s="44"/>
      <c r="L61" s="23"/>
      <c r="M61" s="249"/>
    </row>
    <row r="62" spans="1:13" ht="20.100000000000001" customHeight="1" x14ac:dyDescent="0.25">
      <c r="A62"/>
      <c r="D62" s="25"/>
      <c r="E62" s="25"/>
      <c r="F62" s="25"/>
      <c r="G62" s="266" cm="1">
        <f t="array" ref="G62">Scope3_Equations.VEERG_15_1_1_1__1_EmissionsFromPurchasedLivestock(E62,F62,$E$58)</f>
        <v>0</v>
      </c>
      <c r="H62" s="25"/>
      <c r="I62" s="86">
        <v>3.3</v>
      </c>
      <c r="J62" s="266" cm="1">
        <f t="array" ref="J62">Scope3_Equations.VEERG_15_1_1_1__1_EmissionsFromPurchasedLivestock(E62,H62,IF(I62, I62,$E$58))</f>
        <v>0</v>
      </c>
      <c r="K62" s="44"/>
      <c r="L62" s="23"/>
      <c r="M62" s="44"/>
    </row>
    <row r="63" spans="1:13" ht="20.100000000000001" customHeight="1" x14ac:dyDescent="0.25">
      <c r="A63"/>
      <c r="D63" s="25"/>
      <c r="E63" s="25"/>
      <c r="F63" s="25"/>
      <c r="G63" s="266" cm="1">
        <f t="array" ref="G63">Scope3_Equations.VEERG_15_1_1_1__1_EmissionsFromPurchasedLivestock(E63,F63,$E$58)</f>
        <v>0</v>
      </c>
      <c r="H63" s="25"/>
      <c r="I63" s="86"/>
      <c r="J63" s="266" cm="1">
        <f t="array" ref="J63">Scope3_Equations.VEERG_15_1_1_1__1_EmissionsFromPurchasedLivestock(E63,H63,IF(I63, I63,$E$58))</f>
        <v>0</v>
      </c>
      <c r="K63" s="44"/>
      <c r="L63" s="23"/>
      <c r="M63" s="44"/>
    </row>
    <row r="64" spans="1:13" ht="20.100000000000001" customHeight="1" x14ac:dyDescent="0.25">
      <c r="A64"/>
      <c r="D64" s="25"/>
      <c r="E64" s="25"/>
      <c r="F64" s="25"/>
      <c r="G64" s="266" cm="1">
        <f t="array" ref="G64">Scope3_Equations.VEERG_15_1_1_1__1_EmissionsFromPurchasedLivestock(E64,F64,$E$58)</f>
        <v>0</v>
      </c>
      <c r="H64" s="25"/>
      <c r="I64" s="86"/>
      <c r="J64" s="266" cm="1">
        <f t="array" ref="J64">Scope3_Equations.VEERG_15_1_1_1__1_EmissionsFromPurchasedLivestock(E64,H64,IF(I64, I64,$E$58))</f>
        <v>0</v>
      </c>
      <c r="K64" s="44"/>
      <c r="L64" s="23"/>
      <c r="M64" s="44"/>
    </row>
    <row r="65" spans="1:13" ht="20.100000000000001" customHeight="1" x14ac:dyDescent="0.25">
      <c r="A65"/>
      <c r="D65" s="25"/>
      <c r="E65" s="25"/>
      <c r="F65" s="25"/>
      <c r="G65" s="266" cm="1">
        <f t="array" ref="G65">Scope3_Equations.VEERG_15_1_1_1__1_EmissionsFromPurchasedLivestock(E65,F65,$E$58)</f>
        <v>0</v>
      </c>
      <c r="H65" s="25"/>
      <c r="I65" s="86"/>
      <c r="J65" s="266" cm="1">
        <f t="array" ref="J65">Scope3_Equations.VEERG_15_1_1_1__1_EmissionsFromPurchasedLivestock(E65,H65,IF(I65, I65,$E$58))</f>
        <v>0</v>
      </c>
      <c r="K65" s="44"/>
      <c r="L65" s="23"/>
      <c r="M65" s="44"/>
    </row>
    <row r="66" spans="1:13" ht="20.100000000000001" customHeight="1" x14ac:dyDescent="0.25">
      <c r="A66"/>
      <c r="D66" s="25"/>
      <c r="E66" s="25"/>
      <c r="F66" s="25"/>
      <c r="G66" s="266" cm="1">
        <f t="array" ref="G66">Scope3_Equations.VEERG_15_1_1_1__1_EmissionsFromPurchasedLivestock(E66,F66,$E$58)</f>
        <v>0</v>
      </c>
      <c r="H66" s="25"/>
      <c r="I66" s="86"/>
      <c r="J66" s="266" cm="1">
        <f t="array" ref="J66">Scope3_Equations.VEERG_15_1_1_1__1_EmissionsFromPurchasedLivestock(E66,H66,IF(I66, I66,$E$58))</f>
        <v>0</v>
      </c>
      <c r="K66" s="44"/>
      <c r="L66" s="23"/>
      <c r="M66" s="44"/>
    </row>
    <row r="67" spans="1:13" ht="20.100000000000001" customHeight="1" x14ac:dyDescent="0.25">
      <c r="A67"/>
      <c r="D67" s="25"/>
      <c r="E67" s="25"/>
      <c r="F67" s="25"/>
      <c r="G67" s="266" cm="1">
        <f t="array" ref="G67">Scope3_Equations.VEERG_15_1_1_1__1_EmissionsFromPurchasedLivestock(E67,F67,$E$58)</f>
        <v>0</v>
      </c>
      <c r="H67" s="25"/>
      <c r="I67" s="86"/>
      <c r="J67" s="266" cm="1">
        <f t="array" ref="J67">Scope3_Equations.VEERG_15_1_1_1__1_EmissionsFromPurchasedLivestock(E67,H67,IF(I67, I67,$E$58))</f>
        <v>0</v>
      </c>
      <c r="K67" s="44"/>
      <c r="L67" s="23"/>
      <c r="M67" s="44"/>
    </row>
    <row r="68" spans="1:13" ht="20.100000000000001" customHeight="1" x14ac:dyDescent="0.25">
      <c r="A68"/>
      <c r="D68" s="25"/>
      <c r="E68" s="25"/>
      <c r="F68" s="25"/>
      <c r="G68" s="266" cm="1">
        <f t="array" ref="G68">Scope3_Equations.VEERG_15_1_1_1__1_EmissionsFromPurchasedLivestock(E68,F68,$E$58)</f>
        <v>0</v>
      </c>
      <c r="H68" s="25"/>
      <c r="I68" s="86"/>
      <c r="J68" s="266" cm="1">
        <f t="array" ref="J68">Scope3_Equations.VEERG_15_1_1_1__1_EmissionsFromPurchasedLivestock(E68,H68,IF(I68, I68,$E$58))</f>
        <v>0</v>
      </c>
      <c r="K68" s="44"/>
      <c r="L68" s="23"/>
      <c r="M68" s="44"/>
    </row>
    <row r="69" spans="1:13" ht="20.100000000000001" customHeight="1" x14ac:dyDescent="0.25">
      <c r="A69"/>
      <c r="D69" s="25"/>
      <c r="E69" s="25"/>
      <c r="F69" s="25"/>
      <c r="G69" s="266" cm="1">
        <f t="array" ref="G69">Scope3_Equations.VEERG_15_1_1_1__1_EmissionsFromPurchasedLivestock(E69,F69,$E$58)</f>
        <v>0</v>
      </c>
      <c r="H69" s="25"/>
      <c r="I69" s="86"/>
      <c r="J69" s="266" cm="1">
        <f t="array" ref="J69">Scope3_Equations.VEERG_15_1_1_1__1_EmissionsFromPurchasedLivestock(E69,H69,IF(I69, I69,$E$58))</f>
        <v>0</v>
      </c>
      <c r="K69" s="44"/>
      <c r="L69" s="23"/>
      <c r="M69" s="44"/>
    </row>
    <row r="70" spans="1:13" ht="20.100000000000001" customHeight="1" x14ac:dyDescent="0.25">
      <c r="A70"/>
      <c r="D70" s="25"/>
      <c r="E70" s="25"/>
      <c r="F70" s="25"/>
      <c r="G70" s="266" cm="1">
        <f t="array" ref="G70">Scope3_Equations.VEERG_15_1_1_1__1_EmissionsFromPurchasedLivestock(E70,F70,$E$58)</f>
        <v>0</v>
      </c>
      <c r="H70" s="25"/>
      <c r="I70" s="86"/>
      <c r="J70" s="266"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8" t="s">
        <v>1168</v>
      </c>
      <c r="E72" s="120">
        <f>SUM(G61:G70)</f>
        <v>0</v>
      </c>
      <c r="F72" s="127" t="str">
        <f>$E$11</f>
        <v>t CO2e</v>
      </c>
    </row>
    <row r="73" spans="1:13" ht="20.100000000000001" customHeight="1" x14ac:dyDescent="0.25">
      <c r="A73"/>
      <c r="D73" s="128" t="s">
        <v>1169</v>
      </c>
      <c r="E73" s="120">
        <f>SUM(J61:J70)</f>
        <v>0</v>
      </c>
      <c r="F73" s="127" t="str">
        <f>$E$11</f>
        <v>t CO2e</v>
      </c>
    </row>
    <row r="74" spans="1:13" ht="20.100000000000001" customHeight="1" x14ac:dyDescent="0.25">
      <c r="A74"/>
    </row>
    <row r="75" spans="1:13" ht="20.100000000000001" customHeight="1" x14ac:dyDescent="0.25">
      <c r="A75"/>
      <c r="D75" s="253" t="s">
        <v>1170</v>
      </c>
    </row>
    <row r="76" spans="1:13" ht="20.100000000000001" customHeight="1" x14ac:dyDescent="0.25">
      <c r="A76"/>
      <c r="D76" s="109" t="s">
        <v>1164</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1145</v>
      </c>
      <c r="E78" s="265" t="s">
        <v>1148</v>
      </c>
      <c r="F78" s="265" t="s">
        <v>1149</v>
      </c>
      <c r="G78" s="118" t="s">
        <v>1151</v>
      </c>
      <c r="H78" s="265" t="s">
        <v>1152</v>
      </c>
      <c r="I78" s="94" t="s">
        <v>1153</v>
      </c>
      <c r="J78" s="118" t="s">
        <v>1154</v>
      </c>
      <c r="K78" s="94" t="s">
        <v>1155</v>
      </c>
      <c r="L78" s="94" t="s">
        <v>1156</v>
      </c>
      <c r="M78" s="94" t="s">
        <v>1157</v>
      </c>
    </row>
    <row r="79" spans="1:13" ht="20.100000000000001" customHeight="1" x14ac:dyDescent="0.25">
      <c r="A79"/>
      <c r="D79" s="25"/>
      <c r="E79" s="25"/>
      <c r="F79" s="25"/>
      <c r="G79" s="266" cm="1">
        <f t="array" ref="G79">Scope3_Equations.VEERG_15_1_1_1__1_EmissionsFromPurchasedLivestock(E79,F79,$E$76)</f>
        <v>0</v>
      </c>
      <c r="H79" s="25"/>
      <c r="I79" s="86">
        <v>1.3</v>
      </c>
      <c r="J79" s="266" cm="1">
        <f t="array" ref="J79">Scope3_Equations.VEERG_15_1_1_1__1_EmissionsFromPurchasedLivestock(E79,H79,IF(I79, I79,$E$76))</f>
        <v>0</v>
      </c>
      <c r="K79" s="44"/>
      <c r="L79" s="23"/>
      <c r="M79" s="249"/>
    </row>
    <row r="80" spans="1:13" ht="20.100000000000001" customHeight="1" x14ac:dyDescent="0.25">
      <c r="A80"/>
      <c r="D80" s="25"/>
      <c r="E80" s="25"/>
      <c r="F80" s="25"/>
      <c r="G80" s="266" cm="1">
        <f t="array" ref="G80">Scope3_Equations.VEERG_15_1_1_1__1_EmissionsFromPurchasedLivestock(E80,F80,$E$76)</f>
        <v>0</v>
      </c>
      <c r="H80" s="25"/>
      <c r="I80" s="86"/>
      <c r="J80" s="266" cm="1">
        <f t="array" ref="J80">Scope3_Equations.VEERG_15_1_1_1__1_EmissionsFromPurchasedLivestock(E80,H80,IF(I80, I80,$E$76))</f>
        <v>0</v>
      </c>
      <c r="K80" s="44"/>
      <c r="L80" s="23"/>
      <c r="M80" s="44"/>
    </row>
    <row r="81" spans="1:13" ht="20.100000000000001" customHeight="1" x14ac:dyDescent="0.25">
      <c r="A81"/>
      <c r="D81" s="25"/>
      <c r="E81" s="25"/>
      <c r="F81" s="25"/>
      <c r="G81" s="266" cm="1">
        <f t="array" ref="G81">Scope3_Equations.VEERG_15_1_1_1__1_EmissionsFromPurchasedLivestock(E81,F81,$E$76)</f>
        <v>0</v>
      </c>
      <c r="H81" s="25"/>
      <c r="I81" s="86"/>
      <c r="J81" s="266" cm="1">
        <f t="array" ref="J81">Scope3_Equations.VEERG_15_1_1_1__1_EmissionsFromPurchasedLivestock(E81,H81,IF(I81, I81,$E$76))</f>
        <v>0</v>
      </c>
      <c r="K81" s="44"/>
      <c r="L81" s="23"/>
      <c r="M81" s="44"/>
    </row>
    <row r="82" spans="1:13" ht="20.100000000000001" customHeight="1" x14ac:dyDescent="0.25">
      <c r="A82"/>
      <c r="D82" s="25"/>
      <c r="E82" s="25"/>
      <c r="F82" s="25"/>
      <c r="G82" s="266" cm="1">
        <f t="array" ref="G82">Scope3_Equations.VEERG_15_1_1_1__1_EmissionsFromPurchasedLivestock(E82,F82,$E$76)</f>
        <v>0</v>
      </c>
      <c r="H82" s="25"/>
      <c r="I82" s="86"/>
      <c r="J82" s="266" cm="1">
        <f t="array" ref="J82">Scope3_Equations.VEERG_15_1_1_1__1_EmissionsFromPurchasedLivestock(E82,H82,IF(I82, I82,$E$76))</f>
        <v>0</v>
      </c>
      <c r="K82" s="44"/>
      <c r="L82" s="23"/>
      <c r="M82" s="44"/>
    </row>
    <row r="83" spans="1:13" ht="20.100000000000001" customHeight="1" x14ac:dyDescent="0.25">
      <c r="A83"/>
      <c r="D83" s="25"/>
      <c r="E83" s="25"/>
      <c r="F83" s="25"/>
      <c r="G83" s="266" cm="1">
        <f t="array" ref="G83">Scope3_Equations.VEERG_15_1_1_1__1_EmissionsFromPurchasedLivestock(E83,F83,$E$76)</f>
        <v>0</v>
      </c>
      <c r="H83" s="25"/>
      <c r="I83" s="86"/>
      <c r="J83" s="266" cm="1">
        <f t="array" ref="J83">Scope3_Equations.VEERG_15_1_1_1__1_EmissionsFromPurchasedLivestock(E83,H83,IF(I83, I83,$E$76))</f>
        <v>0</v>
      </c>
      <c r="K83" s="44"/>
      <c r="L83" s="23"/>
      <c r="M83" s="44"/>
    </row>
    <row r="84" spans="1:13" ht="20.100000000000001" customHeight="1" x14ac:dyDescent="0.25">
      <c r="A84"/>
      <c r="D84" s="25"/>
      <c r="E84" s="25"/>
      <c r="F84" s="25"/>
      <c r="G84" s="266" cm="1">
        <f t="array" ref="G84">Scope3_Equations.VEERG_15_1_1_1__1_EmissionsFromPurchasedLivestock(E84,F84,$E$76)</f>
        <v>0</v>
      </c>
      <c r="H84" s="25"/>
      <c r="I84" s="86"/>
      <c r="J84" s="266" cm="1">
        <f t="array" ref="J84">Scope3_Equations.VEERG_15_1_1_1__1_EmissionsFromPurchasedLivestock(E84,H84,IF(I84, I84,$E$76))</f>
        <v>0</v>
      </c>
      <c r="K84" s="44"/>
      <c r="L84" s="23"/>
      <c r="M84" s="44"/>
    </row>
    <row r="85" spans="1:13" ht="20.100000000000001" customHeight="1" x14ac:dyDescent="0.25">
      <c r="A85"/>
      <c r="D85" s="25"/>
      <c r="E85" s="25"/>
      <c r="F85" s="25"/>
      <c r="G85" s="266" cm="1">
        <f t="array" ref="G85">Scope3_Equations.VEERG_15_1_1_1__1_EmissionsFromPurchasedLivestock(E85,F85,$E$76)</f>
        <v>0</v>
      </c>
      <c r="H85" s="25"/>
      <c r="I85" s="86"/>
      <c r="J85" s="266" cm="1">
        <f t="array" ref="J85">Scope3_Equations.VEERG_15_1_1_1__1_EmissionsFromPurchasedLivestock(E85,H85,IF(I85, I85,$E$76))</f>
        <v>0</v>
      </c>
      <c r="K85" s="44"/>
      <c r="L85" s="23"/>
      <c r="M85" s="44"/>
    </row>
    <row r="86" spans="1:13" ht="20.100000000000001" customHeight="1" x14ac:dyDescent="0.25">
      <c r="A86"/>
      <c r="D86" s="25"/>
      <c r="E86" s="25"/>
      <c r="F86" s="25"/>
      <c r="G86" s="266" cm="1">
        <f t="array" ref="G86">Scope3_Equations.VEERG_15_1_1_1__1_EmissionsFromPurchasedLivestock(E86,F86,$E$76)</f>
        <v>0</v>
      </c>
      <c r="H86" s="25"/>
      <c r="I86" s="86"/>
      <c r="J86" s="266" cm="1">
        <f t="array" ref="J86">Scope3_Equations.VEERG_15_1_1_1__1_EmissionsFromPurchasedLivestock(E86,H86,IF(I86, I86,$E$76))</f>
        <v>0</v>
      </c>
      <c r="K86" s="44"/>
      <c r="L86" s="23"/>
      <c r="M86" s="44"/>
    </row>
    <row r="87" spans="1:13" ht="20.100000000000001" customHeight="1" x14ac:dyDescent="0.25">
      <c r="A87"/>
      <c r="D87" s="25"/>
      <c r="E87" s="25"/>
      <c r="F87" s="25"/>
      <c r="G87" s="266" cm="1">
        <f t="array" ref="G87">Scope3_Equations.VEERG_15_1_1_1__1_EmissionsFromPurchasedLivestock(E87,F87,$E$76)</f>
        <v>0</v>
      </c>
      <c r="H87" s="25"/>
      <c r="I87" s="86"/>
      <c r="J87" s="266" cm="1">
        <f t="array" ref="J87">Scope3_Equations.VEERG_15_1_1_1__1_EmissionsFromPurchasedLivestock(E87,H87,IF(I87, I87,$E$76))</f>
        <v>0</v>
      </c>
      <c r="K87" s="44"/>
      <c r="L87" s="23"/>
      <c r="M87" s="44"/>
    </row>
    <row r="88" spans="1:13" ht="20.100000000000001" customHeight="1" x14ac:dyDescent="0.25">
      <c r="A88"/>
      <c r="D88" s="25"/>
      <c r="E88" s="25"/>
      <c r="F88" s="25"/>
      <c r="G88" s="266" cm="1">
        <f t="array" ref="G88">Scope3_Equations.VEERG_15_1_1_1__1_EmissionsFromPurchasedLivestock(E88,F88,$E$76)</f>
        <v>0</v>
      </c>
      <c r="H88" s="25"/>
      <c r="I88" s="86"/>
      <c r="J88" s="266"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8" t="s">
        <v>1171</v>
      </c>
      <c r="E90" s="120">
        <f>SUM(G79:G88)</f>
        <v>0</v>
      </c>
      <c r="F90" s="127" t="str">
        <f>$E$11</f>
        <v>t CO2e</v>
      </c>
    </row>
    <row r="91" spans="1:13" ht="20.100000000000001" customHeight="1" x14ac:dyDescent="0.25">
      <c r="A91"/>
      <c r="D91" s="128" t="s">
        <v>1172</v>
      </c>
      <c r="E91" s="120">
        <f>SUM(J79:J88)</f>
        <v>0</v>
      </c>
      <c r="F91" s="127" t="str">
        <f>$E$11</f>
        <v>t CO2e</v>
      </c>
    </row>
    <row r="92" spans="1:13" ht="20.100000000000001" customHeight="1" x14ac:dyDescent="0.25">
      <c r="A92"/>
    </row>
    <row r="93" spans="1:13" ht="20.100000000000001" customHeight="1" x14ac:dyDescent="0.25">
      <c r="A93"/>
      <c r="D93" s="121" t="s">
        <v>1151</v>
      </c>
      <c r="E93" s="122">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23" t="str">
        <f>$E$11</f>
        <v>t CO2e</v>
      </c>
    </row>
    <row r="94" spans="1:13" ht="20.100000000000001" customHeight="1" x14ac:dyDescent="0.25">
      <c r="A94"/>
      <c r="D94" s="121" t="s">
        <v>1154</v>
      </c>
      <c r="E94" s="122">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23" t="str">
        <f>$E$11</f>
        <v>t CO2e</v>
      </c>
    </row>
    <row r="95" spans="1:13" ht="20.100000000000001" customHeight="1" x14ac:dyDescent="0.25">
      <c r="A95"/>
    </row>
    <row r="96" spans="1:13" ht="20.100000000000001" customHeight="1" x14ac:dyDescent="0.25">
      <c r="A96"/>
    </row>
    <row r="97" spans="1:41" ht="20.100000000000001" customHeight="1" x14ac:dyDescent="0.25">
      <c r="A97"/>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c r="AA97" s="120"/>
      <c r="AB97" s="120"/>
      <c r="AC97" s="120"/>
      <c r="AD97" s="120"/>
      <c r="AE97" s="120"/>
      <c r="AF97" s="120"/>
      <c r="AG97" s="120"/>
      <c r="AH97" s="120"/>
      <c r="AI97" s="120"/>
      <c r="AJ97" s="120"/>
      <c r="AK97" s="120"/>
      <c r="AL97" s="120"/>
      <c r="AM97" s="120"/>
      <c r="AN97" s="120"/>
      <c r="AO97" s="12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7" t="s">
        <v>358</v>
      </c>
      <c r="E100" s="107"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7"/>
    </row>
    <row r="103" spans="1:41" ht="20.100000000000001" customHeight="1" x14ac:dyDescent="0.25">
      <c r="A103"/>
      <c r="D103" s="88" t="s">
        <v>360</v>
      </c>
      <c r="E103" s="1" t="str" cm="1">
        <f t="array" ref="E103">Scope3_Equations.VEERG_15_2_1_1__1_EmissionsFromPurchasedFeed_Variable()</f>
        <v>E</v>
      </c>
    </row>
    <row r="104" spans="1:41" ht="20.100000000000001" customHeight="1" x14ac:dyDescent="0.25">
      <c r="A104"/>
      <c r="D104" s="88" t="s">
        <v>128</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9" t="str" cm="1">
        <f t="array" ref="D106:E108">_xlfn.CHOOSECOLS(Scope3_Equations.VEERG_15_2_1_1__1_EmissionsFromPurchasedFeed_Arguments(),1,2)</f>
        <v>Q_j</v>
      </c>
      <c r="E106" s="110" t="str">
        <v>quantity of feed type j purchased</v>
      </c>
      <c r="F106" s="112"/>
      <c r="G106" s="109" t="str" cm="1">
        <f t="array" ref="G106:H108">_xlfn.CHOOSECOLS(Scope3_Equations.VEERG_15_2_1_1__1_EmissionsFromPurchasedFeed_Arguments(),3,4)</f>
        <v>t</v>
      </c>
      <c r="H106" s="264" t="str">
        <v>Input</v>
      </c>
    </row>
    <row r="107" spans="1:41" ht="20.100000000000001" customHeight="1" x14ac:dyDescent="0.25">
      <c r="A107"/>
      <c r="D107" s="109" t="str">
        <v>EF_j</v>
      </c>
      <c r="E107" s="110" t="str">
        <v>emission factor of purchased feed</v>
      </c>
      <c r="F107" s="112"/>
      <c r="G107" s="109" t="str">
        <v>kg CO2e/kg</v>
      </c>
      <c r="H107" s="264" t="str">
        <v>Constant</v>
      </c>
    </row>
    <row r="108" spans="1:41" ht="20.100000000000001" customHeight="1" x14ac:dyDescent="0.25">
      <c r="A108"/>
      <c r="D108" s="109" t="str">
        <v>j</v>
      </c>
      <c r="E108" s="110" t="str">
        <v>feed type</v>
      </c>
      <c r="F108" s="112"/>
      <c r="G108" s="109" t="str">
        <v/>
      </c>
      <c r="H108" s="114" t="str">
        <v>Input</v>
      </c>
    </row>
    <row r="109" spans="1:41" ht="20.100000000000001" customHeight="1" x14ac:dyDescent="0.25">
      <c r="A109"/>
    </row>
    <row r="110" spans="1:41" ht="20.100000000000001" customHeight="1" x14ac:dyDescent="0.25">
      <c r="A110"/>
      <c r="D110" s="253" t="s">
        <v>1173</v>
      </c>
    </row>
    <row r="111" spans="1:41" ht="20.100000000000001" customHeight="1" x14ac:dyDescent="0.25">
      <c r="A111"/>
    </row>
    <row r="112" spans="1:41" ht="20.100000000000001" customHeight="1" x14ac:dyDescent="0.25">
      <c r="A112"/>
      <c r="D112" s="135" t="s">
        <v>1174</v>
      </c>
      <c r="E112" s="55"/>
      <c r="F112" s="135"/>
      <c r="G112" s="54"/>
      <c r="H112" s="55"/>
    </row>
    <row r="113" spans="1:28" ht="20.100000000000001" customHeight="1" x14ac:dyDescent="0.25">
      <c r="A113"/>
      <c r="D113" s="162" t="s">
        <v>1175</v>
      </c>
      <c r="E113" s="164"/>
      <c r="F113" s="162"/>
      <c r="G113" s="163"/>
      <c r="H113" s="164"/>
    </row>
    <row r="114" spans="1:28" ht="20.100000000000001" customHeight="1" x14ac:dyDescent="0.25">
      <c r="A114"/>
      <c r="D114" s="56" t="s">
        <v>1176</v>
      </c>
      <c r="E114" s="58"/>
      <c r="F114" s="56"/>
      <c r="G114" s="57"/>
      <c r="H114" s="58"/>
    </row>
    <row r="115" spans="1:28" ht="20.100000000000001" customHeight="1" x14ac:dyDescent="0.25">
      <c r="A115"/>
    </row>
    <row r="116" spans="1:28" ht="20.100000000000001" customHeight="1" x14ac:dyDescent="0.25">
      <c r="A116"/>
      <c r="D116" s="46" t="s">
        <v>1177</v>
      </c>
      <c r="E116" s="48"/>
      <c r="F116" s="49"/>
    </row>
    <row r="117" spans="1:28" ht="20.100000000000001" customHeight="1" x14ac:dyDescent="0.25">
      <c r="A117"/>
    </row>
    <row r="118" spans="1:28" ht="20.100000000000001" customHeight="1" x14ac:dyDescent="0.25">
      <c r="A118"/>
      <c r="D118" s="94" t="s">
        <v>1178</v>
      </c>
      <c r="E118" s="94" t="s">
        <v>1179</v>
      </c>
      <c r="F118" s="118" t="s">
        <v>1180</v>
      </c>
      <c r="G118" s="118" t="s">
        <v>1151</v>
      </c>
      <c r="H118" s="94" t="s">
        <v>1181</v>
      </c>
      <c r="I118" s="118" t="s">
        <v>1154</v>
      </c>
      <c r="J118" s="94" t="s">
        <v>1155</v>
      </c>
      <c r="K118" s="94" t="s">
        <v>1156</v>
      </c>
      <c r="L118" s="94" t="s">
        <v>1157</v>
      </c>
      <c r="M118" s="118" t="s">
        <v>576</v>
      </c>
      <c r="N118" s="118" t="s">
        <v>1182</v>
      </c>
      <c r="O118" s="118" t="s">
        <v>577</v>
      </c>
      <c r="P118" s="118" t="s">
        <v>1183</v>
      </c>
      <c r="Q118" s="118" t="s">
        <v>578</v>
      </c>
      <c r="R118" s="118" t="s">
        <v>1184</v>
      </c>
      <c r="S118" s="118" t="s">
        <v>579</v>
      </c>
      <c r="T118" s="118" t="s">
        <v>1185</v>
      </c>
      <c r="U118" s="118" t="s">
        <v>580</v>
      </c>
      <c r="V118" s="118" t="s">
        <v>1186</v>
      </c>
      <c r="W118" s="118" t="s">
        <v>581</v>
      </c>
      <c r="X118" s="118" t="s">
        <v>1187</v>
      </c>
      <c r="Y118" s="118" t="s">
        <v>582</v>
      </c>
      <c r="Z118" s="118" t="s">
        <v>1188</v>
      </c>
      <c r="AA118" s="118" t="s">
        <v>583</v>
      </c>
      <c r="AB118" s="118" t="s">
        <v>1189</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6" cm="1">
        <f t="array" ref="G119">Scope3_Equations.VEERG_15_2_1_1__1_EmissionsFromPurchasedFeed(E119,F119)</f>
        <v>195.27599999999998</v>
      </c>
      <c r="H119" s="86">
        <v>0.04</v>
      </c>
      <c r="I119" s="266" cm="1">
        <f t="array" ref="I119">Scope3_Equations.VEERG_15_2_1_1__1_EmissionsFromPurchasedFeed(E119,IF(H119,H119, F119))</f>
        <v>48</v>
      </c>
      <c r="J119" s="44"/>
      <c r="K119" s="23"/>
      <c r="L119" s="249"/>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6" cm="1">
        <f t="array" ref="G120">Scope3_Equations.VEERG_15_2_1_1__1_EmissionsFromPurchasedFeed(E120,F120)</f>
        <v>78.10560000000001</v>
      </c>
      <c r="H120" s="86">
        <v>0.03</v>
      </c>
      <c r="I120" s="266"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6" cm="1">
        <f t="array" ref="G121">Scope3_Equations.VEERG_15_2_1_1__1_EmissionsFromPurchasedFeed(E121,F121)</f>
        <v>25.56</v>
      </c>
      <c r="H121" s="86">
        <v>0.14000000000000001</v>
      </c>
      <c r="I121" s="266"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6" cm="1">
        <f t="array" ref="G122">Scope3_Equations.VEERG_15_2_1_1__1_EmissionsFromPurchasedFeed(E122,F122)</f>
        <v>172.5</v>
      </c>
      <c r="H122" s="86"/>
      <c r="I122" s="266"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6" cm="1">
        <f t="array" ref="G123">Scope3_Equations.VEERG_15_2_1_1__1_EmissionsFromPurchasedFeed(E123,F123)</f>
        <v>0</v>
      </c>
      <c r="H123" s="86"/>
      <c r="I123" s="266"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6" cm="1">
        <f t="array" ref="G124">Scope3_Equations.VEERG_15_2_1_1__1_EmissionsFromPurchasedFeed(E124,F124)</f>
        <v>0</v>
      </c>
      <c r="H124" s="86"/>
      <c r="I124" s="266"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6" cm="1">
        <f t="array" ref="G125">Scope3_Equations.VEERG_15_2_1_1__1_EmissionsFromPurchasedFeed(E125,F125)</f>
        <v>0</v>
      </c>
      <c r="H125" s="86"/>
      <c r="I125" s="266"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6" cm="1">
        <f t="array" ref="G126">Scope3_Equations.VEERG_15_2_1_1__1_EmissionsFromPurchasedFeed(E126,F126)</f>
        <v>0</v>
      </c>
      <c r="H126" s="86"/>
      <c r="I126" s="266"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6" cm="1">
        <f t="array" ref="G127">Scope3_Equations.VEERG_15_2_1_1__1_EmissionsFromPurchasedFeed(E127,F127)</f>
        <v>0</v>
      </c>
      <c r="H127" s="86"/>
      <c r="I127" s="266"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6" cm="1">
        <f t="array" ref="G128">Scope3_Equations.VEERG_15_2_1_1__1_EmissionsFromPurchasedFeed(E128,F128)</f>
        <v>0</v>
      </c>
      <c r="H128" s="86"/>
      <c r="I128" s="266"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8" t="s">
        <v>1151</v>
      </c>
      <c r="E130" s="120">
        <f>SUM(G119:G128)</f>
        <v>471.44159999999999</v>
      </c>
      <c r="F130" s="127" t="str">
        <f>$E$104</f>
        <v>t CO2e</v>
      </c>
    </row>
    <row r="131" spans="1:12" ht="20.100000000000001" customHeight="1" x14ac:dyDescent="0.25">
      <c r="A131"/>
      <c r="D131" s="128" t="s">
        <v>1154</v>
      </c>
      <c r="E131" s="120">
        <f>SUM(I119:I128)</f>
        <v>366.18</v>
      </c>
      <c r="F131" s="127"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3" t="s">
        <v>1086</v>
      </c>
    </row>
    <row r="135" spans="1:12" ht="20.100000000000001" customHeight="1" x14ac:dyDescent="0.25">
      <c r="A135"/>
      <c r="D135" s="94" t="s">
        <v>149</v>
      </c>
      <c r="E135" s="94" t="s">
        <v>1179</v>
      </c>
      <c r="F135" s="118" t="s">
        <v>1180</v>
      </c>
      <c r="G135" s="118" t="s">
        <v>1151</v>
      </c>
      <c r="H135" s="94" t="s">
        <v>1181</v>
      </c>
      <c r="I135" s="118" t="s">
        <v>1154</v>
      </c>
      <c r="J135" s="94" t="s">
        <v>1155</v>
      </c>
      <c r="K135" s="94" t="s">
        <v>1156</v>
      </c>
      <c r="L135" s="94" t="s">
        <v>1157</v>
      </c>
    </row>
    <row r="136" spans="1:12" ht="20.100000000000001" customHeight="1" x14ac:dyDescent="0.25">
      <c r="A136"/>
      <c r="D136" s="25" t="str">
        <f>'Input - Livestock farm Inputs'!D12</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6" cm="1">
        <f t="array" ref="G136">Scope3_Equations.VEERG_15_2_1_1__1_EmissionsFromPurchasedFeed(E136,F136)</f>
        <v>59.4</v>
      </c>
      <c r="H136" s="86">
        <v>0.5</v>
      </c>
      <c r="I136" s="266" cm="1">
        <f t="array" ref="I136">Scope3_Equations.VEERG_15_2_1_1__1_EmissionsFromPurchasedFeed(E136,IF(H136,H136, F136))</f>
        <v>50</v>
      </c>
      <c r="J136" s="44"/>
      <c r="K136" s="23"/>
      <c r="L136" s="249"/>
    </row>
    <row r="137" spans="1:12" ht="20.100000000000001" customHeight="1" x14ac:dyDescent="0.25">
      <c r="A137"/>
      <c r="D137" s="25" t="str">
        <f>'Input - Livestock farm Inputs'!D13</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6" cm="1">
        <f t="array" ref="G137">Scope3_Equations.VEERG_15_2_1_1__1_EmissionsFromPurchasedFeed(E137,F137)</f>
        <v>41.9</v>
      </c>
      <c r="H137" s="86">
        <v>0.4</v>
      </c>
      <c r="I137" s="266" cm="1">
        <f t="array" ref="I137">Scope3_Equations.VEERG_15_2_1_1__1_EmissionsFromPurchasedFeed(E137,IF(H137,H137, F137))</f>
        <v>40</v>
      </c>
      <c r="J137" s="44"/>
      <c r="K137" s="23"/>
      <c r="L137" s="44"/>
    </row>
    <row r="138" spans="1:12" ht="20.100000000000001" customHeight="1" x14ac:dyDescent="0.25">
      <c r="A138"/>
      <c r="D138" s="25" t="str">
        <f>'Input - Livestock farm Inputs'!D14</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6" cm="1">
        <f t="array" ref="G138">Scope3_Equations.VEERG_15_2_1_1__1_EmissionsFromPurchasedFeed(E138,F138)</f>
        <v>33.300000000000004</v>
      </c>
      <c r="H138" s="86">
        <v>0</v>
      </c>
      <c r="I138" s="266" cm="1">
        <f t="array" ref="I138">Scope3_Equations.VEERG_15_2_1_1__1_EmissionsFromPurchasedFeed(E138,IF(H138,H138, F138))</f>
        <v>33.300000000000004</v>
      </c>
      <c r="J138" s="44"/>
      <c r="K138" s="23"/>
      <c r="L138" s="44"/>
    </row>
    <row r="139" spans="1:12" ht="20.100000000000001" customHeight="1" x14ac:dyDescent="0.25">
      <c r="A139"/>
      <c r="D139" s="25" t="str">
        <f>'Input - Livestock farm Inputs'!D15</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6" cm="1">
        <f t="array" ref="G139">Scope3_Equations.VEERG_15_2_1_1__1_EmissionsFromPurchasedFeed(E139,F139)</f>
        <v>40.300000000000004</v>
      </c>
      <c r="H139" s="86">
        <v>0</v>
      </c>
      <c r="I139" s="266"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8" t="s">
        <v>1151</v>
      </c>
      <c r="E141" s="120">
        <f>SUM(G136:G139)</f>
        <v>174.9</v>
      </c>
      <c r="F141" s="127" t="str">
        <f>$E$104</f>
        <v>t CO2e</v>
      </c>
    </row>
    <row r="142" spans="1:12" ht="20.100000000000001" customHeight="1" x14ac:dyDescent="0.25">
      <c r="A142"/>
      <c r="D142" s="128" t="s">
        <v>1154</v>
      </c>
      <c r="E142" s="120">
        <f>SUM(I136:I139)</f>
        <v>163.60000000000002</v>
      </c>
      <c r="F142" s="127" t="str">
        <f>$E$104</f>
        <v>t CO2e</v>
      </c>
    </row>
    <row r="143" spans="1:12" ht="20.100000000000001" customHeight="1" x14ac:dyDescent="0.25">
      <c r="A143"/>
    </row>
    <row r="144" spans="1:12" ht="20.100000000000001" customHeight="1" x14ac:dyDescent="0.25">
      <c r="A144"/>
      <c r="D144" s="121" t="s">
        <v>1151</v>
      </c>
      <c r="E144" s="122">
        <f>E130+E141</f>
        <v>646.34159999999997</v>
      </c>
      <c r="F144" s="123" t="str">
        <f>$E$104</f>
        <v>t CO2e</v>
      </c>
    </row>
    <row r="145" spans="1:41" ht="20.100000000000001" customHeight="1" x14ac:dyDescent="0.25">
      <c r="A145"/>
      <c r="D145" s="121" t="s">
        <v>1154</v>
      </c>
      <c r="E145" s="122">
        <f>E131+E142</f>
        <v>529.78</v>
      </c>
      <c r="F145" s="123"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c r="AA148" s="120"/>
      <c r="AB148" s="120"/>
      <c r="AC148" s="120"/>
      <c r="AD148" s="120"/>
      <c r="AE148" s="120"/>
      <c r="AF148" s="120"/>
      <c r="AG148" s="120"/>
      <c r="AH148" s="120"/>
      <c r="AI148" s="120"/>
      <c r="AJ148" s="120"/>
      <c r="AK148" s="120"/>
      <c r="AL148" s="120"/>
      <c r="AM148" s="120"/>
      <c r="AN148" s="120"/>
      <c r="AO148" s="12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7" t="s">
        <v>358</v>
      </c>
      <c r="E151" s="107"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7"/>
    </row>
    <row r="154" spans="1:41" ht="20.100000000000001" customHeight="1" x14ac:dyDescent="0.25">
      <c r="A154"/>
      <c r="D154" s="88" t="s">
        <v>360</v>
      </c>
      <c r="E154" s="1" t="str" cm="1">
        <f t="array" ref="E154">Scope3_Equations.VEERG_15_3_1_1__1_EmissionsFromPurchasedMineralSupplements_Variable()</f>
        <v>E</v>
      </c>
    </row>
    <row r="155" spans="1:41" ht="20.100000000000001" customHeight="1" x14ac:dyDescent="0.25">
      <c r="A155"/>
      <c r="D155" s="88" t="s">
        <v>128</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9" t="str" cm="1">
        <f t="array" ref="D157:E159">_xlfn.CHOOSECOLS(Scope3_Equations.VEERG_15_3_1_1__1_EmissionsFromPurchasedMineralSupplements_Arguments(),1,2)</f>
        <v>Q_m</v>
      </c>
      <c r="E157" s="110" t="str">
        <v>total quantity of mineral supplement type m used</v>
      </c>
      <c r="F157" s="112"/>
      <c r="G157" s="109" t="str" cm="1">
        <f t="array" ref="G157:H159">_xlfn.CHOOSECOLS(Scope3_Equations.VEERG_15_3_1_1__1_EmissionsFromPurchasedMineralSupplements_Arguments(),3,4)</f>
        <v>t</v>
      </c>
      <c r="H157" s="264" t="str">
        <v>Input</v>
      </c>
    </row>
    <row r="158" spans="1:41" ht="20.100000000000001" customHeight="1" x14ac:dyDescent="0.25">
      <c r="A158"/>
      <c r="D158" s="109" t="str">
        <v>EF_m</v>
      </c>
      <c r="E158" s="110" t="str">
        <v>emission factor of purchased mineral supplement</v>
      </c>
      <c r="F158" s="112"/>
      <c r="G158" s="109" t="str">
        <v>kg CO2e/kg</v>
      </c>
      <c r="H158" s="264" t="str">
        <v>Constant</v>
      </c>
    </row>
    <row r="159" spans="1:41" ht="20.100000000000001" customHeight="1" x14ac:dyDescent="0.25">
      <c r="A159"/>
      <c r="D159" s="109" t="str">
        <v>m</v>
      </c>
      <c r="E159" s="110" t="str">
        <v>mineral supplement type</v>
      </c>
      <c r="F159" s="112"/>
      <c r="G159" s="109" t="str">
        <v/>
      </c>
      <c r="H159" s="114" t="str">
        <v>Input</v>
      </c>
    </row>
    <row r="160" spans="1:41" ht="20.100000000000001" customHeight="1" x14ac:dyDescent="0.25">
      <c r="A160"/>
    </row>
    <row r="161" spans="3:41" ht="20.100000000000001" customHeight="1" x14ac:dyDescent="0.25">
      <c r="D161" s="94" t="s">
        <v>149</v>
      </c>
      <c r="E161" s="94" t="s">
        <v>1190</v>
      </c>
      <c r="F161" s="118" t="s">
        <v>1191</v>
      </c>
      <c r="G161" s="118" t="s">
        <v>1151</v>
      </c>
      <c r="H161" s="94" t="s">
        <v>1192</v>
      </c>
      <c r="I161" s="118" t="s">
        <v>1154</v>
      </c>
      <c r="J161" s="94" t="s">
        <v>1155</v>
      </c>
      <c r="K161" s="94" t="s">
        <v>1156</v>
      </c>
      <c r="L161" s="94" t="s">
        <v>1157</v>
      </c>
    </row>
    <row r="162" spans="3:41" ht="20.100000000000001" customHeight="1" x14ac:dyDescent="0.25">
      <c r="D162" s="25" t="str">
        <f>'Input - Livestock farm Inputs'!D7</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6" cm="1">
        <f t="array" ref="G162">Scope3_Equations.VEERG_15_3_1_1__1_EmissionsFromPurchasedMineralSupplements(E162,F162)</f>
        <v>88.1</v>
      </c>
      <c r="H162" s="86">
        <v>0.8</v>
      </c>
      <c r="I162" s="266" cm="1">
        <f t="array" ref="I162">Scope3_Equations.VEERG_15_3_1_1__1_EmissionsFromPurchasedMineralSupplements(E162,IF(H162, H162, F162))</f>
        <v>80</v>
      </c>
      <c r="J162" s="44"/>
      <c r="K162" s="23"/>
      <c r="L162" s="249"/>
    </row>
    <row r="163" spans="3:41" ht="20.100000000000001" customHeight="1" x14ac:dyDescent="0.25">
      <c r="D163" s="25" t="str">
        <f>'Input - Livestock farm Inputs'!D8</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6" cm="1">
        <f t="array" ref="G163">Scope3_Equations.VEERG_15_3_1_1__1_EmissionsFromPurchasedMineralSupplements(E163,F163)</f>
        <v>67.7</v>
      </c>
      <c r="H163" s="86">
        <v>0.6</v>
      </c>
      <c r="I163" s="266" cm="1">
        <f t="array" ref="I163">Scope3_Equations.VEERG_15_3_1_1__1_EmissionsFromPurchasedMineralSupplements(E163,IF(H163, H163, F163))</f>
        <v>60</v>
      </c>
      <c r="J163" s="44"/>
      <c r="K163" s="23"/>
      <c r="L163" s="44"/>
    </row>
    <row r="164" spans="3:41" ht="20.100000000000001" customHeight="1" x14ac:dyDescent="0.25">
      <c r="D164" s="25" t="str">
        <f>'Input - Livestock farm Inputs'!D9</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6" cm="1">
        <f t="array" ref="G164">Scope3_Equations.VEERG_15_3_1_1__1_EmissionsFromPurchasedMineralSupplements(E164,F164)</f>
        <v>23.1</v>
      </c>
      <c r="H164" s="86">
        <v>0.2</v>
      </c>
      <c r="I164" s="266"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21" t="s">
        <v>1151</v>
      </c>
      <c r="E166" s="122">
        <f>SUM(G162:G164)</f>
        <v>178.9</v>
      </c>
      <c r="F166" s="123" t="str">
        <f>$E$155</f>
        <v>t CO2e</v>
      </c>
    </row>
    <row r="167" spans="3:41" ht="20.100000000000001" customHeight="1" x14ac:dyDescent="0.25">
      <c r="D167" s="121" t="s">
        <v>1154</v>
      </c>
      <c r="E167" s="122">
        <f>SUM(I162:I164)</f>
        <v>160</v>
      </c>
      <c r="F167" s="123" t="str">
        <f>$E$155</f>
        <v>t CO2e</v>
      </c>
    </row>
    <row r="168" spans="3:41" ht="20.100000000000001" customHeight="1" x14ac:dyDescent="0.25"/>
    <row r="169" spans="3:41" ht="20.100000000000001" customHeight="1" x14ac:dyDescent="0.25"/>
    <row r="170" spans="3:41" ht="20.100000000000001" customHeight="1" x14ac:dyDescent="0.25">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c r="AA170" s="120"/>
      <c r="AB170" s="120"/>
      <c r="AC170" s="120"/>
      <c r="AD170" s="120"/>
      <c r="AE170" s="120"/>
      <c r="AF170" s="120"/>
      <c r="AG170" s="120"/>
      <c r="AH170" s="120"/>
      <c r="AI170" s="120"/>
      <c r="AJ170" s="120"/>
      <c r="AK170" s="120"/>
      <c r="AL170" s="120"/>
      <c r="AM170" s="120"/>
      <c r="AN170" s="120"/>
      <c r="AO170" s="12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7" t="s">
        <v>358</v>
      </c>
      <c r="E174" s="107"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360</v>
      </c>
      <c r="E177" s="1" t="str" cm="1">
        <f t="array" ref="E177">Scope3_Equations.VEERG_15_4_1_1__X_EmissionFactorFromPurchasedFertiliserComponents_Variable()</f>
        <v>EF_f</v>
      </c>
    </row>
    <row r="178" spans="4:8" ht="20.100000000000001" customHeight="1" x14ac:dyDescent="0.25">
      <c r="D178" s="88" t="s">
        <v>128</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9" t="str" cm="1">
        <f t="array" ref="D180:E183">_xlfn.CHOOSECOLS(Scope3_Equations.VEERG_15_4_1_1__X_EmissionFactorFromPurchasedFertiliserComponents_Arguments(),1,2)</f>
        <v>F_cf</v>
      </c>
      <c r="E180" s="110" t="str">
        <v>fraction of component c contained within the inorganic fertiliser f</v>
      </c>
      <c r="F180" s="112"/>
      <c r="G180" s="109" t="str" cm="1">
        <f t="array" ref="G180:H183">_xlfn.CHOOSECOLS(Scope3_Equations.VEERG_15_4_1_1__X_EmissionFactorFromPurchasedFertiliserComponents_Arguments(),3,4)</f>
        <v>wt%</v>
      </c>
      <c r="H180" s="264" t="str">
        <v>Input</v>
      </c>
    </row>
    <row r="181" spans="4:8" ht="20.100000000000001" customHeight="1" x14ac:dyDescent="0.25">
      <c r="D181" s="109" t="str">
        <v>EF_c</v>
      </c>
      <c r="E181" s="110" t="str">
        <v>emission factor for the production of component c</v>
      </c>
      <c r="F181" s="112"/>
      <c r="G181" s="109" t="str">
        <v>kg CO2e/kg component</v>
      </c>
      <c r="H181" s="114" t="str">
        <v>Constant</v>
      </c>
    </row>
    <row r="182" spans="4:8" ht="20.100000000000001" customHeight="1" x14ac:dyDescent="0.25">
      <c r="D182" s="109" t="str">
        <v>c</v>
      </c>
      <c r="E182" s="110" t="str">
        <v>fertiliser component</v>
      </c>
      <c r="F182" s="112"/>
      <c r="G182" s="109" t="str">
        <v/>
      </c>
      <c r="H182" s="264" t="str">
        <v>Input</v>
      </c>
    </row>
    <row r="183" spans="4:8" ht="20.100000000000001" customHeight="1" x14ac:dyDescent="0.25">
      <c r="D183" s="109" t="str">
        <v>f</v>
      </c>
      <c r="E183" s="110" t="str">
        <v>inorganic fertiliser type</v>
      </c>
      <c r="F183" s="112"/>
      <c r="G183" s="109" t="str">
        <v/>
      </c>
      <c r="H183" s="264"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7" t="s">
        <v>358</v>
      </c>
      <c r="E188" s="107"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360</v>
      </c>
      <c r="E191" s="1" t="str" cm="1">
        <f t="array" ref="E191">Scope3_Equations.VEERG_15_4_1_1__1_EmissionsFromPurchasedFertiliser_Variable()</f>
        <v>E</v>
      </c>
    </row>
    <row r="192" spans="4:8" ht="20.100000000000001" customHeight="1" x14ac:dyDescent="0.25">
      <c r="D192" s="88" t="s">
        <v>128</v>
      </c>
      <c r="E192" s="15" t="str" cm="1">
        <f t="array" ref="E192">Scope3_Equations.VEERG_15_4_1_1__1_EmissionsFromPurchasedFertiliser_Unit()</f>
        <v>t CO2e</v>
      </c>
    </row>
    <row r="193" spans="4:8" ht="20.100000000000001" customHeight="1" x14ac:dyDescent="0.25"/>
    <row r="194" spans="4:8" ht="20.100000000000001" customHeight="1" x14ac:dyDescent="0.25">
      <c r="D194" s="109" t="str" cm="1">
        <f t="array" ref="D194:E197">_xlfn.CHOOSECOLS(Scope3_Equations.VEERG_15_4_1_1__1_EmissionsFromPurchasedFertiliser_Arguments(),1,2)</f>
        <v>TM_jf</v>
      </c>
      <c r="E194" s="109" t="str">
        <v>quantity of inorganic fertiliser type f purchased and applied to production system j</v>
      </c>
      <c r="F194" s="109"/>
      <c r="G194" s="109" t="str" cm="1">
        <f t="array" ref="G194:H197">_xlfn.CHOOSECOLS(Scope3_Equations.VEERG_15_4_1_1__1_EmissionsFromPurchasedFertiliser_Arguments(),3,4)</f>
        <v>kg</v>
      </c>
      <c r="H194" s="264" t="str">
        <v>Input</v>
      </c>
    </row>
    <row r="195" spans="4:8" ht="20.100000000000001" customHeight="1" x14ac:dyDescent="0.25">
      <c r="D195" s="109" t="str">
        <v>EF_f</v>
      </c>
      <c r="E195" s="109" t="str">
        <v>emission factor of purchased inorganic fertiliser</v>
      </c>
      <c r="F195" s="109"/>
      <c r="G195" s="109" t="str">
        <v>kg CO2e/kg</v>
      </c>
      <c r="H195" s="114" t="str">
        <v>Constant</v>
      </c>
    </row>
    <row r="196" spans="4:8" ht="20.100000000000001" customHeight="1" x14ac:dyDescent="0.25">
      <c r="D196" s="109" t="str">
        <v>j</v>
      </c>
      <c r="E196" s="109" t="str">
        <v>production system</v>
      </c>
      <c r="F196" s="109"/>
      <c r="G196" s="109" t="str">
        <v/>
      </c>
      <c r="H196" s="264" t="str">
        <v>Input</v>
      </c>
    </row>
    <row r="197" spans="4:8" ht="20.100000000000001" customHeight="1" x14ac:dyDescent="0.25">
      <c r="D197" s="109" t="str">
        <v>f</v>
      </c>
      <c r="E197" s="109" t="str">
        <v>inorganic fertiliser type</v>
      </c>
      <c r="F197" s="109"/>
      <c r="G197" s="109" t="str">
        <v/>
      </c>
      <c r="H197" s="264"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7" t="s">
        <v>358</v>
      </c>
      <c r="E203" s="107"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360</v>
      </c>
      <c r="E206" s="1" t="str" cm="1">
        <f t="array" ref="E206">Scope3_Equations.VEERG_15_4_1_1__2_EmissionsFromPurchasedFertiliserComponents_Variable()</f>
        <v>E</v>
      </c>
    </row>
    <row r="207" spans="4:8" ht="20.100000000000001" customHeight="1" x14ac:dyDescent="0.25">
      <c r="D207" s="88" t="s">
        <v>128</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9" t="str" cm="1">
        <f t="array" ref="D209:E214">_xlfn.CHOOSECOLS(Scope3_Equations.VEERG_15_4_1_1__2_EmissionsFromPurchasedFertiliserComponents_Arguments(),1,2)</f>
        <v>F_cf</v>
      </c>
      <c r="E209" s="110" t="str">
        <v>fraction of component c contained within the inorganic fertiliser f</v>
      </c>
      <c r="F209" s="112"/>
      <c r="G209" s="109" t="str" cm="1">
        <f t="array" ref="G209:H214">_xlfn.CHOOSECOLS(Scope3_Equations.VEERG_15_4_1_1__2_EmissionsFromPurchasedFertiliserComponents_Arguments(),3,4)</f>
        <v>wt%</v>
      </c>
      <c r="H209" s="264" t="str">
        <v>Input</v>
      </c>
    </row>
    <row r="210" spans="4:40" ht="20.100000000000001" customHeight="1" x14ac:dyDescent="0.25">
      <c r="D210" s="109" t="str">
        <v>TM_jf</v>
      </c>
      <c r="E210" s="110" t="str">
        <v>quantity of inorganic fertiliser type f purchased and applied to production system j</v>
      </c>
      <c r="F210" s="112"/>
      <c r="G210" s="109" t="str">
        <v>kg</v>
      </c>
      <c r="H210" s="114" t="str">
        <v>Input</v>
      </c>
    </row>
    <row r="211" spans="4:40" ht="20.100000000000001" customHeight="1" x14ac:dyDescent="0.25">
      <c r="D211" s="109" t="str">
        <v>EF_c</v>
      </c>
      <c r="E211" s="110" t="str">
        <v>emission factor for the production of component c</v>
      </c>
      <c r="F211" s="112"/>
      <c r="G211" s="109" t="str">
        <v>kg CO2e/kg component</v>
      </c>
      <c r="H211" s="114" t="str">
        <v>Constant</v>
      </c>
    </row>
    <row r="212" spans="4:40" ht="20.100000000000001" customHeight="1" x14ac:dyDescent="0.25">
      <c r="D212" s="109" t="str">
        <v>c</v>
      </c>
      <c r="E212" s="110" t="str">
        <v>fertiliser component</v>
      </c>
      <c r="F212" s="112"/>
      <c r="G212" s="109" t="str">
        <v/>
      </c>
      <c r="H212" s="264" t="str">
        <v>Input</v>
      </c>
    </row>
    <row r="213" spans="4:40" ht="20.100000000000001" customHeight="1" x14ac:dyDescent="0.25">
      <c r="D213" s="109" t="str">
        <v>f</v>
      </c>
      <c r="E213" s="110" t="str">
        <v>inorganic fertiliser type</v>
      </c>
      <c r="F213" s="112"/>
      <c r="G213" s="109" t="str">
        <v/>
      </c>
      <c r="H213" s="264" t="str">
        <v>Input</v>
      </c>
    </row>
    <row r="214" spans="4:40" ht="20.100000000000001" customHeight="1" x14ac:dyDescent="0.25">
      <c r="D214" s="109" t="str">
        <v>j</v>
      </c>
      <c r="E214" s="110" t="str">
        <v>production system</v>
      </c>
      <c r="F214" s="112"/>
      <c r="G214" s="109" t="str">
        <v/>
      </c>
      <c r="H214" s="264" t="str">
        <v>Input</v>
      </c>
    </row>
    <row r="215" spans="4:40" ht="20.100000000000001" customHeight="1" x14ac:dyDescent="0.25"/>
    <row r="216" spans="4:40" ht="20.100000000000001" customHeight="1" x14ac:dyDescent="0.25">
      <c r="D216" s="253" t="s">
        <v>1193</v>
      </c>
    </row>
    <row r="217" spans="4:40" ht="20.100000000000001" customHeight="1" x14ac:dyDescent="0.25"/>
    <row r="218" spans="4:40" ht="20.100000000000001" customHeight="1" x14ac:dyDescent="0.25">
      <c r="D218" s="46" t="s">
        <v>1194</v>
      </c>
      <c r="E218" s="48"/>
      <c r="F218" s="49"/>
    </row>
    <row r="219" spans="4:40" ht="20.100000000000001" customHeight="1" x14ac:dyDescent="0.25"/>
    <row r="220" spans="4:40" ht="20.100000000000001" customHeight="1" x14ac:dyDescent="0.25">
      <c r="D220" s="94" t="s">
        <v>149</v>
      </c>
      <c r="E220" s="94" t="s">
        <v>1195</v>
      </c>
      <c r="F220" s="118" t="s">
        <v>1196</v>
      </c>
      <c r="G220" s="118" t="s">
        <v>1197</v>
      </c>
      <c r="H220" s="118" t="s">
        <v>1198</v>
      </c>
      <c r="I220" s="94" t="s">
        <v>1199</v>
      </c>
      <c r="J220" s="118" t="s">
        <v>1200</v>
      </c>
      <c r="K220" s="118" t="s">
        <v>1201</v>
      </c>
      <c r="L220" s="94" t="s">
        <v>1155</v>
      </c>
      <c r="M220" s="94" t="s">
        <v>1156</v>
      </c>
      <c r="N220" s="94" t="s">
        <v>1157</v>
      </c>
      <c r="O220" s="118" t="s">
        <v>591</v>
      </c>
      <c r="P220" s="118" t="s">
        <v>592</v>
      </c>
      <c r="Q220" s="118" t="s">
        <v>576</v>
      </c>
      <c r="R220" s="118" t="s">
        <v>577</v>
      </c>
      <c r="S220" s="118" t="s">
        <v>1202</v>
      </c>
      <c r="T220" s="94" t="s">
        <v>1203</v>
      </c>
      <c r="U220" s="118" t="s">
        <v>578</v>
      </c>
      <c r="V220" s="118" t="s">
        <v>579</v>
      </c>
      <c r="W220" s="118" t="s">
        <v>1204</v>
      </c>
      <c r="X220" s="94" t="s">
        <v>1205</v>
      </c>
      <c r="Y220" s="118" t="s">
        <v>580</v>
      </c>
      <c r="Z220" s="118" t="s">
        <v>581</v>
      </c>
      <c r="AA220" s="118" t="s">
        <v>1206</v>
      </c>
      <c r="AB220" s="94" t="s">
        <v>1207</v>
      </c>
      <c r="AC220" s="118" t="s">
        <v>582</v>
      </c>
      <c r="AD220" s="118" t="s">
        <v>583</v>
      </c>
      <c r="AE220" s="118" t="s">
        <v>1208</v>
      </c>
      <c r="AF220" s="94" t="s">
        <v>1209</v>
      </c>
      <c r="AG220" s="118" t="s">
        <v>584</v>
      </c>
      <c r="AH220" s="118" t="s">
        <v>585</v>
      </c>
      <c r="AI220" s="118" t="s">
        <v>1210</v>
      </c>
      <c r="AJ220" s="94" t="s">
        <v>1211</v>
      </c>
      <c r="AK220" s="118" t="s">
        <v>586</v>
      </c>
      <c r="AL220" s="118" t="s">
        <v>587</v>
      </c>
      <c r="AM220" s="118" t="s">
        <v>1212</v>
      </c>
      <c r="AN220" s="94" t="s">
        <v>1213</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66"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6">
        <v>0.4</v>
      </c>
      <c r="J221" s="266" cm="1">
        <f t="array" ref="J221">Scope3_Equations.VEERG_15_4_1_1__1_EmissionsFromPurchasedFertiliser(E221,I221)</f>
        <v>40</v>
      </c>
      <c r="K221" s="266"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4"/>
      <c r="M221" s="23"/>
      <c r="N221" s="249"/>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6">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6">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66"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6">
        <v>0.9</v>
      </c>
      <c r="J222" s="266" cm="1">
        <f t="array" ref="J222">Scope3_Equations.VEERG_15_4_1_1__1_EmissionsFromPurchasedFertiliser(E222,I222)</f>
        <v>90</v>
      </c>
      <c r="K222" s="266"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4"/>
      <c r="M222" s="23"/>
      <c r="N222" s="44"/>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6"/>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6"/>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6"/>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6"/>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66"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6">
        <v>0.4</v>
      </c>
      <c r="J223" s="266" cm="1">
        <f t="array" ref="J223">Scope3_Equations.VEERG_15_4_1_1__1_EmissionsFromPurchasedFertiliser(E223,I223)</f>
        <v>40</v>
      </c>
      <c r="K223" s="266"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4"/>
      <c r="M223" s="23"/>
      <c r="N223" s="44"/>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6"/>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6"/>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6"/>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6"/>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66"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6"/>
      <c r="J224" s="266" cm="1">
        <f t="array" ref="J224">Scope3_Equations.VEERG_15_4_1_1__1_EmissionsFromPurchasedFertiliser(E224,I224)</f>
        <v>0</v>
      </c>
      <c r="K224" s="266"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4"/>
      <c r="M224" s="23"/>
      <c r="N224" s="44"/>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6"/>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6"/>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66"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6"/>
      <c r="J225" s="266" cm="1">
        <f t="array" ref="J225">Scope3_Equations.VEERG_15_4_1_1__1_EmissionsFromPurchasedFertiliser(E225,I225)</f>
        <v>0</v>
      </c>
      <c r="K225" s="266"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4"/>
      <c r="M225" s="23"/>
      <c r="N225" s="44"/>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6"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6" cm="1">
        <f t="array" ref="J226">Scope3_Equations.VEERG_15_4_1_1__1_EmissionsFromPurchasedFertiliser(E226,I226)</f>
        <v>0</v>
      </c>
      <c r="K226" s="266"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6"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6" cm="1">
        <f t="array" ref="J227">Scope3_Equations.VEERG_15_4_1_1__1_EmissionsFromPurchasedFertiliser(E227,I227)</f>
        <v>0</v>
      </c>
      <c r="K227" s="266"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6"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6" cm="1">
        <f t="array" ref="J228">Scope3_Equations.VEERG_15_4_1_1__1_EmissionsFromPurchasedFertiliser(E228,I228)</f>
        <v>0</v>
      </c>
      <c r="K228" s="266"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6"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6" cm="1">
        <f t="array" ref="J229">Scope3_Equations.VEERG_15_4_1_1__1_EmissionsFromPurchasedFertiliser(E229,I229)</f>
        <v>0</v>
      </c>
      <c r="K229" s="266"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6"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6" cm="1">
        <f t="array" ref="J230">Scope3_Equations.VEERG_15_4_1_1__1_EmissionsFromPurchasedFertiliser(E230,I230)</f>
        <v>0</v>
      </c>
      <c r="K230" s="266"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3" t="s">
        <v>1214</v>
      </c>
    </row>
    <row r="233" spans="4:40" ht="20.100000000000001" customHeight="1" x14ac:dyDescent="0.25"/>
    <row r="234" spans="4:40" ht="20.100000000000001" customHeight="1" x14ac:dyDescent="0.25">
      <c r="D234" s="46" t="s">
        <v>1215</v>
      </c>
      <c r="E234" s="48"/>
      <c r="F234" s="49"/>
    </row>
    <row r="235" spans="4:40" ht="20.100000000000001" customHeight="1" x14ac:dyDescent="0.25"/>
    <row r="236" spans="4:40" ht="20.100000000000001" customHeight="1" x14ac:dyDescent="0.25">
      <c r="D236" s="94" t="s">
        <v>1178</v>
      </c>
      <c r="E236" s="94" t="s">
        <v>1195</v>
      </c>
      <c r="F236" s="118" t="s">
        <v>1196</v>
      </c>
      <c r="G236" s="118" t="s">
        <v>1197</v>
      </c>
      <c r="H236" s="118" t="s">
        <v>1198</v>
      </c>
      <c r="I236" s="94" t="s">
        <v>1199</v>
      </c>
      <c r="J236" s="118" t="s">
        <v>1200</v>
      </c>
      <c r="K236" s="118" t="s">
        <v>1201</v>
      </c>
      <c r="L236" s="94" t="s">
        <v>1155</v>
      </c>
      <c r="M236" s="94" t="s">
        <v>1156</v>
      </c>
      <c r="N236" s="94" t="s">
        <v>1157</v>
      </c>
      <c r="O236" s="118" t="s">
        <v>591</v>
      </c>
      <c r="P236" s="118" t="s">
        <v>592</v>
      </c>
      <c r="Q236" s="118" t="s">
        <v>576</v>
      </c>
      <c r="R236" s="118" t="s">
        <v>577</v>
      </c>
      <c r="S236" s="118" t="s">
        <v>1202</v>
      </c>
      <c r="T236" s="94" t="s">
        <v>1203</v>
      </c>
      <c r="U236" s="118" t="s">
        <v>578</v>
      </c>
      <c r="V236" s="118" t="s">
        <v>579</v>
      </c>
      <c r="W236" s="118" t="s">
        <v>1204</v>
      </c>
      <c r="X236" s="94" t="s">
        <v>1205</v>
      </c>
      <c r="Y236" s="118" t="s">
        <v>580</v>
      </c>
      <c r="Z236" s="118" t="s">
        <v>581</v>
      </c>
      <c r="AA236" s="118" t="s">
        <v>1206</v>
      </c>
      <c r="AB236" s="94" t="s">
        <v>1207</v>
      </c>
      <c r="AC236" s="118" t="s">
        <v>582</v>
      </c>
      <c r="AD236" s="118" t="s">
        <v>583</v>
      </c>
      <c r="AE236" s="118" t="s">
        <v>1208</v>
      </c>
      <c r="AF236" s="94" t="s">
        <v>1209</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6"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6" cm="1">
        <f t="array" ref="J237">Scope3_Equations.VEERG_15_4_1_1__1_EmissionsFromPurchasedFertiliser(E237,I237)</f>
        <v>40</v>
      </c>
      <c r="K237" s="26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9"/>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6"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6" cm="1">
        <f t="array" ref="J238">Scope3_Equations.VEERG_15_4_1_1__1_EmissionsFromPurchasedFertiliser(E238,I238)</f>
        <v>90</v>
      </c>
      <c r="K238" s="26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6"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6" cm="1">
        <f t="array" ref="J239">Scope3_Equations.VEERG_15_4_1_1__1_EmissionsFromPurchasedFertiliser(E239,I239)</f>
        <v>40</v>
      </c>
      <c r="K239" s="26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6"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6" cm="1">
        <f t="array" ref="J240">Scope3_Equations.VEERG_15_4_1_1__1_EmissionsFromPurchasedFertiliser(E240,I240)</f>
        <v>0</v>
      </c>
      <c r="K240" s="26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6"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6" cm="1">
        <f t="array" ref="J241">Scope3_Equations.VEERG_15_4_1_1__1_EmissionsFromPurchasedFertiliser(E241,I241)</f>
        <v>0</v>
      </c>
      <c r="K241" s="26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6"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6" cm="1">
        <f t="array" ref="J242">Scope3_Equations.VEERG_15_4_1_1__1_EmissionsFromPurchasedFertiliser(E242,I242)</f>
        <v>0</v>
      </c>
      <c r="K242" s="26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6"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6" cm="1">
        <f t="array" ref="J243">Scope3_Equations.VEERG_15_4_1_1__1_EmissionsFromPurchasedFertiliser(E243,I243)</f>
        <v>0</v>
      </c>
      <c r="K243" s="26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6"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6" cm="1">
        <f t="array" ref="J244">Scope3_Equations.VEERG_15_4_1_1__1_EmissionsFromPurchasedFertiliser(E244,I244)</f>
        <v>0</v>
      </c>
      <c r="K244" s="26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6"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6" cm="1">
        <f t="array" ref="J245">Scope3_Equations.VEERG_15_4_1_1__1_EmissionsFromPurchasedFertiliser(E245,I245)</f>
        <v>0</v>
      </c>
      <c r="K245" s="26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6"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6" cm="1">
        <f t="array" ref="J246">Scope3_Equations.VEERG_15_4_1_1__1_EmissionsFromPurchasedFertiliser(E246,I246)</f>
        <v>0</v>
      </c>
      <c r="K246" s="266"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7" t="s">
        <v>1216</v>
      </c>
      <c r="E248" s="122">
        <f>SUM(G221:G230)+SUM(G237:G246)</f>
        <v>453.31033520000005</v>
      </c>
      <c r="F248" s="123" t="str">
        <f>$E$155</f>
        <v>t CO2e</v>
      </c>
    </row>
    <row r="249" spans="3:41" ht="20.100000000000001" customHeight="1" x14ac:dyDescent="0.25">
      <c r="D249" s="267" t="s">
        <v>1217</v>
      </c>
      <c r="E249" s="122">
        <f>SUM(J221:J230)+SUM(J237:J246)</f>
        <v>340</v>
      </c>
      <c r="F249" s="123" t="str">
        <f>$E$155</f>
        <v>t CO2e</v>
      </c>
    </row>
    <row r="250" spans="3:41" ht="20.100000000000001" customHeight="1" x14ac:dyDescent="0.25"/>
    <row r="251" spans="3:41" ht="20.100000000000001" customHeight="1" x14ac:dyDescent="0.25">
      <c r="D251" s="267" t="s">
        <v>1218</v>
      </c>
      <c r="E251" s="122">
        <f>SUM(H221:H230)+SUM(H237:H246)</f>
        <v>453.31033520000005</v>
      </c>
      <c r="F251" s="123" t="str">
        <f>$E$155</f>
        <v>t CO2e</v>
      </c>
    </row>
    <row r="252" spans="3:41" ht="20.100000000000001" customHeight="1" x14ac:dyDescent="0.25">
      <c r="D252" s="267" t="s">
        <v>1219</v>
      </c>
      <c r="E252" s="122">
        <f>SUM(K221:K230)+SUM(K237:K246)</f>
        <v>437.4303352</v>
      </c>
      <c r="F252" s="123" t="str">
        <f>$E$155</f>
        <v>t CO2e</v>
      </c>
    </row>
    <row r="253" spans="3:41" ht="20.100000000000001" customHeight="1" x14ac:dyDescent="0.25"/>
    <row r="254" spans="3:41" ht="20.100000000000001" customHeight="1" x14ac:dyDescent="0.25"/>
    <row r="255" spans="3:41" ht="20.100000000000001" customHeight="1" x14ac:dyDescent="0.25">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7" t="s">
        <v>358</v>
      </c>
      <c r="E258" s="107"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360</v>
      </c>
      <c r="E262" s="1" t="str" cm="1">
        <f t="array" ref="E262">Scope3_Equations.VEERG_15_5_1_1__1_EmissionsFromPurchasedAgrichemicals_Variable()</f>
        <v>E</v>
      </c>
    </row>
    <row r="263" spans="4:9" ht="20.100000000000001" customHeight="1" x14ac:dyDescent="0.25">
      <c r="D263" s="88" t="s">
        <v>128</v>
      </c>
      <c r="E263" s="15" t="str" cm="1">
        <f t="array" ref="E263">Scope3_Equations.VEERG_15_5_1_1__1_EmissionsFromPurchasedAgrichemicals_Unit()</f>
        <v>t CO2e</v>
      </c>
    </row>
    <row r="264" spans="4:9" ht="20.100000000000001" customHeight="1" x14ac:dyDescent="0.25"/>
    <row r="265" spans="4:9" x14ac:dyDescent="0.25">
      <c r="D265" s="109" t="str" cm="1">
        <f t="array" ref="D265:E267">_xlfn.CHOOSECOLS(Scope3_Equations.VEERG_15_5_1_1__1_EmissionsFromPurchasedAgrichemicals_Arguments(),1,2)</f>
        <v>Q_h</v>
      </c>
      <c r="E265" s="110" t="str">
        <v>quantity of active ingredients in agrichemical type h purchased and applied to soils</v>
      </c>
      <c r="F265" s="112"/>
      <c r="G265" s="109" t="str" cm="1">
        <f t="array" ref="G265:H267">_xlfn.CHOOSECOLS(Scope3_Equations.VEERG_15_5_1_1__1_EmissionsFromPurchasedAgrichemicals_Arguments(),3,4)</f>
        <v>kg ai</v>
      </c>
      <c r="H265" s="264" t="str">
        <v>Input</v>
      </c>
    </row>
    <row r="266" spans="4:9" x14ac:dyDescent="0.25">
      <c r="D266" s="109" t="str">
        <v>EF_h</v>
      </c>
      <c r="E266" s="110" t="str">
        <v>emission factor for purchased agrichemical active ingredient</v>
      </c>
      <c r="F266" s="112"/>
      <c r="G266" s="109" t="str">
        <v>kg CO2e/kg ai</v>
      </c>
      <c r="H266" s="114" t="str">
        <v>Constant</v>
      </c>
    </row>
    <row r="267" spans="4:9" x14ac:dyDescent="0.25">
      <c r="D267" s="109" t="str">
        <v>h</v>
      </c>
      <c r="E267" s="110" t="str">
        <v>agrichemical type</v>
      </c>
      <c r="F267" s="112"/>
      <c r="G267" s="109" t="str">
        <v/>
      </c>
      <c r="H267" s="264" t="str">
        <v>Input</v>
      </c>
    </row>
    <row r="269" spans="4:9" ht="17.25" x14ac:dyDescent="0.25">
      <c r="D269" s="94" t="s">
        <v>1220</v>
      </c>
      <c r="E269" s="94" t="s">
        <v>575</v>
      </c>
      <c r="F269" s="118" t="s">
        <v>1221</v>
      </c>
      <c r="G269" s="118" t="s">
        <v>1151</v>
      </c>
      <c r="H269" s="94" t="s">
        <v>1222</v>
      </c>
      <c r="I269" s="118" t="s">
        <v>1154</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7" t="s">
        <v>1151</v>
      </c>
      <c r="E283" s="122">
        <f>SUM(G270:G281)</f>
        <v>7.5159999999999991</v>
      </c>
      <c r="F283" s="123" t="str">
        <f>$E$155</f>
        <v>t CO2e</v>
      </c>
    </row>
    <row r="284" spans="3:41" ht="20.25" x14ac:dyDescent="0.25">
      <c r="D284" s="267" t="s">
        <v>1154</v>
      </c>
      <c r="E284" s="122">
        <f>SUM(I270:I281)</f>
        <v>7.4959999999999996</v>
      </c>
      <c r="F284" s="123" t="str">
        <f>$E$155</f>
        <v>t CO2e</v>
      </c>
    </row>
    <row r="287" spans="3:41" x14ac:dyDescent="0.25">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120"/>
      <c r="AH287" s="120"/>
      <c r="AI287" s="120"/>
      <c r="AJ287" s="120"/>
      <c r="AK287" s="120"/>
      <c r="AL287" s="120"/>
      <c r="AM287" s="120"/>
      <c r="AN287" s="120"/>
      <c r="AO287" s="12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7" t="s">
        <v>358</v>
      </c>
      <c r="E290" s="107" t="str" cm="1">
        <f t="array" aca="1" ref="E290" ca="1">Common_InputFunctions.Utility_DisplayFunctionName(I305)</f>
        <v>=Scope3_Equations.VEERG_15_6_1_1__1_EmissionsFromPurchasedLime</v>
      </c>
    </row>
    <row r="293" spans="4:13" x14ac:dyDescent="0.25">
      <c r="D293" s="88" t="s">
        <v>360</v>
      </c>
      <c r="E293" s="1" t="str" cm="1">
        <f t="array" ref="E293">Scope3_Equations.VEERG_15_6_1_1__1_EmissionsFromPurchasedLime_Variable()</f>
        <v>E</v>
      </c>
    </row>
    <row r="294" spans="4:13" x14ac:dyDescent="0.25">
      <c r="D294" s="88" t="s">
        <v>128</v>
      </c>
      <c r="E294" s="1" t="str" cm="1">
        <f t="array" ref="E294">Scope3_Equations.VEERG_15_6_1_1__1_EmissionsFromPurchasedLime_Unit()</f>
        <v>t CO2e</v>
      </c>
    </row>
    <row r="296" spans="4:13" x14ac:dyDescent="0.25">
      <c r="D296" s="109" t="str" cm="1">
        <f t="array" ref="D296:E297">_xlfn.CHOOSECOLS(Scope3_Equations.VEERG_15_6_1_1__1_EmissionsFromPurchasedLime_Arguments(),1,2)</f>
        <v>M_lime</v>
      </c>
      <c r="E296" s="109" t="str">
        <v>total quantity of lime applied to soils</v>
      </c>
      <c r="F296" s="109" t="str" cm="1">
        <f t="array" ref="F296:G297">_xlfn.CHOOSECOLS(Scope3_Equations.VEERG_15_6_1_1__1_EmissionsFromPurchasedLime_Arguments(),3,4)</f>
        <v>t</v>
      </c>
      <c r="G296" s="264" t="str">
        <v>Input</v>
      </c>
    </row>
    <row r="297" spans="4:13" x14ac:dyDescent="0.25">
      <c r="D297" s="109" t="str">
        <v>EF_l</v>
      </c>
      <c r="E297" s="109" t="str">
        <v>emission factor for purchased lime</v>
      </c>
      <c r="F297" s="109" t="str">
        <v>t CO2e/t</v>
      </c>
      <c r="G297" s="114" t="str">
        <v>Constant</v>
      </c>
    </row>
    <row r="299" spans="4:13" x14ac:dyDescent="0.25">
      <c r="E299" s="118" t="s">
        <v>145</v>
      </c>
      <c r="F299" s="94" t="s">
        <v>146</v>
      </c>
    </row>
    <row r="300" spans="4:13" ht="18.75" x14ac:dyDescent="0.25">
      <c r="D300" s="1" t="s">
        <v>1223</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1224</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1225</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4" t="s">
        <v>1032</v>
      </c>
      <c r="E304" s="265" t="s">
        <v>1226</v>
      </c>
      <c r="F304" s="94" t="s">
        <v>1227</v>
      </c>
      <c r="G304" s="94" t="s">
        <v>1228</v>
      </c>
      <c r="H304" s="94" t="s">
        <v>1229</v>
      </c>
      <c r="I304" s="118" t="s">
        <v>1151</v>
      </c>
      <c r="J304" s="118" t="s">
        <v>1230</v>
      </c>
      <c r="K304" s="94" t="s">
        <v>1155</v>
      </c>
      <c r="L304" s="94" t="s">
        <v>1156</v>
      </c>
      <c r="M304" s="94" t="s">
        <v>1157</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6" cm="1">
        <f t="array" ref="I305">Scope3_Equations.VEERG_15_6_1_1__1_EmissionsFromPurchasedLime(F305,$E$300)+
Scope3_Equations.VEERG_15_6_1_1__1_EmissionsFromPurchasedLime(G305,$E$301)+
Scope3_Equations.VEERG_15_6_1_1__1_EmissionsFromPurchasedLime(H305,$E$302)</f>
        <v>5.1839999999999997E-2</v>
      </c>
      <c r="J305" s="266"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6" cm="1">
        <f t="array" ref="I306">Scope3_Equations.VEERG_15_6_1_1__1_EmissionsFromPurchasedLime(F306,$E$300)+
Scope3_Equations.VEERG_15_6_1_1__1_EmissionsFromPurchasedLime(G306,$E$301)+
Scope3_Equations.VEERG_15_6_1_1__1_EmissionsFromPurchasedLime(H306,$E$302)</f>
        <v>4.8500000000000001E-2</v>
      </c>
      <c r="J306" s="266"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6" cm="1">
        <f t="array" ref="I307">Scope3_Equations.VEERG_15_6_1_1__1_EmissionsFromPurchasedLime(F307,$E$300)+
Scope3_Equations.VEERG_15_6_1_1__1_EmissionsFromPurchasedLime(G307,$E$301)+
Scope3_Equations.VEERG_15_6_1_1__1_EmissionsFromPurchasedLime(H307,$E$302)</f>
        <v>6.5199999999999994E-2</v>
      </c>
      <c r="J307" s="266"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6" cm="1">
        <f t="array" ref="I308">Scope3_Equations.VEERG_15_6_1_1__1_EmissionsFromPurchasedLime(F308,$E$300)+
Scope3_Equations.VEERG_15_6_1_1__1_EmissionsFromPurchasedLime(G308,$E$301)+
Scope3_Equations.VEERG_15_6_1_1__1_EmissionsFromPurchasedLime(H308,$E$302)</f>
        <v>0</v>
      </c>
      <c r="J308" s="266"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6" cm="1">
        <f t="array" ref="I309">Scope3_Equations.VEERG_15_6_1_1__1_EmissionsFromPurchasedLime(F309,$E$300)+
Scope3_Equations.VEERG_15_6_1_1__1_EmissionsFromPurchasedLime(G309,$E$301)+
Scope3_Equations.VEERG_15_6_1_1__1_EmissionsFromPurchasedLime(H309,$E$302)</f>
        <v>0</v>
      </c>
      <c r="J309" s="266"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6" cm="1">
        <f t="array" ref="I310">Scope3_Equations.VEERG_15_6_1_1__1_EmissionsFromPurchasedLime(F310,$E$300)+
Scope3_Equations.VEERG_15_6_1_1__1_EmissionsFromPurchasedLime(G310,$E$301)+
Scope3_Equations.VEERG_15_6_1_1__1_EmissionsFromPurchasedLime(H310,$E$302)</f>
        <v>0</v>
      </c>
      <c r="J310" s="266"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6" cm="1">
        <f t="array" ref="I311">Scope3_Equations.VEERG_15_6_1_1__1_EmissionsFromPurchasedLime(F311,$E$300)+
Scope3_Equations.VEERG_15_6_1_1__1_EmissionsFromPurchasedLime(G311,$E$301)+
Scope3_Equations.VEERG_15_6_1_1__1_EmissionsFromPurchasedLime(H311,$E$302)</f>
        <v>0</v>
      </c>
      <c r="J311" s="266"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6" cm="1">
        <f t="array" ref="I312">Scope3_Equations.VEERG_15_6_1_1__1_EmissionsFromPurchasedLime(F312,$E$300)+
Scope3_Equations.VEERG_15_6_1_1__1_EmissionsFromPurchasedLime(G312,$E$301)+
Scope3_Equations.VEERG_15_6_1_1__1_EmissionsFromPurchasedLime(H312,$E$302)</f>
        <v>0</v>
      </c>
      <c r="J312" s="266"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6" cm="1">
        <f t="array" ref="I313">Scope3_Equations.VEERG_15_6_1_1__1_EmissionsFromPurchasedLime(F313,$E$300)+
Scope3_Equations.VEERG_15_6_1_1__1_EmissionsFromPurchasedLime(G313,$E$301)+
Scope3_Equations.VEERG_15_6_1_1__1_EmissionsFromPurchasedLime(H313,$E$302)</f>
        <v>0</v>
      </c>
      <c r="J313" s="266"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6" cm="1">
        <f t="array" ref="I314">Scope3_Equations.VEERG_15_6_1_1__1_EmissionsFromPurchasedLime(F314,$E$300)+
Scope3_Equations.VEERG_15_6_1_1__1_EmissionsFromPurchasedLime(G314,$E$301)+
Scope3_Equations.VEERG_15_6_1_1__1_EmissionsFromPurchasedLime(H314,$E$302)</f>
        <v>0</v>
      </c>
      <c r="J314" s="266"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7" t="s">
        <v>1151</v>
      </c>
      <c r="E316" s="122">
        <f>SUM(I305:I314)</f>
        <v>0.16553999999999999</v>
      </c>
      <c r="F316" s="123" t="str">
        <f>$E$155</f>
        <v>t CO2e</v>
      </c>
    </row>
    <row r="317" spans="3:41" ht="20.25" x14ac:dyDescent="0.25">
      <c r="D317" s="267" t="s">
        <v>1154</v>
      </c>
      <c r="E317" s="122">
        <f>SUM(J305:J314)</f>
        <v>0.14399999999999999</v>
      </c>
      <c r="F317" s="123" t="str">
        <f>$E$155</f>
        <v>t CO2e</v>
      </c>
    </row>
    <row r="320" spans="3:41" x14ac:dyDescent="0.25">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c r="AA320" s="120"/>
      <c r="AB320" s="120"/>
      <c r="AC320" s="120"/>
      <c r="AD320" s="120"/>
      <c r="AE320" s="120"/>
      <c r="AF320" s="120"/>
      <c r="AG320" s="120"/>
      <c r="AH320" s="120"/>
      <c r="AI320" s="120"/>
      <c r="AJ320" s="120"/>
      <c r="AK320" s="120"/>
      <c r="AL320" s="120"/>
      <c r="AM320" s="120"/>
      <c r="AN320" s="120"/>
      <c r="AO320" s="12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7" t="s">
        <v>358</v>
      </c>
      <c r="E323" s="107" t="str" cm="1">
        <f t="array" aca="1" ref="E323" ca="1">Common_InputFunctions.Utility_DisplayFunctionName(K336)</f>
        <v>=Scope3_Equations.VEERG_15_7_1_1__1_EmissionsFromPurchasedServices</v>
      </c>
    </row>
    <row r="325" spans="4:15" x14ac:dyDescent="0.25">
      <c r="H325" s="1" t="s">
        <v>1231</v>
      </c>
    </row>
    <row r="326" spans="4:15" x14ac:dyDescent="0.25">
      <c r="D326" s="88" t="s">
        <v>360</v>
      </c>
      <c r="E326" s="1" t="str" cm="1">
        <f t="array" ref="E326">Scope3_Equations.VEERG_15_7_1_1__1_EmissionsFromPurchasedServices_Variable()</f>
        <v>E</v>
      </c>
    </row>
    <row r="327" spans="4:15" x14ac:dyDescent="0.25">
      <c r="D327" s="88" t="s">
        <v>128</v>
      </c>
      <c r="E327" s="1" t="str" cm="1">
        <f t="array" ref="E327">Scope3_Equations.VEERG_15_7_1_1__1_EmissionsFromPurchasedServices_Unit()</f>
        <v>t CO2e</v>
      </c>
    </row>
    <row r="329" spans="4:15" x14ac:dyDescent="0.25">
      <c r="D329" s="109" t="str" cm="1">
        <f t="array" ref="D329:E331">_xlfn.CHOOSECOLS(Scope3_Equations.VEERG_15_7_1_1__1_EmissionsFromPurchasedServices_Arguments(),1,2)</f>
        <v>A_p</v>
      </c>
      <c r="E329" s="110" t="str">
        <v>activity data of the service that was purchased</v>
      </c>
      <c r="F329" s="112"/>
      <c r="G329" s="109" t="str" cm="1">
        <f t="array" ref="G329:H331">_xlfn.CHOOSECOLS(Scope3_Equations.VEERG_15_7_1_1__1_EmissionsFromPurchasedServices_Arguments(),3,4)</f>
        <v>ha or h</v>
      </c>
      <c r="H329" s="264" t="str">
        <v>Input</v>
      </c>
    </row>
    <row r="330" spans="4:15" x14ac:dyDescent="0.25">
      <c r="D330" s="109" t="str">
        <v>EF_p</v>
      </c>
      <c r="E330" s="110" t="str">
        <v>life cycle emission factor for the purchased service</v>
      </c>
      <c r="F330" s="112"/>
      <c r="G330" s="109" t="str">
        <v>kg CO2e/ha or kg CO2e/h</v>
      </c>
      <c r="H330" s="114" t="str">
        <v>Constant</v>
      </c>
    </row>
    <row r="331" spans="4:15" x14ac:dyDescent="0.25">
      <c r="D331" s="109" t="str">
        <v>p</v>
      </c>
      <c r="E331" s="110" t="str">
        <v>service type</v>
      </c>
      <c r="F331" s="112"/>
      <c r="G331" s="109" t="str">
        <v/>
      </c>
      <c r="H331" s="264" t="str">
        <v>Input</v>
      </c>
    </row>
    <row r="333" spans="4:15" x14ac:dyDescent="0.25">
      <c r="D333" s="36" t="s">
        <v>1232</v>
      </c>
    </row>
    <row r="335" spans="4:15" x14ac:dyDescent="0.25">
      <c r="D335" s="94" t="s">
        <v>1042</v>
      </c>
      <c r="E335" s="94" t="s">
        <v>1043</v>
      </c>
      <c r="F335" s="94" t="s">
        <v>1044</v>
      </c>
      <c r="G335" s="94" t="s">
        <v>806</v>
      </c>
      <c r="H335" s="118" t="s">
        <v>1233</v>
      </c>
      <c r="I335" s="118" t="s">
        <v>1234</v>
      </c>
      <c r="J335" s="94" t="s">
        <v>1235</v>
      </c>
      <c r="K335" s="118" t="s">
        <v>1236</v>
      </c>
      <c r="L335" s="118" t="s">
        <v>1237</v>
      </c>
      <c r="M335" s="94" t="s">
        <v>1155</v>
      </c>
      <c r="N335" s="94" t="s">
        <v>1156</v>
      </c>
      <c r="O335" s="94" t="s">
        <v>1157</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1238</v>
      </c>
      <c r="I336" s="25" t="s">
        <v>1238</v>
      </c>
      <c r="J336" s="86">
        <v>4</v>
      </c>
      <c r="K336" s="266"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1238</v>
      </c>
      <c r="I337" s="25" t="s">
        <v>1238</v>
      </c>
      <c r="J337" s="86">
        <v>2</v>
      </c>
      <c r="K337" s="266"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1238</v>
      </c>
      <c r="I338" s="25" t="s">
        <v>1238</v>
      </c>
      <c r="J338" s="86"/>
      <c r="K338" s="266"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1238</v>
      </c>
      <c r="I339" s="25" t="s">
        <v>1238</v>
      </c>
      <c r="J339" s="86"/>
      <c r="K339" s="266"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1238</v>
      </c>
      <c r="I340" s="25" t="s">
        <v>1238</v>
      </c>
      <c r="J340" s="86"/>
      <c r="K340" s="266"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1238</v>
      </c>
      <c r="I341" s="25" t="s">
        <v>1238</v>
      </c>
      <c r="J341" s="86"/>
      <c r="K341" s="266"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1238</v>
      </c>
      <c r="I342" s="25" t="s">
        <v>1238</v>
      </c>
      <c r="J342" s="86"/>
      <c r="K342" s="266"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1238</v>
      </c>
      <c r="I343" s="25" t="s">
        <v>1238</v>
      </c>
      <c r="J343" s="86"/>
      <c r="K343" s="266"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1238</v>
      </c>
      <c r="I344" s="25" t="s">
        <v>1238</v>
      </c>
      <c r="J344" s="86"/>
      <c r="K344" s="266"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1238</v>
      </c>
      <c r="I345" s="25" t="s">
        <v>1238</v>
      </c>
      <c r="J345" s="86"/>
      <c r="K345" s="266" cm="1">
        <f t="array" ref="K345">Scope3_Equations.VEERG_15_7_1_1__1_EmissionsFromPurchasedServices(F345,J345)</f>
        <v>0</v>
      </c>
      <c r="L345" s="25" t="str">
        <f t="shared" si="1"/>
        <v>t CO2e / 0</v>
      </c>
      <c r="M345" s="44"/>
      <c r="N345" s="23"/>
      <c r="O345" s="44"/>
    </row>
    <row r="347" spans="3:41" ht="20.25" x14ac:dyDescent="0.25">
      <c r="D347" s="267" t="s">
        <v>1151</v>
      </c>
      <c r="E347" s="122" t="s">
        <v>1238</v>
      </c>
      <c r="F347" s="123" t="str">
        <f>$E$155</f>
        <v>t CO2e</v>
      </c>
    </row>
    <row r="348" spans="3:41" ht="20.25" x14ac:dyDescent="0.25">
      <c r="D348" s="267" t="s">
        <v>1154</v>
      </c>
      <c r="E348" s="122">
        <f>SUM(K336:K345)</f>
        <v>42</v>
      </c>
      <c r="F348" s="123" t="str">
        <f>$E$155</f>
        <v>t CO2e</v>
      </c>
    </row>
    <row r="351" spans="3:41" x14ac:dyDescent="0.25">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c r="AA351" s="120"/>
      <c r="AB351" s="120"/>
      <c r="AC351" s="120"/>
      <c r="AD351" s="120"/>
      <c r="AE351" s="120"/>
      <c r="AF351" s="120"/>
      <c r="AG351" s="120"/>
      <c r="AH351" s="120"/>
      <c r="AI351" s="120"/>
      <c r="AJ351" s="120"/>
      <c r="AK351" s="120"/>
      <c r="AL351" s="120"/>
      <c r="AM351" s="120"/>
      <c r="AN351" s="120"/>
      <c r="AO351" s="12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7" t="s">
        <v>358</v>
      </c>
      <c r="E355" s="107" t="str" cm="1">
        <f t="array" aca="1" ref="E355" ca="1">Common_InputFunctions.Utility_DisplayFunctionName(H367)</f>
        <v>=Scope3_Equations.VEERG_15_8_1_1__1_EmissionsFromPurchasedPackaging</v>
      </c>
    </row>
    <row r="359" spans="4:13" x14ac:dyDescent="0.25">
      <c r="D359" s="88" t="s">
        <v>360</v>
      </c>
      <c r="E359" s="1" t="str" cm="1">
        <f t="array" ref="E359">Scope3_Equations.VEERG_15_8_1_1__1_EmissionsFromPurchasedPackaging_Variable()</f>
        <v>E</v>
      </c>
    </row>
    <row r="360" spans="4:13" x14ac:dyDescent="0.25">
      <c r="D360" s="88" t="s">
        <v>128</v>
      </c>
      <c r="E360" s="15" t="str" cm="1">
        <f t="array" ref="E360">Scope3_Equations.VEERG_15_8_1_1__1_EmissionsFromPurchasedPackaging_Unit()</f>
        <v>t CO2e</v>
      </c>
    </row>
    <row r="362" spans="4:13" x14ac:dyDescent="0.25">
      <c r="D362" s="109" t="str" cm="1">
        <f t="array" ref="D362:E364">_xlfn.CHOOSECOLS(Scope3_Equations.VEERG_15_8_1_1__1_EmissionsFromPurchasedPackaging_Arguments(),1,2)</f>
        <v>Q_p</v>
      </c>
      <c r="E362" s="109" t="str">
        <v>units of packaging type p</v>
      </c>
      <c r="F362" s="109" t="str" cm="1">
        <f t="array" ref="F362:G364">_xlfn.CHOOSECOLS(Scope3_Equations.VEERG_15_8_1_1__1_EmissionsFromPurchasedPackaging_Arguments(),3,4)</f>
        <v>units</v>
      </c>
      <c r="G362" s="264" t="str">
        <v>Input</v>
      </c>
    </row>
    <row r="363" spans="4:13" x14ac:dyDescent="0.25">
      <c r="D363" s="109" t="str">
        <v>EF_p</v>
      </c>
      <c r="E363" s="109" t="str">
        <v>emission factor for packaging type p</v>
      </c>
      <c r="F363" s="109" t="str">
        <v>kg CO2e/unit</v>
      </c>
      <c r="G363" s="114" t="str">
        <v>Constant</v>
      </c>
    </row>
    <row r="364" spans="4:13" x14ac:dyDescent="0.25">
      <c r="D364" s="109" t="str">
        <v>p</v>
      </c>
      <c r="E364" s="109" t="str">
        <v>packaging type</v>
      </c>
      <c r="F364" s="109" t="str">
        <v/>
      </c>
      <c r="G364" s="264" t="str">
        <v>Input</v>
      </c>
    </row>
    <row r="366" spans="4:13" ht="17.25" x14ac:dyDescent="0.25">
      <c r="D366" s="94" t="s">
        <v>1145</v>
      </c>
      <c r="E366" s="265" t="s">
        <v>1239</v>
      </c>
      <c r="F366" s="265" t="s">
        <v>1240</v>
      </c>
      <c r="G366" s="118" t="s">
        <v>1241</v>
      </c>
      <c r="H366" s="118" t="s">
        <v>1151</v>
      </c>
      <c r="I366" s="94" t="s">
        <v>1242</v>
      </c>
      <c r="J366" s="118" t="s">
        <v>1154</v>
      </c>
      <c r="K366" s="94" t="s">
        <v>1155</v>
      </c>
      <c r="L366" s="94" t="s">
        <v>1156</v>
      </c>
      <c r="M366" s="94" t="s">
        <v>1157</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66" cm="1">
        <f t="array" ref="H367">Scope3_Equations.VEERG_15_8_1_1__1_EmissionsFromPurchasedPackaging(F367,G367)</f>
        <v>0</v>
      </c>
      <c r="I367" s="86">
        <v>3</v>
      </c>
      <c r="J367" s="266" cm="1">
        <f t="array" ref="J367">Scope3_Equations.VEERG_15_8_1_1__1_EmissionsFromPurchasedPackaging(F367,IF(I367,I367,G367))</f>
        <v>0</v>
      </c>
      <c r="K367" s="44"/>
      <c r="L367" s="23"/>
      <c r="M367" s="44"/>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66" cm="1">
        <f t="array" ref="H368">Scope3_Equations.VEERG_15_8_1_1__1_EmissionsFromPurchasedPackaging(F368,G368)</f>
        <v>0</v>
      </c>
      <c r="I368" s="86"/>
      <c r="J368" s="266" cm="1">
        <f t="array" ref="J368">Scope3_Equations.VEERG_15_8_1_1__1_EmissionsFromPurchasedPackaging(F368,IF(I368,I368,G368))</f>
        <v>0</v>
      </c>
      <c r="K368" s="44"/>
      <c r="L368" s="23"/>
      <c r="M368" s="44"/>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66" cm="1">
        <f t="array" ref="H369">Scope3_Equations.VEERG_15_8_1_1__1_EmissionsFromPurchasedPackaging(F369,G369)</f>
        <v>0</v>
      </c>
      <c r="I369" s="86"/>
      <c r="J369" s="266" cm="1">
        <f t="array" ref="J369">Scope3_Equations.VEERG_15_8_1_1__1_EmissionsFromPurchasedPackaging(F369,IF(I369,I369,G369))</f>
        <v>0</v>
      </c>
      <c r="K369" s="44"/>
      <c r="L369" s="23"/>
      <c r="M369" s="44"/>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66" cm="1">
        <f t="array" ref="H370">Scope3_Equations.VEERG_15_8_1_1__1_EmissionsFromPurchasedPackaging(F370,G370)</f>
        <v>0</v>
      </c>
      <c r="I370" s="86"/>
      <c r="J370" s="266" cm="1">
        <f t="array" ref="J370">Scope3_Equations.VEERG_15_8_1_1__1_EmissionsFromPurchasedPackaging(F370,IF(I370,I370,G370))</f>
        <v>0</v>
      </c>
      <c r="K370" s="44"/>
      <c r="L370" s="23"/>
      <c r="M370" s="44"/>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66" cm="1">
        <f t="array" ref="H371">Scope3_Equations.VEERG_15_8_1_1__1_EmissionsFromPurchasedPackaging(F371,G371)</f>
        <v>0</v>
      </c>
      <c r="I371" s="86"/>
      <c r="J371" s="266" cm="1">
        <f t="array" ref="J371">Scope3_Equations.VEERG_15_8_1_1__1_EmissionsFromPurchasedPackaging(F371,IF(I371,I371,G371))</f>
        <v>0</v>
      </c>
      <c r="K371" s="44"/>
      <c r="L371" s="23"/>
      <c r="M371" s="44"/>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66" cm="1">
        <f t="array" ref="H372">Scope3_Equations.VEERG_15_8_1_1__1_EmissionsFromPurchasedPackaging(F372,G372)</f>
        <v>0</v>
      </c>
      <c r="I372" s="86"/>
      <c r="J372" s="266" cm="1">
        <f t="array" ref="J372">Scope3_Equations.VEERG_15_8_1_1__1_EmissionsFromPurchasedPackaging(F372,IF(I372,I372,G372))</f>
        <v>0</v>
      </c>
      <c r="K372" s="44"/>
      <c r="L372" s="23"/>
      <c r="M372" s="44"/>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66" cm="1">
        <f t="array" ref="H373">Scope3_Equations.VEERG_15_8_1_1__1_EmissionsFromPurchasedPackaging(F373,G373)</f>
        <v>0</v>
      </c>
      <c r="I373" s="86"/>
      <c r="J373" s="266" cm="1">
        <f t="array" ref="J373">Scope3_Equations.VEERG_15_8_1_1__1_EmissionsFromPurchasedPackaging(F373,IF(I373,I373,G373))</f>
        <v>0</v>
      </c>
      <c r="K373" s="44"/>
      <c r="L373" s="23"/>
      <c r="M373" s="44"/>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66" cm="1">
        <f t="array" ref="H374">Scope3_Equations.VEERG_15_8_1_1__1_EmissionsFromPurchasedPackaging(F374,G374)</f>
        <v>0</v>
      </c>
      <c r="I374" s="86"/>
      <c r="J374" s="266" cm="1">
        <f t="array" ref="J374">Scope3_Equations.VEERG_15_8_1_1__1_EmissionsFromPurchasedPackaging(F374,IF(I374,I374,G374))</f>
        <v>0</v>
      </c>
      <c r="K374" s="44"/>
      <c r="L374" s="23"/>
      <c r="M374" s="44"/>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66" cm="1">
        <f t="array" ref="H375">Scope3_Equations.VEERG_15_8_1_1__1_EmissionsFromPurchasedPackaging(F375,G375)</f>
        <v>0</v>
      </c>
      <c r="I375" s="86"/>
      <c r="J375" s="266" cm="1">
        <f t="array" ref="J375">Scope3_Equations.VEERG_15_8_1_1__1_EmissionsFromPurchasedPackaging(F375,IF(I375,I375,G375))</f>
        <v>0</v>
      </c>
      <c r="K375" s="44"/>
      <c r="L375" s="23"/>
      <c r="M375" s="44"/>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66" cm="1">
        <f t="array" ref="H376">Scope3_Equations.VEERG_15_8_1_1__1_EmissionsFromPurchasedPackaging(F376,G376)</f>
        <v>0</v>
      </c>
      <c r="I376" s="86"/>
      <c r="J376" s="266" cm="1">
        <f t="array" ref="J376">Scope3_Equations.VEERG_15_8_1_1__1_EmissionsFromPurchasedPackaging(F376,IF(I376,I376,G376))</f>
        <v>0</v>
      </c>
      <c r="K376" s="44"/>
      <c r="L376" s="23"/>
      <c r="M376" s="44"/>
    </row>
    <row r="378" spans="3:41" ht="20.25" x14ac:dyDescent="0.25">
      <c r="D378" s="267" t="s">
        <v>1151</v>
      </c>
      <c r="E378" s="122">
        <f>SUM(H367:H376)</f>
        <v>0</v>
      </c>
      <c r="F378" s="123" t="str">
        <f>$E$155</f>
        <v>t CO2e</v>
      </c>
    </row>
    <row r="379" spans="3:41" ht="20.25" x14ac:dyDescent="0.25">
      <c r="D379" s="267" t="s">
        <v>1154</v>
      </c>
      <c r="E379" s="122">
        <f>SUM(J367:J376)</f>
        <v>0</v>
      </c>
      <c r="F379" s="123" t="str">
        <f>$E$155</f>
        <v>t CO2e</v>
      </c>
    </row>
    <row r="382" spans="3:41" x14ac:dyDescent="0.25">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120"/>
      <c r="AH382" s="120"/>
      <c r="AI382" s="120"/>
      <c r="AJ382" s="120"/>
      <c r="AK382" s="120"/>
      <c r="AL382" s="120"/>
      <c r="AM382" s="120"/>
      <c r="AN382" s="120"/>
      <c r="AO382" s="12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7" t="s">
        <v>358</v>
      </c>
      <c r="E385" s="107" t="str" cm="1">
        <f t="array" aca="1" ref="E385" ca="1">Common_InputFunctions.Utility_DisplayFunctionName(J399)</f>
        <v>=Scope3_Equations.VEERG_15_9_1_1__1_EmissionsFromPurchasedGrowMedia</v>
      </c>
    </row>
    <row r="388" spans="4:14" x14ac:dyDescent="0.25">
      <c r="G388" s="107"/>
    </row>
    <row r="389" spans="4:14" x14ac:dyDescent="0.25">
      <c r="D389" s="88" t="s">
        <v>360</v>
      </c>
      <c r="E389" s="1" t="str" cm="1">
        <f t="array" ref="E389">Scope3_Equations.VEERG_15_9_1_1__1_EmissionsFromPurchasedGrowMedia_Variable()</f>
        <v>E</v>
      </c>
    </row>
    <row r="390" spans="4:14" x14ac:dyDescent="0.25">
      <c r="D390" s="88" t="s">
        <v>128</v>
      </c>
      <c r="E390" s="1" t="str" cm="1">
        <f t="array" ref="E390">Scope3_Equations.VEERG_15_9_1_1__1_EmissionsFromPurchasedGrowMedia_Unit()</f>
        <v>t CO2e</v>
      </c>
    </row>
    <row r="392" spans="4:14" x14ac:dyDescent="0.25">
      <c r="D392" s="109" t="str" cm="1">
        <f t="array" ref="D392:E394">_xlfn.CHOOSECOLS(Scope3_Equations.VEERG_15_9_1_1__1_EmissionsFromPurchasedGrowMedia_Arguments(),1,2)</f>
        <v>Q_g</v>
      </c>
      <c r="E392" s="109" t="str">
        <v>total quantity of grow media type g</v>
      </c>
      <c r="F392" s="109" t="str" cm="1">
        <f t="array" ref="F392:G394">_xlfn.CHOOSECOLS(Scope3_Equations.VEERG_15_9_1_1__1_EmissionsFromPurchasedGrowMedia_Arguments(),3,4)</f>
        <v>kg or m3</v>
      </c>
      <c r="G392" s="264" t="str">
        <v>Input</v>
      </c>
    </row>
    <row r="393" spans="4:14" x14ac:dyDescent="0.25">
      <c r="D393" s="109" t="str">
        <v>EF_g</v>
      </c>
      <c r="E393" s="109" t="str">
        <v>emission factor for grow media type g</v>
      </c>
      <c r="F393" s="109" t="str">
        <v>kg CO2e/kg or kg CO2e/m3</v>
      </c>
      <c r="G393" s="114" t="str">
        <v>Constant</v>
      </c>
    </row>
    <row r="394" spans="4:14" x14ac:dyDescent="0.25">
      <c r="D394" s="109" t="str">
        <v>g</v>
      </c>
      <c r="E394" s="109" t="str">
        <v>grow media type</v>
      </c>
      <c r="F394" s="109" t="str">
        <v/>
      </c>
      <c r="G394" s="264" t="str">
        <v>Input</v>
      </c>
    </row>
    <row r="396" spans="4:14" x14ac:dyDescent="0.25">
      <c r="D396" s="36" t="s">
        <v>1232</v>
      </c>
    </row>
    <row r="398" spans="4:14" x14ac:dyDescent="0.25">
      <c r="D398" s="94" t="s">
        <v>1243</v>
      </c>
      <c r="E398" s="94" t="s">
        <v>1044</v>
      </c>
      <c r="F398" s="94" t="s">
        <v>806</v>
      </c>
      <c r="G398" s="118" t="s">
        <v>1233</v>
      </c>
      <c r="H398" s="118" t="s">
        <v>1234</v>
      </c>
      <c r="I398" s="94" t="s">
        <v>1235</v>
      </c>
      <c r="J398" s="118" t="s">
        <v>1236</v>
      </c>
      <c r="K398" s="118" t="s">
        <v>1237</v>
      </c>
      <c r="L398" s="94" t="s">
        <v>1155</v>
      </c>
      <c r="M398" s="94" t="s">
        <v>1156</v>
      </c>
      <c r="N398" s="94" t="s">
        <v>1157</v>
      </c>
    </row>
    <row r="399" spans="4:14" x14ac:dyDescent="0.25">
      <c r="D399" s="25"/>
      <c r="E399" s="25"/>
      <c r="F399" s="25"/>
      <c r="G399" s="25" t="s">
        <v>1238</v>
      </c>
      <c r="H399" s="25" t="s">
        <v>1238</v>
      </c>
      <c r="I399" s="86">
        <v>4</v>
      </c>
      <c r="J399" s="266" cm="1">
        <f t="array" ref="J399">Scope3_Equations.VEERG_15_9_1_1__1_EmissionsFromPurchasedGrowMedia(E399,I399)</f>
        <v>0</v>
      </c>
      <c r="K399" s="25" t="str">
        <f>"t CO2e / " &amp; F399</f>
        <v xml:space="preserve">t CO2e / </v>
      </c>
      <c r="L399" s="44"/>
      <c r="M399" s="23"/>
      <c r="N399" s="44"/>
    </row>
    <row r="400" spans="4:14" x14ac:dyDescent="0.25">
      <c r="D400" s="25"/>
      <c r="E400" s="25"/>
      <c r="F400" s="25"/>
      <c r="G400" s="25" t="s">
        <v>1238</v>
      </c>
      <c r="H400" s="25" t="s">
        <v>1238</v>
      </c>
      <c r="I400" s="86">
        <v>2</v>
      </c>
      <c r="J400" s="266" cm="1">
        <f t="array" ref="J400">Scope3_Equations.VEERG_15_9_1_1__1_EmissionsFromPurchasedGrowMedia(E400,I400)</f>
        <v>0</v>
      </c>
      <c r="K400" s="25" t="str">
        <f t="shared" ref="K400:K408" si="2">"t CO2e / " &amp; F400</f>
        <v xml:space="preserve">t CO2e / </v>
      </c>
      <c r="L400" s="44"/>
      <c r="M400" s="23"/>
      <c r="N400" s="44"/>
    </row>
    <row r="401" spans="3:41" x14ac:dyDescent="0.25">
      <c r="D401" s="25"/>
      <c r="E401" s="25"/>
      <c r="F401" s="25"/>
      <c r="G401" s="25" t="s">
        <v>1238</v>
      </c>
      <c r="H401" s="25" t="s">
        <v>1238</v>
      </c>
      <c r="I401" s="86"/>
      <c r="J401" s="266" cm="1">
        <f t="array" ref="J401">Scope3_Equations.VEERG_15_9_1_1__1_EmissionsFromPurchasedGrowMedia(E401,I401)</f>
        <v>0</v>
      </c>
      <c r="K401" s="25" t="str">
        <f t="shared" si="2"/>
        <v xml:space="preserve">t CO2e / </v>
      </c>
      <c r="L401" s="44"/>
      <c r="M401" s="23"/>
      <c r="N401" s="44"/>
    </row>
    <row r="402" spans="3:41" x14ac:dyDescent="0.25">
      <c r="D402" s="25"/>
      <c r="E402" s="25"/>
      <c r="F402" s="25"/>
      <c r="G402" s="25" t="s">
        <v>1238</v>
      </c>
      <c r="H402" s="25" t="s">
        <v>1238</v>
      </c>
      <c r="I402" s="86"/>
      <c r="J402" s="266" cm="1">
        <f t="array" ref="J402">Scope3_Equations.VEERG_15_9_1_1__1_EmissionsFromPurchasedGrowMedia(E402,I402)</f>
        <v>0</v>
      </c>
      <c r="K402" s="25" t="str">
        <f t="shared" si="2"/>
        <v xml:space="preserve">t CO2e / </v>
      </c>
      <c r="L402" s="44"/>
      <c r="M402" s="23"/>
      <c r="N402" s="44"/>
    </row>
    <row r="403" spans="3:41" x14ac:dyDescent="0.25">
      <c r="D403" s="25"/>
      <c r="E403" s="25"/>
      <c r="F403" s="25"/>
      <c r="G403" s="25" t="s">
        <v>1238</v>
      </c>
      <c r="H403" s="25" t="s">
        <v>1238</v>
      </c>
      <c r="I403" s="86"/>
      <c r="J403" s="266" cm="1">
        <f t="array" ref="J403">Scope3_Equations.VEERG_15_9_1_1__1_EmissionsFromPurchasedGrowMedia(E403,I403)</f>
        <v>0</v>
      </c>
      <c r="K403" s="25" t="str">
        <f t="shared" si="2"/>
        <v xml:space="preserve">t CO2e / </v>
      </c>
      <c r="L403" s="44"/>
      <c r="M403" s="23"/>
      <c r="N403" s="44"/>
    </row>
    <row r="404" spans="3:41" x14ac:dyDescent="0.25">
      <c r="D404" s="25"/>
      <c r="E404" s="25"/>
      <c r="F404" s="25"/>
      <c r="G404" s="25" t="s">
        <v>1238</v>
      </c>
      <c r="H404" s="25" t="s">
        <v>1238</v>
      </c>
      <c r="I404" s="86"/>
      <c r="J404" s="266" cm="1">
        <f t="array" ref="J404">Scope3_Equations.VEERG_15_9_1_1__1_EmissionsFromPurchasedGrowMedia(E404,I404)</f>
        <v>0</v>
      </c>
      <c r="K404" s="25" t="str">
        <f t="shared" si="2"/>
        <v xml:space="preserve">t CO2e / </v>
      </c>
      <c r="L404" s="44"/>
      <c r="M404" s="23"/>
      <c r="N404" s="44"/>
    </row>
    <row r="405" spans="3:41" x14ac:dyDescent="0.25">
      <c r="D405" s="25"/>
      <c r="E405" s="25"/>
      <c r="F405" s="25"/>
      <c r="G405" s="25" t="s">
        <v>1238</v>
      </c>
      <c r="H405" s="25" t="s">
        <v>1238</v>
      </c>
      <c r="I405" s="86"/>
      <c r="J405" s="266" cm="1">
        <f t="array" ref="J405">Scope3_Equations.VEERG_15_9_1_1__1_EmissionsFromPurchasedGrowMedia(E405,I405)</f>
        <v>0</v>
      </c>
      <c r="K405" s="25" t="str">
        <f t="shared" si="2"/>
        <v xml:space="preserve">t CO2e / </v>
      </c>
      <c r="L405" s="44"/>
      <c r="M405" s="23"/>
      <c r="N405" s="44"/>
    </row>
    <row r="406" spans="3:41" x14ac:dyDescent="0.25">
      <c r="D406" s="25"/>
      <c r="E406" s="25"/>
      <c r="F406" s="25"/>
      <c r="G406" s="25" t="s">
        <v>1238</v>
      </c>
      <c r="H406" s="25" t="s">
        <v>1238</v>
      </c>
      <c r="I406" s="86"/>
      <c r="J406" s="266" cm="1">
        <f t="array" ref="J406">Scope3_Equations.VEERG_15_9_1_1__1_EmissionsFromPurchasedGrowMedia(E406,I406)</f>
        <v>0</v>
      </c>
      <c r="K406" s="25" t="str">
        <f t="shared" si="2"/>
        <v xml:space="preserve">t CO2e / </v>
      </c>
      <c r="L406" s="44"/>
      <c r="M406" s="23"/>
      <c r="N406" s="44"/>
    </row>
    <row r="407" spans="3:41" x14ac:dyDescent="0.25">
      <c r="D407" s="25"/>
      <c r="E407" s="25"/>
      <c r="F407" s="25"/>
      <c r="G407" s="25" t="s">
        <v>1238</v>
      </c>
      <c r="H407" s="25" t="s">
        <v>1238</v>
      </c>
      <c r="I407" s="86"/>
      <c r="J407" s="266" cm="1">
        <f t="array" ref="J407">Scope3_Equations.VEERG_15_9_1_1__1_EmissionsFromPurchasedGrowMedia(E407,I407)</f>
        <v>0</v>
      </c>
      <c r="K407" s="25" t="str">
        <f t="shared" si="2"/>
        <v xml:space="preserve">t CO2e / </v>
      </c>
      <c r="L407" s="44"/>
      <c r="M407" s="23"/>
      <c r="N407" s="44"/>
    </row>
    <row r="408" spans="3:41" x14ac:dyDescent="0.25">
      <c r="D408" s="25"/>
      <c r="E408" s="25"/>
      <c r="F408" s="25"/>
      <c r="G408" s="25" t="s">
        <v>1238</v>
      </c>
      <c r="H408" s="25" t="s">
        <v>1238</v>
      </c>
      <c r="I408" s="86"/>
      <c r="J408" s="266" cm="1">
        <f t="array" ref="J408">Scope3_Equations.VEERG_15_9_1_1__1_EmissionsFromPurchasedGrowMedia(E408,I408)</f>
        <v>0</v>
      </c>
      <c r="K408" s="25" t="str">
        <f t="shared" si="2"/>
        <v xml:space="preserve">t CO2e / </v>
      </c>
      <c r="L408" s="44"/>
      <c r="M408" s="23"/>
      <c r="N408" s="44"/>
    </row>
    <row r="410" spans="3:41" ht="20.25" x14ac:dyDescent="0.25">
      <c r="D410" s="267" t="s">
        <v>1151</v>
      </c>
      <c r="E410" s="122" t="s">
        <v>1238</v>
      </c>
      <c r="F410" s="123" t="str">
        <f>$E$155</f>
        <v>t CO2e</v>
      </c>
    </row>
    <row r="411" spans="3:41" ht="20.25" x14ac:dyDescent="0.25">
      <c r="D411" s="267" t="s">
        <v>1154</v>
      </c>
      <c r="E411" s="122">
        <f>SUM(J399:J408)</f>
        <v>0</v>
      </c>
      <c r="F411" s="123" t="str">
        <f>$E$155</f>
        <v>t CO2e</v>
      </c>
    </row>
    <row r="414" spans="3:41" x14ac:dyDescent="0.25">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120"/>
      <c r="AH414" s="120"/>
      <c r="AI414" s="120"/>
      <c r="AJ414" s="120"/>
      <c r="AK414" s="120"/>
      <c r="AL414" s="120"/>
      <c r="AM414" s="120"/>
      <c r="AN414" s="120"/>
      <c r="AO414" s="12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1244</v>
      </c>
    </row>
    <row r="418" spans="4:13" x14ac:dyDescent="0.25">
      <c r="D418" s="107" t="s">
        <v>358</v>
      </c>
      <c r="E418" s="107" t="str" cm="1">
        <f t="array" aca="1" ref="E418" ca="1">Common_InputFunctions.Utility_DisplayFunctionName(H430)</f>
        <v>=Scope3_Equations.VEERG_15_10_1_1__1_OtherPurchasedGoodsAndServices</v>
      </c>
    </row>
    <row r="421" spans="4:13" x14ac:dyDescent="0.25">
      <c r="D421" s="88" t="s">
        <v>360</v>
      </c>
      <c r="E421" s="1" t="str" cm="1">
        <f t="array" ref="E421">Scope3_Equations.VEERG_15_10_1_1__1_OtherPurchasedGoodsAndServices_Variable()</f>
        <v>emissions</v>
      </c>
    </row>
    <row r="422" spans="4:13" x14ac:dyDescent="0.25">
      <c r="D422" s="88" t="s">
        <v>128</v>
      </c>
      <c r="E422" s="15" t="str" cm="1">
        <f t="array" ref="E422">Scope3_Equations.VEERG_15_10_1_1__1_OtherPurchasedGoodsAndServices_Unit()</f>
        <v>t CO2e</v>
      </c>
    </row>
    <row r="424" spans="4:13" x14ac:dyDescent="0.25">
      <c r="D424" s="109" t="str" cm="1">
        <f t="array" ref="D424:E425">_xlfn.CHOOSECOLS(Scope3_Equations.VEERG_15_10_1_1__1_OtherPurchasedGoodsAndServices_Arguments(),1,2)</f>
        <v>activity_data</v>
      </c>
      <c r="E424" s="110" t="str">
        <v>measured activity for the purchased good or service</v>
      </c>
      <c r="F424" s="112"/>
      <c r="G424" s="109" t="str" cm="1">
        <f t="array" ref="G424:H425">_xlfn.CHOOSECOLS(Scope3_Equations.VEERG_15_10_1_1__1_OtherPurchasedGoodsAndServices_Arguments(),3,4)</f>
        <v>varies</v>
      </c>
      <c r="H424" s="264" t="str">
        <v>Input</v>
      </c>
    </row>
    <row r="425" spans="4:13" x14ac:dyDescent="0.25">
      <c r="D425" s="109" t="str">
        <v>emission_factor</v>
      </c>
      <c r="E425" s="110" t="str">
        <v>lifecycle emissions per unit of activity</v>
      </c>
      <c r="F425" s="112"/>
      <c r="G425" s="109" t="str">
        <v>varies</v>
      </c>
      <c r="H425" s="114" t="str">
        <v>Constant</v>
      </c>
    </row>
    <row r="427" spans="4:13" ht="18.75" x14ac:dyDescent="0.25">
      <c r="D427" s="253" t="s">
        <v>1245</v>
      </c>
    </row>
    <row r="429" spans="4:13" x14ac:dyDescent="0.25">
      <c r="D429" s="94" t="s">
        <v>1145</v>
      </c>
      <c r="E429" s="265" t="s">
        <v>1246</v>
      </c>
      <c r="F429" s="265" t="s">
        <v>1247</v>
      </c>
      <c r="G429" s="118" t="s">
        <v>131</v>
      </c>
      <c r="H429" s="118" t="s">
        <v>1151</v>
      </c>
      <c r="I429" s="94" t="s">
        <v>132</v>
      </c>
      <c r="J429" s="118" t="s">
        <v>1154</v>
      </c>
      <c r="K429" s="94" t="s">
        <v>1155</v>
      </c>
      <c r="L429" s="94" t="s">
        <v>1156</v>
      </c>
      <c r="M429" s="94" t="s">
        <v>1157</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6" cm="1">
        <f t="array" ref="H430">Scope3_Equations.VEERG_15_10_1_1__1_OtherPurchasedGoodsAndServices(F430,G430*10^-3)</f>
        <v>9.0700000000000003E-2</v>
      </c>
      <c r="I430" s="86">
        <v>1.3</v>
      </c>
      <c r="J430" s="266"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6" cm="1">
        <f t="array" ref="H431">Scope3_Equations.VEERG_15_10_1_1__1_OtherPurchasedGoodsAndServices(F431,G431*10^-3)</f>
        <v>7.22E-2</v>
      </c>
      <c r="I431" s="86">
        <v>8</v>
      </c>
      <c r="J431" s="266"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6" cm="1">
        <f t="array" ref="H432">Scope3_Equations.VEERG_15_10_1_1__1_OtherPurchasedGoodsAndServices(F432,G432*10^-3)</f>
        <v>8.0399999999999999E-2</v>
      </c>
      <c r="I432" s="86">
        <v>4</v>
      </c>
      <c r="J432" s="266"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6" cm="1">
        <f t="array" ref="H433">Scope3_Equations.VEERG_15_10_1_1__1_OtherPurchasedGoodsAndServices(F433,G433*10^-3)</f>
        <v>8.0399999999999999E-2</v>
      </c>
      <c r="I433" s="86">
        <v>3</v>
      </c>
      <c r="J433" s="266"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6" cm="1">
        <f t="array" ref="H434">Scope3_Equations.VEERG_15_10_1_1__1_OtherPurchasedGoodsAndServices(F434,G434*10^-3)</f>
        <v>9.0700000000000003E-2</v>
      </c>
      <c r="I434" s="86">
        <v>6</v>
      </c>
      <c r="J434" s="266"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6" cm="1">
        <f t="array" ref="H435">Scope3_Equations.VEERG_15_10_1_1__1_OtherPurchasedGoodsAndServices(F435,G435*10^-3)</f>
        <v>9.0700000000000003E-2</v>
      </c>
      <c r="I435" s="86">
        <v>5</v>
      </c>
      <c r="J435" s="266"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6" cm="1">
        <f t="array" ref="H436">Scope3_Equations.VEERG_15_10_1_1__1_OtherPurchasedGoodsAndServices(F436,G436*10^-3)</f>
        <v>0</v>
      </c>
      <c r="I436" s="86"/>
      <c r="J436" s="266"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6" cm="1">
        <f t="array" ref="H437">Scope3_Equations.VEERG_15_10_1_1__1_OtherPurchasedGoodsAndServices(F437,G437*10^-3)</f>
        <v>0</v>
      </c>
      <c r="I437" s="86"/>
      <c r="J437" s="266"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6" cm="1">
        <f t="array" ref="H438">Scope3_Equations.VEERG_15_10_1_1__1_OtherPurchasedGoodsAndServices(F438,G438*10^-3)</f>
        <v>0</v>
      </c>
      <c r="I438" s="86"/>
      <c r="J438" s="266"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6" cm="1">
        <f t="array" ref="H439">Scope3_Equations.VEERG_15_10_1_1__1_OtherPurchasedGoodsAndServices(F439,G439*10^-3)</f>
        <v>0</v>
      </c>
      <c r="I439" s="86"/>
      <c r="J439" s="266" cm="1">
        <f t="array" ref="J439">Scope3_Equations.VEERG_15_10_1_1__1_OtherPurchasedGoodsAndServices(F439,IF(I439,I439,G439)*10^-3)</f>
        <v>0</v>
      </c>
      <c r="K439" s="44"/>
      <c r="L439" s="23"/>
      <c r="M439" s="44"/>
    </row>
    <row r="441" spans="4:13" ht="20.25" x14ac:dyDescent="0.25">
      <c r="D441" s="267" t="s">
        <v>1151</v>
      </c>
      <c r="E441" s="122">
        <f>SUM(H430:H439)</f>
        <v>0.50509999999999999</v>
      </c>
      <c r="F441" s="123" t="str">
        <f>$E$155</f>
        <v>t CO2e</v>
      </c>
    </row>
    <row r="442" spans="4:13" ht="20.25" x14ac:dyDescent="0.25">
      <c r="D442" s="267" t="s">
        <v>1154</v>
      </c>
      <c r="E442" s="122">
        <f>SUM(J430:J439)</f>
        <v>2.73</v>
      </c>
      <c r="F442" s="123" t="str">
        <f>$E$155</f>
        <v>t CO2e</v>
      </c>
    </row>
    <row r="445" spans="4:13" ht="18.75" x14ac:dyDescent="0.25">
      <c r="D445" s="253" t="s">
        <v>1248</v>
      </c>
    </row>
    <row r="447" spans="4:13" x14ac:dyDescent="0.25">
      <c r="D447" s="94" t="s">
        <v>1145</v>
      </c>
      <c r="E447" s="265" t="s">
        <v>1246</v>
      </c>
      <c r="F447" s="265" t="s">
        <v>1109</v>
      </c>
      <c r="G447" s="118" t="s">
        <v>1249</v>
      </c>
      <c r="H447" s="118" t="s">
        <v>1151</v>
      </c>
      <c r="I447" s="94" t="s">
        <v>1250</v>
      </c>
      <c r="J447" s="118" t="s">
        <v>1154</v>
      </c>
      <c r="K447" s="94" t="s">
        <v>1155</v>
      </c>
      <c r="L447" s="94" t="s">
        <v>1156</v>
      </c>
      <c r="M447" s="94" t="s">
        <v>1157</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6" cm="1">
        <f t="array" ref="H448">Scope3_Equations.VEERG_15_10_1_1__1_OtherPurchasedGoodsAndServices(F448,G448*10^-3)</f>
        <v>5.47E-3</v>
      </c>
      <c r="I448" s="86">
        <v>0.05</v>
      </c>
      <c r="J448" s="266"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6" cm="1">
        <f t="array" ref="H449">Scope3_Equations.VEERG_15_10_1_1__1_OtherPurchasedGoodsAndServices(F449,G449*10^-3)</f>
        <v>1.42E-3</v>
      </c>
      <c r="I449" s="86">
        <v>0.01</v>
      </c>
      <c r="J449" s="266"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6" cm="1">
        <f t="array" ref="H450">Scope3_Equations.VEERG_15_10_1_1__1_OtherPurchasedGoodsAndServices(F450,G450*10^-3)</f>
        <v>1.4300000000000001E-3</v>
      </c>
      <c r="I450" s="86">
        <v>0.01</v>
      </c>
      <c r="J450" s="266"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6" cm="1">
        <f t="array" ref="H451">Scope3_Equations.VEERG_15_10_1_1__1_OtherPurchasedGoodsAndServices(F451,G451*10^-3)</f>
        <v>4.26E-4</v>
      </c>
      <c r="I451" s="86">
        <v>4.0000000000000001E-3</v>
      </c>
      <c r="J451" s="266"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6" cm="1">
        <f t="array" ref="H452">Scope3_Equations.VEERG_15_10_1_1__1_OtherPurchasedGoodsAndServices(F452,G452*10^-3)</f>
        <v>5.47E-3</v>
      </c>
      <c r="I452" s="86">
        <v>0.05</v>
      </c>
      <c r="J452" s="266"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6" cm="1">
        <f t="array" ref="H453">Scope3_Equations.VEERG_15_10_1_1__1_OtherPurchasedGoodsAndServices(F453,G453*10^-3)</f>
        <v>1.42E-3</v>
      </c>
      <c r="I453" s="86">
        <v>0.01</v>
      </c>
      <c r="J453" s="266"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6" cm="1">
        <f t="array" ref="H454">Scope3_Equations.VEERG_15_10_1_1__1_OtherPurchasedGoodsAndServices(F454,G454*10^-3)</f>
        <v>0</v>
      </c>
      <c r="I454" s="86"/>
      <c r="J454" s="266"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6" cm="1">
        <f t="array" ref="H455">Scope3_Equations.VEERG_15_10_1_1__1_OtherPurchasedGoodsAndServices(F455,G455*10^-3)</f>
        <v>0</v>
      </c>
      <c r="I455" s="86"/>
      <c r="J455" s="266"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6" cm="1">
        <f t="array" ref="H456">Scope3_Equations.VEERG_15_10_1_1__1_OtherPurchasedGoodsAndServices(F456,G456*10^-3)</f>
        <v>0</v>
      </c>
      <c r="I456" s="86"/>
      <c r="J456" s="266"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6" cm="1">
        <f t="array" ref="H457">Scope3_Equations.VEERG_15_10_1_1__1_OtherPurchasedGoodsAndServices(F457,G457*10^-3)</f>
        <v>0</v>
      </c>
      <c r="I457" s="86"/>
      <c r="J457" s="266" cm="1">
        <f t="array" ref="J457">Scope3_Equations.VEERG_15_10_1_1__1_OtherPurchasedGoodsAndServices(F457,IF(I457,I457,G457)*10^-3)</f>
        <v>0</v>
      </c>
      <c r="K457" s="44"/>
      <c r="L457" s="23"/>
      <c r="M457" s="44"/>
    </row>
    <row r="459" spans="4:13" ht="20.25" x14ac:dyDescent="0.25">
      <c r="D459" s="267" t="s">
        <v>1151</v>
      </c>
      <c r="E459" s="122">
        <f>SUM(H448:H457)</f>
        <v>1.5636000000000001E-2</v>
      </c>
      <c r="F459" s="123" t="str">
        <f>$E$155</f>
        <v>t CO2e</v>
      </c>
    </row>
    <row r="460" spans="4:13" ht="20.25" x14ac:dyDescent="0.25">
      <c r="D460" s="267" t="s">
        <v>1154</v>
      </c>
      <c r="E460" s="122">
        <f>SUM(J448:J457)</f>
        <v>1.3400000000000002E-2</v>
      </c>
      <c r="F460" s="123" t="str">
        <f>$E$155</f>
        <v>t CO2e</v>
      </c>
    </row>
    <row r="463" spans="4:13" ht="18.75" x14ac:dyDescent="0.25">
      <c r="D463" s="253" t="s">
        <v>1082</v>
      </c>
    </row>
    <row r="465" spans="4:12" x14ac:dyDescent="0.25">
      <c r="D465" s="94" t="s">
        <v>1032</v>
      </c>
      <c r="E465" s="94" t="s">
        <v>1251</v>
      </c>
      <c r="F465" s="118" t="s">
        <v>1249</v>
      </c>
      <c r="G465" s="118" t="s">
        <v>1151</v>
      </c>
      <c r="H465" s="94" t="s">
        <v>1250</v>
      </c>
      <c r="I465" s="118" t="s">
        <v>1154</v>
      </c>
      <c r="J465" s="94" t="s">
        <v>1155</v>
      </c>
      <c r="K465" s="94" t="s">
        <v>1156</v>
      </c>
      <c r="L465" s="94" t="s">
        <v>1157</v>
      </c>
    </row>
    <row r="466" spans="4:12" x14ac:dyDescent="0.25">
      <c r="D466" s="25" t="str">
        <f>'Input - Crop pasture farm input'!D23</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6" cm="1">
        <f t="array" ref="G466">Scope3_Equations.VEERG_15_10_1_1__1_OtherPurchasedGoodsAndServices(E466,F466*10^-3)</f>
        <v>0.1195</v>
      </c>
      <c r="H466" s="86">
        <v>0.2</v>
      </c>
      <c r="I466" s="266" cm="1">
        <f t="array" ref="I466">Scope3_Equations.VEERG_15_10_1_1__1_OtherPurchasedGoodsAndServices(E466,IF(H466,H466,F466)*10^-3)</f>
        <v>0.1</v>
      </c>
      <c r="J466" s="44"/>
      <c r="K466" s="23"/>
      <c r="L466" s="44"/>
    </row>
    <row r="467" spans="4:12" x14ac:dyDescent="0.25">
      <c r="D467" s="25" t="str">
        <f>'Input - Crop pasture farm input'!D24</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6" cm="1">
        <f t="array" ref="G467">Scope3_Equations.VEERG_15_10_1_1__1_OtherPurchasedGoodsAndServices(E467,F467*10^-3)</f>
        <v>0.1086</v>
      </c>
      <c r="H467" s="86"/>
      <c r="I467" s="266" cm="1">
        <f t="array" ref="I467">Scope3_Equations.VEERG_15_10_1_1__1_OtherPurchasedGoodsAndServices(E467,IF(H467,H467,F467)*10^-3)</f>
        <v>0.1086</v>
      </c>
      <c r="J467" s="44"/>
      <c r="K467" s="23"/>
      <c r="L467" s="44"/>
    </row>
    <row r="468" spans="4:12" x14ac:dyDescent="0.25">
      <c r="D468" s="25" t="str">
        <f>'Input - Crop pasture farm input'!D25</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6" cm="1">
        <f t="array" ref="G468">Scope3_Equations.VEERG_15_10_1_1__1_OtherPurchasedGoodsAndServices(E468,F468*10^-3)</f>
        <v>0.189</v>
      </c>
      <c r="H468" s="86">
        <v>0.2</v>
      </c>
      <c r="I468" s="266" cm="1">
        <f t="array" ref="I468">Scope3_Equations.VEERG_15_10_1_1__1_OtherPurchasedGoodsAndServices(E468,IF(H468,H468,F468)*10^-3)</f>
        <v>0.14000000000000001</v>
      </c>
      <c r="J468" s="44"/>
      <c r="K468" s="23"/>
      <c r="L468" s="44"/>
    </row>
    <row r="469" spans="4:12" x14ac:dyDescent="0.25">
      <c r="D469" s="25" t="str">
        <f>'Input - Crop pasture farm input'!D26</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6" cm="1">
        <f t="array" ref="G469">Scope3_Equations.VEERG_15_10_1_1__1_OtherPurchasedGoodsAndServices(E469,F469*10^-3)</f>
        <v>0.18560000000000001</v>
      </c>
      <c r="H469" s="86"/>
      <c r="I469" s="266" cm="1">
        <f t="array" ref="I469">Scope3_Equations.VEERG_15_10_1_1__1_OtherPurchasedGoodsAndServices(E469,IF(H469,H469,F469)*10^-3)</f>
        <v>0.18560000000000001</v>
      </c>
      <c r="J469" s="44"/>
      <c r="K469" s="23"/>
      <c r="L469" s="44"/>
    </row>
    <row r="470" spans="4:12" x14ac:dyDescent="0.25">
      <c r="D470" s="25" t="str">
        <f>'Input - Crop pasture farm input'!D27</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6" cm="1">
        <f t="array" ref="G470">Scope3_Equations.VEERG_15_10_1_1__1_OtherPurchasedGoodsAndServices(E470,F470*10^-3)</f>
        <v>0.2412</v>
      </c>
      <c r="H470" s="86">
        <v>0.2</v>
      </c>
      <c r="I470" s="266" cm="1">
        <f t="array" ref="I470">Scope3_Equations.VEERG_15_10_1_1__1_OtherPurchasedGoodsAndServices(E470,IF(H470,H470,F470)*10^-3)</f>
        <v>0.18000000000000002</v>
      </c>
      <c r="J470" s="44"/>
      <c r="K470" s="23"/>
      <c r="L470" s="44"/>
    </row>
    <row r="472" spans="4:12" ht="20.25" x14ac:dyDescent="0.25">
      <c r="D472" s="267" t="s">
        <v>1151</v>
      </c>
      <c r="E472" s="122">
        <f>SUM(G466:G470)</f>
        <v>0.84389999999999998</v>
      </c>
      <c r="F472" s="123" t="str">
        <f>$E$155</f>
        <v>t CO2e</v>
      </c>
    </row>
    <row r="473" spans="4:12" ht="20.25" x14ac:dyDescent="0.25">
      <c r="D473" s="267" t="s">
        <v>1154</v>
      </c>
      <c r="E473" s="122">
        <f>SUM(I466:I470)</f>
        <v>0.71420000000000006</v>
      </c>
      <c r="F473" s="123" t="str">
        <f>$E$155</f>
        <v>t CO2e</v>
      </c>
    </row>
    <row r="476" spans="4:12" ht="18.75" x14ac:dyDescent="0.25">
      <c r="D476" s="253" t="s">
        <v>1252</v>
      </c>
    </row>
    <row r="478" spans="4:12" x14ac:dyDescent="0.25">
      <c r="D478" s="94" t="s">
        <v>1032</v>
      </c>
      <c r="E478" s="94" t="s">
        <v>1251</v>
      </c>
      <c r="F478" s="118" t="s">
        <v>1249</v>
      </c>
      <c r="G478" s="118" t="s">
        <v>1151</v>
      </c>
      <c r="H478" s="94" t="s">
        <v>1250</v>
      </c>
      <c r="I478" s="118" t="s">
        <v>1154</v>
      </c>
      <c r="J478" s="94" t="s">
        <v>1155</v>
      </c>
      <c r="K478" s="94" t="s">
        <v>1156</v>
      </c>
      <c r="L478" s="94" t="s">
        <v>1157</v>
      </c>
    </row>
    <row r="479" spans="4:12" x14ac:dyDescent="0.25">
      <c r="D479" s="25" t="str">
        <f>'Input - Livestock farm Inputs'!D47</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6" cm="1">
        <f t="array" ref="G479">Scope3_Equations.VEERG_15_10_1_1__1_OtherPurchasedGoodsAndServices(E479,F479*10^-3)</f>
        <v>4.2399999999999998E-3</v>
      </c>
      <c r="H479" s="86">
        <v>0.2</v>
      </c>
      <c r="I479" s="266" cm="1">
        <f t="array" ref="I479">Scope3_Equations.VEERG_15_10_1_1__1_OtherPurchasedGoodsAndServices(E479,IF(H479,H479,F479)*10^-3)</f>
        <v>0.02</v>
      </c>
      <c r="J479" s="44"/>
      <c r="K479" s="23"/>
      <c r="L479" s="44"/>
    </row>
    <row r="480" spans="4:12" x14ac:dyDescent="0.25">
      <c r="D480" s="25" t="str">
        <f>'Input - Livestock farm Inputs'!D48</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6" cm="1">
        <f t="array" ref="G480">Scope3_Equations.VEERG_15_10_1_1__1_OtherPurchasedGoodsAndServices(E480,F480*10^-3)</f>
        <v>5.8599999999999998E-3</v>
      </c>
      <c r="H480" s="86"/>
      <c r="I480" s="266" cm="1">
        <f t="array" ref="I480">Scope3_Equations.VEERG_15_10_1_1__1_OtherPurchasedGoodsAndServices(E480,IF(H480,H480,F480)*10^-3)</f>
        <v>5.8599999999999998E-3</v>
      </c>
      <c r="J480" s="44"/>
      <c r="K480" s="23"/>
      <c r="L480" s="44"/>
    </row>
    <row r="481" spans="4:14" x14ac:dyDescent="0.25">
      <c r="D481" s="25"/>
      <c r="E481" s="25" t="e">
        <f>X_Cell_FarmInputs_Misc_NylonNetting</f>
        <v>#REF!</v>
      </c>
      <c r="F481" s="25" cm="1">
        <f t="array" ref="F481">Common_InputFunctions.Utility_LookupValueInTableNumber(D481,Table_SourceData_Scope3_Other[Product],Table_SourceData_Scope3_Other[AusLCI Emissions intensity])</f>
        <v>0</v>
      </c>
      <c r="G481" s="266" t="e" cm="1">
        <f t="array" ref="G481">Scope3_Equations.VEERG_15_10_1_1__1_OtherPurchasedGoodsAndServices(E481,F481*10^-3)</f>
        <v>#REF!</v>
      </c>
      <c r="H481" s="86">
        <v>0.2</v>
      </c>
      <c r="I481" s="266" t="e" cm="1">
        <f t="array" ref="I481">Scope3_Equations.VEERG_15_10_1_1__1_OtherPurchasedGoodsAndServices(E481,IF(H481,H481,F481)*10^-3)</f>
        <v>#REF!</v>
      </c>
      <c r="J481" s="44"/>
      <c r="K481" s="23"/>
      <c r="L481" s="44"/>
    </row>
    <row r="483" spans="4:14" ht="20.25" x14ac:dyDescent="0.25">
      <c r="D483" s="267" t="s">
        <v>1151</v>
      </c>
      <c r="E483" s="122" t="e">
        <f>SUM(G479:G481)</f>
        <v>#REF!</v>
      </c>
      <c r="F483" s="123" t="str">
        <f>$E$155</f>
        <v>t CO2e</v>
      </c>
    </row>
    <row r="484" spans="4:14" ht="20.25" x14ac:dyDescent="0.25">
      <c r="D484" s="267" t="s">
        <v>1154</v>
      </c>
      <c r="E484" s="122" t="e">
        <f>SUM(I479:I481)</f>
        <v>#REF!</v>
      </c>
      <c r="F484" s="123" t="str">
        <f>$E$155</f>
        <v>t CO2e</v>
      </c>
    </row>
    <row r="487" spans="4:14" ht="18.75" x14ac:dyDescent="0.25">
      <c r="D487" s="253" t="s">
        <v>1253</v>
      </c>
    </row>
    <row r="489" spans="4:14" x14ac:dyDescent="0.25">
      <c r="D489" s="94" t="s">
        <v>1032</v>
      </c>
      <c r="E489" s="94" t="s">
        <v>898</v>
      </c>
      <c r="F489" s="94" t="s">
        <v>806</v>
      </c>
      <c r="G489" s="118" t="s">
        <v>1233</v>
      </c>
      <c r="H489" s="118" t="s">
        <v>1234</v>
      </c>
      <c r="I489" s="94" t="s">
        <v>1235</v>
      </c>
      <c r="J489" s="94" t="s">
        <v>1254</v>
      </c>
      <c r="K489" s="118" t="s">
        <v>1236</v>
      </c>
      <c r="L489" s="94" t="s">
        <v>1155</v>
      </c>
      <c r="M489" s="94" t="s">
        <v>1156</v>
      </c>
      <c r="N489" s="94" t="s">
        <v>1157</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1238</v>
      </c>
      <c r="H490" s="25" t="s">
        <v>1238</v>
      </c>
      <c r="I490" s="86">
        <v>4</v>
      </c>
      <c r="J490" s="23" t="s">
        <v>1255</v>
      </c>
      <c r="K490" s="266"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1238</v>
      </c>
      <c r="H491" s="25" t="s">
        <v>1238</v>
      </c>
      <c r="I491" s="86">
        <v>2</v>
      </c>
      <c r="J491" s="23" t="s">
        <v>1255</v>
      </c>
      <c r="K491" s="266"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1238</v>
      </c>
      <c r="H492" s="25" t="s">
        <v>1238</v>
      </c>
      <c r="I492" s="86"/>
      <c r="J492" s="23"/>
      <c r="K492" s="266"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1238</v>
      </c>
      <c r="H493" s="25" t="s">
        <v>1238</v>
      </c>
      <c r="I493" s="86"/>
      <c r="J493" s="23"/>
      <c r="K493" s="266"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1238</v>
      </c>
      <c r="H494" s="25" t="s">
        <v>1238</v>
      </c>
      <c r="I494" s="86"/>
      <c r="J494" s="23"/>
      <c r="K494" s="266"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1238</v>
      </c>
      <c r="H495" s="25" t="s">
        <v>1238</v>
      </c>
      <c r="I495" s="86"/>
      <c r="J495" s="23"/>
      <c r="K495" s="266"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1238</v>
      </c>
      <c r="H496" s="25" t="s">
        <v>1238</v>
      </c>
      <c r="I496" s="86"/>
      <c r="J496" s="23"/>
      <c r="K496" s="266"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1238</v>
      </c>
      <c r="H497" s="25" t="s">
        <v>1238</v>
      </c>
      <c r="I497" s="86"/>
      <c r="J497" s="23"/>
      <c r="K497" s="266"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1238</v>
      </c>
      <c r="H498" s="25" t="s">
        <v>1238</v>
      </c>
      <c r="I498" s="86"/>
      <c r="J498" s="23"/>
      <c r="K498" s="266"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1238</v>
      </c>
      <c r="H499" s="25" t="s">
        <v>1238</v>
      </c>
      <c r="I499" s="86"/>
      <c r="J499" s="23"/>
      <c r="K499" s="266" cm="1">
        <f t="array" ref="K499">Scope3_Equations.VEERG_15_10_1_1__1_OtherPurchasedGoodsAndServices(E499,IF(J499="kg / amount unit", I499*10^-3, I499))</f>
        <v>0</v>
      </c>
      <c r="L499" s="44"/>
      <c r="M499" s="23"/>
      <c r="N499" s="44"/>
    </row>
    <row r="501" spans="3:41" ht="20.25" x14ac:dyDescent="0.25">
      <c r="D501" s="267" t="s">
        <v>1151</v>
      </c>
      <c r="E501" s="122" t="s">
        <v>1238</v>
      </c>
      <c r="F501" s="123" t="str">
        <f>$E$155</f>
        <v>t CO2e</v>
      </c>
    </row>
    <row r="502" spans="3:41" ht="20.25" x14ac:dyDescent="0.25">
      <c r="D502" s="267" t="s">
        <v>1154</v>
      </c>
      <c r="E502" s="122">
        <f>SUM(K490:K499)</f>
        <v>4000</v>
      </c>
      <c r="F502" s="123" t="str">
        <f>$E$155</f>
        <v>t CO2e</v>
      </c>
    </row>
    <row r="505" spans="3:41" x14ac:dyDescent="0.25">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c r="AA505" s="120"/>
      <c r="AB505" s="120"/>
      <c r="AC505" s="120"/>
      <c r="AD505" s="120"/>
      <c r="AE505" s="120"/>
      <c r="AF505" s="120"/>
      <c r="AG505" s="120"/>
      <c r="AH505" s="120"/>
      <c r="AI505" s="120"/>
      <c r="AJ505" s="120"/>
      <c r="AK505" s="120"/>
      <c r="AL505" s="120"/>
      <c r="AM505" s="120"/>
      <c r="AN505" s="120"/>
      <c r="AO505" s="12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7" t="s">
        <v>358</v>
      </c>
      <c r="E508" s="107" t="str">
        <f ca="1">Common_InputFunctions.Utility_DisplayFunctionName(VEERG_15_11_1_1__1_TotalUpstreamEmissionsFromFuel_Result)</f>
        <v>=Scope3_Equations.VEERG_15_11_1_1__1_TotalUpstreamEmissionsFromFuel</v>
      </c>
    </row>
    <row r="512" spans="3:41" x14ac:dyDescent="0.25">
      <c r="D512" s="88" t="s">
        <v>360</v>
      </c>
      <c r="E512" s="1" t="str" cm="1">
        <f t="array" ref="E512">Scope3_Equations.VEERG_15_11_1_1__1_TotalUpstreamEmissionsFromFuel_Variable()</f>
        <v>E</v>
      </c>
    </row>
    <row r="513" spans="3:41" x14ac:dyDescent="0.25">
      <c r="D513" s="88" t="s">
        <v>128</v>
      </c>
      <c r="E513" s="15" t="str" cm="1">
        <f t="array" ref="E513">Scope3_Equations.VEERG_15_11_1_1__1_TotalUpstreamEmissionsFromFuel_Unit()</f>
        <v>t CO2e</v>
      </c>
    </row>
    <row r="515" spans="3:41" x14ac:dyDescent="0.25">
      <c r="D515" s="109" t="str" cm="1">
        <f t="array" ref="D515:E516">_xlfn.CHOOSECOLS(Scope3_Equations.VEERG_15_11_1_1__1_TotalUpstreamEmissionsFromFuel_Arguments(),1,2)</f>
        <v>E_WTTtransq</v>
      </c>
      <c r="E515" s="110" t="str">
        <v>upstream emissions from scope 1 transport fuel use</v>
      </c>
      <c r="F515" s="112"/>
      <c r="G515" s="109" t="str" cm="1">
        <f t="array" ref="G515:H516">_xlfn.CHOOSECOLS(Scope3_Equations.VEERG_15_11_1_1__1_TotalUpstreamEmissionsFromFuel_Arguments(),3,4)</f>
        <v>t CO2e</v>
      </c>
      <c r="H515" s="114" t="str">
        <v>Calculated by 15.11.1.1 (2)</v>
      </c>
      <c r="I515" s="109">
        <f>VEERG_8_1_1_1__1_FuelCombustionTransport_Result</f>
        <v>20.5016</v>
      </c>
    </row>
    <row r="516" spans="3:41" x14ac:dyDescent="0.25">
      <c r="D516" s="109" t="str">
        <v>E_WTTSCq</v>
      </c>
      <c r="E516" s="110" t="str">
        <v>upstream emissions from scope 1 stationary combustion fuel use</v>
      </c>
      <c r="F516" s="112"/>
      <c r="G516" s="109" t="str">
        <v>t CO2e</v>
      </c>
      <c r="H516" s="114" t="str">
        <v>Calculated by 15.11.1.1 (3)</v>
      </c>
      <c r="I516" s="109">
        <f>VEERG_8_2_1_1__1_FuelCombustionStationary_Result</f>
        <v>6.2923999999999998</v>
      </c>
    </row>
    <row r="518" spans="3:41" ht="20.25" x14ac:dyDescent="0.25">
      <c r="D518" s="267" t="s">
        <v>1256</v>
      </c>
      <c r="E518" s="122" cm="1">
        <f t="array" ref="E518">Scope3_Equations.VEERG_15_11_1_1__1_TotalUpstreamEmissionsFromFuel(I515,I516)</f>
        <v>26.794</v>
      </c>
      <c r="F518" s="123" t="str">
        <f>$E$155</f>
        <v>t CO2e</v>
      </c>
    </row>
    <row r="520" spans="3:41" x14ac:dyDescent="0.25">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c r="AA520" s="120"/>
      <c r="AB520" s="120"/>
      <c r="AC520" s="120"/>
      <c r="AD520" s="120"/>
      <c r="AE520" s="120"/>
      <c r="AF520" s="120"/>
      <c r="AG520" s="120"/>
      <c r="AH520" s="120"/>
      <c r="AI520" s="120"/>
      <c r="AJ520" s="120"/>
      <c r="AK520" s="120"/>
      <c r="AL520" s="120"/>
      <c r="AM520" s="120"/>
      <c r="AN520" s="120"/>
      <c r="AO520" s="12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7" t="s">
        <v>358</v>
      </c>
      <c r="E523" s="107" t="str">
        <f ca="1">Common_InputFunctions.Utility_DisplayFunctionName(VEERG_15_12_1_1__1_UpstreamPurchasedElectricityLocationBased_Result)</f>
        <v>=Scope3_Equations.VEERG_15_12_1_1__1_UpstreamPurchasedElectricityLocationBased</v>
      </c>
    </row>
    <row r="526" spans="3:41" x14ac:dyDescent="0.25">
      <c r="D526" s="88" t="s">
        <v>360</v>
      </c>
      <c r="E526" s="1" t="str" cm="1">
        <f t="array" ref="E526">Scope3_Equations.VEERG_15_12_1_1__1_UpstreamPurchasedElectricityLocationBased_Variable()</f>
        <v>E_3elec</v>
      </c>
    </row>
    <row r="527" spans="3:41" x14ac:dyDescent="0.25">
      <c r="D527" s="88" t="s">
        <v>128</v>
      </c>
      <c r="E527" s="1" t="str" cm="1">
        <f t="array" ref="E527">Scope3_Equations.VEERG_15_12_1_1__1_UpstreamPurchasedElectricityLocationBased_Unit()</f>
        <v>t CO2e</v>
      </c>
    </row>
    <row r="529" spans="3:41" x14ac:dyDescent="0.25">
      <c r="D529" s="109" t="str" cm="1">
        <f t="array" ref="D529:E531">_xlfn.CHOOSECOLS(Scope3_Equations.VEERG_15_12_1_1__1_UpstreamPurchasedElectricityLocationBased_Arguments(),1,2)</f>
        <v>Q_elec</v>
      </c>
      <c r="E529" s="109" t="str">
        <v>amount of electricity purchased from the grid</v>
      </c>
      <c r="F529" s="109"/>
      <c r="G529" s="109" t="str" cm="1">
        <f t="array" ref="G529:H531">_xlfn.CHOOSECOLS(Scope3_Equations.VEERG_15_12_1_1__1_UpstreamPurchasedElectricityLocationBased_Arguments(),3,4)</f>
        <v>kWh</v>
      </c>
      <c r="H529" s="264" t="str">
        <v>Input</v>
      </c>
      <c r="I529" s="110">
        <f>X_Cell_Electricity_Location_AmountPurchasedInkWh</f>
        <v>30000</v>
      </c>
      <c r="J529" s="112"/>
    </row>
    <row r="530" spans="3:41" x14ac:dyDescent="0.25">
      <c r="D530" s="109" t="str">
        <v>EF_3elec</v>
      </c>
      <c r="E530" s="109" t="str">
        <v>scope 3 emission factor for purchased electricity</v>
      </c>
      <c r="F530" s="109"/>
      <c r="G530" s="109" t="str">
        <v>kg CO2e/kWh</v>
      </c>
      <c r="H530" s="114" t="str">
        <v>Constant</v>
      </c>
      <c r="I530" s="110" cm="1">
        <f t="array" ref="I530">Common_InputFunctions.Utility_LookupValueInTableNumber(I531,Table_SourceData_ElectricityEFs[State, Territory or grid description],Table_SourceData_ElectricityEFs[Scope 3 Emission Factors (kg CO2-e/kWh)])</f>
        <v>0.09</v>
      </c>
      <c r="J530" s="112"/>
    </row>
    <row r="531" spans="3:41" x14ac:dyDescent="0.25">
      <c r="D531" s="109" t="str">
        <v>g</v>
      </c>
      <c r="E531" s="110" t="str">
        <v>grid electricity was purchased from</v>
      </c>
      <c r="F531" s="112"/>
      <c r="G531" s="109" t="str">
        <v/>
      </c>
      <c r="H531" s="264" t="str">
        <v>Input</v>
      </c>
      <c r="I531" s="110" t="str">
        <f>X_Cell_Electricity_Location_GridElectricityPurchasedFrom</f>
        <v>Western Australia - North Western Interconnected System (NWIS)</v>
      </c>
      <c r="J531" s="112"/>
    </row>
    <row r="533" spans="3:41" ht="20.25" x14ac:dyDescent="0.25">
      <c r="D533" s="267" t="s">
        <v>1257</v>
      </c>
      <c r="E533" s="122" cm="1">
        <f t="array" ref="E533">Scope3_Equations.VEERG_15_12_1_1__1_UpstreamPurchasedElectricityLocationBased(I529,I530)</f>
        <v>2.7</v>
      </c>
      <c r="F533" s="123" t="str">
        <f>$E$155</f>
        <v>t CO2e</v>
      </c>
    </row>
    <row r="536" spans="3:41" x14ac:dyDescent="0.25">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c r="AA536" s="120"/>
      <c r="AB536" s="120"/>
      <c r="AC536" s="120"/>
      <c r="AD536" s="120"/>
      <c r="AE536" s="120"/>
      <c r="AF536" s="120"/>
      <c r="AG536" s="120"/>
      <c r="AH536" s="120"/>
      <c r="AI536" s="120"/>
      <c r="AJ536" s="120"/>
      <c r="AK536" s="120"/>
      <c r="AL536" s="120"/>
      <c r="AM536" s="120"/>
      <c r="AN536" s="120"/>
      <c r="AO536" s="12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7" t="s">
        <v>358</v>
      </c>
      <c r="E540" s="107" t="str">
        <f ca="1">Common_InputFunctions.Utility_DisplayFunctionName(VEERG_15_12_1_2__1_UpstreamPurchasedElectricityMarketBasedVariation_Result)</f>
        <v>=Scope3_Equations.VEERG_15_12_1_2__1_UpstreamPurchasedElectricityMarketBasedVariation</v>
      </c>
    </row>
    <row r="544" spans="3:41" x14ac:dyDescent="0.25">
      <c r="D544" s="88" t="s">
        <v>360</v>
      </c>
      <c r="E544" s="1" t="str" cm="1">
        <f t="array" ref="E544">Scope3_Equations.VEERG_15_12_1_2__1_UpstreamPurchasedElectricityMarketBased_Variable()</f>
        <v>E_3elec</v>
      </c>
    </row>
    <row r="545" spans="3:41" x14ac:dyDescent="0.25">
      <c r="D545" s="88" t="s">
        <v>128</v>
      </c>
      <c r="E545" s="1" t="str" cm="1">
        <f t="array" ref="E545">Scope3_Equations.VEERG_15_12_1_2__1_UpstreamPurchasedElectricityMarketBased_Unit()</f>
        <v>t CO2e</v>
      </c>
    </row>
    <row r="547" spans="3:41" x14ac:dyDescent="0.25">
      <c r="D547" s="109" t="str" cm="1">
        <f t="array" ref="D547:E553">_xlfn.CHOOSECOLS(Scope3_Equations.VEERG_15_12_1_2__1_UpstreamPurchasedElectricityMarketBased_Arguments(),1,2)</f>
        <v>Q_elec</v>
      </c>
      <c r="E547" s="110" t="str">
        <v>amount of electricity purchased from the grid</v>
      </c>
      <c r="F547" s="112"/>
      <c r="G547" s="109" t="str" cm="1">
        <f t="array" ref="G547:H553">_xlfn.CHOOSECOLS(Scope3_Equations.VEERG_15_12_1_2__1_UpstreamPurchasedElectricityMarketBased_Arguments(),3,4)</f>
        <v>kWh</v>
      </c>
      <c r="H547" s="264" t="str">
        <v>Input</v>
      </c>
      <c r="I547" s="268">
        <f>X_Cell_Electricity_Market_AmountPurchasedExcludingGreenPower</f>
        <v>30000</v>
      </c>
    </row>
    <row r="548" spans="3:41" x14ac:dyDescent="0.25">
      <c r="D548" s="109" t="str">
        <v>RPP</v>
      </c>
      <c r="E548" s="110" t="str">
        <v>renewable power percentage under LRET for the applicable period</v>
      </c>
      <c r="F548" s="112"/>
      <c r="G548" s="109" t="str">
        <v>fraction</v>
      </c>
      <c r="H548" s="264" t="str">
        <v>Input</v>
      </c>
      <c r="I548" s="196">
        <f>X_Cell_Electricity_Market_RenewablePowerPercentage</f>
        <v>0.1</v>
      </c>
    </row>
    <row r="549" spans="3:41" x14ac:dyDescent="0.25">
      <c r="D549" s="109" t="str">
        <v>JRPP</v>
      </c>
      <c r="E549" s="110" t="str">
        <v>jurisdictional renewable power percentage for the applicable period</v>
      </c>
      <c r="F549" s="112"/>
      <c r="G549" s="109" t="str">
        <v>fraction</v>
      </c>
      <c r="H549" s="264" t="str">
        <v>Input</v>
      </c>
      <c r="I549" s="196">
        <f>X_Cell_Electricity_Market_JurisdictionalRenewablePowerPercentage</f>
        <v>0.1</v>
      </c>
    </row>
    <row r="550" spans="3:41" x14ac:dyDescent="0.25">
      <c r="D550" s="109" t="str">
        <v>REC_surrendered</v>
      </c>
      <c r="E550" s="110" t="str">
        <v>eligible renewable energy certificates voluntarily surrendered</v>
      </c>
      <c r="F550" s="112"/>
      <c r="G550" s="109" t="str">
        <v>MWh</v>
      </c>
      <c r="H550" s="264" t="str">
        <v>Input</v>
      </c>
      <c r="I550" s="109">
        <f>(X_Cell_Electricity_Market_AmountPurchasedGreenPower*10^-3)+X_Cell_TotalElegibleVoluntarilySurrenderedRECs</f>
        <v>20</v>
      </c>
    </row>
    <row r="551" spans="3:41" x14ac:dyDescent="0.25">
      <c r="D551" s="109" t="str">
        <v>REC_onsite</v>
      </c>
      <c r="E551" s="110" t="str">
        <v>eligible renewable energy certificates issued for onsite generated electricity</v>
      </c>
      <c r="F551" s="112"/>
      <c r="G551" s="109" t="str">
        <v>MWh</v>
      </c>
      <c r="H551" s="264" t="str">
        <v>Input</v>
      </c>
      <c r="I551" s="109">
        <f>X_Cell_TotalElegibleRECsForElectricityProducedOnSite</f>
        <v>11</v>
      </c>
    </row>
    <row r="552" spans="3:41" x14ac:dyDescent="0.25">
      <c r="D552" s="109" t="str">
        <v>EF_RMF3elec</v>
      </c>
      <c r="E552" s="110" t="str">
        <v>scope 3 residual mix emission factor for electricity</v>
      </c>
      <c r="F552" s="112"/>
      <c r="G552" s="109" t="str">
        <v>kg CO2e/kWh</v>
      </c>
      <c r="H552" s="114" t="str">
        <v>Constant</v>
      </c>
      <c r="I552" s="109" cm="1">
        <f t="array" ref="I552">Table_SourceData_ElectricityEFsMarketBased[Scope 3 EF (kg CO2-e/kWh)]</f>
        <v>0.1</v>
      </c>
    </row>
    <row r="553" spans="3:41" x14ac:dyDescent="0.25">
      <c r="D553" s="109" t="str">
        <v>i</v>
      </c>
      <c r="E553" s="110" t="str">
        <v>state</v>
      </c>
      <c r="F553" s="112"/>
      <c r="G553" s="109" t="str">
        <v/>
      </c>
      <c r="H553" s="264" t="str">
        <v>Input</v>
      </c>
      <c r="I553" s="109" t="str">
        <f>X_Cell_Site_State</f>
        <v>Western Australia</v>
      </c>
    </row>
    <row r="555" spans="3:41" ht="20.25" x14ac:dyDescent="0.25">
      <c r="D555" s="267" t="s">
        <v>1257</v>
      </c>
      <c r="E555" s="122" cm="1">
        <f t="array" ref="E555">Scope3_Equations.VEERG_15_12_1_2__1_UpstreamPurchasedElectricityMarketBasedVariation(I547,I548,I549,I550,I551,I552)</f>
        <v>1.5</v>
      </c>
      <c r="F555" s="123" t="str">
        <f>$E$155</f>
        <v>t CO2e</v>
      </c>
    </row>
    <row r="558" spans="3:41" x14ac:dyDescent="0.25">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c r="AA558" s="120"/>
      <c r="AB558" s="120"/>
      <c r="AC558" s="120"/>
      <c r="AD558" s="120"/>
      <c r="AE558" s="120"/>
      <c r="AF558" s="120"/>
      <c r="AG558" s="120"/>
      <c r="AH558" s="120"/>
      <c r="AI558" s="120"/>
      <c r="AJ558" s="120"/>
      <c r="AK558" s="120"/>
      <c r="AL558" s="120"/>
      <c r="AM558" s="120"/>
      <c r="AN558" s="120"/>
      <c r="AO558" s="12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7" t="s">
        <v>358</v>
      </c>
      <c r="E561" s="107" t="str" cm="1">
        <f t="array" aca="1" ref="E561" ca="1">Common_InputFunctions.Utility_DisplayFunctionName(E573)</f>
        <v>=Scope3_Equations.VEERG_15_13_1_1__1_EmissionsFromManureSentOffSite</v>
      </c>
    </row>
    <row r="564" spans="4:18" x14ac:dyDescent="0.25">
      <c r="D564" s="88" t="s">
        <v>360</v>
      </c>
      <c r="E564" s="1" t="str" cm="1">
        <f t="array" ref="E564">Scope3_Equations.VEERG_15_13_1_1__1_EmissionsFromManureSentOffSite_Variable()</f>
        <v>E</v>
      </c>
    </row>
    <row r="565" spans="4:18" x14ac:dyDescent="0.25">
      <c r="D565" s="88" t="s">
        <v>128</v>
      </c>
      <c r="E565" s="15" t="str" cm="1">
        <f t="array" ref="E565">Scope3_Equations.VEERG_15_13_1_1__1_EmissionsFromManureSentOffSite_Unit()</f>
        <v>t N2O</v>
      </c>
    </row>
    <row r="567" spans="4:18" x14ac:dyDescent="0.25">
      <c r="D567" s="35" t="s">
        <v>145</v>
      </c>
      <c r="L567" s="35" t="s">
        <v>146</v>
      </c>
    </row>
    <row r="569" spans="4:18" x14ac:dyDescent="0.25">
      <c r="D569" s="109" t="str" cm="1">
        <f t="array" ref="D569:E571">_xlfn.CHOOSECOLS(Scope3_Equations.VEERG_15_13_1_1__1_EmissionsFromManureSentOffSite_Arguments(),1,2)</f>
        <v>E_N2O</v>
      </c>
      <c r="E569" s="110" t="str">
        <v>direct nitrous oxide emissions from application of manure to soils outside of scope 1 boundary</v>
      </c>
      <c r="F569" s="111"/>
      <c r="G569" s="112"/>
      <c r="H569" s="109" t="str" cm="1">
        <f t="array" ref="H569:I571">_xlfn.CHOOSECOLS(Scope3_Equations.VEERG_15_13_1_1__1_EmissionsFromManureSentOffSite_Arguments(),3,4)</f>
        <v>t N2O</v>
      </c>
      <c r="I569" s="114" t="str">
        <v>Calculated</v>
      </c>
      <c r="J569" s="109">
        <f>VEERG_5_2_1_1__1_OrganicFertiliserApplicationN2OEmissions_Result_Method1</f>
        <v>7.8571428571428577E-3</v>
      </c>
      <c r="L569" s="109" t="str" cm="1">
        <f t="array" ref="L569:M571">_xlfn.CHOOSECOLS(Scope3_Equations.VEERG_15_13_1_1__1_EmissionsFromManureSentOffSite_Arguments(),1,2)</f>
        <v>E_N2O</v>
      </c>
      <c r="M569" s="110" t="str">
        <v>direct nitrous oxide emissions from application of manure to soils outside of scope 1 boundary</v>
      </c>
      <c r="N569" s="111"/>
      <c r="O569" s="112"/>
      <c r="P569" s="109" t="str" cm="1">
        <f t="array" ref="P569:Q571">_xlfn.CHOOSECOLS(Scope3_Equations.VEERG_15_13_1_1__1_EmissionsFromManureSentOffSite_Arguments(),3,4)</f>
        <v>t N2O</v>
      </c>
      <c r="Q569" s="114" t="str">
        <v>Calculated</v>
      </c>
      <c r="R569" s="109">
        <f>VEERG_5_2_1_1__1_OrganicFertiliserApplicationN2OEmissions_Result_Method2</f>
        <v>1.5714285714285715E-2</v>
      </c>
    </row>
    <row r="570" spans="4:18" x14ac:dyDescent="0.25">
      <c r="D570" s="109" t="str">
        <v>E_ad</v>
      </c>
      <c r="E570" s="110" t="str">
        <v>nitrous oxide emissions from atmospheric deposition of manure to soils</v>
      </c>
      <c r="F570" s="111"/>
      <c r="G570" s="112"/>
      <c r="H570" s="109" t="str">
        <v>t N2O</v>
      </c>
      <c r="I570" s="114" t="str">
        <v>Calculated</v>
      </c>
      <c r="J570" s="109">
        <f>VEERG_5_4_1_3__1_OrganicFertiliserAtmosphericDepositionN2OEmissions_Result_Method1</f>
        <v>2.31E-3</v>
      </c>
      <c r="L570" s="109" t="str">
        <v>E_ad</v>
      </c>
      <c r="M570" s="110" t="str">
        <v>nitrous oxide emissions from atmospheric deposition of manure to soils</v>
      </c>
      <c r="N570" s="111"/>
      <c r="O570" s="112"/>
      <c r="P570" s="109" t="str">
        <v>t N2O</v>
      </c>
      <c r="Q570" s="114" t="str">
        <v>Calculated</v>
      </c>
      <c r="R570" s="109">
        <f>VEERG_5_4_1_3__1_OrganicFertiliserAtmosphericDepositionN2OEmissions_Result_Method2</f>
        <v>4.62E-3</v>
      </c>
    </row>
    <row r="571" spans="4:18" x14ac:dyDescent="0.25">
      <c r="D571" s="109" t="str">
        <v>E_leach</v>
      </c>
      <c r="E571" s="110" t="str">
        <v>nitrous oxide emissions from nitrogen leaching and runoff of manure to soils</v>
      </c>
      <c r="F571" s="111"/>
      <c r="G571" s="112"/>
      <c r="H571" s="109" t="str">
        <v>t N2O</v>
      </c>
      <c r="I571" s="114" t="str">
        <v>Calculated</v>
      </c>
      <c r="J571" s="109">
        <f>VEERG_5_5_1_1__1_FertiliserLeachingAndRunoffN2OEmissions_Result_Method1</f>
        <v>4.1485714285714277E-3</v>
      </c>
      <c r="L571" s="109" t="str">
        <v>E_leach</v>
      </c>
      <c r="M571" s="110" t="str">
        <v>nitrous oxide emissions from nitrogen leaching and runoff of manure to soils</v>
      </c>
      <c r="N571" s="111"/>
      <c r="O571" s="112"/>
      <c r="P571" s="109" t="str">
        <v>t N2O</v>
      </c>
      <c r="Q571" s="114" t="str">
        <v>Calculated</v>
      </c>
      <c r="R571" s="109">
        <f>VEERG_5_5_1_1__1_FertiliserLeachingAndRunoffN2OEmissions_Result_Method2</f>
        <v>8.2971428571428554E-3</v>
      </c>
    </row>
    <row r="573" spans="4:18" ht="20.25" x14ac:dyDescent="0.25">
      <c r="D573" s="267" t="s">
        <v>1257</v>
      </c>
      <c r="E573" s="122" cm="1">
        <f t="array" ref="E573">Scope3_Equations.VEERG_15_13_1_1__1_EmissionsFromManureSentOffSite(J569,J570,J571)</f>
        <v>1.4315714285714286E-2</v>
      </c>
      <c r="F573" s="123" t="str">
        <f>$E$565</f>
        <v>t N2O</v>
      </c>
      <c r="L573" s="267" t="s">
        <v>1257</v>
      </c>
      <c r="M573" s="122" cm="1">
        <f t="array" ref="M573">Scope3_Equations.VEERG_15_13_1_1__1_EmissionsFromManureSentOffSite(R569,R570,R571)</f>
        <v>2.8631428571428572E-2</v>
      </c>
      <c r="N573" s="123" t="str">
        <f>$E$565</f>
        <v>t N2O</v>
      </c>
    </row>
    <row r="575" spans="4:18" x14ac:dyDescent="0.25">
      <c r="D575" s="124" t="str" cm="1">
        <f t="array" ref="D575:E576">Common_Equations.Common_ConvertN2OToCO2e_Arguments()</f>
        <v>EN2O</v>
      </c>
      <c r="E575" s="125" t="str">
        <v>Nitrous oxide emissions (t N2O)</v>
      </c>
      <c r="F575" s="126"/>
      <c r="G575" s="25">
        <f>E573</f>
        <v>1.4315714285714286E-2</v>
      </c>
      <c r="L575" s="124" t="str" cm="1">
        <f t="array" ref="L575:M576">Common_Equations.Common_ConvertN2OToCO2e_Arguments()</f>
        <v>EN2O</v>
      </c>
      <c r="M575" s="125" t="str">
        <v>Nitrous oxide emissions (t N2O)</v>
      </c>
      <c r="N575" s="126"/>
      <c r="O575" s="25">
        <f>M573</f>
        <v>2.8631428571428572E-2</v>
      </c>
    </row>
    <row r="576" spans="4:18" x14ac:dyDescent="0.25">
      <c r="D576" s="124" t="str">
        <v>GWPN2O</v>
      </c>
      <c r="E576" s="125" t="str">
        <v>Global warming potential for nitrous oxide (t CO2-e / t N2O)</v>
      </c>
      <c r="F576" s="126"/>
      <c r="G576" s="25">
        <f>Common_InputFunctions.Utility_LookupValueInTableNumber("N2O",Table_GWPData[Gas],Table_GWPData[CO2-e factor])</f>
        <v>265</v>
      </c>
      <c r="L576" s="124" t="str">
        <v>GWPN2O</v>
      </c>
      <c r="M576" s="125" t="str">
        <v>Global warming potential for nitrous oxide (t CO2-e / t N2O)</v>
      </c>
      <c r="N576" s="126"/>
      <c r="O576" s="25">
        <f>Common_InputFunctions.Utility_LookupValueInTableNumber("N2O",Table_GWPData[Gas],Table_GWPData[CO2-e factor])</f>
        <v>265</v>
      </c>
    </row>
    <row r="578" spans="3:41" ht="18.75" x14ac:dyDescent="0.25">
      <c r="D578" s="120" t="s">
        <v>422</v>
      </c>
      <c r="E578" s="120" cm="1">
        <f t="array" ref="E578">Common_Equations.Common_ConvertN2OToCO2e(G575,G576)</f>
        <v>3.7936642857142857</v>
      </c>
      <c r="F578" s="127" t="str" cm="1">
        <f t="array" ref="F578">Common_Equations.Common_ConvertN2OToCO2e_Unit()</f>
        <v>t CO2e</v>
      </c>
      <c r="L578" s="120" t="s">
        <v>422</v>
      </c>
      <c r="M578" s="120" cm="1">
        <f t="array" ref="M578">Common_Equations.Common_ConvertN2OToCO2e(O575,O576)</f>
        <v>7.5873285714285714</v>
      </c>
      <c r="N578" s="127" t="str" cm="1">
        <f t="array" ref="N578">Common_Equations.Common_ConvertN2OToCO2e_Unit()</f>
        <v>t CO2e</v>
      </c>
    </row>
    <row r="581" spans="3:41" x14ac:dyDescent="0.25">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c r="AA581" s="120"/>
      <c r="AB581" s="120"/>
      <c r="AC581" s="120"/>
      <c r="AD581" s="120"/>
      <c r="AE581" s="120"/>
      <c r="AF581" s="120"/>
      <c r="AG581" s="120"/>
      <c r="AH581" s="120"/>
      <c r="AI581" s="120"/>
      <c r="AJ581" s="120"/>
      <c r="AK581" s="120"/>
      <c r="AL581" s="120"/>
      <c r="AM581" s="120"/>
      <c r="AN581" s="120"/>
      <c r="AO581" s="12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360</v>
      </c>
      <c r="E585" s="1" t="str" cm="1">
        <f t="array" ref="E585">Scope3_Equations.VEERG_15_13_1_3__1_EmissionsFromSolidWasteTreatmentFacility_Variable()</f>
        <v>E</v>
      </c>
    </row>
    <row r="586" spans="3:41" x14ac:dyDescent="0.25">
      <c r="D586" s="88" t="s">
        <v>128</v>
      </c>
      <c r="E586" s="15" t="str" cm="1">
        <f t="array" ref="E586">Scope3_Equations.VEERG_15_13_1_3__1_EmissionsFromSolidWasteTreatmentFacility_Unit()</f>
        <v>t CO2e</v>
      </c>
    </row>
    <row r="588" spans="3:41" ht="20.25" x14ac:dyDescent="0.25">
      <c r="D588" s="267" t="s">
        <v>1257</v>
      </c>
      <c r="E588" s="122">
        <f>VEERG_10_1_1_1__1_EmissionsFromWasteManagement_Scope3_Result_Method1</f>
        <v>441.15000000000003</v>
      </c>
      <c r="F588" s="123" t="str">
        <f>E586</f>
        <v>t CO2e</v>
      </c>
    </row>
    <row r="591" spans="3:41" x14ac:dyDescent="0.25">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c r="AA591" s="120"/>
      <c r="AB591" s="120"/>
      <c r="AC591" s="120"/>
      <c r="AD591" s="120"/>
      <c r="AE591" s="120"/>
      <c r="AF591" s="120"/>
      <c r="AG591" s="120"/>
      <c r="AH591" s="120"/>
      <c r="AI591" s="120"/>
      <c r="AJ591" s="120"/>
      <c r="AK591" s="120"/>
      <c r="AL591" s="120"/>
      <c r="AM591" s="120"/>
      <c r="AN591" s="120"/>
      <c r="AO591" s="12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7" t="s">
        <v>358</v>
      </c>
      <c r="E594" s="107" t="str" cm="1">
        <f t="array" aca="1" ref="E594" ca="1">Common_InputFunctions.Utility_DisplayFunctionName(J609)</f>
        <v>=Scope3_Equations.VEERG_15_14_1_1__1_EmbeddedEmissionsFromUpstreamFreight</v>
      </c>
    </row>
    <row r="598" spans="4:13" x14ac:dyDescent="0.25">
      <c r="D598" s="88" t="s">
        <v>360</v>
      </c>
      <c r="E598" s="1" t="str" cm="1">
        <f t="array" ref="E598">Scope3_Equations.VEERG_15_14_1_1__1_EmbeddedEmissionsFromUpstreamFreight_Variable()</f>
        <v>E</v>
      </c>
    </row>
    <row r="599" spans="4:13" x14ac:dyDescent="0.25">
      <c r="D599" s="88" t="s">
        <v>128</v>
      </c>
      <c r="E599" s="15" t="str" cm="1">
        <f t="array" ref="E599">Scope3_Equations.VEERG_15_14_1_1__1_EmbeddedEmissionsFromUpstreamFreight_Unit()</f>
        <v>t CO2e</v>
      </c>
    </row>
    <row r="601" spans="4:13" x14ac:dyDescent="0.25">
      <c r="D601" s="109" t="str" cm="1">
        <f t="array" ref="D601:E604">_xlfn.CHOOSECOLS(Scope3_Equations.VEERG_15_14_1_1__1_EmbeddedEmissionsFromUpstreamFreight_Arguments(),1,2)</f>
        <v>W_f</v>
      </c>
      <c r="E601" s="110" t="str">
        <v>total mass of goods transported per freight type f</v>
      </c>
      <c r="F601" s="112"/>
      <c r="G601" s="109" t="str" cm="1">
        <f t="array" ref="G601:H604">_xlfn.CHOOSECOLS(Scope3_Equations.VEERG_15_14_1_1__1_EmbeddedEmissionsFromUpstreamFreight_Arguments(),3,4)</f>
        <v>t</v>
      </c>
      <c r="H601" s="264" t="str">
        <v>Input</v>
      </c>
    </row>
    <row r="602" spans="4:13" x14ac:dyDescent="0.25">
      <c r="D602" s="109" t="str">
        <v>D_f</v>
      </c>
      <c r="E602" s="110" t="str">
        <v>total distance transported per freight type f</v>
      </c>
      <c r="F602" s="112"/>
      <c r="G602" s="109" t="str">
        <v>km</v>
      </c>
      <c r="H602" s="264" t="str">
        <v>Input</v>
      </c>
    </row>
    <row r="603" spans="4:13" x14ac:dyDescent="0.25">
      <c r="D603" s="109" t="str">
        <v>EF_f</v>
      </c>
      <c r="E603" s="110" t="str">
        <v>emission factor for freight type f</v>
      </c>
      <c r="F603" s="112"/>
      <c r="G603" s="109" t="str">
        <v>t CO2e/(t km)</v>
      </c>
      <c r="H603" s="114" t="str">
        <v>Constant</v>
      </c>
    </row>
    <row r="604" spans="4:13" x14ac:dyDescent="0.25">
      <c r="D604" s="109" t="str">
        <v>f</v>
      </c>
      <c r="E604" s="110" t="str">
        <v>freight type</v>
      </c>
      <c r="F604" s="112"/>
      <c r="G604" s="109" t="str">
        <v/>
      </c>
      <c r="H604" s="264" t="str">
        <v>Input</v>
      </c>
    </row>
    <row r="606" spans="4:13" ht="18.75" x14ac:dyDescent="0.25">
      <c r="D606" s="253" t="s">
        <v>1121</v>
      </c>
    </row>
    <row r="608" spans="4:13" ht="17.25" x14ac:dyDescent="0.25">
      <c r="D608" s="94" t="s">
        <v>1258</v>
      </c>
      <c r="E608" s="94" t="s">
        <v>1259</v>
      </c>
      <c r="F608" s="94" t="s">
        <v>1260</v>
      </c>
      <c r="G608" s="118" t="s">
        <v>1261</v>
      </c>
      <c r="H608" s="118" t="s">
        <v>1151</v>
      </c>
      <c r="I608" s="94" t="s">
        <v>1199</v>
      </c>
      <c r="J608" s="118" t="s">
        <v>1154</v>
      </c>
      <c r="K608" s="94" t="s">
        <v>1155</v>
      </c>
      <c r="L608" s="94" t="s">
        <v>1156</v>
      </c>
      <c r="M608" s="94" t="s">
        <v>1157</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1238</v>
      </c>
      <c r="H609" s="25" t="s">
        <v>1238</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1238</v>
      </c>
      <c r="H610" s="25" t="s">
        <v>1238</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1238</v>
      </c>
      <c r="H611" s="25" t="s">
        <v>1238</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1238</v>
      </c>
      <c r="H612" s="25" t="s">
        <v>1238</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1238</v>
      </c>
      <c r="H613" s="25" t="s">
        <v>1238</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1238</v>
      </c>
      <c r="H614" s="25" t="s">
        <v>1238</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1238</v>
      </c>
      <c r="H615" s="25" t="s">
        <v>1238</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1238</v>
      </c>
      <c r="H616" s="25" t="s">
        <v>1238</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1238</v>
      </c>
      <c r="H617" s="25" t="s">
        <v>1238</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1238</v>
      </c>
      <c r="H618" s="25" t="s">
        <v>1238</v>
      </c>
      <c r="I618" s="86"/>
      <c r="J618" s="25" cm="1">
        <f t="array" ref="J618">Scope3_Equations.VEERG_15_14_1_1__1_EmbeddedEmissionsFromUpstreamFreight(E618,F618,I618)</f>
        <v>0</v>
      </c>
      <c r="K618" s="44"/>
      <c r="L618" s="23"/>
      <c r="M618" s="44"/>
    </row>
    <row r="620" spans="4:13" x14ac:dyDescent="0.25">
      <c r="D620" s="128" t="s">
        <v>1262</v>
      </c>
      <c r="E620" s="120" t="s">
        <v>1238</v>
      </c>
      <c r="F620" s="127" t="str">
        <f>$E$104</f>
        <v>t CO2e</v>
      </c>
    </row>
    <row r="621" spans="4:13" x14ac:dyDescent="0.25">
      <c r="D621" s="128" t="s">
        <v>1263</v>
      </c>
      <c r="E621" s="120">
        <f>SUM(J609:J618)</f>
        <v>5146700</v>
      </c>
      <c r="F621" s="127" t="str">
        <f>$E$104</f>
        <v>t CO2e</v>
      </c>
    </row>
    <row r="624" spans="4:13" ht="18.75" x14ac:dyDescent="0.25">
      <c r="D624" s="253" t="s">
        <v>1131</v>
      </c>
    </row>
    <row r="626" spans="4:13" ht="17.25" x14ac:dyDescent="0.25">
      <c r="D626" s="94" t="s">
        <v>1258</v>
      </c>
      <c r="E626" s="94" t="s">
        <v>1259</v>
      </c>
      <c r="F626" s="94" t="s">
        <v>1260</v>
      </c>
      <c r="G626" s="118" t="s">
        <v>1261</v>
      </c>
      <c r="H626" s="118" t="s">
        <v>1151</v>
      </c>
      <c r="I626" s="94" t="s">
        <v>1199</v>
      </c>
      <c r="J626" s="118" t="s">
        <v>1154</v>
      </c>
      <c r="K626" s="94" t="s">
        <v>1155</v>
      </c>
      <c r="L626" s="94" t="s">
        <v>1156</v>
      </c>
      <c r="M626" s="94" t="s">
        <v>1157</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1238</v>
      </c>
      <c r="H627" s="25" t="s">
        <v>1238</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1238</v>
      </c>
      <c r="H628" s="25" t="s">
        <v>1238</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1238</v>
      </c>
      <c r="H629" s="25" t="s">
        <v>1238</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1238</v>
      </c>
      <c r="H630" s="25" t="s">
        <v>1238</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1238</v>
      </c>
      <c r="H631" s="25" t="s">
        <v>1238</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1238</v>
      </c>
      <c r="H632" s="25" t="s">
        <v>1238</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1238</v>
      </c>
      <c r="H633" s="25" t="s">
        <v>1238</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1238</v>
      </c>
      <c r="H634" s="25" t="s">
        <v>1238</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1238</v>
      </c>
      <c r="H635" s="25" t="s">
        <v>1238</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1238</v>
      </c>
      <c r="H636" s="25" t="s">
        <v>1238</v>
      </c>
      <c r="I636" s="86"/>
      <c r="J636" s="25" cm="1">
        <f t="array" ref="J636">Scope3_Equations.VEERG_15_14_1_1__1_EmbeddedEmissionsFromUpstreamFreight(E636,F636,I636)</f>
        <v>0</v>
      </c>
      <c r="K636" s="44"/>
      <c r="L636" s="23"/>
      <c r="M636" s="44"/>
    </row>
    <row r="638" spans="4:13" x14ac:dyDescent="0.25">
      <c r="D638" s="128" t="s">
        <v>1264</v>
      </c>
      <c r="E638" s="120" t="s">
        <v>1238</v>
      </c>
      <c r="F638" s="127" t="str">
        <f>$E$104</f>
        <v>t CO2e</v>
      </c>
    </row>
    <row r="639" spans="4:13" x14ac:dyDescent="0.25">
      <c r="D639" s="128" t="s">
        <v>1265</v>
      </c>
      <c r="E639" s="120">
        <f>SUM(J627:J636)</f>
        <v>432640</v>
      </c>
      <c r="F639" s="127" t="str">
        <f>$E$104</f>
        <v>t CO2e</v>
      </c>
    </row>
    <row r="641" spans="4:6" ht="20.25" x14ac:dyDescent="0.25">
      <c r="D641" s="121" t="s">
        <v>1151</v>
      </c>
      <c r="E641" s="122" t="s">
        <v>1238</v>
      </c>
      <c r="F641" s="123" t="str">
        <f>$E$104</f>
        <v>t CO2e</v>
      </c>
    </row>
    <row r="642" spans="4:6" ht="20.25" x14ac:dyDescent="0.25">
      <c r="D642" s="121" t="s">
        <v>1154</v>
      </c>
      <c r="E642" s="122">
        <f>VEERG_15_14_1_1__1_EmbeddedEmissionsFromUpstreamFreight_Incoming_Result_Method2+VEERG_15_14_1_1__1_EmbeddedEmissionsFromUpstreamFreight_Outgoing_Result_Method2</f>
        <v>5579340</v>
      </c>
      <c r="F642" s="123" t="str">
        <f>$E$104</f>
        <v>t CO2e</v>
      </c>
    </row>
  </sheetData>
  <dataValidations count="2">
    <dataValidation type="list" allowBlank="1" showInputMessage="1" showErrorMessage="1" sqref="J490:J499" xr:uid="{7BF5E0B9-3F80-4E23-8ACD-4AD4D642BB81}">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660AEAD5-342E-4790-9AC7-D2FC8EC18301}">
      <formula1>INDIRECT("Table_SourceData_DataScores_Scope3[Data source]")</formula1>
    </dataValidation>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CB158-96B6-404F-A1E9-5D7210A52EAB}">
  <sheetPr>
    <tabColor theme="9" tint="-0.249977111117893"/>
  </sheetPr>
  <dimension ref="A1:U160"/>
  <sheetViews>
    <sheetView showGridLines="0" topLeftCell="C56"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10" width="35" style="1" customWidth="1"/>
    <col min="11" max="11" width="5.28515625" style="1" customWidth="1"/>
    <col min="12" max="12" width="5.28515625" style="249" customWidth="1"/>
    <col min="13" max="13" width="5.28515625" style="1" customWidth="1"/>
    <col min="14" max="20" width="35" style="1" customWidth="1"/>
    <col min="21" max="21" width="5.28515625" style="1" customWidth="1"/>
    <col min="22" max="16384" width="9.140625" style="249"/>
  </cols>
  <sheetData>
    <row r="1" spans="1:21" ht="30" customHeight="1" x14ac:dyDescent="0.35">
      <c r="A1" s="16" t="e" vm="1">
        <v>#VALUE!</v>
      </c>
      <c r="C1" s="31" t="s">
        <v>1266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c r="C3" s="33"/>
      <c r="D3" s="33" t="s">
        <v>145</v>
      </c>
      <c r="E3" s="33"/>
      <c r="F3" s="33"/>
      <c r="G3" s="33"/>
      <c r="H3" s="33"/>
      <c r="I3" s="33"/>
      <c r="J3" s="33"/>
      <c r="K3" s="33"/>
      <c r="M3" s="33"/>
      <c r="N3" s="33" t="s">
        <v>146</v>
      </c>
      <c r="O3" s="33"/>
      <c r="P3" s="33"/>
      <c r="Q3" s="33"/>
      <c r="R3" s="33"/>
      <c r="S3" s="33"/>
      <c r="T3" s="33"/>
      <c r="U3" s="33"/>
    </row>
    <row r="4" spans="1:21" ht="20.100000000000001" customHeight="1" x14ac:dyDescent="0.25">
      <c r="A4" s="5"/>
    </row>
    <row r="5" spans="1:21" ht="20.100000000000001" customHeight="1" x14ac:dyDescent="0.25">
      <c r="A5" s="5"/>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7" t="s">
        <v>358</v>
      </c>
      <c r="E7" s="107" t="str">
        <f ca="1">Common_InputFunctions.Utility_DisplayFunctionName(VEERG_5_2_1_1__1_OrganicFertiliserApplicationN2OEmissions_Result_Method1)</f>
        <v>=Fertiliser_Equations_OrganicN2O.VEERG_5_2_1_1__1_OrganicFertiliserApplicationN2OEmissions</v>
      </c>
      <c r="N7" s="107" t="s">
        <v>358</v>
      </c>
      <c r="O7" s="107"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row>
    <row r="9" spans="1:21" ht="20.100000000000001" customHeight="1" x14ac:dyDescent="0.25">
      <c r="A9" s="5"/>
    </row>
    <row r="10" spans="1:21" ht="20.100000000000001" customHeight="1" x14ac:dyDescent="0.25">
      <c r="A10" s="5"/>
      <c r="D10" s="88" t="s">
        <v>360</v>
      </c>
      <c r="E10" s="1" t="str" cm="1">
        <f t="array" ref="E10">Fertiliser_Equations_OrganicN2O.VEERG_5_2_1_1__1_OrganicFertiliserApplicationN2OEmissions_Variable()</f>
        <v>E_N2O</v>
      </c>
      <c r="N10" s="88" t="s">
        <v>360</v>
      </c>
      <c r="O10" s="1" t="str" cm="1">
        <f t="array" ref="O10">Fertiliser_Equations_OrganicN2O.VEERG_5_2_1_1__1_OrganicFertiliserApplicationN2OEmissions_Variable()</f>
        <v>E_N2O</v>
      </c>
    </row>
    <row r="11" spans="1:21" ht="20.100000000000001" customHeight="1" x14ac:dyDescent="0.25">
      <c r="A11" s="5"/>
      <c r="D11" s="88" t="s">
        <v>128</v>
      </c>
      <c r="E11" s="15" t="str" cm="1">
        <f t="array" ref="E11">Fertiliser_Equations_OrganicN2O.VEERG_5_2_1_1__1_OrganicFertiliserApplicationN2OEmissions_Unit()</f>
        <v>t N2O</v>
      </c>
      <c r="N11" s="88" t="s">
        <v>128</v>
      </c>
      <c r="O11" s="15" t="str" cm="1">
        <f t="array" ref="O11">Fertiliser_Equations_OrganicN2O.VEERG_5_2_1_1__1_OrganicFertiliserApplicationN2OEmissions_Unit()</f>
        <v>t N2O</v>
      </c>
    </row>
    <row r="12" spans="1:21" ht="20.100000000000001" customHeight="1" x14ac:dyDescent="0.25">
      <c r="A12" s="5"/>
    </row>
    <row r="13" spans="1:21" ht="20.100000000000001" customHeight="1" x14ac:dyDescent="0.25">
      <c r="A13" s="5"/>
      <c r="D13" s="109" t="str" cm="1">
        <f t="array" ref="D13:E17">_xlfn.CHOOSECOLS(Fertiliser_Equations_OrganicN2O.VEERG_5_2_1_1__1_OrganicFertiliserApplicationN2OEmissions_Arguments(), 1, 2)</f>
        <v>MNSoil_jf</v>
      </c>
      <c r="E13" s="110" t="str">
        <v>mass of nitrogen in organic fertiliser type f applied to production system j</v>
      </c>
      <c r="F13" s="111"/>
      <c r="G13" s="112"/>
      <c r="H13" s="109" t="str" cm="1">
        <f t="array" ref="H13:I17">_xlfn.CHOOSECOLS(Fertiliser_Equations_OrganicN2O.VEERG_5_2_1_1__1_OrganicFertiliserApplicationN2OEmissions_Arguments(), 3,4)</f>
        <v>kg N</v>
      </c>
      <c r="I13" s="114" t="str">
        <v>Calculated from 5.2.1.1 (2)</v>
      </c>
      <c r="J13" s="109">
        <f>X_Cell_ManureSentOffsite_MassNitrogenManure_Method1</f>
        <v>1000</v>
      </c>
      <c r="N13" s="109" t="str" cm="1">
        <f t="array" ref="N13:O17">_xlfn.CHOOSECOLS(Fertiliser_Equations_OrganicN2O.VEERG_5_2_1_1__1_OrganicFertiliserApplicationN2OEmissions_Arguments(), 1, 2)</f>
        <v>MNSoil_jf</v>
      </c>
      <c r="O13" s="110" t="str">
        <v>mass of nitrogen in organic fertiliser type f applied to production system j</v>
      </c>
      <c r="P13" s="111"/>
      <c r="Q13" s="112"/>
      <c r="R13" s="109" t="str" cm="1">
        <f t="array" ref="R13:S17">_xlfn.CHOOSECOLS(Fertiliser_Equations_OrganicN2O.VEERG_5_2_1_1__1_OrganicFertiliserApplicationN2OEmissions_Arguments(), 3,4)</f>
        <v>kg N</v>
      </c>
      <c r="S13" s="114" t="str">
        <v>Calculated from 5.2.1.1 (2)</v>
      </c>
      <c r="T13" s="109">
        <f>X_Cell_ManureSentOffsite_MassNitrogenManure_Method2</f>
        <v>2000</v>
      </c>
    </row>
    <row r="14" spans="1:21" ht="20.100000000000001" customHeight="1" x14ac:dyDescent="0.25">
      <c r="A14" s="5"/>
      <c r="D14" s="109" t="str">
        <v>EF_N2Oi</v>
      </c>
      <c r="E14" s="110" t="str">
        <v>emission factor for direct nitrous oxide emissions from organic fertiliser applied to soils and aquatic systems in climate zone i</v>
      </c>
      <c r="F14" s="111"/>
      <c r="G14" s="112"/>
      <c r="H14" s="109" t="str">
        <v>kg N2O-N/kg N</v>
      </c>
      <c r="I14" s="114" t="str">
        <v>Lookup</v>
      </c>
      <c r="J14" s="109">
        <f>Common_InputFunctions.Utility_LookupValueInTableNumber(J17, Table_SourceData_Common_EFOrganicFertCropResidues[Climate Zone],Table_SourceData_Common_EFOrganicFertCropResidues[EFNi &amp; EFN2Oi])</f>
        <v>5.0000000000000001E-3</v>
      </c>
      <c r="N14" s="109" t="str">
        <v>EF_N2Oi</v>
      </c>
      <c r="O14" s="110" t="str">
        <v>emission factor for direct nitrous oxide emissions from organic fertiliser applied to soils and aquatic systems in climate zone i</v>
      </c>
      <c r="P14" s="111"/>
      <c r="Q14" s="112"/>
      <c r="R14" s="109" t="str">
        <v>kg N2O-N/kg N</v>
      </c>
      <c r="S14" s="114" t="str">
        <v>Lookup</v>
      </c>
      <c r="T14" s="109"/>
    </row>
    <row r="15" spans="1:21" ht="20.100000000000001" customHeight="1" x14ac:dyDescent="0.25">
      <c r="A15" s="5"/>
      <c r="D15" s="109" t="str">
        <v>C_N2O</v>
      </c>
      <c r="E15" s="110" t="str">
        <v>factor to convert elemental mass of nitrous oxide to molecular mass</v>
      </c>
      <c r="F15" s="111"/>
      <c r="G15" s="112"/>
      <c r="H15" s="109" t="str">
        <v/>
      </c>
      <c r="I15" s="114" t="str">
        <v>Constant</v>
      </c>
      <c r="J15" s="109">
        <f>Common_InputFunctions.Utility_LookupValueInTableNumber("N2O",Table_GasToMolecularConversionFactor[Gas],Table_GasToMolecularConversionFactor[Conversion factor combined])</f>
        <v>1.5714285714285714</v>
      </c>
      <c r="N15" s="109" t="str">
        <v>C_N2O</v>
      </c>
      <c r="O15" s="110" t="str">
        <v>factor to convert elemental mass of nitrous oxide to molecular mass</v>
      </c>
      <c r="P15" s="111"/>
      <c r="Q15" s="112"/>
      <c r="R15" s="109" t="str">
        <v/>
      </c>
      <c r="S15" s="114" t="str">
        <v>Constant</v>
      </c>
      <c r="T15" s="109"/>
    </row>
    <row r="16" spans="1:21" ht="20.100000000000001" customHeight="1" x14ac:dyDescent="0.25">
      <c r="A16" s="5"/>
      <c r="D16" s="109" t="str">
        <v>j</v>
      </c>
      <c r="E16" s="110" t="str">
        <v>Production system</v>
      </c>
      <c r="F16" s="111"/>
      <c r="G16" s="112"/>
      <c r="H16" s="109" t="str">
        <v/>
      </c>
      <c r="I16" s="264" t="str">
        <v>Input</v>
      </c>
      <c r="J16" s="109" t="str">
        <f>X_Cell_ManureSentOffsite_ManureProductionSystem</f>
        <v>Crop</v>
      </c>
      <c r="N16" s="109" t="str">
        <v>j</v>
      </c>
      <c r="O16" s="110" t="str">
        <v>Production system</v>
      </c>
      <c r="P16" s="111"/>
      <c r="Q16" s="112"/>
      <c r="R16" s="109" t="str">
        <v/>
      </c>
      <c r="S16" s="264" t="str">
        <v>Input</v>
      </c>
      <c r="T16" s="109"/>
    </row>
    <row r="17" spans="1:20" ht="20.100000000000001" customHeight="1" x14ac:dyDescent="0.25">
      <c r="A17" s="5"/>
      <c r="D17" s="109" t="str">
        <v>i</v>
      </c>
      <c r="E17" s="110" t="str">
        <v>Wet or dry climate zone</v>
      </c>
      <c r="F17" s="111"/>
      <c r="G17" s="112"/>
      <c r="H17" s="109" t="str">
        <v/>
      </c>
      <c r="I17" s="264" t="str">
        <v>Input</v>
      </c>
      <c r="J17" s="109" t="str">
        <f>X_Cell_Site_WetOrDryClimateZone</f>
        <v>Dry climate zone</v>
      </c>
      <c r="N17" s="109" t="str">
        <v>i</v>
      </c>
      <c r="O17" s="110" t="str">
        <v>Wet or dry climate zone</v>
      </c>
      <c r="P17" s="111"/>
      <c r="Q17" s="112"/>
      <c r="R17" s="109" t="str">
        <v/>
      </c>
      <c r="S17" s="264" t="str">
        <v>Input</v>
      </c>
      <c r="T17" s="109"/>
    </row>
    <row r="18" spans="1:20" ht="20.100000000000001" customHeight="1" x14ac:dyDescent="0.25">
      <c r="A18" s="5"/>
    </row>
    <row r="19" spans="1:20" ht="20.100000000000001" customHeight="1" x14ac:dyDescent="0.25">
      <c r="A19" s="5"/>
      <c r="D19" s="121" t="s">
        <v>658</v>
      </c>
      <c r="E19" s="122" cm="1">
        <f t="array" ref="E19">Fertiliser_Equations_OrganicN2O.VEERG_5_2_1_1__1_OrganicFertiliserApplicationN2OEmissions(J13,J14,J15)</f>
        <v>7.8571428571428577E-3</v>
      </c>
      <c r="F19" s="123" t="str">
        <f>$E$11</f>
        <v>t N2O</v>
      </c>
      <c r="N19" s="121" t="s">
        <v>658</v>
      </c>
      <c r="O19" s="122" cm="1">
        <f t="array" ref="O19">Fertiliser_Equations_OrganicN2O.VEERG_5_2_1_1__1_OrganicFertiliserApplicationN2OEmissions(T13,J14,J15)</f>
        <v>1.5714285714285715E-2</v>
      </c>
      <c r="P19" s="123" t="str">
        <f>$E$11</f>
        <v>t N2O</v>
      </c>
    </row>
    <row r="20" spans="1:20" ht="20.100000000000001" customHeight="1" x14ac:dyDescent="0.25">
      <c r="A20" s="5"/>
    </row>
    <row r="21" spans="1:20" ht="20.100000000000001" customHeight="1" x14ac:dyDescent="0.25">
      <c r="A21" s="5"/>
    </row>
    <row r="22" spans="1:20" ht="20.100000000000001" customHeight="1" x14ac:dyDescent="0.25">
      <c r="A22" s="5"/>
    </row>
    <row r="23" spans="1:20" ht="20.100000000000001" customHeight="1" x14ac:dyDescent="0.25">
      <c r="A23" s="5"/>
    </row>
    <row r="24" spans="1:20" ht="20.100000000000001" customHeight="1" x14ac:dyDescent="0.25">
      <c r="A24" s="5"/>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c r="D26" s="107" t="s">
        <v>358</v>
      </c>
      <c r="E26" s="107" t="str" cm="1">
        <f t="array" aca="1" ref="E26" ca="1">Common_InputFunctions.Utility_DisplayFunctionName(E35)</f>
        <v>=Fertiliser_Equations_AtmosphericDeposition.VEERG_5_4_1_3__2_MassOfNitrogenVolatilisedFromOrganicFertiliser</v>
      </c>
      <c r="N26" s="107" t="s">
        <v>358</v>
      </c>
      <c r="O26" s="107"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row>
    <row r="29" spans="1:20" ht="20.100000000000001" customHeight="1" x14ac:dyDescent="0.25">
      <c r="A29" s="6"/>
      <c r="D29" s="88" t="s">
        <v>360</v>
      </c>
      <c r="E29" s="1" t="str" cm="1">
        <f t="array" ref="E29">Fertiliser_Equations_AtmosphericDeposition.VEERG_5_4_1_3__2_MassOfNitrogenVolatilisedFromOrganicFertiliser_Variable()</f>
        <v>M_volorganicjf</v>
      </c>
      <c r="N29" s="88" t="s">
        <v>360</v>
      </c>
      <c r="O29" s="1" t="str" cm="1">
        <f t="array" ref="O29">Fertiliser_Equations_AtmosphericDeposition.VEERG_5_4_1_3__2_MassOfNitrogenVolatilisedFromOrganicFertiliser_Variable()</f>
        <v>M_volorganicjf</v>
      </c>
    </row>
    <row r="30" spans="1:20" ht="20.100000000000001" customHeight="1" x14ac:dyDescent="0.25">
      <c r="A30" s="5"/>
      <c r="D30" s="88" t="s">
        <v>128</v>
      </c>
      <c r="E30" s="15" t="str" cm="1">
        <f t="array" ref="E30">Fertiliser_Equations_AtmosphericDeposition.VEERG_5_4_1_3__2_MassOfNitrogenVolatilisedFromOrganicFertiliser_Unit()</f>
        <v>kg N</v>
      </c>
      <c r="N30" s="88" t="s">
        <v>128</v>
      </c>
      <c r="O30" s="15" t="str" cm="1">
        <f t="array" ref="O30">Fertiliser_Equations_AtmosphericDeposition.VEERG_5_4_1_3__2_MassOfNitrogenVolatilisedFromOrganicFertiliser_Unit()</f>
        <v>kg N</v>
      </c>
    </row>
    <row r="31" spans="1:20" ht="20.100000000000001" customHeight="1" x14ac:dyDescent="0.25">
      <c r="A31" s="5"/>
    </row>
    <row r="32" spans="1:20" ht="20.100000000000001" customHeight="1" x14ac:dyDescent="0.25">
      <c r="A32" s="5"/>
      <c r="D32" s="109" t="str" cm="1">
        <f t="array" ref="D32:E33">_xlfn.CHOOSECOLS(Fertiliser_Equations_AtmosphericDeposition.VEERG_5_4_1_3__2_MassOfNitrogenVolatilisedFromOrganicFertiliser_Arguments(), 1, 2)</f>
        <v>MNSoil_jf</v>
      </c>
      <c r="E32" s="109" t="str">
        <v>mass of nitrogen in organic fertiliser type f applied to production system j</v>
      </c>
      <c r="F32" s="109"/>
      <c r="G32" s="109" t="str" cm="1">
        <f t="array" ref="G32:H33">_xlfn.CHOOSECOLS(Fertiliser_Equations_AtmosphericDeposition.VEERG_5_4_1_3__2_MassOfNitrogenVolatilisedFromOrganicFertiliser_Arguments(), 3,4)</f>
        <v>kg N</v>
      </c>
      <c r="H32" s="114" t="str">
        <v>Calculated from 5.2.1.1 (2)</v>
      </c>
      <c r="I32" s="109">
        <f>X_Cell_ManureSentOffsite_MassNitrogenManure_Method1</f>
        <v>1000</v>
      </c>
      <c r="N32" s="109" t="str" cm="1">
        <f t="array" ref="N32:O33">_xlfn.CHOOSECOLS(Fertiliser_Equations_AtmosphericDeposition.VEERG_5_4_1_3__2_MassOfNitrogenVolatilisedFromOrganicFertiliser_Arguments(), 1, 2)</f>
        <v>MNSoil_jf</v>
      </c>
      <c r="O32" s="109" t="str">
        <v>mass of nitrogen in organic fertiliser type f applied to production system j</v>
      </c>
      <c r="P32" s="109"/>
      <c r="Q32" s="109" t="str" cm="1">
        <f t="array" ref="Q32:R33">_xlfn.CHOOSECOLS(Fertiliser_Equations_AtmosphericDeposition.VEERG_5_4_1_3__2_MassOfNitrogenVolatilisedFromOrganicFertiliser_Arguments(), 3,4)</f>
        <v>kg N</v>
      </c>
      <c r="R32" s="114" t="str">
        <v>Calculated from 5.2.1.1 (2)</v>
      </c>
      <c r="S32" s="109">
        <f>X_Cell_ManureSentOffsite_MassNitrogenManure_Method2</f>
        <v>2000</v>
      </c>
    </row>
    <row r="33" spans="1:19" ht="20.100000000000001" customHeight="1" x14ac:dyDescent="0.25">
      <c r="A33" s="5"/>
      <c r="D33" s="109" t="str">
        <v>FracGASM_soil</v>
      </c>
      <c r="E33" s="109" t="str">
        <v>fraction of organic fertiliser N that volatilises</v>
      </c>
      <c r="F33" s="109"/>
      <c r="G33" s="109" t="str">
        <v>(kg NH3-N + NOx-N)/kg N</v>
      </c>
      <c r="H33" s="114" t="str">
        <v>Constant</v>
      </c>
      <c r="I33" s="109">
        <f>Fertiliser_FracGASMSoil_Data</f>
        <v>0.21</v>
      </c>
      <c r="N33" s="109" t="str">
        <v>FracGASM_soil</v>
      </c>
      <c r="O33" s="109" t="str">
        <v>fraction of organic fertiliser N that volatilises</v>
      </c>
      <c r="P33" s="109"/>
      <c r="Q33" s="109" t="str">
        <v>(kg NH3-N + NOx-N)/kg N</v>
      </c>
      <c r="R33" s="114" t="str">
        <v>Constant</v>
      </c>
      <c r="S33" s="109"/>
    </row>
    <row r="34" spans="1:19" ht="20.100000000000001" customHeight="1" x14ac:dyDescent="0.25">
      <c r="A34" s="5"/>
    </row>
    <row r="35" spans="1:19" ht="20.100000000000001" customHeight="1" x14ac:dyDescent="0.25">
      <c r="A35" s="5"/>
      <c r="D35" s="128" t="s">
        <v>1267</v>
      </c>
      <c r="E35" s="120" cm="1">
        <f t="array" ref="E35">Fertiliser_Equations_AtmosphericDeposition.VEERG_5_4_1_3__2_MassOfNitrogenVolatilisedFromOrganicFertiliser(I32,I33)</f>
        <v>210</v>
      </c>
      <c r="F35" s="127" t="str">
        <f>E30</f>
        <v>kg N</v>
      </c>
      <c r="N35" s="128" t="s">
        <v>1267</v>
      </c>
      <c r="O35" s="120" cm="1">
        <f t="array" ref="O35">Fertiliser_Equations_AtmosphericDeposition.VEERG_5_4_1_3__2_MassOfNitrogenVolatilisedFromOrganicFertiliser(S32,I33)</f>
        <v>420</v>
      </c>
      <c r="P35" s="127" t="str">
        <f>O30</f>
        <v>kg N</v>
      </c>
    </row>
    <row r="36" spans="1:19" ht="20.100000000000001" customHeight="1" x14ac:dyDescent="0.25">
      <c r="A36" s="5"/>
    </row>
    <row r="37" spans="1:19" ht="20.100000000000001" customHeight="1" x14ac:dyDescent="0.25">
      <c r="A37" s="5"/>
    </row>
    <row r="38" spans="1:19" ht="20.100000000000001" customHeight="1" x14ac:dyDescent="0.25">
      <c r="A38" s="5"/>
    </row>
    <row r="39" spans="1:19" ht="20.100000000000001" customHeight="1" x14ac:dyDescent="0.25">
      <c r="A39" s="5"/>
    </row>
    <row r="40" spans="1:19" ht="20.100000000000001" customHeight="1" x14ac:dyDescent="0.25">
      <c r="A40" s="5"/>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c r="D42" s="107" t="s">
        <v>358</v>
      </c>
      <c r="E42" s="107" t="str">
        <f ca="1">Common_InputFunctions.Utility_DisplayFunctionName(VEERG_5_4_1_3__1_OrganicFertiliserAtmosphericDepositionN2OEmissions_Result_Method1)</f>
        <v>=Fertiliser_Equations_AtmosphericDeposition.VEERG_5_4_1_3__1_OrganicFertiliserAtmosphericDepositionN2OEmissions</v>
      </c>
      <c r="N42" s="107" t="s">
        <v>358</v>
      </c>
      <c r="O42" s="107"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row>
    <row r="44" spans="1:19" ht="20.100000000000001" customHeight="1" x14ac:dyDescent="0.25">
      <c r="A44" s="5"/>
    </row>
    <row r="45" spans="1:19" ht="20.100000000000001" customHeight="1" x14ac:dyDescent="0.25">
      <c r="A45" s="5"/>
      <c r="D45" s="88" t="s">
        <v>360</v>
      </c>
      <c r="E45" s="1" t="str" cm="1">
        <f t="array" ref="E45">Fertiliser_Equations_AtmosphericDeposition.VEERG_5_4_1_3__1_OrganicFertiliserAtmosphericDepositionN2OEmissions_Variable()</f>
        <v>E_adorganic</v>
      </c>
      <c r="N45" s="88" t="s">
        <v>360</v>
      </c>
      <c r="O45" s="1" t="str" cm="1">
        <f t="array" ref="O45">Fertiliser_Equations_AtmosphericDeposition.VEERG_5_4_1_3__1_OrganicFertiliserAtmosphericDepositionN2OEmissions_Variable()</f>
        <v>E_adorganic</v>
      </c>
    </row>
    <row r="46" spans="1:19" ht="20.100000000000001" customHeight="1" x14ac:dyDescent="0.25">
      <c r="A46" s="108"/>
      <c r="D46" s="88" t="s">
        <v>128</v>
      </c>
      <c r="E46" s="15" t="str" cm="1">
        <f t="array" ref="E46">Fertiliser_Equations_AtmosphericDeposition.VEERG_5_4_1_3__1_OrganicFertiliserAtmosphericDepositionN2OEmissions_Unit()</f>
        <v>t N2O</v>
      </c>
      <c r="N46" s="88" t="s">
        <v>128</v>
      </c>
      <c r="O46" s="15" t="str" cm="1">
        <f t="array" ref="O46">Fertiliser_Equations_AtmosphericDeposition.VEERG_5_4_1_3__1_OrganicFertiliserAtmosphericDepositionN2OEmissions_Unit()</f>
        <v>t N2O</v>
      </c>
    </row>
    <row r="47" spans="1:19" ht="20.100000000000001" customHeight="1" x14ac:dyDescent="0.25">
      <c r="A47" s="5"/>
    </row>
    <row r="48" spans="1:19" ht="20.100000000000001" customHeight="1" x14ac:dyDescent="0.25">
      <c r="A48" s="5"/>
      <c r="D48" s="109" t="str" cm="1">
        <f t="array" ref="D48:E53">_xlfn.CHOOSECOLS(Fertiliser_Equations_AtmosphericDeposition.VEERG_5_4_1_3__1_OrganicFertiliserAtmosphericDepositionN2OEmissions_Arguments(), 1, 2)</f>
        <v>M_volorganicjf</v>
      </c>
      <c r="E48" s="110" t="str">
        <v>mass of nitrogen volatilised from organic fertiliser applied to production system</v>
      </c>
      <c r="F48" s="112"/>
      <c r="G48" s="109" t="str" cm="1">
        <f t="array" ref="G48:H53">_xlfn.CHOOSECOLS(Fertiliser_Equations_AtmosphericDeposition.VEERG_5_4_1_3__1_OrganicFertiliserAtmosphericDepositionN2OEmissions_Arguments(), 3,4)</f>
        <v>kg N</v>
      </c>
      <c r="H48" s="114" t="str">
        <v>Calculated from 5.4.1.3 (2)</v>
      </c>
      <c r="I48" s="109">
        <f>E35</f>
        <v>210</v>
      </c>
      <c r="N48" s="109" t="str" cm="1">
        <f t="array" ref="N48:O53">_xlfn.CHOOSECOLS(Fertiliser_Equations_AtmosphericDeposition.VEERG_5_4_1_3__1_OrganicFertiliserAtmosphericDepositionN2OEmissions_Arguments(), 1, 2)</f>
        <v>M_volorganicjf</v>
      </c>
      <c r="O48" s="110" t="str">
        <v>mass of nitrogen volatilised from organic fertiliser applied to production system</v>
      </c>
      <c r="P48" s="112"/>
      <c r="Q48" s="109" t="str" cm="1">
        <f t="array" ref="Q48:R53">_xlfn.CHOOSECOLS(Fertiliser_Equations_AtmosphericDeposition.VEERG_5_4_1_3__1_OrganicFertiliserAtmosphericDepositionN2OEmissions_Arguments(), 3,4)</f>
        <v>kg N</v>
      </c>
      <c r="R48" s="114" t="str">
        <v>Calculated from 5.4.1.3 (2)</v>
      </c>
      <c r="S48" s="109">
        <f>O35</f>
        <v>420</v>
      </c>
    </row>
    <row r="49" spans="1:19" ht="20.100000000000001" customHeight="1" x14ac:dyDescent="0.25">
      <c r="A49"/>
      <c r="D49" s="109" t="str">
        <v>EF_N2Oj</v>
      </c>
      <c r="E49" s="110" t="str">
        <v>emission factor for atmospheric deposition in production system j</v>
      </c>
      <c r="F49" s="112"/>
      <c r="G49" s="109" t="str">
        <v>kg N2O-N/kg N</v>
      </c>
      <c r="H49" s="114" t="str">
        <v>Constant</v>
      </c>
      <c r="I49" s="109">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9" t="str">
        <v>EF_N2Oj</v>
      </c>
      <c r="O49" s="110" t="str">
        <v>emission factor for atmospheric deposition in production system j</v>
      </c>
      <c r="P49" s="112"/>
      <c r="Q49" s="109" t="str">
        <v>kg N2O-N/kg N</v>
      </c>
      <c r="R49" s="114" t="str">
        <v>Constant</v>
      </c>
      <c r="S49" s="109"/>
    </row>
    <row r="50" spans="1:19" ht="20.100000000000001" customHeight="1" x14ac:dyDescent="0.25">
      <c r="A50"/>
      <c r="D50" s="109" t="str">
        <v>C_N2O</v>
      </c>
      <c r="E50" s="110" t="str">
        <v>factor to convert elemental mass of nitrous oxide to molecular mass</v>
      </c>
      <c r="F50" s="112"/>
      <c r="G50" s="109" t="str">
        <v/>
      </c>
      <c r="H50" s="114" t="str">
        <v>Constant</v>
      </c>
      <c r="I50" s="124">
        <f>Common_InputFunctions.Utility_LookupValueInTableNumber("N2O",Table_GasToMolecularConversionFactor[Gas],Table_GasToMolecularConversionFactor[Conversion factor combined])</f>
        <v>1.5714285714285714</v>
      </c>
      <c r="N50" s="109" t="str">
        <v>C_N2O</v>
      </c>
      <c r="O50" s="110" t="str">
        <v>factor to convert elemental mass of nitrous oxide to molecular mass</v>
      </c>
      <c r="P50" s="112"/>
      <c r="Q50" s="109" t="str">
        <v/>
      </c>
      <c r="R50" s="114" t="str">
        <v>Constant</v>
      </c>
      <c r="S50" s="124"/>
    </row>
    <row r="51" spans="1:19" ht="20.100000000000001" customHeight="1" x14ac:dyDescent="0.25">
      <c r="A51" s="100"/>
      <c r="D51" s="109" t="str">
        <v>j</v>
      </c>
      <c r="E51" s="110" t="str">
        <v>Production system</v>
      </c>
      <c r="F51" s="112"/>
      <c r="G51" s="109" t="str">
        <v/>
      </c>
      <c r="H51" s="264" t="str">
        <v>Input</v>
      </c>
      <c r="I51" s="109" t="str">
        <f>X_Cell_ManureSentOffsite_ManureProductionSystem</f>
        <v>Crop</v>
      </c>
      <c r="N51" s="109" t="str">
        <v>j</v>
      </c>
      <c r="O51" s="110" t="str">
        <v>Production system</v>
      </c>
      <c r="P51" s="112"/>
      <c r="Q51" s="109" t="str">
        <v/>
      </c>
      <c r="R51" s="264" t="str">
        <v>Input</v>
      </c>
      <c r="S51" s="109"/>
    </row>
    <row r="52" spans="1:19" ht="20.100000000000001" customHeight="1" x14ac:dyDescent="0.25">
      <c r="A52" s="5"/>
      <c r="D52" s="109" t="str">
        <v>ir</v>
      </c>
      <c r="E52" s="110" t="str">
        <v>irrigation method</v>
      </c>
      <c r="F52" s="112"/>
      <c r="G52" s="109" t="str">
        <v/>
      </c>
      <c r="H52" s="264" t="str">
        <v>Input</v>
      </c>
      <c r="I52" s="109" t="str">
        <f>X_Cell_ManureSentOffsite_ManureIrrigationMethod</f>
        <v>Sprinkler irrigation</v>
      </c>
      <c r="N52" s="109" t="str">
        <v>ir</v>
      </c>
      <c r="O52" s="110" t="str">
        <v>irrigation method</v>
      </c>
      <c r="P52" s="112"/>
      <c r="Q52" s="109" t="str">
        <v/>
      </c>
      <c r="R52" s="264" t="str">
        <v>Input</v>
      </c>
      <c r="S52" s="109"/>
    </row>
    <row r="53" spans="1:19" ht="20.100000000000001" customHeight="1" x14ac:dyDescent="0.25">
      <c r="A53" s="5"/>
      <c r="D53" s="109" t="str">
        <v>r</v>
      </c>
      <c r="E53" s="110" t="str">
        <v>rainfall region</v>
      </c>
      <c r="F53" s="112"/>
      <c r="G53" s="109" t="str">
        <v/>
      </c>
      <c r="H53" s="264" t="str">
        <v>Input</v>
      </c>
      <c r="I53" s="109" t="str">
        <f>X_Cell_Site_RainfallZone</f>
        <v>High rainfall</v>
      </c>
      <c r="N53" s="109" t="str">
        <v>r</v>
      </c>
      <c r="O53" s="110" t="str">
        <v>rainfall region</v>
      </c>
      <c r="P53" s="112"/>
      <c r="Q53" s="109" t="str">
        <v/>
      </c>
      <c r="R53" s="264" t="str">
        <v>Input</v>
      </c>
      <c r="S53" s="109"/>
    </row>
    <row r="54" spans="1:19" ht="20.100000000000001" customHeight="1" x14ac:dyDescent="0.25">
      <c r="A54" s="5"/>
    </row>
    <row r="55" spans="1:19" ht="20.100000000000001" customHeight="1" x14ac:dyDescent="0.25">
      <c r="A55" s="5"/>
      <c r="D55" s="121" t="s">
        <v>697</v>
      </c>
      <c r="E55" s="122" cm="1">
        <f t="array" ref="E55">Fertiliser_Equations_AtmosphericDeposition.VEERG_5_4_1_3__1_OrganicFertiliserAtmosphericDepositionN2OEmissions(I48,I49,I50)</f>
        <v>2.31E-3</v>
      </c>
      <c r="F55" s="123" t="str">
        <f>$E$46</f>
        <v>t N2O</v>
      </c>
      <c r="N55" s="121" t="s">
        <v>697</v>
      </c>
      <c r="O55" s="122" cm="1">
        <f t="array" ref="O55">Fertiliser_Equations_AtmosphericDeposition.VEERG_5_4_1_3__1_OrganicFertiliserAtmosphericDepositionN2OEmissions(S48,I49,I50)</f>
        <v>4.62E-3</v>
      </c>
      <c r="P55" s="123" t="str">
        <f>$E$46</f>
        <v>t N2O</v>
      </c>
    </row>
    <row r="56" spans="1:19" ht="20.100000000000001" customHeight="1" x14ac:dyDescent="0.25">
      <c r="A56" s="5"/>
    </row>
    <row r="57" spans="1:19" ht="20.100000000000001" customHeight="1" x14ac:dyDescent="0.25">
      <c r="A57" s="5"/>
    </row>
    <row r="58" spans="1:19" ht="20.100000000000001" customHeight="1" x14ac:dyDescent="0.25">
      <c r="A58" s="5"/>
    </row>
    <row r="59" spans="1:19" ht="20.100000000000001" customHeight="1" x14ac:dyDescent="0.25">
      <c r="A59" s="5"/>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c r="D61" s="107" t="s">
        <v>358</v>
      </c>
      <c r="E61" s="107" t="str" cm="1">
        <f t="array" aca="1" ref="E61" ca="1">Common_InputFunctions.Utility_DisplayFunctionName(E74)</f>
        <v>=Fertiliser_Equations_LeachingAndRunoff.VEERG_5_5_1_1__3_MassOfNitrogenLeachedFromOrganicFertiliser</v>
      </c>
      <c r="N61" s="107" t="s">
        <v>358</v>
      </c>
      <c r="O61" s="107"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360</v>
      </c>
      <c r="E64" s="1" t="str" cm="1">
        <f t="array" ref="E64">Fertiliser_Equations_LeachingAndRunoff.VEERG_5_5_1_1__3_MassOfNitrogenLeachedFromOrganicFertiliser_Variable()</f>
        <v>M_leachorganicj</v>
      </c>
      <c r="N64" s="88" t="s">
        <v>360</v>
      </c>
      <c r="O64" s="1" t="str" cm="1">
        <f t="array" ref="O64">Fertiliser_Equations_LeachingAndRunoff.VEERG_5_5_1_1__3_MassOfNitrogenLeachedFromOrganicFertiliser_Variable()</f>
        <v>M_leachorganicj</v>
      </c>
    </row>
    <row r="65" spans="1:19" ht="20.100000000000001" customHeight="1" x14ac:dyDescent="0.25">
      <c r="A65"/>
      <c r="D65" s="88" t="s">
        <v>128</v>
      </c>
      <c r="E65" s="15" t="str" cm="1">
        <f t="array" ref="E65">Fertiliser_Equations_LeachingAndRunoff.VEERG_5_5_1_1__3_MassOfNitrogenLeachedFromOrganicFertiliser_Unit()</f>
        <v>kg N</v>
      </c>
      <c r="N65" s="88" t="s">
        <v>128</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9" t="str" cm="1">
        <f t="array" ref="D67:E72">_xlfn.CHOOSECOLS(Fertiliser_Equations_LeachingAndRunoff.VEERG_5_5_1_1__3_MassOfNitrogenLeachedFromOrganicFertiliser_Arguments(), 1, 2)</f>
        <v>MNSoil_jf</v>
      </c>
      <c r="E67" s="110" t="str">
        <v>mass of nitrogen in organic fertiliser</v>
      </c>
      <c r="F67" s="112"/>
      <c r="G67" s="109" t="str" cm="1">
        <f t="array" ref="G67:H72">_xlfn.CHOOSECOLS(Fertiliser_Equations_LeachingAndRunoff.VEERG_5_5_1_1__3_MassOfNitrogenLeachedFromOrganicFertiliser_Arguments(), 3,4)</f>
        <v>kg N</v>
      </c>
      <c r="H67" s="114" t="str">
        <v>Calculated from 5.2.1.1 (2)</v>
      </c>
      <c r="I67" s="109">
        <f>X_Cell_ManureSentOffsite_MassNitrogenManure_Method1</f>
        <v>1000</v>
      </c>
      <c r="N67" s="109" t="str" cm="1">
        <f t="array" ref="N67:O72">_xlfn.CHOOSECOLS(Fertiliser_Equations_LeachingAndRunoff.VEERG_5_5_1_1__3_MassOfNitrogenLeachedFromOrganicFertiliser_Arguments(), 1, 2)</f>
        <v>MNSoil_jf</v>
      </c>
      <c r="O67" s="110" t="str">
        <v>mass of nitrogen in organic fertiliser</v>
      </c>
      <c r="P67" s="112"/>
      <c r="Q67" s="109" t="str" cm="1">
        <f t="array" ref="Q67:R72">_xlfn.CHOOSECOLS(Fertiliser_Equations_LeachingAndRunoff.VEERG_5_5_1_1__3_MassOfNitrogenLeachedFromOrganicFertiliser_Arguments(), 3,4)</f>
        <v>kg N</v>
      </c>
      <c r="R67" s="114" t="str">
        <v>Calculated from 5.2.1.1 (2)</v>
      </c>
      <c r="S67" s="109">
        <f>X_Cell_ManureSentOffsite_MassNitrogenManure_Method2</f>
        <v>2000</v>
      </c>
    </row>
    <row r="68" spans="1:19" ht="20.100000000000001" customHeight="1" x14ac:dyDescent="0.25">
      <c r="A68"/>
      <c r="D68" s="109" t="str">
        <v>FracWETj</v>
      </c>
      <c r="E68" s="110" t="str">
        <v>fraction of N available for leaching and runoff</v>
      </c>
      <c r="F68" s="112"/>
      <c r="G68" s="109" t="str">
        <v>fraction</v>
      </c>
      <c r="H68" s="114" t="str">
        <v>Constant</v>
      </c>
      <c r="I68" s="109">
        <f>Common_InputFunctions.CommonCropping_GetFracWET(I70,I72,Table_SourceData_FracWET[Is in leaching zone],Table_SourceData_FracWET[FracWET],Table_SourceData_FracWETIrrigation[Irrigation type i],Table_SourceData_FracWETIrrigation[FracWET])</f>
        <v>1</v>
      </c>
      <c r="N68" s="109" t="str">
        <v>FracWETj</v>
      </c>
      <c r="O68" s="110" t="str">
        <v>fraction of N available for leaching and runoff</v>
      </c>
      <c r="P68" s="112"/>
      <c r="Q68" s="109" t="str">
        <v>fraction</v>
      </c>
      <c r="R68" s="114" t="str">
        <v>Constant</v>
      </c>
      <c r="S68" s="109"/>
    </row>
    <row r="69" spans="1:19" ht="20.100000000000001" customHeight="1" x14ac:dyDescent="0.25">
      <c r="A69"/>
      <c r="D69" s="109" t="str">
        <v>FracLEACH</v>
      </c>
      <c r="E69" s="110" t="str">
        <v>fraction of N that is lost through leaching and runoff</v>
      </c>
      <c r="F69" s="112"/>
      <c r="G69" s="109" t="str">
        <v>fraction</v>
      </c>
      <c r="H69" s="114" t="str">
        <v>Constant</v>
      </c>
      <c r="I69" s="109">
        <f>Fertiliser_FracLEACH_Data</f>
        <v>0.24</v>
      </c>
      <c r="N69" s="109" t="str">
        <v>FracLEACH</v>
      </c>
      <c r="O69" s="110" t="str">
        <v>fraction of N that is lost through leaching and runoff</v>
      </c>
      <c r="P69" s="112"/>
      <c r="Q69" s="109" t="str">
        <v>fraction</v>
      </c>
      <c r="R69" s="114" t="str">
        <v>Constant</v>
      </c>
      <c r="S69" s="109"/>
    </row>
    <row r="70" spans="1:19" ht="20.100000000000001" customHeight="1" x14ac:dyDescent="0.25">
      <c r="A70"/>
      <c r="D70" s="109" t="str">
        <v>z</v>
      </c>
      <c r="E70" s="110" t="str">
        <v>location in leaching zone</v>
      </c>
      <c r="F70" s="112"/>
      <c r="G70" s="109" t="str">
        <v/>
      </c>
      <c r="H70" s="264" t="str">
        <v>Input</v>
      </c>
      <c r="I70" s="109" t="str">
        <f>X_Cell_Site_LeachingZone</f>
        <v>NO - Not in leaching zone</v>
      </c>
      <c r="N70" s="109" t="str">
        <v>z</v>
      </c>
      <c r="O70" s="110" t="str">
        <v>location in leaching zone</v>
      </c>
      <c r="P70" s="112"/>
      <c r="Q70" s="109" t="str">
        <v/>
      </c>
      <c r="R70" s="264" t="str">
        <v>Input</v>
      </c>
      <c r="S70" s="109"/>
    </row>
    <row r="71" spans="1:19" ht="20.100000000000001" customHeight="1" x14ac:dyDescent="0.25">
      <c r="A71"/>
      <c r="D71" s="109" t="str">
        <v>j</v>
      </c>
      <c r="E71" s="110" t="str">
        <v>production system</v>
      </c>
      <c r="F71" s="112"/>
      <c r="G71" s="109" t="str">
        <v/>
      </c>
      <c r="H71" s="264" t="str">
        <v>Input</v>
      </c>
      <c r="I71" s="109" t="str">
        <f>X_Cell_ManureSentOffsite_ManureProductionSystem</f>
        <v>Crop</v>
      </c>
      <c r="N71" s="109" t="str">
        <v>j</v>
      </c>
      <c r="O71" s="110" t="str">
        <v>production system</v>
      </c>
      <c r="P71" s="112"/>
      <c r="Q71" s="109" t="str">
        <v/>
      </c>
      <c r="R71" s="264" t="str">
        <v>Input</v>
      </c>
      <c r="S71" s="109"/>
    </row>
    <row r="72" spans="1:19" ht="20.100000000000001" customHeight="1" x14ac:dyDescent="0.25">
      <c r="A72"/>
      <c r="D72" s="109" t="str">
        <v>ir</v>
      </c>
      <c r="E72" s="110" t="str">
        <v>irrigation method</v>
      </c>
      <c r="F72" s="112"/>
      <c r="G72" s="109" t="str">
        <v/>
      </c>
      <c r="H72" s="264" t="str">
        <v>Input</v>
      </c>
      <c r="I72" s="109" t="str">
        <f>X_Cell_ManureSentOffsite_ManureIrrigationMethod</f>
        <v>Sprinkler irrigation</v>
      </c>
      <c r="N72" s="109" t="str">
        <v>ir</v>
      </c>
      <c r="O72" s="110" t="str">
        <v>irrigation method</v>
      </c>
      <c r="P72" s="112"/>
      <c r="Q72" s="109" t="str">
        <v/>
      </c>
      <c r="R72" s="264" t="str">
        <v>Input</v>
      </c>
      <c r="S72" s="109"/>
    </row>
    <row r="73" spans="1:19" ht="20.100000000000001" customHeight="1" x14ac:dyDescent="0.25">
      <c r="A73"/>
    </row>
    <row r="74" spans="1:19" ht="20.100000000000001" customHeight="1" x14ac:dyDescent="0.25">
      <c r="A74"/>
      <c r="D74" s="128" t="s">
        <v>1268</v>
      </c>
      <c r="E74" s="120" cm="1">
        <f t="array" ref="E74">Fertiliser_Equations_LeachingAndRunoff.VEERG_5_5_1_1__3_MassOfNitrogenLeachedFromOrganicFertiliser(I67,I68,I69)</f>
        <v>240</v>
      </c>
      <c r="F74" s="127" t="str">
        <f>$E$65</f>
        <v>kg N</v>
      </c>
      <c r="N74" s="128" t="s">
        <v>1268</v>
      </c>
      <c r="O74" s="120" cm="1">
        <f t="array" ref="O74">Fertiliser_Equations_LeachingAndRunoff.VEERG_5_5_1_1__3_MassOfNitrogenLeachedFromOrganicFertiliser(S67,I68,I69)</f>
        <v>480</v>
      </c>
      <c r="P74" s="127"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7" t="s">
        <v>358</v>
      </c>
      <c r="E79" s="107" t="str">
        <f ca="1">Common_InputFunctions.Utility_DisplayFunctionName(VEERG_5_5_1_1__1_FertiliserLeachingAndRunoffN2OEmissions_Result_Method1)</f>
        <v>=Fertiliser_Equations_LeachingAndRunoff.VEERG_5_5_1_1__1_FertiliserLeachingAndRunoffN2OEmissions</v>
      </c>
      <c r="N79" s="107" t="s">
        <v>358</v>
      </c>
      <c r="O79" s="107"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360</v>
      </c>
      <c r="E82" s="1" t="str" cm="1">
        <f t="array" ref="E82">Fertiliser_Equations_LeachingAndRunoff.VEERG_5_5_1_1__1_FertiliserLeachingAndRunoffN2OEmissions_Variable()</f>
        <v>E_fertleach</v>
      </c>
      <c r="N82" s="88" t="s">
        <v>360</v>
      </c>
      <c r="O82" s="1" t="str" cm="1">
        <f t="array" ref="O82">Fertiliser_Equations_LeachingAndRunoff.VEERG_5_5_1_1__1_FertiliserLeachingAndRunoffN2OEmissions_Variable()</f>
        <v>E_fertleach</v>
      </c>
    </row>
    <row r="83" spans="1:20" x14ac:dyDescent="0.25">
      <c r="A83"/>
      <c r="D83" s="88" t="s">
        <v>128</v>
      </c>
      <c r="E83" s="15" t="str" cm="1">
        <f t="array" ref="E83">Fertiliser_Equations_LeachingAndRunoff.VEERG_5_5_1_1__1_FertiliserLeachingAndRunoffN2OEmissions_Unit()</f>
        <v>t N2O</v>
      </c>
      <c r="N83" s="88" t="s">
        <v>128</v>
      </c>
      <c r="O83" s="15" t="str" cm="1">
        <f t="array" ref="O83">Fertiliser_Equations_LeachingAndRunoff.VEERG_5_5_1_1__1_FertiliserLeachingAndRunoffN2OEmissions_Unit()</f>
        <v>t N2O</v>
      </c>
    </row>
    <row r="84" spans="1:20" x14ac:dyDescent="0.25">
      <c r="A84"/>
    </row>
    <row r="85" spans="1:20" x14ac:dyDescent="0.25">
      <c r="A85"/>
      <c r="D85" s="109" t="str" cm="1">
        <f t="array" ref="D85:E88">_xlfn.CHOOSECOLS(Fertiliser_Equations_LeachingAndRunoff.VEERG_5_5_1_1__1_FertiliserLeachingAndRunoffN2OEmissions_Arguments(), 1, 2)</f>
        <v>M_leachinorganicj</v>
      </c>
      <c r="E85" s="110" t="str">
        <v>mass of nitrogen lost through leaching and runoff from inorganic fertiliser application in production system j</v>
      </c>
      <c r="F85" s="111"/>
      <c r="G85" s="112"/>
      <c r="H85" s="109" t="str" cm="1">
        <f t="array" ref="H85:I88">_xlfn.CHOOSECOLS(Fertiliser_Equations_LeachingAndRunoff.VEERG_5_5_1_1__1_FertiliserLeachingAndRunoffN2OEmissions_Arguments(), 3,4)</f>
        <v>kg N</v>
      </c>
      <c r="I85" s="114" t="str">
        <v>Calculated from 5.5.1.1 (2)</v>
      </c>
      <c r="J85" s="109">
        <v>0</v>
      </c>
      <c r="N85" s="109" t="str" cm="1">
        <f t="array" ref="N85:O88">_xlfn.CHOOSECOLS(Fertiliser_Equations_LeachingAndRunoff.VEERG_5_5_1_1__1_FertiliserLeachingAndRunoffN2OEmissions_Arguments(), 1, 2)</f>
        <v>M_leachinorganicj</v>
      </c>
      <c r="O85" s="110" t="str">
        <v>mass of nitrogen lost through leaching and runoff from inorganic fertiliser application in production system j</v>
      </c>
      <c r="P85" s="111"/>
      <c r="Q85" s="112"/>
      <c r="R85" s="109" t="str" cm="1">
        <f t="array" ref="R85:S88">_xlfn.CHOOSECOLS(Fertiliser_Equations_LeachingAndRunoff.VEERG_5_5_1_1__1_FertiliserLeachingAndRunoffN2OEmissions_Arguments(), 3,4)</f>
        <v>kg N</v>
      </c>
      <c r="S85" s="114" t="str">
        <v>Calculated from 5.5.1.1 (2)</v>
      </c>
      <c r="T85" s="109"/>
    </row>
    <row r="86" spans="1:20" x14ac:dyDescent="0.25">
      <c r="A86"/>
      <c r="D86" s="109" t="str">
        <v>M_leachorganicj</v>
      </c>
      <c r="E86" s="110" t="str">
        <v>mass of nitrogen lost through leaching and runoff from organic fertiliser application</v>
      </c>
      <c r="F86" s="111"/>
      <c r="G86" s="112"/>
      <c r="H86" s="109" t="str">
        <v>kg N</v>
      </c>
      <c r="I86" s="114" t="str">
        <v>Calculated from 5.5.1.1 (3)</v>
      </c>
      <c r="J86" s="109">
        <f>E74</f>
        <v>240</v>
      </c>
      <c r="N86" s="109" t="str">
        <v>M_leachorganicj</v>
      </c>
      <c r="O86" s="110" t="str">
        <v>mass of nitrogen lost through leaching and runoff from organic fertiliser application</v>
      </c>
      <c r="P86" s="111"/>
      <c r="Q86" s="112"/>
      <c r="R86" s="109" t="str">
        <v>kg N</v>
      </c>
      <c r="S86" s="114" t="str">
        <v>Calculated from 5.5.1.1 (3)</v>
      </c>
      <c r="T86" s="109">
        <f>O74</f>
        <v>480</v>
      </c>
    </row>
    <row r="87" spans="1:20" x14ac:dyDescent="0.25">
      <c r="A87"/>
      <c r="D87" s="109" t="str">
        <v>EF_leach</v>
      </c>
      <c r="E87" s="110" t="str">
        <v>emission factor for nitrogen leaching and runoff</v>
      </c>
      <c r="F87" s="111"/>
      <c r="G87" s="112"/>
      <c r="H87" s="109" t="str">
        <v>kg N2O-N/kg N</v>
      </c>
      <c r="I87" s="114" t="str">
        <v>Constant</v>
      </c>
      <c r="J87" s="109">
        <f>Fertiliser_EFLeach_Data</f>
        <v>1.0999999999999999E-2</v>
      </c>
      <c r="N87" s="109" t="str">
        <v>EF_leach</v>
      </c>
      <c r="O87" s="110" t="str">
        <v>emission factor for nitrogen leaching and runoff</v>
      </c>
      <c r="P87" s="111"/>
      <c r="Q87" s="112"/>
      <c r="R87" s="109" t="str">
        <v>kg N2O-N/kg N</v>
      </c>
      <c r="S87" s="114" t="str">
        <v>Constant</v>
      </c>
      <c r="T87" s="109"/>
    </row>
    <row r="88" spans="1:20" x14ac:dyDescent="0.25">
      <c r="A88"/>
      <c r="D88" s="109" t="str">
        <v>C_N2O</v>
      </c>
      <c r="E88" s="110" t="str">
        <v>factor to convert elemental mass of nitrous oxide to molecular mass</v>
      </c>
      <c r="F88" s="111"/>
      <c r="G88" s="112"/>
      <c r="H88" s="109" t="str">
        <v/>
      </c>
      <c r="I88" s="114" t="str">
        <v>Constant</v>
      </c>
      <c r="J88" s="124">
        <f>Common_InputFunctions.Utility_LookupValueInTableNumber("N2O",Table_GasToMolecularConversionFactor[Gas],Table_GasToMolecularConversionFactor[Conversion factor combined])</f>
        <v>1.5714285714285714</v>
      </c>
      <c r="N88" s="109" t="str">
        <v>C_N2O</v>
      </c>
      <c r="O88" s="110" t="str">
        <v>factor to convert elemental mass of nitrous oxide to molecular mass</v>
      </c>
      <c r="P88" s="111"/>
      <c r="Q88" s="112"/>
      <c r="R88" s="109" t="str">
        <v/>
      </c>
      <c r="S88" s="114" t="str">
        <v>Constant</v>
      </c>
      <c r="T88" s="124"/>
    </row>
    <row r="89" spans="1:20" x14ac:dyDescent="0.25">
      <c r="A89"/>
    </row>
    <row r="90" spans="1:20" ht="23.25" x14ac:dyDescent="0.25">
      <c r="A90"/>
      <c r="D90" s="121" t="s">
        <v>714</v>
      </c>
      <c r="E90" s="122" cm="1">
        <f t="array" ref="E90">Fertiliser_Equations_LeachingAndRunoff.VEERG_5_5_1_1__1_FertiliserLeachingAndRunoffN2OEmissions(J85,J86,J87,J88)</f>
        <v>4.1485714285714277E-3</v>
      </c>
      <c r="F90" s="123" t="str">
        <f>$E$83</f>
        <v>t N2O</v>
      </c>
      <c r="N90" s="121" t="s">
        <v>714</v>
      </c>
      <c r="O90" s="122" cm="1">
        <f t="array" ref="O90">Fertiliser_Equations_LeachingAndRunoff.VEERG_5_5_1_1__1_FertiliserLeachingAndRunoffN2OEmissions(J85,T86,J87,J88)</f>
        <v>8.2971428571428554E-3</v>
      </c>
      <c r="P90" s="123"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67627-271A-490E-AC7E-E8A45612BA1A}">
  <dimension ref="A1:V483"/>
  <sheetViews>
    <sheetView showGridLines="0" topLeftCell="A36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469</v>
      </c>
    </row>
    <row r="2" spans="1:21" s="3" customFormat="1" ht="20.100000000000001" customHeight="1" x14ac:dyDescent="0.25">
      <c r="A2"/>
    </row>
    <row r="3" spans="1:21" ht="20.100000000000001" customHeight="1" x14ac:dyDescent="0.25">
      <c r="A3" s="5"/>
      <c r="C3" s="33"/>
      <c r="D3" s="33"/>
      <c r="E3" s="33"/>
      <c r="F3" s="33"/>
      <c r="G3" s="33"/>
      <c r="H3" s="33"/>
      <c r="I3" s="33"/>
      <c r="J3" s="33"/>
      <c r="K3" s="33"/>
      <c r="L3" s="33"/>
      <c r="M3" s="33"/>
      <c r="N3" s="33"/>
      <c r="O3" s="33"/>
      <c r="P3" s="33"/>
      <c r="Q3" s="33"/>
      <c r="R3" s="33"/>
      <c r="S3" s="33"/>
      <c r="T3" s="33"/>
      <c r="U3" s="33"/>
    </row>
    <row r="4" spans="1:21" ht="20.100000000000001" customHeight="1" x14ac:dyDescent="0.25">
      <c r="A4" s="5"/>
      <c r="M4" s="8"/>
    </row>
    <row r="5" spans="1:21" ht="20.100000000000001" customHeight="1" x14ac:dyDescent="0.25">
      <c r="A5" s="5"/>
      <c r="D5" s="2" t="s">
        <v>470</v>
      </c>
      <c r="G5" s="2" t="s">
        <v>471</v>
      </c>
      <c r="M5" s="1" t="s">
        <v>472</v>
      </c>
      <c r="O5" s="1" t="s">
        <v>473</v>
      </c>
      <c r="Q5" s="1" t="s">
        <v>474</v>
      </c>
      <c r="S5" s="1" t="s">
        <v>475</v>
      </c>
    </row>
    <row r="6" spans="1:21" ht="20.100000000000001" customHeight="1" x14ac:dyDescent="0.25">
      <c r="M6" s="1"/>
    </row>
    <row r="7" spans="1:21" ht="20.100000000000001" customHeight="1" x14ac:dyDescent="0.25">
      <c r="D7" s="30" t="s">
        <v>185</v>
      </c>
      <c r="G7" s="30" t="s">
        <v>70</v>
      </c>
      <c r="M7" t="s">
        <v>476</v>
      </c>
      <c r="O7" s="30" t="s">
        <v>476</v>
      </c>
      <c r="Q7" s="30" t="s">
        <v>476</v>
      </c>
      <c r="S7" s="30" t="s">
        <v>476</v>
      </c>
    </row>
    <row r="8" spans="1:21" ht="20.100000000000001" customHeight="1" x14ac:dyDescent="0.25">
      <c r="A8" s="7"/>
      <c r="D8" s="30" t="str">
        <f>'Constants - Common'!$F$187</f>
        <v>Pasture</v>
      </c>
      <c r="G8" s="30" t="s">
        <v>477</v>
      </c>
      <c r="M8" s="30" t="s">
        <v>307</v>
      </c>
      <c r="O8" s="30" t="s">
        <v>478</v>
      </c>
      <c r="Q8" s="30" t="s">
        <v>479</v>
      </c>
      <c r="S8" s="30" t="s">
        <v>480</v>
      </c>
    </row>
    <row r="9" spans="1:21" ht="20.100000000000001" customHeight="1" x14ac:dyDescent="0.25">
      <c r="A9" s="5"/>
      <c r="D9" s="1" t="str">
        <f>'Constants - Common'!$F$188</f>
        <v>Crop</v>
      </c>
      <c r="G9" s="30" t="s">
        <v>481</v>
      </c>
      <c r="M9" s="30" t="s">
        <v>482</v>
      </c>
      <c r="O9" s="30" t="s">
        <v>483</v>
      </c>
      <c r="Q9" s="30" t="s">
        <v>484</v>
      </c>
    </row>
    <row r="10" spans="1:21" ht="20.100000000000001" customHeight="1" x14ac:dyDescent="0.25">
      <c r="A10" s="5"/>
      <c r="G10" s="1" t="s">
        <v>341</v>
      </c>
      <c r="M10" s="30" t="s">
        <v>485</v>
      </c>
      <c r="O10" s="30" t="s">
        <v>486</v>
      </c>
      <c r="Q10" s="30" t="s">
        <v>487</v>
      </c>
      <c r="S10" s="1" t="s">
        <v>488</v>
      </c>
    </row>
    <row r="11" spans="1:21" ht="20.100000000000001" customHeight="1" x14ac:dyDescent="0.25">
      <c r="A11" s="5"/>
      <c r="G11" s="1" t="s">
        <v>489</v>
      </c>
      <c r="M11" s="1"/>
      <c r="Q11" s="30" t="s">
        <v>490</v>
      </c>
    </row>
    <row r="12" spans="1:21" ht="20.100000000000001" customHeight="1" x14ac:dyDescent="0.25">
      <c r="A12" s="5"/>
      <c r="G12" s="1" t="s">
        <v>491</v>
      </c>
      <c r="M12" s="1"/>
      <c r="S12" s="30" t="s">
        <v>476</v>
      </c>
    </row>
    <row r="13" spans="1:21" ht="20.100000000000001" customHeight="1" x14ac:dyDescent="0.25">
      <c r="A13" s="5"/>
      <c r="M13" s="1"/>
      <c r="S13" s="30" t="s">
        <v>480</v>
      </c>
    </row>
    <row r="14" spans="1:21" ht="20.100000000000001" customHeight="1" x14ac:dyDescent="0.25">
      <c r="A14" s="5"/>
      <c r="D14" s="2" t="str" cm="1">
        <f t="array" ref="D14">SourceData_PastureBeef.SourceData_PastureBeef_Liveweight_Title()</f>
        <v>Beef pasture cattle - Liveweight (kg) (Wjkl)</v>
      </c>
      <c r="M14" s="1"/>
    </row>
    <row r="15" spans="1:21" ht="20.100000000000001" customHeight="1" x14ac:dyDescent="0.25">
      <c r="A15" s="5"/>
      <c r="D15" s="27" t="str" cm="1">
        <f t="array" ref="D15">SourceData_PastureBeef.SourceData_PastureBeef_Liveweight_Source()</f>
        <v>VEERG 2026: Table A.1.2.1</v>
      </c>
      <c r="M15" s="1"/>
      <c r="S15" s="1" t="s">
        <v>492</v>
      </c>
    </row>
    <row r="16" spans="1:21" ht="20.100000000000001" customHeight="1" x14ac:dyDescent="0.25">
      <c r="A16" s="5"/>
      <c r="D16" s="1" t="str" cm="1">
        <f t="array" ref="D16">SourceData_PastureBeef.SourceData_PastureBeef_Liveweight_Variable()</f>
        <v>Wjkl</v>
      </c>
      <c r="M16" s="1"/>
    </row>
    <row r="17" spans="1:19" ht="20.100000000000001" customHeight="1" x14ac:dyDescent="0.25">
      <c r="A17" s="5"/>
      <c r="D17" s="15" t="str" cm="1">
        <f t="array" ref="D17">SourceData_PastureBeef.SourceData_PastureBeef_Liveweight_Unit()</f>
        <v>kg</v>
      </c>
      <c r="M17" s="1"/>
      <c r="O17" s="1" t="s">
        <v>493</v>
      </c>
      <c r="S17" s="30" t="s">
        <v>476</v>
      </c>
    </row>
    <row r="18" spans="1:19" ht="20.100000000000001" customHeight="1" x14ac:dyDescent="0.25">
      <c r="A18" s="5"/>
      <c r="D18" s="30" t="s">
        <v>105</v>
      </c>
      <c r="E18" s="30" t="s">
        <v>476</v>
      </c>
      <c r="F18" s="30" t="s">
        <v>74</v>
      </c>
      <c r="G18" s="30" t="s">
        <v>494</v>
      </c>
      <c r="H18" s="30" t="s">
        <v>495</v>
      </c>
      <c r="I18" s="30" t="s">
        <v>496</v>
      </c>
      <c r="J18" s="30" t="s">
        <v>497</v>
      </c>
      <c r="K18" s="30" t="s">
        <v>498</v>
      </c>
      <c r="L18" s="30" t="s">
        <v>499</v>
      </c>
      <c r="M18" s="30" t="s">
        <v>500</v>
      </c>
      <c r="O18" s="30" t="s">
        <v>501</v>
      </c>
      <c r="S18" s="30" t="s">
        <v>480</v>
      </c>
    </row>
    <row r="19" spans="1:19" ht="20.100000000000001" customHeight="1" x14ac:dyDescent="0.25">
      <c r="A19" s="5"/>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312</v>
      </c>
    </row>
    <row r="20" spans="1:19" ht="20.100000000000001" customHeight="1" x14ac:dyDescent="0.25">
      <c r="A20" s="5"/>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198</v>
      </c>
      <c r="S20" s="1" t="s">
        <v>502</v>
      </c>
    </row>
    <row r="21" spans="1:19" ht="20.100000000000001" customHeight="1" x14ac:dyDescent="0.25">
      <c r="A21" s="5"/>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313</v>
      </c>
    </row>
    <row r="22" spans="1:19" ht="20.100000000000001" customHeight="1" x14ac:dyDescent="0.25">
      <c r="A22" s="5"/>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314</v>
      </c>
      <c r="S22" s="30" t="s">
        <v>476</v>
      </c>
    </row>
    <row r="23" spans="1:19" ht="20.100000000000001" customHeight="1" x14ac:dyDescent="0.25">
      <c r="A23" s="5"/>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315</v>
      </c>
      <c r="S23" s="30" t="s">
        <v>480</v>
      </c>
    </row>
    <row r="24" spans="1:19" ht="20.100000000000001" customHeight="1" x14ac:dyDescent="0.25">
      <c r="A24" s="5"/>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316</v>
      </c>
    </row>
    <row r="25" spans="1:19" ht="20.100000000000001" customHeight="1" x14ac:dyDescent="0.25">
      <c r="A25" s="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317</v>
      </c>
      <c r="S25" s="1" t="s">
        <v>503</v>
      </c>
    </row>
    <row r="26" spans="1:19" ht="20.100000000000001" customHeight="1" x14ac:dyDescent="0.25">
      <c r="A26" s="5"/>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318</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319</v>
      </c>
      <c r="S27" s="30" t="s">
        <v>476</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320</v>
      </c>
      <c r="S28" s="30" t="s">
        <v>480</v>
      </c>
    </row>
    <row r="29" spans="1:19" ht="20.100000000000001" customHeight="1" x14ac:dyDescent="0.25">
      <c r="A29" s="6"/>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504</v>
      </c>
    </row>
    <row r="32" spans="1:19" ht="20.100000000000001" customHeight="1" x14ac:dyDescent="0.25">
      <c r="A32" s="5"/>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476</v>
      </c>
      <c r="P32" s="30" t="s">
        <v>505</v>
      </c>
    </row>
    <row r="33" spans="1:16" ht="20.100000000000001" customHeight="1" x14ac:dyDescent="0.25">
      <c r="A33" s="5"/>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506</v>
      </c>
      <c r="P33" s="30" t="s">
        <v>507</v>
      </c>
    </row>
    <row r="34" spans="1:16" ht="20.100000000000001" customHeight="1" x14ac:dyDescent="0.25">
      <c r="A34" s="5"/>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507</v>
      </c>
      <c r="P34" s="30" t="s">
        <v>507</v>
      </c>
    </row>
    <row r="35" spans="1:16" ht="20.100000000000001" customHeight="1" x14ac:dyDescent="0.25">
      <c r="A35" s="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508</v>
      </c>
      <c r="P35" s="30" t="s">
        <v>508</v>
      </c>
    </row>
    <row r="36" spans="1:16" ht="20.100000000000001" customHeight="1" x14ac:dyDescent="0.25">
      <c r="A36" s="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509</v>
      </c>
      <c r="P36" s="30" t="s">
        <v>509</v>
      </c>
    </row>
    <row r="37" spans="1:16" ht="20.100000000000001" customHeight="1" x14ac:dyDescent="0.25">
      <c r="A37" s="5"/>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510</v>
      </c>
      <c r="P37" s="30" t="s">
        <v>510</v>
      </c>
    </row>
    <row r="38" spans="1:16" ht="20.100000000000001" customHeight="1" x14ac:dyDescent="0.25">
      <c r="A38" s="5"/>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511</v>
      </c>
      <c r="P38" s="30" t="s">
        <v>512</v>
      </c>
    </row>
    <row r="39" spans="1:16" ht="20.100000000000001" customHeight="1" x14ac:dyDescent="0.25">
      <c r="A39" s="5"/>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513</v>
      </c>
      <c r="P39" s="30" t="s">
        <v>512</v>
      </c>
    </row>
    <row r="40" spans="1:16" ht="20.100000000000001" customHeight="1" x14ac:dyDescent="0.25">
      <c r="A40" s="5"/>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514</v>
      </c>
      <c r="P40" s="30" t="s">
        <v>512</v>
      </c>
    </row>
    <row r="41" spans="1:16" ht="20.100000000000001" customHeight="1" x14ac:dyDescent="0.25">
      <c r="A41" s="5"/>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515</v>
      </c>
      <c r="P41" s="30" t="s">
        <v>516</v>
      </c>
    </row>
    <row r="42" spans="1:16" ht="20.100000000000001" customHeight="1" x14ac:dyDescent="0.25">
      <c r="A42" s="5"/>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517</v>
      </c>
      <c r="P42" s="30" t="s">
        <v>516</v>
      </c>
    </row>
    <row r="43" spans="1:16" ht="20.100000000000001" customHeight="1" x14ac:dyDescent="0.25">
      <c r="A43" s="5"/>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518</v>
      </c>
      <c r="P43" s="30" t="s">
        <v>516</v>
      </c>
    </row>
    <row r="44" spans="1:16" ht="20.100000000000001" customHeight="1" x14ac:dyDescent="0.25">
      <c r="A44" s="5"/>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519</v>
      </c>
      <c r="P44" s="30" t="s">
        <v>520</v>
      </c>
    </row>
    <row r="45" spans="1:16" ht="20.100000000000001" customHeight="1" x14ac:dyDescent="0.25">
      <c r="A45" s="5"/>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521</v>
      </c>
      <c r="P45" s="30" t="s">
        <v>520</v>
      </c>
    </row>
    <row r="46" spans="1:16" ht="20.100000000000001" customHeight="1" x14ac:dyDescent="0.25">
      <c r="A46" s="5"/>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522</v>
      </c>
      <c r="P46" s="30" t="s">
        <v>520</v>
      </c>
    </row>
    <row r="47" spans="1:16" ht="20.100000000000001" customHeight="1" x14ac:dyDescent="0.25">
      <c r="A47" s="5"/>
      <c r="M47" s="1"/>
      <c r="O47" s="30" t="s">
        <v>523</v>
      </c>
      <c r="P47" s="30" t="s">
        <v>520</v>
      </c>
    </row>
    <row r="48" spans="1:16" ht="20.100000000000001" customHeight="1" x14ac:dyDescent="0.25">
      <c r="A48" s="5"/>
      <c r="M48" s="1"/>
      <c r="O48" s="1" t="s">
        <v>524</v>
      </c>
      <c r="P48" s="1" t="s">
        <v>524</v>
      </c>
    </row>
    <row r="49" spans="1:16" ht="20.100000000000001" customHeight="1" x14ac:dyDescent="0.25">
      <c r="D49" s="2" t="str" cm="1">
        <f t="array" ref="D49">SourceData_PastureBeef.SourceData_PastureBeef_LiveweightNTQLD_Title()</f>
        <v>Beef pasture cattle - Liveweight (kg) (Wjkl) for NT and QLD</v>
      </c>
      <c r="M49" s="1"/>
    </row>
    <row r="50" spans="1:16" ht="20.100000000000001" customHeight="1" x14ac:dyDescent="0.25">
      <c r="D50" s="27" t="str" cm="1">
        <f t="array" ref="D50">SourceData_PastureBeef.SourceData_PastureBeef_LiveweightNTQLD_Source()</f>
        <v>VEERG 2026: Table A.1.2.2</v>
      </c>
      <c r="M50" s="1"/>
    </row>
    <row r="51" spans="1:16" ht="20.100000000000001" customHeight="1" x14ac:dyDescent="0.25">
      <c r="A51" s="100"/>
      <c r="D51" s="1" t="str" cm="1">
        <f t="array" ref="D51">SourceData_PastureBeef.SourceData_PastureBeef_LiveweightNTQLD_Variable()</f>
        <v>Wjkl</v>
      </c>
      <c r="M51" s="1"/>
    </row>
    <row r="52" spans="1:16" ht="20.100000000000001" customHeight="1" x14ac:dyDescent="0.25">
      <c r="A52" s="101"/>
      <c r="D52" s="15" t="str" cm="1">
        <f t="array" ref="D52">SourceData_PastureBeef.SourceData_PastureBeef_LiveweightNTQLD_Unit()</f>
        <v>kg</v>
      </c>
      <c r="M52" s="1"/>
    </row>
    <row r="53" spans="1:16" ht="20.100000000000001" customHeight="1" x14ac:dyDescent="0.25">
      <c r="A53" s="5"/>
      <c r="D53" s="30" t="s">
        <v>105</v>
      </c>
      <c r="E53" s="30" t="s">
        <v>476</v>
      </c>
      <c r="F53" s="30" t="s">
        <v>74</v>
      </c>
      <c r="G53" s="30" t="s">
        <v>525</v>
      </c>
      <c r="H53" s="30" t="s">
        <v>526</v>
      </c>
      <c r="I53" s="30" t="s">
        <v>527</v>
      </c>
      <c r="J53" s="30" t="s">
        <v>528</v>
      </c>
      <c r="K53" s="30" t="s">
        <v>529</v>
      </c>
      <c r="L53" s="30" t="s">
        <v>530</v>
      </c>
      <c r="M53" s="30" t="s">
        <v>531</v>
      </c>
      <c r="N53" s="30" t="s">
        <v>532</v>
      </c>
      <c r="O53" s="30" t="s">
        <v>533</v>
      </c>
      <c r="P53" s="30" t="s">
        <v>534</v>
      </c>
    </row>
    <row r="54" spans="1:16" ht="20.100000000000001" customHeight="1" x14ac:dyDescent="0.25">
      <c r="A54" s="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s="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s="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535</v>
      </c>
      <c r="M84" s="1"/>
    </row>
    <row r="85" spans="4:22" ht="20.100000000000001" customHeight="1" x14ac:dyDescent="0.25">
      <c r="D85" s="30" t="s">
        <v>105</v>
      </c>
      <c r="E85" s="30" t="s">
        <v>476</v>
      </c>
      <c r="F85" s="30" t="s">
        <v>74</v>
      </c>
      <c r="G85" s="133" t="s">
        <v>312</v>
      </c>
      <c r="H85" s="133" t="s">
        <v>198</v>
      </c>
      <c r="I85" s="133" t="s">
        <v>313</v>
      </c>
      <c r="J85" s="133" t="s">
        <v>314</v>
      </c>
      <c r="K85" s="133" t="s">
        <v>315</v>
      </c>
      <c r="L85" s="133" t="s">
        <v>316</v>
      </c>
      <c r="M85" s="133" t="s">
        <v>317</v>
      </c>
      <c r="N85" s="133" t="s">
        <v>318</v>
      </c>
      <c r="O85" s="133" t="s">
        <v>319</v>
      </c>
      <c r="P85" s="133" t="s">
        <v>320</v>
      </c>
      <c r="V85" s="1"/>
    </row>
    <row r="86" spans="4:22" ht="20.100000000000001" customHeight="1" x14ac:dyDescent="0.25">
      <c r="D86" s="30" t="s">
        <v>506</v>
      </c>
      <c r="E86" s="30" t="s">
        <v>480</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506</v>
      </c>
      <c r="E87" s="30" t="s">
        <v>480</v>
      </c>
      <c r="F87" s="30" t="s">
        <v>322</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506</v>
      </c>
      <c r="E88" s="30" t="s">
        <v>480</v>
      </c>
      <c r="F88" s="30" t="s">
        <v>323</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506</v>
      </c>
      <c r="E89" s="30" t="s">
        <v>480</v>
      </c>
      <c r="F89" s="30" t="s">
        <v>324</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507</v>
      </c>
      <c r="E90" s="30" t="s">
        <v>480</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507</v>
      </c>
      <c r="E91" s="30" t="s">
        <v>480</v>
      </c>
      <c r="F91" s="30" t="s">
        <v>322</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507</v>
      </c>
      <c r="E92" s="30" t="s">
        <v>480</v>
      </c>
      <c r="F92" s="30" t="s">
        <v>323</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507</v>
      </c>
      <c r="E93" s="30" t="s">
        <v>480</v>
      </c>
      <c r="F93" s="30" t="s">
        <v>324</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508</v>
      </c>
      <c r="E94" s="30" t="s">
        <v>480</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508</v>
      </c>
      <c r="E95" s="30" t="s">
        <v>480</v>
      </c>
      <c r="F95" s="30" t="s">
        <v>322</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508</v>
      </c>
      <c r="E96" s="30" t="s">
        <v>480</v>
      </c>
      <c r="F96" s="30" t="s">
        <v>323</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508</v>
      </c>
      <c r="E97" s="30" t="s">
        <v>480</v>
      </c>
      <c r="F97" s="30" t="s">
        <v>324</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509</v>
      </c>
      <c r="E98" s="30" t="s">
        <v>480</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509</v>
      </c>
      <c r="E99" s="30" t="s">
        <v>480</v>
      </c>
      <c r="F99" s="30" t="s">
        <v>322</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509</v>
      </c>
      <c r="E100" s="30" t="s">
        <v>480</v>
      </c>
      <c r="F100" s="30" t="s">
        <v>323</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509</v>
      </c>
      <c r="E101" s="30" t="s">
        <v>480</v>
      </c>
      <c r="F101" s="30" t="s">
        <v>324</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510</v>
      </c>
      <c r="E102" s="30" t="s">
        <v>480</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510</v>
      </c>
      <c r="E103" s="30" t="s">
        <v>480</v>
      </c>
      <c r="F103" s="30" t="s">
        <v>322</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510</v>
      </c>
      <c r="E104" s="30" t="s">
        <v>480</v>
      </c>
      <c r="F104" s="30" t="s">
        <v>323</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510</v>
      </c>
      <c r="E105" s="30" t="s">
        <v>480</v>
      </c>
      <c r="F105" s="30" t="s">
        <v>324</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512</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512</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512</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512</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512</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512</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512</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512</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512</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512</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512</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512</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516</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516</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516</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516</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516</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516</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516</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516</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516</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516</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516</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516</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520</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520</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520</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520</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520</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520</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520</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520</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520</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520</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520</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520</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520</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520</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520</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520</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524</v>
      </c>
      <c r="E146" s="1" t="s">
        <v>480</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524</v>
      </c>
      <c r="E147" s="1" t="s">
        <v>480</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524</v>
      </c>
      <c r="E148" s="1" t="s">
        <v>480</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524</v>
      </c>
      <c r="E149" s="1" t="s">
        <v>480</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105</v>
      </c>
      <c r="E154" s="30" t="s">
        <v>476</v>
      </c>
      <c r="F154" s="30" t="s">
        <v>74</v>
      </c>
      <c r="G154" s="30" t="s">
        <v>525</v>
      </c>
      <c r="H154" s="30" t="s">
        <v>526</v>
      </c>
      <c r="I154" s="30" t="s">
        <v>536</v>
      </c>
      <c r="J154" s="30" t="s">
        <v>497</v>
      </c>
      <c r="K154" s="30" t="s">
        <v>537</v>
      </c>
      <c r="L154" s="30" t="s">
        <v>531</v>
      </c>
      <c r="M154" s="30" t="s">
        <v>538</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105</v>
      </c>
      <c r="E189" s="30" t="s">
        <v>476</v>
      </c>
      <c r="F189" s="30" t="s">
        <v>74</v>
      </c>
      <c r="G189" s="30" t="s">
        <v>525</v>
      </c>
      <c r="H189" s="30" t="s">
        <v>526</v>
      </c>
      <c r="I189" s="30" t="s">
        <v>536</v>
      </c>
      <c r="J189" s="30" t="s">
        <v>497</v>
      </c>
      <c r="K189" s="30" t="s">
        <v>539</v>
      </c>
      <c r="L189" s="30" t="s">
        <v>540</v>
      </c>
      <c r="M189" s="30" t="s">
        <v>531</v>
      </c>
      <c r="N189" s="30" t="s">
        <v>532</v>
      </c>
      <c r="O189" s="30" t="s">
        <v>533</v>
      </c>
      <c r="P189" s="30" t="s">
        <v>534</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535</v>
      </c>
      <c r="M220" s="1"/>
    </row>
    <row r="221" spans="4:16" x14ac:dyDescent="0.25">
      <c r="M221" s="1"/>
    </row>
    <row r="222" spans="4:16" x14ac:dyDescent="0.25">
      <c r="D222" s="30" t="s">
        <v>105</v>
      </c>
      <c r="E222" s="30" t="s">
        <v>476</v>
      </c>
      <c r="F222" s="30" t="s">
        <v>74</v>
      </c>
      <c r="G222" s="133" t="s">
        <v>312</v>
      </c>
      <c r="H222" s="133" t="s">
        <v>198</v>
      </c>
      <c r="I222" s="133" t="s">
        <v>313</v>
      </c>
      <c r="J222" s="133" t="s">
        <v>314</v>
      </c>
      <c r="K222" s="133" t="s">
        <v>315</v>
      </c>
      <c r="L222" s="133" t="s">
        <v>316</v>
      </c>
      <c r="M222" s="133" t="s">
        <v>317</v>
      </c>
      <c r="N222" s="133" t="s">
        <v>318</v>
      </c>
      <c r="O222" s="133" t="s">
        <v>319</v>
      </c>
      <c r="P222" s="133" t="s">
        <v>320</v>
      </c>
    </row>
    <row r="223" spans="4:16" x14ac:dyDescent="0.25">
      <c r="D223" s="30" t="s">
        <v>506</v>
      </c>
      <c r="E223" s="30" t="s">
        <v>480</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506</v>
      </c>
      <c r="E224" s="30" t="s">
        <v>480</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506</v>
      </c>
      <c r="E225" s="30" t="s">
        <v>480</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506</v>
      </c>
      <c r="E226" s="30" t="s">
        <v>480</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507</v>
      </c>
      <c r="E227" s="30" t="s">
        <v>480</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507</v>
      </c>
      <c r="E228" s="30" t="s">
        <v>480</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507</v>
      </c>
      <c r="E229" s="30" t="s">
        <v>480</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507</v>
      </c>
      <c r="E230" s="30" t="s">
        <v>480</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508</v>
      </c>
      <c r="E231" s="30" t="s">
        <v>480</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508</v>
      </c>
      <c r="E232" s="30" t="s">
        <v>480</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508</v>
      </c>
      <c r="E233" s="30" t="s">
        <v>480</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508</v>
      </c>
      <c r="E234" s="30" t="s">
        <v>480</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509</v>
      </c>
      <c r="E235" s="30" t="s">
        <v>480</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509</v>
      </c>
      <c r="E236" s="30" t="s">
        <v>480</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509</v>
      </c>
      <c r="E237" s="30" t="s">
        <v>480</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509</v>
      </c>
      <c r="E238" s="30" t="s">
        <v>480</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510</v>
      </c>
      <c r="E239" s="30" t="s">
        <v>480</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510</v>
      </c>
      <c r="E240" s="30" t="s">
        <v>480</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510</v>
      </c>
      <c r="E241" s="30" t="s">
        <v>480</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510</v>
      </c>
      <c r="E242" s="30" t="s">
        <v>480</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512</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512</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512</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512</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512</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512</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512</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512</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512</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512</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512</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512</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516</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516</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516</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516</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516</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516</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516</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516</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516</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516</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516</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516</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520</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520</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520</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520</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520</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520</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520</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520</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520</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520</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520</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520</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520</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520</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520</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520</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105</v>
      </c>
      <c r="E290" s="30" t="s">
        <v>476</v>
      </c>
      <c r="F290" s="30" t="s">
        <v>321</v>
      </c>
      <c r="G290" s="30" t="s">
        <v>322</v>
      </c>
      <c r="H290" s="30" t="s">
        <v>323</v>
      </c>
      <c r="I290" s="30" t="s">
        <v>324</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105</v>
      </c>
      <c r="E313" s="30" t="s">
        <v>476</v>
      </c>
      <c r="F313" s="30" t="s">
        <v>321</v>
      </c>
      <c r="G313" s="30" t="s">
        <v>322</v>
      </c>
      <c r="H313" s="30" t="s">
        <v>323</v>
      </c>
      <c r="I313" s="30" t="s">
        <v>324</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541</v>
      </c>
      <c r="M333" s="1"/>
    </row>
    <row r="334" spans="4:13" x14ac:dyDescent="0.25">
      <c r="D334" s="30" t="s">
        <v>542</v>
      </c>
      <c r="E334" s="30" t="s">
        <v>74</v>
      </c>
      <c r="F334" s="30" t="s">
        <v>543</v>
      </c>
      <c r="G334" s="30" t="s">
        <v>544</v>
      </c>
      <c r="I334" s="30" t="s">
        <v>542</v>
      </c>
      <c r="J334" s="30" t="s">
        <v>74</v>
      </c>
      <c r="K334" s="30" t="s">
        <v>543</v>
      </c>
      <c r="L334" s="30" t="s">
        <v>544</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343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371</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343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371</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105</v>
      </c>
      <c r="E350" s="30" t="s">
        <v>545</v>
      </c>
      <c r="F350" s="30" t="s">
        <v>546</v>
      </c>
      <c r="G350" s="30" t="s">
        <v>527</v>
      </c>
      <c r="H350" s="30" t="s">
        <v>528</v>
      </c>
      <c r="I350" s="30" t="s">
        <v>547</v>
      </c>
      <c r="J350" s="30" t="s">
        <v>531</v>
      </c>
      <c r="K350" s="30" t="s">
        <v>538</v>
      </c>
      <c r="L350" s="30" t="s">
        <v>548</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105</v>
      </c>
      <c r="E361" s="133" t="s">
        <v>312</v>
      </c>
      <c r="F361" s="133" t="s">
        <v>198</v>
      </c>
      <c r="G361" s="133" t="s">
        <v>313</v>
      </c>
      <c r="H361" s="133" t="s">
        <v>314</v>
      </c>
      <c r="I361" s="133" t="s">
        <v>315</v>
      </c>
      <c r="J361" s="133" t="s">
        <v>316</v>
      </c>
      <c r="K361" s="133" t="s">
        <v>317</v>
      </c>
      <c r="L361" s="133" t="s">
        <v>318</v>
      </c>
      <c r="M361" s="133" t="s">
        <v>319</v>
      </c>
      <c r="N361" s="133" t="s">
        <v>320</v>
      </c>
      <c r="O361" s="30" t="s">
        <v>548</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4" t="s">
        <v>549</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105</v>
      </c>
      <c r="E377" s="30" t="s">
        <v>476</v>
      </c>
      <c r="F377" s="30" t="s">
        <v>89</v>
      </c>
      <c r="G377" s="30" t="s">
        <v>550</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105</v>
      </c>
      <c r="E400" s="30" t="s">
        <v>476</v>
      </c>
      <c r="F400" s="30" t="s">
        <v>89</v>
      </c>
      <c r="G400" s="30" t="s">
        <v>550</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551</v>
      </c>
      <c r="E442" s="30" t="s">
        <v>149</v>
      </c>
      <c r="F442" s="30" t="s">
        <v>552</v>
      </c>
      <c r="G442" s="30" t="s">
        <v>553</v>
      </c>
      <c r="H442" s="30" t="s">
        <v>554</v>
      </c>
      <c r="I442" s="30" t="s">
        <v>555</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49448-1197-41D7-86B6-16F1BE3AEA68}">
  <dimension ref="A1:AI235"/>
  <sheetViews>
    <sheetView showGridLines="0" topLeftCell="B1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990</v>
      </c>
      <c r="AG1"/>
      <c r="AH1"/>
      <c r="AI1"/>
    </row>
    <row r="2" spans="1:35" s="3" customFormat="1" ht="20.100000000000001" customHeight="1" x14ac:dyDescent="0.25">
      <c r="A2"/>
      <c r="AG2"/>
      <c r="AH2"/>
      <c r="AI2"/>
    </row>
    <row r="3" spans="1:35" ht="20.100000000000001" customHeight="1" x14ac:dyDescent="0.25">
      <c r="A3" s="5"/>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row>
    <row r="5" spans="1:35" ht="20.100000000000001" customHeight="1" x14ac:dyDescent="0.25">
      <c r="A5" s="5"/>
      <c r="D5" s="2" t="str" cm="1">
        <f t="array" ref="D5">Agresidue_SourceData.CropPurposeAndYield_Title()</f>
        <v>Crop purpose and yield</v>
      </c>
    </row>
    <row r="6" spans="1:35" ht="20.100000000000001" customHeight="1" x14ac:dyDescent="0.25"/>
    <row r="7" spans="1:35" ht="20.100000000000001" customHeight="1" x14ac:dyDescent="0.25">
      <c r="D7" s="248" t="s">
        <v>991</v>
      </c>
      <c r="E7" s="248" t="s">
        <v>992</v>
      </c>
      <c r="F7" s="248" t="s">
        <v>993</v>
      </c>
      <c r="G7" s="248" t="s">
        <v>994</v>
      </c>
      <c r="H7" s="248" t="s">
        <v>995</v>
      </c>
      <c r="I7" s="248" t="s">
        <v>996</v>
      </c>
      <c r="J7" s="248" t="s">
        <v>997</v>
      </c>
      <c r="K7" s="248" t="s">
        <v>998</v>
      </c>
      <c r="AG7" s="1"/>
      <c r="AH7" s="1"/>
      <c r="AI7" s="1"/>
    </row>
    <row r="8" spans="1:35" ht="20.100000000000001" customHeight="1" x14ac:dyDescent="0.25">
      <c r="A8" s="7"/>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row>
    <row r="12" spans="1:35" ht="20.100000000000001" customHeight="1" x14ac:dyDescent="0.25">
      <c r="A12" s="5"/>
    </row>
    <row r="13" spans="1:35" ht="20.100000000000001" customHeight="1" x14ac:dyDescent="0.25">
      <c r="A13" s="5"/>
    </row>
    <row r="14" spans="1:35" ht="20.100000000000001" customHeight="1" x14ac:dyDescent="0.25">
      <c r="A14" s="5"/>
    </row>
    <row r="15" spans="1:35" ht="20.100000000000001" customHeight="1" x14ac:dyDescent="0.25">
      <c r="A15" s="5"/>
      <c r="D15" s="2" t="str" cm="1">
        <f t="array" ref="D15">Agresidue_SourceData.CropAttributes_Title()</f>
        <v>Table A.2.1.1: Crop attributes</v>
      </c>
      <c r="E15" s="8"/>
      <c r="F15" s="8"/>
      <c r="G15" s="8"/>
      <c r="H15" s="8"/>
      <c r="I15" s="8"/>
      <c r="J15" s="8"/>
      <c r="K15" s="8"/>
      <c r="L15" s="8"/>
    </row>
    <row r="16" spans="1:35" ht="20.100000000000001" customHeight="1" x14ac:dyDescent="0.25">
      <c r="A16" s="5"/>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c r="D18" s="8"/>
      <c r="E18" s="8"/>
      <c r="F18" s="8"/>
      <c r="G18" s="8"/>
      <c r="H18" s="8"/>
      <c r="I18" s="8"/>
      <c r="J18" s="8"/>
      <c r="K18" s="8"/>
      <c r="L18" s="8"/>
    </row>
    <row r="19" spans="1:14" ht="20.100000000000001" customHeight="1" x14ac:dyDescent="0.25">
      <c r="A19" s="5"/>
      <c r="D19" t="s">
        <v>186</v>
      </c>
      <c r="E19" t="s">
        <v>999</v>
      </c>
      <c r="F19" t="s">
        <v>1000</v>
      </c>
      <c r="G19" t="s">
        <v>1001</v>
      </c>
      <c r="H19" t="s">
        <v>1002</v>
      </c>
      <c r="I19" t="s">
        <v>1003</v>
      </c>
      <c r="J19" t="s">
        <v>1004</v>
      </c>
      <c r="K19" t="s">
        <v>1005</v>
      </c>
      <c r="L19" t="s">
        <v>1006</v>
      </c>
      <c r="N19" s="2" t="s">
        <v>471</v>
      </c>
    </row>
    <row r="20" spans="1:14" ht="20.100000000000001" customHeight="1" x14ac:dyDescent="0.25">
      <c r="A20" s="5"/>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70</v>
      </c>
    </row>
    <row r="22" spans="1:14" ht="20.100000000000001" customHeight="1" x14ac:dyDescent="0.25">
      <c r="A22" s="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477</v>
      </c>
    </row>
    <row r="23" spans="1:14" ht="20.100000000000001" customHeight="1" x14ac:dyDescent="0.25">
      <c r="A23" s="5"/>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481</v>
      </c>
    </row>
    <row r="24" spans="1:14" ht="20.100000000000001" customHeight="1" x14ac:dyDescent="0.25">
      <c r="A24" s="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341</v>
      </c>
    </row>
    <row r="25" spans="1:14" ht="20.100000000000001" customHeight="1" x14ac:dyDescent="0.25">
      <c r="A25" s="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489</v>
      </c>
    </row>
    <row r="26" spans="1:14" ht="20.100000000000001" customHeight="1" x14ac:dyDescent="0.25">
      <c r="A26" s="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491</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6"/>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c r="D38" s="8"/>
      <c r="E38" s="8"/>
      <c r="F38" s="8"/>
      <c r="G38" s="8"/>
      <c r="H38" s="8"/>
      <c r="I38" s="8"/>
      <c r="J38" s="8"/>
      <c r="K38" s="8"/>
      <c r="L38" s="8"/>
    </row>
    <row r="39" spans="1:13" ht="20.100000000000001" customHeight="1" x14ac:dyDescent="0.25">
      <c r="A39" s="5"/>
      <c r="D39" s="8"/>
      <c r="E39" s="8"/>
      <c r="F39" s="8"/>
      <c r="G39" s="8"/>
      <c r="H39" s="8"/>
      <c r="I39" s="8"/>
      <c r="J39" s="8"/>
      <c r="K39" s="8"/>
      <c r="L39" s="8"/>
    </row>
    <row r="40" spans="1:13" ht="20.100000000000001" customHeight="1" x14ac:dyDescent="0.25">
      <c r="A40" s="5"/>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c r="D41" s="27" t="str" cm="1">
        <f t="array" ref="D41">Agresidue_SourceData.N2OEFOrganicFertiliser_Source()</f>
        <v>VEERG 2026: Table A.2.1.4</v>
      </c>
      <c r="E41" s="35"/>
      <c r="F41" s="35"/>
      <c r="G41" s="8"/>
      <c r="H41" s="8"/>
      <c r="I41" s="8"/>
      <c r="J41" s="8"/>
      <c r="K41" s="8"/>
      <c r="L41" s="8"/>
    </row>
    <row r="42" spans="1:13" ht="20.100000000000001" customHeight="1" x14ac:dyDescent="0.25">
      <c r="A42" s="5"/>
      <c r="D42" s="27"/>
      <c r="E42" s="35"/>
      <c r="F42" s="35"/>
      <c r="H42" s="8"/>
      <c r="I42" s="8"/>
      <c r="M42" s="35"/>
    </row>
    <row r="43" spans="1:13" ht="20.100000000000001" customHeight="1" x14ac:dyDescent="0.25">
      <c r="A43" s="5"/>
      <c r="D43" s="188" t="s">
        <v>1007</v>
      </c>
      <c r="E43" s="188" t="s">
        <v>1008</v>
      </c>
      <c r="F43" s="35"/>
      <c r="H43" s="8"/>
      <c r="I43" s="8"/>
      <c r="M43" s="35"/>
    </row>
    <row r="44" spans="1:13" ht="20.100000000000001" customHeight="1" x14ac:dyDescent="0.25">
      <c r="A44" s="5"/>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c r="H46" s="8"/>
      <c r="I46" s="8"/>
      <c r="M46" s="35"/>
    </row>
    <row r="47" spans="1:13" ht="20.100000000000001" customHeight="1" x14ac:dyDescent="0.25">
      <c r="A47" s="5"/>
      <c r="M47" s="35"/>
    </row>
    <row r="48" spans="1:13" ht="20.100000000000001" customHeight="1" x14ac:dyDescent="0.25">
      <c r="A48" s="5"/>
      <c r="D48" s="2" t="str" cm="1">
        <f t="array" ref="D48">Agresidue_SourceData.PastureAttributes_Title()</f>
        <v>Table A.2.1.3 Pasture attributes</v>
      </c>
      <c r="K48" s="8"/>
      <c r="L48" s="8"/>
    </row>
    <row r="49" spans="1:12" ht="20.100000000000001" customHeight="1" x14ac:dyDescent="0.25">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A51" s="100"/>
      <c r="D51" s="30" t="s">
        <v>285</v>
      </c>
      <c r="E51" s="30" t="s">
        <v>1009</v>
      </c>
      <c r="F51" s="30" t="s">
        <v>1010</v>
      </c>
      <c r="G51" s="30" t="s">
        <v>1011</v>
      </c>
      <c r="H51" s="30" t="s">
        <v>1012</v>
      </c>
      <c r="I51" s="30" t="s">
        <v>1013</v>
      </c>
      <c r="K51" s="8"/>
      <c r="L51" s="8"/>
    </row>
    <row r="52" spans="1:12" ht="20.100000000000001" customHeight="1" x14ac:dyDescent="0.25">
      <c r="A52" s="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101"/>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c r="H57" s="8"/>
    </row>
    <row r="58" spans="1:12" ht="20.100000000000001" customHeight="1" x14ac:dyDescent="0.25">
      <c r="A58" s="5"/>
    </row>
    <row r="59" spans="1:12" ht="20.100000000000001" customHeight="1" x14ac:dyDescent="0.25">
      <c r="A59" s="5"/>
      <c r="D59" s="2" t="str" cm="1">
        <f t="array" ref="D59">AgResidues_SourceData.BurningOfAgriculturalResiduesEFs_Title()</f>
        <v>Table 5.31 Burning of agricultural residues - EFs</v>
      </c>
    </row>
    <row r="60" spans="1:12" ht="20.100000000000001" customHeight="1" x14ac:dyDescent="0.25">
      <c r="A60" s="5"/>
      <c r="D60" s="27" t="str" cm="1">
        <f t="array" ref="D60">AgResidues_SourceData.BurningOfAgriculturalResiduesEFs_Source()</f>
        <v>National Inventory Report 2023 volume 2: Table 5.31: Burning of agricultural residues - EFs</v>
      </c>
    </row>
    <row r="61" spans="1:12" ht="20.100000000000001" customHeight="1" x14ac:dyDescent="0.25">
      <c r="A61" s="5"/>
    </row>
    <row r="62" spans="1:12" ht="20.100000000000001" customHeight="1" x14ac:dyDescent="0.25">
      <c r="D62" s="30" t="s">
        <v>1014</v>
      </c>
      <c r="E62" s="30" t="s">
        <v>1015</v>
      </c>
      <c r="F62" s="30" t="s">
        <v>1016</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1017</v>
      </c>
      <c r="E73" t="s">
        <v>105</v>
      </c>
      <c r="F73" t="s">
        <v>1018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1017</v>
      </c>
      <c r="E92" t="s">
        <v>105</v>
      </c>
      <c r="F92" t="s">
        <v>1018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F9CB7-1445-4F86-92F1-AA5852F8B416}">
  <dimension ref="A1:M65"/>
  <sheetViews>
    <sheetView showGridLines="0" topLeftCell="A1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1276</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c r="C3" s="33"/>
      <c r="D3" s="33"/>
      <c r="E3" s="33"/>
      <c r="F3" s="33"/>
      <c r="G3" s="33"/>
      <c r="H3" s="33"/>
      <c r="I3" s="33"/>
      <c r="J3" s="33"/>
      <c r="K3" s="33"/>
      <c r="L3" s="33"/>
      <c r="M3" s="33"/>
    </row>
    <row r="4" spans="1:13" ht="20.100000000000001" customHeight="1" x14ac:dyDescent="0.25">
      <c r="A4" s="5"/>
    </row>
    <row r="5" spans="1:13" ht="20.100000000000001" customHeight="1" x14ac:dyDescent="0.25">
      <c r="A5" s="5"/>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c r="D9" s="37" t="s">
        <v>1277</v>
      </c>
      <c r="E9" s="30" t="s">
        <v>337</v>
      </c>
      <c r="F9" s="30" t="s">
        <v>1278</v>
      </c>
      <c r="G9" s="35"/>
    </row>
    <row r="10" spans="1:13" ht="20.100000000000001" customHeight="1" x14ac:dyDescent="0.25">
      <c r="A10" s="5"/>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G28" s="35"/>
      <c r="H28" s="35"/>
    </row>
    <row r="29" spans="1:8" ht="20.100000000000001" customHeight="1" x14ac:dyDescent="0.25">
      <c r="A29" s="6"/>
      <c r="D29" s="2" t="str" cm="1">
        <f t="array" ref="D29">CommonLivestock_SourceData.SourceData_Livestock_Product_BeefCattle_Title()</f>
        <v>Beef cattle products for scope 3</v>
      </c>
    </row>
    <row r="30" spans="1:8" ht="20.100000000000001" customHeight="1" x14ac:dyDescent="0.25">
      <c r="A30" s="5"/>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c r="D31" s="30" t="s">
        <v>149</v>
      </c>
      <c r="E31" s="30" t="s">
        <v>1279</v>
      </c>
      <c r="F31" s="1" t="s">
        <v>1280</v>
      </c>
    </row>
    <row r="32" spans="1:8" ht="20.100000000000001" customHeight="1" x14ac:dyDescent="0.25">
      <c r="A32" s="5"/>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row>
    <row r="41" spans="1:6" ht="20.100000000000001" customHeight="1" x14ac:dyDescent="0.25">
      <c r="A41" s="5"/>
      <c r="D41" s="2" t="str" cm="1">
        <f t="array" ref="D41">CommonLivestock_SourceData.SourceData_Livestock_Product_Sheep_Title()</f>
        <v>Sheep products for scope 3</v>
      </c>
    </row>
    <row r="42" spans="1:6" ht="20.100000000000001" customHeight="1" x14ac:dyDescent="0.25">
      <c r="A42" s="5"/>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c r="D43" s="30" t="s">
        <v>149</v>
      </c>
      <c r="E43" s="30" t="s">
        <v>1279</v>
      </c>
      <c r="F43" s="1" t="s">
        <v>1281</v>
      </c>
    </row>
    <row r="44" spans="1:6" ht="20.100000000000001" customHeight="1" x14ac:dyDescent="0.25">
      <c r="A44" s="5"/>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00"/>
    </row>
    <row r="52" spans="1:6" ht="20.100000000000001" customHeight="1" x14ac:dyDescent="0.25">
      <c r="A52" s="5"/>
      <c r="D52" s="2" t="str" cm="1">
        <f t="array" ref="D52">CommonLivestock_SourceData.SourceData_Livestock_Product_Chickens_Title()</f>
        <v>Chickens products for scope 3</v>
      </c>
    </row>
    <row r="53" spans="1:6" ht="20.100000000000001" customHeight="1" x14ac:dyDescent="0.25">
      <c r="A53" s="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101"/>
      <c r="D54" s="30" t="s">
        <v>149</v>
      </c>
      <c r="E54" s="30" t="s">
        <v>1279</v>
      </c>
      <c r="F54" s="1" t="s">
        <v>1282</v>
      </c>
    </row>
    <row r="55" spans="1:6" ht="20.100000000000001" customHeight="1" x14ac:dyDescent="0.25">
      <c r="A55" s="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row>
    <row r="57" spans="1:6" ht="20.100000000000001" customHeight="1" x14ac:dyDescent="0.25">
      <c r="A57" s="5"/>
      <c r="D57" s="2" t="str" cm="1">
        <f t="array" ref="D57">CommonLivestock_SourceData.SourceData_Livestock_Product_Dairycattle_Title()</f>
        <v>Dairy cattle products for scope 3</v>
      </c>
    </row>
    <row r="58" spans="1:6" ht="20.100000000000001" customHeight="1" x14ac:dyDescent="0.25">
      <c r="A58" s="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c r="D59" s="30" t="s">
        <v>149</v>
      </c>
      <c r="E59" s="30" t="s">
        <v>1279</v>
      </c>
      <c r="F59" s="1" t="s">
        <v>1283</v>
      </c>
    </row>
    <row r="60" spans="1:6" ht="20.100000000000001" customHeight="1" x14ac:dyDescent="0.25">
      <c r="A60" s="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s="5"/>
    </row>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149</v>
      </c>
      <c r="E64" s="30" t="s">
        <v>1279</v>
      </c>
      <c r="F64" s="1" t="s">
        <v>1284</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BCA0B-F473-49C8-BBCF-B2BAEED1B913}">
  <dimension ref="A1:AI165"/>
  <sheetViews>
    <sheetView showGridLines="0" topLeftCell="A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787</v>
      </c>
      <c r="AG1"/>
      <c r="AH1"/>
      <c r="AI1"/>
    </row>
    <row r="2" spans="1:35" s="3" customFormat="1" ht="20.100000000000001" customHeight="1" x14ac:dyDescent="0.25">
      <c r="A2"/>
      <c r="AG2"/>
      <c r="AH2"/>
      <c r="AI2"/>
    </row>
    <row r="3" spans="1:35" ht="20.100000000000001" customHeight="1" x14ac:dyDescent="0.25">
      <c r="A3" s="5"/>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row>
    <row r="5" spans="1:35" ht="20.100000000000001" customHeight="1" x14ac:dyDescent="0.25">
      <c r="A5" s="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c r="D8" s="8"/>
      <c r="E8" s="8"/>
      <c r="F8" s="8"/>
    </row>
    <row r="9" spans="1:35" ht="20.100000000000001" customHeight="1" x14ac:dyDescent="0.25">
      <c r="A9" s="5"/>
      <c r="D9" s="197" t="s">
        <v>788</v>
      </c>
      <c r="E9" s="197" t="s">
        <v>789</v>
      </c>
      <c r="F9" s="197" t="s">
        <v>790</v>
      </c>
    </row>
    <row r="10" spans="1:35" ht="20.100000000000001" customHeight="1" x14ac:dyDescent="0.25">
      <c r="A10" s="5"/>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row>
    <row r="21" spans="1:8" ht="20.100000000000001" customHeight="1" x14ac:dyDescent="0.25">
      <c r="A21" s="5"/>
      <c r="D21" s="2" t="str" cm="1">
        <f t="array" ref="D21">Electricity_SourceData.Electricity_Scope2Scope3MarketBased_Title()</f>
        <v>Electricity scope 2 and scope 3 market-based emission factors</v>
      </c>
    </row>
    <row r="22" spans="1:8" ht="20.100000000000001" customHeight="1" x14ac:dyDescent="0.25">
      <c r="A22" s="5"/>
      <c r="D22" s="27" t="str" cm="1">
        <f t="array" ref="D22">Electricity_SourceData.Electricity_Scope2Scope3MarketBased_Source()</f>
        <v>Australian National Greenhouse Accounts Factors 2025 - Table 2a</v>
      </c>
    </row>
    <row r="23" spans="1:8" ht="20.100000000000001" customHeight="1" x14ac:dyDescent="0.25">
      <c r="A23" s="5"/>
    </row>
    <row r="24" spans="1:8" ht="20.100000000000001" customHeight="1" x14ac:dyDescent="0.25">
      <c r="A24" s="5"/>
      <c r="D24" s="188" t="s">
        <v>788</v>
      </c>
      <c r="E24" s="188" t="s">
        <v>791</v>
      </c>
      <c r="F24" s="188" t="s">
        <v>792</v>
      </c>
      <c r="G24" s="188" t="s">
        <v>793</v>
      </c>
      <c r="H24" s="188" t="s">
        <v>794</v>
      </c>
    </row>
    <row r="25" spans="1:8" ht="20.100000000000001" customHeight="1" x14ac:dyDescent="0.25">
      <c r="A25" s="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row>
    <row r="27" spans="1:8" ht="20.100000000000001" customHeight="1" x14ac:dyDescent="0.25"/>
    <row r="28" spans="1:8" ht="20.100000000000001" customHeight="1" x14ac:dyDescent="0.25"/>
    <row r="29" spans="1:8" ht="20.100000000000001" customHeight="1" x14ac:dyDescent="0.25">
      <c r="A29" s="6"/>
    </row>
    <row r="30" spans="1:8" ht="20.100000000000001" customHeight="1" x14ac:dyDescent="0.25">
      <c r="A30" s="5"/>
    </row>
    <row r="31" spans="1:8" ht="20.100000000000001" customHeight="1" x14ac:dyDescent="0.25">
      <c r="A31" s="5"/>
    </row>
    <row r="32" spans="1:8" ht="20.100000000000001" customHeight="1" x14ac:dyDescent="0.25">
      <c r="A32" s="5"/>
    </row>
    <row r="33" spans="1:1" ht="20.100000000000001" customHeight="1" x14ac:dyDescent="0.25">
      <c r="A33" s="5"/>
    </row>
    <row r="34" spans="1:1" ht="20.100000000000001" customHeight="1" x14ac:dyDescent="0.25">
      <c r="A34" s="5"/>
    </row>
    <row r="35" spans="1:1" ht="20.100000000000001" customHeight="1" x14ac:dyDescent="0.25">
      <c r="A35" s="5"/>
    </row>
    <row r="36" spans="1:1" ht="20.100000000000001" customHeight="1" x14ac:dyDescent="0.25">
      <c r="A36" s="5"/>
    </row>
    <row r="37" spans="1:1" ht="20.100000000000001" customHeight="1" x14ac:dyDescent="0.25">
      <c r="A37" s="5"/>
    </row>
    <row r="38" spans="1:1" ht="20.100000000000001" customHeight="1" x14ac:dyDescent="0.25">
      <c r="A38" s="5"/>
    </row>
    <row r="39" spans="1:1" ht="20.100000000000001" customHeight="1" x14ac:dyDescent="0.25">
      <c r="A39" s="5"/>
    </row>
    <row r="40" spans="1:1" ht="20.100000000000001" customHeight="1" x14ac:dyDescent="0.25">
      <c r="A40" s="5"/>
    </row>
    <row r="41" spans="1:1" ht="20.100000000000001" customHeight="1" x14ac:dyDescent="0.25">
      <c r="A41" s="5"/>
    </row>
    <row r="42" spans="1:1" ht="20.100000000000001" customHeight="1" x14ac:dyDescent="0.25">
      <c r="A42" s="5"/>
    </row>
    <row r="43" spans="1:1" ht="20.100000000000001" customHeight="1" x14ac:dyDescent="0.25">
      <c r="A43" s="5"/>
    </row>
    <row r="44" spans="1:1" ht="20.100000000000001" customHeight="1" x14ac:dyDescent="0.25">
      <c r="A44" s="5"/>
    </row>
    <row r="45" spans="1:1" ht="20.100000000000001" customHeight="1" x14ac:dyDescent="0.25">
      <c r="A45" s="5"/>
    </row>
    <row r="46" spans="1:1" ht="20.100000000000001" customHeight="1" x14ac:dyDescent="0.25">
      <c r="A46" s="5"/>
    </row>
    <row r="47" spans="1:1" ht="20.100000000000001" customHeight="1" x14ac:dyDescent="0.25">
      <c r="A47" s="5"/>
    </row>
    <row r="48" spans="1:1"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101"/>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D20E6-B908-43DC-AE9E-4E5580470913}">
  <dimension ref="A1:AM223"/>
  <sheetViews>
    <sheetView showGridLines="0" topLeftCell="A12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1" customFormat="1" ht="30" customHeight="1" x14ac:dyDescent="0.35">
      <c r="A1" s="16" t="e" vm="1">
        <v>#VALUE!</v>
      </c>
      <c r="C1" s="31" t="s">
        <v>715</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row>
    <row r="4" spans="1:36" ht="20.100000000000001" customHeight="1" x14ac:dyDescent="0.25">
      <c r="A4" s="5"/>
    </row>
    <row r="5" spans="1:36" ht="20.100000000000001" customHeight="1" x14ac:dyDescent="0.25">
      <c r="A5" s="5"/>
      <c r="D5" s="2" t="str" cm="1">
        <f t="array" ref="D5">Fertiliser_SourceData.Fertiliser_ChemicalCompoundElements_Title()</f>
        <v>Common inorganic fertilisers</v>
      </c>
      <c r="E5" s="179"/>
      <c r="F5" s="179"/>
      <c r="G5" s="179"/>
      <c r="H5" s="179"/>
      <c r="I5" s="179"/>
      <c r="J5" s="179"/>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6" t="str" cm="1">
        <f t="array" ref="D7:D18">Fertiliser_SourceData.Fertiliser_ChemicalCompoundElements_Variation()</f>
        <v>VARIATION ON SOURCE</v>
      </c>
    </row>
    <row r="8" spans="1:36" ht="20.100000000000001" customHeight="1" x14ac:dyDescent="0.25">
      <c r="A8" s="7"/>
      <c r="D8" s="36" t="str">
        <v>Added 'Basis' column to allow cross-referencing with table Table A.2.2.6: Fraction of inorganic fertiliser f that volatilises as NH3 and NOx ((kg NH3-N + NOx-N)/kg N) (FracGASFf)</v>
      </c>
    </row>
    <row r="9" spans="1:36" ht="20.100000000000001" customHeight="1" x14ac:dyDescent="0.25">
      <c r="A9" s="5"/>
      <c r="D9" s="36" t="str">
        <v>Added extra fertiliser types and generic chemical compounds to allow for custom NPKS blends</v>
      </c>
    </row>
    <row r="10" spans="1:36" ht="20.100000000000001" customHeight="1" x14ac:dyDescent="0.25">
      <c r="A10" s="5"/>
      <c r="D10" s="36" t="str">
        <v>Added extra 'Scope 3 definition' column to allow mapping with scope 3 data</v>
      </c>
    </row>
    <row r="11" spans="1:36" ht="20.100000000000001" customHeight="1" x14ac:dyDescent="0.25">
      <c r="A11" s="5"/>
      <c r="D11" s="36" t="str">
        <v>Added 'Source' column</v>
      </c>
    </row>
    <row r="12" spans="1:36" ht="20.100000000000001" customHeight="1" x14ac:dyDescent="0.25">
      <c r="A12" s="5"/>
      <c r="D12" s="36" t="str">
        <v>Combined data from Table A.2.2.3 and Table A.2.2.4 into one table to aid lookup.</v>
      </c>
    </row>
    <row r="13" spans="1:36" ht="20.100000000000001" customHeight="1" x14ac:dyDescent="0.25">
      <c r="A13" s="5"/>
      <c r="D13" s="36" t="str">
        <v>Excluded 'References' column</v>
      </c>
    </row>
    <row r="14" spans="1:36" ht="20.100000000000001" customHeight="1" x14ac:dyDescent="0.25">
      <c r="A14" s="5"/>
      <c r="D14" s="36" t="str">
        <v>Excluded 'Ammonium sulfate' as it is a duplicate of 'Sulphate of ammonia (SOA)'</v>
      </c>
    </row>
    <row r="15" spans="1:36" ht="20.100000000000001" customHeight="1" x14ac:dyDescent="0.25">
      <c r="A15" s="5"/>
      <c r="D15" s="36" t="str">
        <v>Excluded 'Calcium nitrate' as no scope 3 value available.</v>
      </c>
    </row>
    <row r="16" spans="1:36" ht="20.100000000000001" customHeight="1" x14ac:dyDescent="0.25">
      <c r="A16" s="5"/>
      <c r="D16" s="36" t="str">
        <v>Set 'Nitrogen - Generic' basis as 'Urea-based fertilisers, as urea is the most commonly used form of nitrogen in Australian fertilisers</v>
      </c>
    </row>
    <row r="17" spans="1:22" ht="20.100000000000001" customHeight="1" x14ac:dyDescent="0.25">
      <c r="A17" s="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c r="D19" t="s">
        <v>633</v>
      </c>
      <c r="E19" t="s">
        <v>716</v>
      </c>
      <c r="F19" t="s">
        <v>717</v>
      </c>
      <c r="G19" t="s">
        <v>691</v>
      </c>
      <c r="H19" t="s">
        <v>718</v>
      </c>
      <c r="I19" t="s">
        <v>719</v>
      </c>
      <c r="K19" s="30" t="s">
        <v>633</v>
      </c>
      <c r="L19" s="30" t="s">
        <v>716</v>
      </c>
      <c r="Q19" s="30" t="s">
        <v>633</v>
      </c>
      <c r="R19" s="30" t="s">
        <v>716</v>
      </c>
      <c r="V19" s="30" t="s">
        <v>719</v>
      </c>
    </row>
    <row r="20" spans="1:22" ht="20.100000000000001" customHeight="1" x14ac:dyDescent="0.25">
      <c r="A20" s="5"/>
      <c r="D20" s="188" t="str" cm="1">
        <f t="array" ref="D20">Common_InputFunctions.Utility_DisplayArrayInTable(Fertiliser_SourceData.Fertiliser_ChemicalCompoundElements_Data(),Table_Fertiliser_ChemicalCompounds[[#Headers],[Fertiliser type f]], 0)</f>
        <v>Monoammonium phosphate (MAP)</v>
      </c>
      <c r="E20" s="188" cm="1">
        <f t="array" ref="E20">Common_InputFunctions.Utility_DisplayArrayInTable(Fertiliser_SourceData.Fertiliser_ChemicalCompoundElements_Data(),Table_Fertiliser_ChemicalCompounds[[#Headers],[Fertiliser type f]], 0)</f>
        <v>0.1</v>
      </c>
      <c r="F20" s="188" cm="1">
        <f t="array" ref="F20">Common_InputFunctions.Utility_DisplayArrayInTable(Fertiliser_SourceData.Fertiliser_ChemicalCompoundElements_Data(),Table_Fertiliser_ChemicalCompounds[[#Headers],[Fertiliser type f]], 0)</f>
        <v>0</v>
      </c>
      <c r="G20" s="188" t="str" cm="1">
        <f t="array" ref="G20">Common_InputFunctions.Utility_DisplayArrayInTable(Fertiliser_SourceData.Fertiliser_ChemicalCompoundElements_Data(),Table_Fertiliser_ChemicalCompounds[[#Headers],[Fertiliser type f]], 0)</f>
        <v>Ammonium-based fertilisers</v>
      </c>
      <c r="H20" s="188" t="str" cm="1">
        <f t="array" ref="H20">Common_InputFunctions.Utility_DisplayArrayInTable(Fertiliser_SourceData.Fertiliser_ChemicalCompoundElements_Data(),Table_Fertiliser_ChemicalCompounds[[#Headers],[Fertiliser type f]], 0)</f>
        <v>Monoammonium phosphate (MAP)</v>
      </c>
      <c r="I20" s="188"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c r="D21" s="188" t="str" cm="1">
        <f t="array" ref="D21">Common_InputFunctions.Utility_DisplayArrayInTable(Fertiliser_SourceData.Fertiliser_ChemicalCompoundElements_Data(),Table_Fertiliser_ChemicalCompounds[[#Headers],[Fertiliser type f]], 0)</f>
        <v>Diammonium phosphate (DAP)</v>
      </c>
      <c r="E21" s="188" cm="1">
        <f t="array" ref="E21">Common_InputFunctions.Utility_DisplayArrayInTable(Fertiliser_SourceData.Fertiliser_ChemicalCompoundElements_Data(),Table_Fertiliser_ChemicalCompounds[[#Headers],[Fertiliser type f]], 0)</f>
        <v>0.18</v>
      </c>
      <c r="F21" s="188" cm="1">
        <f t="array" ref="F21">Common_InputFunctions.Utility_DisplayArrayInTable(Fertiliser_SourceData.Fertiliser_ChemicalCompoundElements_Data(),Table_Fertiliser_ChemicalCompounds[[#Headers],[Fertiliser type f]], 0)</f>
        <v>0</v>
      </c>
      <c r="G21" s="188" t="str" cm="1">
        <f t="array" ref="G21">Common_InputFunctions.Utility_DisplayArrayInTable(Fertiliser_SourceData.Fertiliser_ChemicalCompoundElements_Data(),Table_Fertiliser_ChemicalCompounds[[#Headers],[Fertiliser type f]], 0)</f>
        <v>Ammonium-based fertilisers</v>
      </c>
      <c r="H21" s="188" t="str" cm="1">
        <f t="array" ref="H21">Common_InputFunctions.Utility_DisplayArrayInTable(Fertiliser_SourceData.Fertiliser_ChemicalCompoundElements_Data(),Table_Fertiliser_ChemicalCompounds[[#Headers],[Fertiliser type f]], 0)</f>
        <v>Diammonium phosphate (DAP)</v>
      </c>
      <c r="I21" s="188"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c r="D22" s="188" t="str" cm="1">
        <f t="array" ref="D22">Common_InputFunctions.Utility_DisplayArrayInTable(Fertiliser_SourceData.Fertiliser_ChemicalCompoundElements_Data(),Table_Fertiliser_ChemicalCompounds[[#Headers],[Fertiliser type f]], 0)</f>
        <v>Urea</v>
      </c>
      <c r="E22" s="188" cm="1">
        <f t="array" ref="E22">Common_InputFunctions.Utility_DisplayArrayInTable(Fertiliser_SourceData.Fertiliser_ChemicalCompoundElements_Data(),Table_Fertiliser_ChemicalCompounds[[#Headers],[Fertiliser type f]], 0)</f>
        <v>0.46</v>
      </c>
      <c r="F22" s="188" cm="1">
        <f t="array" ref="F22">Common_InputFunctions.Utility_DisplayArrayInTable(Fertiliser_SourceData.Fertiliser_ChemicalCompoundElements_Data(),Table_Fertiliser_ChemicalCompounds[[#Headers],[Fertiliser type f]], 0)</f>
        <v>1</v>
      </c>
      <c r="G22" s="188" t="str" cm="1">
        <f t="array" ref="G22">Common_InputFunctions.Utility_DisplayArrayInTable(Fertiliser_SourceData.Fertiliser_ChemicalCompoundElements_Data(),Table_Fertiliser_ChemicalCompounds[[#Headers],[Fertiliser type f]], 0)</f>
        <v>Urea-based fertilisers</v>
      </c>
      <c r="H22" s="188" t="str" cm="1">
        <f t="array" ref="H22">Common_InputFunctions.Utility_DisplayArrayInTable(Fertiliser_SourceData.Fertiliser_ChemicalCompoundElements_Data(),Table_Fertiliser_ChemicalCompounds[[#Headers],[Fertiliser type f]], 0)</f>
        <v>Urea</v>
      </c>
      <c r="I22" s="188"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c r="D23" s="188" t="str" cm="1">
        <f t="array" ref="D23">Common_InputFunctions.Utility_DisplayArrayInTable(Fertiliser_SourceData.Fertiliser_ChemicalCompoundElements_Data(),Table_Fertiliser_ChemicalCompounds[[#Headers],[Fertiliser type f]], 0)</f>
        <v>Sulphate of ammonia (SOA)</v>
      </c>
      <c r="E23" s="188" cm="1">
        <f t="array" ref="E23">Common_InputFunctions.Utility_DisplayArrayInTable(Fertiliser_SourceData.Fertiliser_ChemicalCompoundElements_Data(),Table_Fertiliser_ChemicalCompounds[[#Headers],[Fertiliser type f]], 0)</f>
        <v>0.21</v>
      </c>
      <c r="F23" s="188" cm="1">
        <f t="array" ref="F23">Common_InputFunctions.Utility_DisplayArrayInTable(Fertiliser_SourceData.Fertiliser_ChemicalCompoundElements_Data(),Table_Fertiliser_ChemicalCompounds[[#Headers],[Fertiliser type f]], 0)</f>
        <v>0</v>
      </c>
      <c r="G23" s="188" t="str" cm="1">
        <f t="array" ref="G23">Common_InputFunctions.Utility_DisplayArrayInTable(Fertiliser_SourceData.Fertiliser_ChemicalCompoundElements_Data(),Table_Fertiliser_ChemicalCompounds[[#Headers],[Fertiliser type f]], 0)</f>
        <v>Ammonium-based fertilisers</v>
      </c>
      <c r="H23" s="188" t="str" cm="1">
        <f t="array" ref="H23">Common_InputFunctions.Utility_DisplayArrayInTable(Fertiliser_SourceData.Fertiliser_ChemicalCompoundElements_Data(),Table_Fertiliser_ChemicalCompounds[[#Headers],[Fertiliser type f]], 0)</f>
        <v>Sulphate of ammonia (SOA)</v>
      </c>
      <c r="I23" s="188"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c r="D24" s="188" t="str" cm="1">
        <f t="array" ref="D24">Common_InputFunctions.Utility_DisplayArrayInTable(Fertiliser_SourceData.Fertiliser_ChemicalCompoundElements_Data(),Table_Fertiliser_ChemicalCompounds[[#Headers],[Fertiliser type f]], 0)</f>
        <v>Urea-ammonium nitrate (UAN)</v>
      </c>
      <c r="E24" s="188" cm="1">
        <f t="array" ref="E24">Common_InputFunctions.Utility_DisplayArrayInTable(Fertiliser_SourceData.Fertiliser_ChemicalCompoundElements_Data(),Table_Fertiliser_ChemicalCompounds[[#Headers],[Fertiliser type f]], 0)</f>
        <v>0.32</v>
      </c>
      <c r="F24" s="188" cm="1">
        <f t="array" ref="F24">Common_InputFunctions.Utility_DisplayArrayInTable(Fertiliser_SourceData.Fertiliser_ChemicalCompoundElements_Data(),Table_Fertiliser_ChemicalCompounds[[#Headers],[Fertiliser type f]], 0)</f>
        <v>0.35</v>
      </c>
      <c r="G24" s="188" t="str" cm="1">
        <f t="array" ref="G24">Common_InputFunctions.Utility_DisplayArrayInTable(Fertiliser_SourceData.Fertiliser_ChemicalCompoundElements_Data(),Table_Fertiliser_ChemicalCompounds[[#Headers],[Fertiliser type f]], 0)</f>
        <v>Urea-based fertilisers</v>
      </c>
      <c r="H24" s="188" t="str" cm="1">
        <f t="array" ref="H24">Common_InputFunctions.Utility_DisplayArrayInTable(Fertiliser_SourceData.Fertiliser_ChemicalCompoundElements_Data(),Table_Fertiliser_ChemicalCompounds[[#Headers],[Fertiliser type f]], 0)</f>
        <v>Urea-ammonium nitrate (UAN)</v>
      </c>
      <c r="I24" s="188"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c r="D25" s="188" t="str" cm="1">
        <f t="array" ref="D25">Common_InputFunctions.Utility_DisplayArrayInTable(Fertiliser_SourceData.Fertiliser_ChemicalCompoundElements_Data(),Table_Fertiliser_ChemicalCompounds[[#Headers],[Fertiliser type f]], 0)</f>
        <v>Ammonium nitrate (AN)</v>
      </c>
      <c r="E25" s="188" cm="1">
        <f t="array" ref="E25">Common_InputFunctions.Utility_DisplayArrayInTable(Fertiliser_SourceData.Fertiliser_ChemicalCompoundElements_Data(),Table_Fertiliser_ChemicalCompounds[[#Headers],[Fertiliser type f]], 0)</f>
        <v>0.33700000000000002</v>
      </c>
      <c r="F25" s="188" cm="1">
        <f t="array" ref="F25">Common_InputFunctions.Utility_DisplayArrayInTable(Fertiliser_SourceData.Fertiliser_ChemicalCompoundElements_Data(),Table_Fertiliser_ChemicalCompounds[[#Headers],[Fertiliser type f]], 0)</f>
        <v>0</v>
      </c>
      <c r="G25" s="188" t="str" cm="1">
        <f t="array" ref="G25">Common_InputFunctions.Utility_DisplayArrayInTable(Fertiliser_SourceData.Fertiliser_ChemicalCompoundElements_Data(),Table_Fertiliser_ChemicalCompounds[[#Headers],[Fertiliser type f]], 0)</f>
        <v>Ammonium-nitrate based fertilisers</v>
      </c>
      <c r="H25" s="188" t="str" cm="1">
        <f t="array" ref="H25">Common_InputFunctions.Utility_DisplayArrayInTable(Fertiliser_SourceData.Fertiliser_ChemicalCompoundElements_Data(),Table_Fertiliser_ChemicalCompounds[[#Headers],[Fertiliser type f]], 0)</f>
        <v>Ammonium nitrate (AN)</v>
      </c>
      <c r="I25" s="188"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c r="D26" s="188" t="str" cm="1">
        <f t="array" ref="D26">Common_InputFunctions.Utility_DisplayArrayInTable(Fertiliser_SourceData.Fertiliser_ChemicalCompoundElements_Data(),Table_Fertiliser_ChemicalCompounds[[#Headers],[Fertiliser type f]], 0)</f>
        <v>Calcium ammonium nitrate (CAN)</v>
      </c>
      <c r="E26" s="188" cm="1">
        <f t="array" ref="E26">Common_InputFunctions.Utility_DisplayArrayInTable(Fertiliser_SourceData.Fertiliser_ChemicalCompoundElements_Data(),Table_Fertiliser_ChemicalCompounds[[#Headers],[Fertiliser type f]], 0)</f>
        <v>0.27</v>
      </c>
      <c r="F26" s="188" cm="1">
        <f t="array" ref="F26">Common_InputFunctions.Utility_DisplayArrayInTable(Fertiliser_SourceData.Fertiliser_ChemicalCompoundElements_Data(),Table_Fertiliser_ChemicalCompounds[[#Headers],[Fertiliser type f]], 0)</f>
        <v>0</v>
      </c>
      <c r="G26" s="188" t="str" cm="1">
        <f t="array" ref="G26">Common_InputFunctions.Utility_DisplayArrayInTable(Fertiliser_SourceData.Fertiliser_ChemicalCompoundElements_Data(),Table_Fertiliser_ChemicalCompounds[[#Headers],[Fertiliser type f]], 0)</f>
        <v>Ammonium-nitrate based fertilisers</v>
      </c>
      <c r="H26" s="188" t="str" cm="1">
        <f t="array" ref="H26">Common_InputFunctions.Utility_DisplayArrayInTable(Fertiliser_SourceData.Fertiliser_ChemicalCompoundElements_Data(),Table_Fertiliser_ChemicalCompounds[[#Headers],[Fertiliser type f]], 0)</f>
        <v>Calcium ammonium nitrate (CAN)</v>
      </c>
      <c r="I26" s="188"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D27" s="188" t="str" cm="1">
        <f t="array" ref="D27">Common_InputFunctions.Utility_DisplayArrayInTable(Fertiliser_SourceData.Fertiliser_ChemicalCompoundElements_Data(),Table_Fertiliser_ChemicalCompounds[[#Headers],[Fertiliser type f]], 0)</f>
        <v>Nitrogen - Ammoniacal</v>
      </c>
      <c r="E27" s="188" cm="1">
        <f t="array" ref="E27">Common_InputFunctions.Utility_DisplayArrayInTable(Fertiliser_SourceData.Fertiliser_ChemicalCompoundElements_Data(),Table_Fertiliser_ChemicalCompounds[[#Headers],[Fertiliser type f]], 0)</f>
        <v>1</v>
      </c>
      <c r="F27" s="188" cm="1">
        <f t="array" ref="F27">Common_InputFunctions.Utility_DisplayArrayInTable(Fertiliser_SourceData.Fertiliser_ChemicalCompoundElements_Data(),Table_Fertiliser_ChemicalCompounds[[#Headers],[Fertiliser type f]], 0)</f>
        <v>0</v>
      </c>
      <c r="G27" s="188" t="str" cm="1">
        <f t="array" ref="G27">Common_InputFunctions.Utility_DisplayArrayInTable(Fertiliser_SourceData.Fertiliser_ChemicalCompoundElements_Data(),Table_Fertiliser_ChemicalCompounds[[#Headers],[Fertiliser type f]], 0)</f>
        <v>Ammonium-based fertilisers</v>
      </c>
      <c r="H27" s="188" t="str" cm="1">
        <f t="array" ref="H27">Common_InputFunctions.Utility_DisplayArrayInTable(Fertiliser_SourceData.Fertiliser_ChemicalCompoundElements_Data(),Table_Fertiliser_ChemicalCompounds[[#Headers],[Fertiliser type f]], 0)</f>
        <v>Nitrogen - Ammoniacal</v>
      </c>
      <c r="I27" s="188"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D28" s="188" t="str" cm="1">
        <f t="array" ref="D28">Common_InputFunctions.Utility_DisplayArrayInTable(Fertiliser_SourceData.Fertiliser_ChemicalCompoundElements_Data(),Table_Fertiliser_ChemicalCompounds[[#Headers],[Fertiliser type f]], 0)</f>
        <v>Nitrogen - Nitrate</v>
      </c>
      <c r="E28" s="188" cm="1">
        <f t="array" ref="E28">Common_InputFunctions.Utility_DisplayArrayInTable(Fertiliser_SourceData.Fertiliser_ChemicalCompoundElements_Data(),Table_Fertiliser_ChemicalCompounds[[#Headers],[Fertiliser type f]], 0)</f>
        <v>1</v>
      </c>
      <c r="F28" s="188" cm="1">
        <f t="array" ref="F28">Common_InputFunctions.Utility_DisplayArrayInTable(Fertiliser_SourceData.Fertiliser_ChemicalCompoundElements_Data(),Table_Fertiliser_ChemicalCompounds[[#Headers],[Fertiliser type f]], 0)</f>
        <v>0</v>
      </c>
      <c r="G28" s="188" t="str" cm="1">
        <f t="array" ref="G28">Common_InputFunctions.Utility_DisplayArrayInTable(Fertiliser_SourceData.Fertiliser_ChemicalCompoundElements_Data(),Table_Fertiliser_ChemicalCompounds[[#Headers],[Fertiliser type f]], 0)</f>
        <v>Nitrate-based fertilisers</v>
      </c>
      <c r="H28" s="188" t="str" cm="1">
        <f t="array" ref="H28">Common_InputFunctions.Utility_DisplayArrayInTable(Fertiliser_SourceData.Fertiliser_ChemicalCompoundElements_Data(),Table_Fertiliser_ChemicalCompounds[[#Headers],[Fertiliser type f]], 0)</f>
        <v>Nitrogen from Nitrate</v>
      </c>
      <c r="I28" s="188"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6"/>
      <c r="D29" s="188" t="str" cm="1">
        <f t="array" ref="D29">Common_InputFunctions.Utility_DisplayArrayInTable(Fertiliser_SourceData.Fertiliser_ChemicalCompoundElements_Data(),Table_Fertiliser_ChemicalCompounds[[#Headers],[Fertiliser type f]], 0)</f>
        <v>Nitrogen - Generic</v>
      </c>
      <c r="E29" s="188" cm="1">
        <f t="array" ref="E29">Common_InputFunctions.Utility_DisplayArrayInTable(Fertiliser_SourceData.Fertiliser_ChemicalCompoundElements_Data(),Table_Fertiliser_ChemicalCompounds[[#Headers],[Fertiliser type f]], 0)</f>
        <v>1</v>
      </c>
      <c r="F29" s="188" cm="1">
        <f t="array" ref="F29">Common_InputFunctions.Utility_DisplayArrayInTable(Fertiliser_SourceData.Fertiliser_ChemicalCompoundElements_Data(),Table_Fertiliser_ChemicalCompounds[[#Headers],[Fertiliser type f]], 0)</f>
        <v>0</v>
      </c>
      <c r="G29" s="188" t="str" cm="1">
        <f t="array" ref="G29">Common_InputFunctions.Utility_DisplayArrayInTable(Fertiliser_SourceData.Fertiliser_ChemicalCompoundElements_Data(),Table_Fertiliser_ChemicalCompounds[[#Headers],[Fertiliser type f]], 0)</f>
        <v>Urea-based fertilisers</v>
      </c>
      <c r="H29" s="188" t="str" cm="1">
        <f t="array" ref="H29">Common_InputFunctions.Utility_DisplayArrayInTable(Fertiliser_SourceData.Fertiliser_ChemicalCompoundElements_Data(),Table_Fertiliser_ChemicalCompounds[[#Headers],[Fertiliser type f]], 0)</f>
        <v>Nitrogen from fertiliser</v>
      </c>
      <c r="I29" s="18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c r="D30" s="188" t="str" cm="1">
        <f t="array" ref="D30">Common_InputFunctions.Utility_DisplayArrayInTable(Fertiliser_SourceData.Fertiliser_ChemicalCompoundElements_Data(),Table_Fertiliser_ChemicalCompounds[[#Headers],[Fertiliser type f]], 0)</f>
        <v>Phosphorus - Generic</v>
      </c>
      <c r="E30" s="188" cm="1">
        <f t="array" ref="E30">Common_InputFunctions.Utility_DisplayArrayInTable(Fertiliser_SourceData.Fertiliser_ChemicalCompoundElements_Data(),Table_Fertiliser_ChemicalCompounds[[#Headers],[Fertiliser type f]], 0)</f>
        <v>0</v>
      </c>
      <c r="F30" s="188" cm="1">
        <f t="array" ref="F30">Common_InputFunctions.Utility_DisplayArrayInTable(Fertiliser_SourceData.Fertiliser_ChemicalCompoundElements_Data(),Table_Fertiliser_ChemicalCompounds[[#Headers],[Fertiliser type f]], 0)</f>
        <v>0</v>
      </c>
      <c r="G30" s="188" t="str" cm="1">
        <f t="array" ref="G30">Common_InputFunctions.Utility_DisplayArrayInTable(Fertiliser_SourceData.Fertiliser_ChemicalCompoundElements_Data(),Table_Fertiliser_ChemicalCompounds[[#Headers],[Fertiliser type f]], 0)</f>
        <v>Other fertilisers</v>
      </c>
      <c r="H30" s="188" t="str" cm="1">
        <f t="array" ref="H30">Common_InputFunctions.Utility_DisplayArrayInTable(Fertiliser_SourceData.Fertiliser_ChemicalCompoundElements_Data(),Table_Fertiliser_ChemicalCompounds[[#Headers],[Fertiliser type f]], 0)</f>
        <v>Phosphorus from fertiliser</v>
      </c>
      <c r="I30" s="18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c r="D31" s="188" t="str" cm="1">
        <f t="array" ref="D31">Common_InputFunctions.Utility_DisplayArrayInTable(Fertiliser_SourceData.Fertiliser_ChemicalCompoundElements_Data(),Table_Fertiliser_ChemicalCompounds[[#Headers],[Fertiliser type f]], 0)</f>
        <v>Potassium - Generic</v>
      </c>
      <c r="E31" s="188" cm="1">
        <f t="array" ref="E31">Common_InputFunctions.Utility_DisplayArrayInTable(Fertiliser_SourceData.Fertiliser_ChemicalCompoundElements_Data(),Table_Fertiliser_ChemicalCompounds[[#Headers],[Fertiliser type f]], 0)</f>
        <v>0</v>
      </c>
      <c r="F31" s="188" cm="1">
        <f t="array" ref="F31">Common_InputFunctions.Utility_DisplayArrayInTable(Fertiliser_SourceData.Fertiliser_ChemicalCompoundElements_Data(),Table_Fertiliser_ChemicalCompounds[[#Headers],[Fertiliser type f]], 0)</f>
        <v>0</v>
      </c>
      <c r="G31" s="188" t="str" cm="1">
        <f t="array" ref="G31">Common_InputFunctions.Utility_DisplayArrayInTable(Fertiliser_SourceData.Fertiliser_ChemicalCompoundElements_Data(),Table_Fertiliser_ChemicalCompounds[[#Headers],[Fertiliser type f]], 0)</f>
        <v>Other fertilisers</v>
      </c>
      <c r="H31" s="188" t="str" cm="1">
        <f t="array" ref="H31">Common_InputFunctions.Utility_DisplayArrayInTable(Fertiliser_SourceData.Fertiliser_ChemicalCompoundElements_Data(),Table_Fertiliser_ChemicalCompounds[[#Headers],[Fertiliser type f]], 0)</f>
        <v>Potassium from fertiliser</v>
      </c>
      <c r="I31" s="18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c r="D32" s="188" t="str" cm="1">
        <f t="array" ref="D32">Common_InputFunctions.Utility_DisplayArrayInTable(Fertiliser_SourceData.Fertiliser_ChemicalCompoundElements_Data(),Table_Fertiliser_ChemicalCompounds[[#Headers],[Fertiliser type f]], 0)</f>
        <v>Sulfur - Generic</v>
      </c>
      <c r="E32" s="188" cm="1">
        <f t="array" ref="E32">Common_InputFunctions.Utility_DisplayArrayInTable(Fertiliser_SourceData.Fertiliser_ChemicalCompoundElements_Data(),Table_Fertiliser_ChemicalCompounds[[#Headers],[Fertiliser type f]], 0)</f>
        <v>0</v>
      </c>
      <c r="F32" s="188" cm="1">
        <f t="array" ref="F32">Common_InputFunctions.Utility_DisplayArrayInTable(Fertiliser_SourceData.Fertiliser_ChemicalCompoundElements_Data(),Table_Fertiliser_ChemicalCompounds[[#Headers],[Fertiliser type f]], 0)</f>
        <v>0</v>
      </c>
      <c r="G32" s="188" t="str" cm="1">
        <f t="array" ref="G32">Common_InputFunctions.Utility_DisplayArrayInTable(Fertiliser_SourceData.Fertiliser_ChemicalCompoundElements_Data(),Table_Fertiliser_ChemicalCompounds[[#Headers],[Fertiliser type f]], 0)</f>
        <v>Other fertilisers</v>
      </c>
      <c r="H32" s="188" t="str" cm="1">
        <f t="array" ref="H32">Common_InputFunctions.Utility_DisplayArrayInTable(Fertiliser_SourceData.Fertiliser_ChemicalCompoundElements_Data(),Table_Fertiliser_ChemicalCompounds[[#Headers],[Fertiliser type f]], 0)</f>
        <v>Sulfur from fertiliser</v>
      </c>
      <c r="I32" s="188"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c r="D33" s="188" t="str" cm="1">
        <f t="array" ref="D33">Common_InputFunctions.Utility_DisplayArrayInTable(Fertiliser_SourceData.Fertiliser_ChemicalCompoundElements_Data(),Table_Fertiliser_ChemicalCompounds[[#Headers],[Fertiliser type f]], 0)</f>
        <v>Zinc - Generic</v>
      </c>
      <c r="E33" s="188" cm="1">
        <f t="array" ref="E33">Common_InputFunctions.Utility_DisplayArrayInTable(Fertiliser_SourceData.Fertiliser_ChemicalCompoundElements_Data(),Table_Fertiliser_ChemicalCompounds[[#Headers],[Fertiliser type f]], 0)</f>
        <v>0</v>
      </c>
      <c r="F33" s="188" cm="1">
        <f t="array" ref="F33">Common_InputFunctions.Utility_DisplayArrayInTable(Fertiliser_SourceData.Fertiliser_ChemicalCompoundElements_Data(),Table_Fertiliser_ChemicalCompounds[[#Headers],[Fertiliser type f]], 0)</f>
        <v>0</v>
      </c>
      <c r="G33" s="188" t="str" cm="1">
        <f t="array" ref="G33">Common_InputFunctions.Utility_DisplayArrayInTable(Fertiliser_SourceData.Fertiliser_ChemicalCompoundElements_Data(),Table_Fertiliser_ChemicalCompounds[[#Headers],[Fertiliser type f]], 0)</f>
        <v>Other fertilisers</v>
      </c>
      <c r="H33" s="188" t="str" cm="1">
        <f t="array" ref="H33">Common_InputFunctions.Utility_DisplayArrayInTable(Fertiliser_SourceData.Fertiliser_ChemicalCompoundElements_Data(),Table_Fertiliser_ChemicalCompounds[[#Headers],[Fertiliser type f]], 0)</f>
        <v>Zinc from fertiliser</v>
      </c>
      <c r="I33" s="188"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c r="D34" s="188" t="str" cm="1">
        <f t="array" ref="D34">Common_InputFunctions.Utility_DisplayArrayInTable(Fertiliser_SourceData.Fertiliser_ChemicalCompoundElements_Data(),Table_Fertiliser_ChemicalCompounds[[#Headers],[Fertiliser type f]], 0)</f>
        <v>Muriate of potash (MOP)</v>
      </c>
      <c r="E34" s="188" cm="1">
        <f t="array" ref="E34">Common_InputFunctions.Utility_DisplayArrayInTable(Fertiliser_SourceData.Fertiliser_ChemicalCompoundElements_Data(),Table_Fertiliser_ChemicalCompounds[[#Headers],[Fertiliser type f]], 0)</f>
        <v>0</v>
      </c>
      <c r="F34" s="188" cm="1">
        <f t="array" ref="F34">Common_InputFunctions.Utility_DisplayArrayInTable(Fertiliser_SourceData.Fertiliser_ChemicalCompoundElements_Data(),Table_Fertiliser_ChemicalCompounds[[#Headers],[Fertiliser type f]], 0)</f>
        <v>0</v>
      </c>
      <c r="G34" s="188" t="str" cm="1">
        <f t="array" ref="G34">Common_InputFunctions.Utility_DisplayArrayInTable(Fertiliser_SourceData.Fertiliser_ChemicalCompoundElements_Data(),Table_Fertiliser_ChemicalCompounds[[#Headers],[Fertiliser type f]], 0)</f>
        <v>Other fertilisers</v>
      </c>
      <c r="H34" s="188" t="str" cm="1">
        <f t="array" ref="H34">Common_InputFunctions.Utility_DisplayArrayInTable(Fertiliser_SourceData.Fertiliser_ChemicalCompoundElements_Data(),Table_Fertiliser_ChemicalCompounds[[#Headers],[Fertiliser type f]], 0)</f>
        <v>Muriate of potash (MOP)</v>
      </c>
      <c r="I34" s="188"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c r="D35" s="188" t="str" cm="1">
        <f t="array" ref="D35">Common_InputFunctions.Utility_DisplayArrayInTable(Fertiliser_SourceData.Fertiliser_ChemicalCompoundElements_Data(),Table_Fertiliser_ChemicalCompounds[[#Headers],[Fertiliser type f]], 0)</f>
        <v>Double superphosphate</v>
      </c>
      <c r="E35" s="188" cm="1">
        <f t="array" ref="E35">Common_InputFunctions.Utility_DisplayArrayInTable(Fertiliser_SourceData.Fertiliser_ChemicalCompoundElements_Data(),Table_Fertiliser_ChemicalCompounds[[#Headers],[Fertiliser type f]], 0)</f>
        <v>0</v>
      </c>
      <c r="F35" s="188" cm="1">
        <f t="array" ref="F35">Common_InputFunctions.Utility_DisplayArrayInTable(Fertiliser_SourceData.Fertiliser_ChemicalCompoundElements_Data(),Table_Fertiliser_ChemicalCompounds[[#Headers],[Fertiliser type f]], 0)</f>
        <v>0</v>
      </c>
      <c r="G35" s="188" t="str" cm="1">
        <f t="array" ref="G35">Common_InputFunctions.Utility_DisplayArrayInTable(Fertiliser_SourceData.Fertiliser_ChemicalCompoundElements_Data(),Table_Fertiliser_ChemicalCompounds[[#Headers],[Fertiliser type f]], 0)</f>
        <v>Other fertilisers</v>
      </c>
      <c r="H35" s="188" t="str" cm="1">
        <f t="array" ref="H35">Common_InputFunctions.Utility_DisplayArrayInTable(Fertiliser_SourceData.Fertiliser_ChemicalCompoundElements_Data(),Table_Fertiliser_ChemicalCompounds[[#Headers],[Fertiliser type f]], 0)</f>
        <v>Double superphosphate</v>
      </c>
      <c r="I35" s="188"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c r="D36" s="188" t="str" cm="1">
        <f t="array" ref="D36">Common_InputFunctions.Utility_DisplayArrayInTable(Fertiliser_SourceData.Fertiliser_ChemicalCompoundElements_Data(),Table_Fertiliser_ChemicalCompounds[[#Headers],[Fertiliser type f]], 0)</f>
        <v>Single superphosphate (SSP)</v>
      </c>
      <c r="E36" s="188" cm="1">
        <f t="array" ref="E36">Common_InputFunctions.Utility_DisplayArrayInTable(Fertiliser_SourceData.Fertiliser_ChemicalCompoundElements_Data(),Table_Fertiliser_ChemicalCompounds[[#Headers],[Fertiliser type f]], 0)</f>
        <v>0</v>
      </c>
      <c r="F36" s="188" cm="1">
        <f t="array" ref="F36">Common_InputFunctions.Utility_DisplayArrayInTable(Fertiliser_SourceData.Fertiliser_ChemicalCompoundElements_Data(),Table_Fertiliser_ChemicalCompounds[[#Headers],[Fertiliser type f]], 0)</f>
        <v>0</v>
      </c>
      <c r="G36" s="188" t="str" cm="1">
        <f t="array" ref="G36">Common_InputFunctions.Utility_DisplayArrayInTable(Fertiliser_SourceData.Fertiliser_ChemicalCompoundElements_Data(),Table_Fertiliser_ChemicalCompounds[[#Headers],[Fertiliser type f]], 0)</f>
        <v>Other fertilisers</v>
      </c>
      <c r="H36" s="188" t="str" cm="1">
        <f t="array" ref="H36">Common_InputFunctions.Utility_DisplayArrayInTable(Fertiliser_SourceData.Fertiliser_ChemicalCompoundElements_Data(),Table_Fertiliser_ChemicalCompounds[[#Headers],[Fertiliser type f]], 0)</f>
        <v>Single superphosphate (SSP)</v>
      </c>
      <c r="I36" s="188"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c r="D37" s="188" t="str" cm="1">
        <f t="array" ref="D37">Common_InputFunctions.Utility_DisplayArrayInTable(Fertiliser_SourceData.Fertiliser_ChemicalCompoundElements_Data(),Table_Fertiliser_ChemicalCompounds[[#Headers],[Fertiliser type f]], 0)</f>
        <v>Ammonia</v>
      </c>
      <c r="E37" s="188" cm="1">
        <f t="array" ref="E37">Common_InputFunctions.Utility_DisplayArrayInTable(Fertiliser_SourceData.Fertiliser_ChemicalCompoundElements_Data(),Table_Fertiliser_ChemicalCompounds[[#Headers],[Fertiliser type f]], 0)</f>
        <v>0.82350000000000001</v>
      </c>
      <c r="F37" s="188" cm="1">
        <f t="array" ref="F37">Common_InputFunctions.Utility_DisplayArrayInTable(Fertiliser_SourceData.Fertiliser_ChemicalCompoundElements_Data(),Table_Fertiliser_ChemicalCompounds[[#Headers],[Fertiliser type f]], 0)</f>
        <v>0</v>
      </c>
      <c r="G37" s="188" t="str" cm="1">
        <f t="array" ref="G37">Common_InputFunctions.Utility_DisplayArrayInTable(Fertiliser_SourceData.Fertiliser_ChemicalCompoundElements_Data(),Table_Fertiliser_ChemicalCompounds[[#Headers],[Fertiliser type f]], 0)</f>
        <v>Ammonium-based fertilisers</v>
      </c>
      <c r="H37" s="188" t="str" cm="1">
        <f t="array" ref="H37">Common_InputFunctions.Utility_DisplayArrayInTable(Fertiliser_SourceData.Fertiliser_ChemicalCompoundElements_Data(),Table_Fertiliser_ChemicalCompounds[[#Headers],[Fertiliser type f]], 0)</f>
        <v>Ammonia</v>
      </c>
      <c r="I37" s="188"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row>
    <row r="40" spans="1:10" ht="20.100000000000001" customHeight="1" x14ac:dyDescent="0.25">
      <c r="A40" s="5"/>
      <c r="D40" s="2" t="s">
        <v>720</v>
      </c>
      <c r="F40" s="2" t="s">
        <v>721</v>
      </c>
      <c r="H40" s="2" t="s">
        <v>471</v>
      </c>
      <c r="J40" s="2" t="s">
        <v>722</v>
      </c>
    </row>
    <row r="41" spans="1:10" ht="20.100000000000001" customHeight="1" x14ac:dyDescent="0.25">
      <c r="A41" s="5"/>
      <c r="D41" s="30" t="s">
        <v>185</v>
      </c>
      <c r="F41" s="30" t="s">
        <v>185</v>
      </c>
      <c r="H41" s="30" t="s">
        <v>70</v>
      </c>
      <c r="J41" s="30" t="s">
        <v>723</v>
      </c>
    </row>
    <row r="42" spans="1:10" ht="20.100000000000001" customHeight="1" x14ac:dyDescent="0.25">
      <c r="A42" s="5"/>
      <c r="D42" s="30" t="s">
        <v>188</v>
      </c>
      <c r="F42" s="30" t="s">
        <v>188</v>
      </c>
      <c r="H42" s="30" t="s">
        <v>477</v>
      </c>
      <c r="J42" s="30" t="s">
        <v>724</v>
      </c>
    </row>
    <row r="43" spans="1:10" ht="20.100000000000001" customHeight="1" x14ac:dyDescent="0.25">
      <c r="A43" s="5"/>
      <c r="D43" s="1" t="s">
        <v>725</v>
      </c>
      <c r="F43" s="1" t="s">
        <v>726</v>
      </c>
      <c r="H43" s="30" t="s">
        <v>481</v>
      </c>
      <c r="J43" s="1" t="s">
        <v>627</v>
      </c>
    </row>
    <row r="44" spans="1:10" ht="20.100000000000001" customHeight="1" x14ac:dyDescent="0.25">
      <c r="A44" s="5"/>
      <c r="F44" s="1" t="s">
        <v>727</v>
      </c>
      <c r="H44" s="1" t="s">
        <v>341</v>
      </c>
      <c r="J44" s="1" t="s">
        <v>728</v>
      </c>
    </row>
    <row r="45" spans="1:10" ht="20.100000000000001" customHeight="1" x14ac:dyDescent="0.25">
      <c r="A45" s="5"/>
      <c r="F45" s="1" t="s">
        <v>729</v>
      </c>
      <c r="H45" s="1" t="s">
        <v>489</v>
      </c>
      <c r="J45" s="1" t="s">
        <v>626</v>
      </c>
    </row>
    <row r="46" spans="1:10" ht="20.100000000000001" customHeight="1" x14ac:dyDescent="0.25">
      <c r="A46" s="5"/>
      <c r="H46" s="1" t="s">
        <v>491</v>
      </c>
      <c r="J46" s="1" t="s">
        <v>628</v>
      </c>
    </row>
    <row r="47" spans="1:10" ht="20.100000000000001" customHeight="1" x14ac:dyDescent="0.25">
      <c r="A47" s="5"/>
    </row>
    <row r="48" spans="1:10" ht="20.100000000000001" customHeight="1" x14ac:dyDescent="0.25">
      <c r="A48" s="5"/>
      <c r="D48" s="2" t="str" cm="1">
        <f t="array" ref="D48">Fertiliser_SourceData.Fertiliser_FracGASF_Title()</f>
        <v>Fraction of inorganic fertiliser that volatilises as NH3 and NOx</v>
      </c>
      <c r="G48" s="179"/>
    </row>
    <row r="49" spans="1:8" ht="20.100000000000001" customHeight="1" x14ac:dyDescent="0.25">
      <c r="D49" s="27" t="str" cm="1">
        <f t="array" ref="D49">Fertiliser_SourceData.Fertiliser_FracGASF_Source()</f>
        <v>Table A.2.2.6: Fraction of inorganic fertiliser f that volatilises as NH3 and NOx ((kg NH3-N + NOx-N)/kg N) (FracGASFf)</v>
      </c>
      <c r="G49" s="179"/>
    </row>
    <row r="50" spans="1:8" ht="20.100000000000001" customHeight="1" x14ac:dyDescent="0.25">
      <c r="D50" s="30" t="s">
        <v>633</v>
      </c>
      <c r="E50" s="30" t="s">
        <v>730</v>
      </c>
      <c r="G50" s="179"/>
    </row>
    <row r="51" spans="1:8" ht="20.100000000000001" customHeight="1" x14ac:dyDescent="0.25">
      <c r="A51" s="100"/>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9"/>
    </row>
    <row r="52" spans="1:8" ht="20.100000000000001" customHeight="1" x14ac:dyDescent="0.25">
      <c r="A52" s="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9"/>
    </row>
    <row r="53" spans="1:8" ht="20.100000000000001" customHeight="1" x14ac:dyDescent="0.25">
      <c r="A53" s="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9"/>
    </row>
    <row r="54" spans="1:8" ht="20.100000000000001" customHeight="1" x14ac:dyDescent="0.25">
      <c r="A54" s="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9"/>
      <c r="H54" s="179"/>
    </row>
    <row r="55" spans="1:8" ht="20.100000000000001" customHeight="1" x14ac:dyDescent="0.25">
      <c r="A55" s="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9"/>
      <c r="H55" s="179"/>
    </row>
    <row r="56" spans="1:8" ht="20.100000000000001" customHeight="1" x14ac:dyDescent="0.25">
      <c r="A56" s="101"/>
    </row>
    <row r="57" spans="1:8" ht="20.100000000000001" customHeight="1" x14ac:dyDescent="0.25">
      <c r="A57" s="5"/>
    </row>
    <row r="58" spans="1:8" ht="20.100000000000001" customHeight="1" x14ac:dyDescent="0.25">
      <c r="A58" s="5"/>
      <c r="D58" s="2" t="str" cm="1">
        <f t="array" ref="D58">Fertiliser_SourceData.Fertiliser_EFUreaCO2_Title()</f>
        <v>Emission factor for carbon emissions from urea application</v>
      </c>
    </row>
    <row r="59" spans="1:8" ht="20.100000000000001" customHeight="1" x14ac:dyDescent="0.25">
      <c r="A59" s="5"/>
      <c r="D59" s="27" t="str" cm="1">
        <f t="array" ref="D59">Fertiliser_SourceData.Fertiliser_EFUreaCO2_Source()</f>
        <v>VEERG 2026: 5.1.2.2 Constant Parameters</v>
      </c>
    </row>
    <row r="60" spans="1:8" ht="20.100000000000001" customHeight="1" x14ac:dyDescent="0.25">
      <c r="A60" s="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row>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680</v>
      </c>
      <c r="E65" s="30" t="s">
        <v>731</v>
      </c>
      <c r="F65" s="30" t="s">
        <v>732</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733</v>
      </c>
    </row>
    <row r="87" spans="4:39" ht="20.100000000000001" customHeight="1" x14ac:dyDescent="0.25">
      <c r="D87" s="2" t="s">
        <v>734</v>
      </c>
      <c r="E87" s="179"/>
      <c r="F87" s="179"/>
      <c r="G87" s="179"/>
      <c r="H87" s="179"/>
      <c r="I87" s="179"/>
      <c r="J87" s="179"/>
      <c r="K87" s="179"/>
      <c r="L87" s="179"/>
      <c r="N87" s="179" t="s">
        <v>733</v>
      </c>
      <c r="O87" s="179"/>
      <c r="P87" s="179"/>
      <c r="Q87" s="179"/>
      <c r="R87" s="179"/>
      <c r="S87" s="179"/>
      <c r="T87" s="179"/>
      <c r="U87" s="179"/>
    </row>
    <row r="88" spans="4:39" ht="20.100000000000001" customHeight="1" x14ac:dyDescent="0.25">
      <c r="D88" s="179"/>
    </row>
    <row r="89" spans="4:39" ht="20.100000000000001" customHeight="1" x14ac:dyDescent="0.25">
      <c r="D89" s="189" t="s">
        <v>735</v>
      </c>
      <c r="E89" s="30" t="s">
        <v>149</v>
      </c>
      <c r="F89" s="30" t="s">
        <v>128</v>
      </c>
      <c r="G89" s="141" t="s">
        <v>574</v>
      </c>
      <c r="H89" s="141" t="s">
        <v>736</v>
      </c>
      <c r="I89" s="141" t="s">
        <v>591</v>
      </c>
      <c r="J89" s="141" t="s">
        <v>592</v>
      </c>
      <c r="K89" s="141" t="s">
        <v>737</v>
      </c>
      <c r="L89" s="141" t="s">
        <v>738</v>
      </c>
      <c r="M89" s="141" t="s">
        <v>739</v>
      </c>
      <c r="N89" s="141" t="s">
        <v>740</v>
      </c>
      <c r="O89" s="141" t="s">
        <v>576</v>
      </c>
      <c r="P89" s="141" t="s">
        <v>577</v>
      </c>
      <c r="Q89" s="30" t="s">
        <v>578</v>
      </c>
      <c r="R89" s="30" t="s">
        <v>579</v>
      </c>
      <c r="S89" s="30" t="s">
        <v>580</v>
      </c>
      <c r="T89" s="30" t="s">
        <v>581</v>
      </c>
      <c r="U89" s="141" t="s">
        <v>582</v>
      </c>
      <c r="V89" s="141" t="s">
        <v>583</v>
      </c>
      <c r="W89" s="30" t="s">
        <v>584</v>
      </c>
      <c r="X89" s="141" t="s">
        <v>585</v>
      </c>
      <c r="Y89" s="141" t="s">
        <v>586</v>
      </c>
      <c r="Z89" s="141" t="s">
        <v>587</v>
      </c>
      <c r="AA89" s="141" t="s">
        <v>741</v>
      </c>
      <c r="AB89" s="141" t="s">
        <v>742</v>
      </c>
      <c r="AC89" s="30" t="s">
        <v>743</v>
      </c>
      <c r="AD89" s="30" t="s">
        <v>744</v>
      </c>
      <c r="AE89" s="30" t="s">
        <v>745</v>
      </c>
      <c r="AF89" s="30" t="s">
        <v>746</v>
      </c>
      <c r="AG89" s="30" t="s">
        <v>747</v>
      </c>
      <c r="AH89" s="30" t="s">
        <v>748</v>
      </c>
      <c r="AK89" s="1"/>
      <c r="AL89" s="1"/>
      <c r="AM89" s="1"/>
    </row>
    <row r="90" spans="4:39" ht="20.100000000000001" customHeight="1" x14ac:dyDescent="0.25">
      <c r="D90" s="188" t="str" cm="1">
        <f t="array" ref="D90">Common_InputFunctions.Utility_DisplayArrayInTable(Fertiliser_SourceData.Fertiliser_Products_Data1(), FertiliserProducts[[#Headers],[Company]],1)</f>
        <v>Campbells fertilisers Australia</v>
      </c>
      <c r="E90" s="188" t="str" cm="1">
        <f t="array" ref="E90">Common_InputFunctions.Utility_DisplayArrayInTable(Fertiliser_SourceData.Fertiliser_Products_Data1(), FertiliserProducts[[#Headers],[Company]],1)</f>
        <v>Aqua Finish</v>
      </c>
      <c r="F90" s="188" t="str" cm="1">
        <f t="array" ref="F90">Common_InputFunctions.Utility_DisplayArrayInTable(Fertiliser_SourceData.Fertiliser_Products_Data1(), FertiliserProducts[[#Headers],[Company]],1)</f>
        <v>L</v>
      </c>
      <c r="G90" s="188" cm="1">
        <f t="array" ref="G90">Common_InputFunctions.Utility_DisplayArrayInTable(Fertiliser_SourceData.Fertiliser_Products_Data1(), FertiliserProducts[[#Headers],[Company]],1)</f>
        <v>1.26</v>
      </c>
      <c r="H90" s="188" t="str" cm="1">
        <f t="array" ref="H90">Common_InputFunctions.Utility_DisplayArrayInTable(Fertiliser_SourceData.Fertiliser_Products_Data1(), FertiliserProducts[[#Headers],[Company]],1)</f>
        <v/>
      </c>
      <c r="I90" s="188" t="str" cm="1">
        <f t="array" ref="I90">Common_InputFunctions.Utility_DisplayArrayInTable(Fertiliser_SourceData.Fertiliser_Products_Data1(), FertiliserProducts[[#Headers],[Company]],1)</f>
        <v/>
      </c>
      <c r="J90" s="188" t="str" cm="1">
        <f t="array" ref="J90">Common_InputFunctions.Utility_DisplayArrayInTable(Fertiliser_SourceData.Fertiliser_Products_Data1(), FertiliserProducts[[#Headers],[Company]],1)</f>
        <v/>
      </c>
      <c r="K90" s="188" cm="1">
        <f t="array" ref="K90">Common_InputFunctions.Utility_DisplayArrayInTable(Fertiliser_SourceData.Fertiliser_Products_Data1(), FertiliserProducts[[#Headers],[Company]],1)</f>
        <v>2.6</v>
      </c>
      <c r="L90" s="188" cm="1">
        <f t="array" ref="L90">Common_InputFunctions.Utility_DisplayArrayInTable(Fertiliser_SourceData.Fertiliser_Products_Data1(), FertiliserProducts[[#Headers],[Company]],1)</f>
        <v>4</v>
      </c>
      <c r="M90" s="188" cm="1">
        <f t="array" ref="M90">Common_InputFunctions.Utility_DisplayArrayInTable(Fertiliser_SourceData.Fertiliser_Products_Data1(), FertiliserProducts[[#Headers],[Company]],1)</f>
        <v>22.5</v>
      </c>
      <c r="N90" s="188" t="str" cm="1">
        <f t="array" ref="N90">Common_InputFunctions.Utility_DisplayArrayInTable(Fertiliser_SourceData.Fertiliser_Products_Data1(), FertiliserProducts[[#Headers],[Company]],1)</f>
        <v/>
      </c>
      <c r="O90" s="188" t="str" cm="1">
        <f t="array" ref="O90">Common_InputFunctions.Utility_DisplayArrayInTable(Fertiliser_SourceData.Fertiliser_Products_Data1(), FertiliserProducts[[#Headers],[Company]],1)</f>
        <v>Potassium - Generic</v>
      </c>
      <c r="P90" s="188" cm="1">
        <f t="array" ref="P90">Common_InputFunctions.Utility_DisplayArrayInTable(Fertiliser_SourceData.Fertiliser_Products_Data1(), FertiliserProducts[[#Headers],[Company]],1)</f>
        <v>0.22500000000000001</v>
      </c>
      <c r="Q90" s="188" t="str" cm="1">
        <f t="array" ref="Q90">Common_InputFunctions.Utility_DisplayArrayInTable(Fertiliser_SourceData.Fertiliser_Products_Data1(), FertiliserProducts[[#Headers],[Company]],1)</f>
        <v>Phosphorus - Generic</v>
      </c>
      <c r="R90" s="188" cm="1">
        <f t="array" ref="R90">Common_InputFunctions.Utility_DisplayArrayInTable(Fertiliser_SourceData.Fertiliser_Products_Data1(), FertiliserProducts[[#Headers],[Company]],1)</f>
        <v>0.04</v>
      </c>
      <c r="S90" s="188" t="str" cm="1">
        <f t="array" ref="S90">Common_InputFunctions.Utility_DisplayArrayInTable(Fertiliser_SourceData.Fertiliser_Products_Data1(), FertiliserProducts[[#Headers],[Company]],1)</f>
        <v>Nitrogen - Generic</v>
      </c>
      <c r="T90" s="188" cm="1">
        <f t="array" ref="T90">Common_InputFunctions.Utility_DisplayArrayInTable(Fertiliser_SourceData.Fertiliser_Products_Data1(), FertiliserProducts[[#Headers],[Company]],1)</f>
        <v>2.5999999999999999E-2</v>
      </c>
      <c r="U90" s="188" t="str" cm="1">
        <f t="array" ref="U90">Common_InputFunctions.Utility_DisplayArrayInTable(Fertiliser_SourceData.Fertiliser_Products_Data1(), FertiliserProducts[[#Headers],[Company]],1)</f>
        <v/>
      </c>
      <c r="V90" s="188" t="str" cm="1">
        <f t="array" ref="V90">Common_InputFunctions.Utility_DisplayArrayInTable(Fertiliser_SourceData.Fertiliser_Products_Data1(), FertiliserProducts[[#Headers],[Company]],1)</f>
        <v/>
      </c>
      <c r="W90" s="188" t="str" cm="1">
        <f t="array" ref="W90">Common_InputFunctions.Utility_DisplayArrayInTable(Fertiliser_SourceData.Fertiliser_Products_Data1(), FertiliserProducts[[#Headers],[Company]],1)</f>
        <v/>
      </c>
      <c r="X90" s="188" t="str" cm="1">
        <f t="array" ref="X90">Common_InputFunctions.Utility_DisplayArrayInTable(Fertiliser_SourceData.Fertiliser_Products_Data1(), FertiliserProducts[[#Headers],[Company]],1)</f>
        <v/>
      </c>
      <c r="Y90" s="188" t="str" cm="1">
        <f t="array" ref="Y90">Common_InputFunctions.Utility_DisplayArrayInTable(Fertiliser_SourceData.Fertiliser_Products_Data1(), FertiliserProducts[[#Headers],[Company]],1)</f>
        <v/>
      </c>
      <c r="Z90" s="188" t="str" cm="1">
        <f t="array" ref="Z90">Common_InputFunctions.Utility_DisplayArrayInTable(Fertiliser_SourceData.Fertiliser_Products_Data1(), FertiliserProducts[[#Headers],[Company]],1)</f>
        <v/>
      </c>
      <c r="AA90" s="188" t="str" cm="1">
        <f t="array" ref="AA90">Common_InputFunctions.Utility_DisplayArrayInTable(Fertiliser_SourceData.Fertiliser_Products_Data1(), FertiliserProducts[[#Headers],[Company]],1)</f>
        <v/>
      </c>
      <c r="AB90" s="188" t="str" cm="1">
        <f t="array" ref="AB90">Common_InputFunctions.Utility_DisplayArrayInTable(Fertiliser_SourceData.Fertiliser_Products_Data1(), FertiliserProducts[[#Headers],[Company]],1)</f>
        <v/>
      </c>
      <c r="AC90" s="188" t="str" cm="1">
        <f t="array" ref="AC90">Common_InputFunctions.Utility_DisplayArrayInTable(Fertiliser_SourceData.Fertiliser_Products_Data1(), FertiliserProducts[[#Headers],[Company]],1)</f>
        <v/>
      </c>
      <c r="AD90" s="188" t="str" cm="1">
        <f t="array" ref="AD90">Common_InputFunctions.Utility_DisplayArrayInTable(Fertiliser_SourceData.Fertiliser_Products_Data1(), FertiliserProducts[[#Headers],[Company]],1)</f>
        <v/>
      </c>
      <c r="AE90" s="188" t="str" cm="1">
        <f t="array" ref="AE90">Common_InputFunctions.Utility_DisplayArrayInTable(Fertiliser_SourceData.Fertiliser_Products_Data1(), FertiliserProducts[[#Headers],[Company]],1)</f>
        <v/>
      </c>
      <c r="AF90" s="188" t="str" cm="1">
        <f t="array" ref="AF90">Common_InputFunctions.Utility_DisplayArrayInTable(Fertiliser_SourceData.Fertiliser_Products_Data1(), FertiliserProducts[[#Headers],[Company]],1)</f>
        <v/>
      </c>
      <c r="AG90" s="188" t="str" cm="1">
        <f t="array" ref="AG90">Common_InputFunctions.Utility_DisplayArrayInTable(Fertiliser_SourceData.Fertiliser_Products_Data1(), FertiliserProducts[[#Headers],[Company]],1)</f>
        <v/>
      </c>
      <c r="AH90" s="188" t="str" cm="1">
        <f t="array" ref="AH90">Common_InputFunctions.Utility_DisplayArrayInTable(Fertiliser_SourceData.Fertiliser_Products_Data1(), FertiliserProducts[[#Headers],[Company]],1)</f>
        <v/>
      </c>
      <c r="AK90" s="1"/>
      <c r="AL90" s="1"/>
      <c r="AM90" s="1"/>
    </row>
    <row r="91" spans="4:39" ht="20.100000000000001" customHeight="1" x14ac:dyDescent="0.25">
      <c r="D91" s="188" t="str" cm="1">
        <f t="array" ref="D91">Common_InputFunctions.Utility_DisplayArrayInTable(Fertiliser_SourceData.Fertiliser_Products_Data1(), FertiliserProducts[[#Headers],[Company]],1)</f>
        <v>Campbells fertilisers Australia</v>
      </c>
      <c r="E91" s="188" t="str" cm="1">
        <f t="array" ref="E91">Common_InputFunctions.Utility_DisplayArrayInTable(Fertiliser_SourceData.Fertiliser_Products_Data1(), FertiliserProducts[[#Headers],[Company]],1)</f>
        <v>Aqua Grow</v>
      </c>
      <c r="F91" s="188" t="str" cm="1">
        <f t="array" ref="F91">Common_InputFunctions.Utility_DisplayArrayInTable(Fertiliser_SourceData.Fertiliser_Products_Data1(), FertiliserProducts[[#Headers],[Company]],1)</f>
        <v>L</v>
      </c>
      <c r="G91" s="188" cm="1">
        <f t="array" ref="G91">Common_InputFunctions.Utility_DisplayArrayInTable(Fertiliser_SourceData.Fertiliser_Products_Data1(), FertiliserProducts[[#Headers],[Company]],1)</f>
        <v>1.26</v>
      </c>
      <c r="H91" s="188" t="str" cm="1">
        <f t="array" ref="H91">Common_InputFunctions.Utility_DisplayArrayInTable(Fertiliser_SourceData.Fertiliser_Products_Data1(), FertiliserProducts[[#Headers],[Company]],1)</f>
        <v/>
      </c>
      <c r="I91" s="188" t="str" cm="1">
        <f t="array" ref="I91">Common_InputFunctions.Utility_DisplayArrayInTable(Fertiliser_SourceData.Fertiliser_Products_Data1(), FertiliserProducts[[#Headers],[Company]],1)</f>
        <v/>
      </c>
      <c r="J91" s="188" t="str" cm="1">
        <f t="array" ref="J91">Common_InputFunctions.Utility_DisplayArrayInTable(Fertiliser_SourceData.Fertiliser_Products_Data1(), FertiliserProducts[[#Headers],[Company]],1)</f>
        <v/>
      </c>
      <c r="K91" s="188" cm="1">
        <f t="array" ref="K91">Common_InputFunctions.Utility_DisplayArrayInTable(Fertiliser_SourceData.Fertiliser_Products_Data1(), FertiliserProducts[[#Headers],[Company]],1)</f>
        <v>9.6</v>
      </c>
      <c r="L91" s="188" cm="1">
        <f t="array" ref="L91">Common_InputFunctions.Utility_DisplayArrayInTable(Fertiliser_SourceData.Fertiliser_Products_Data1(), FertiliserProducts[[#Headers],[Company]],1)</f>
        <v>5</v>
      </c>
      <c r="M91" s="188" cm="1">
        <f t="array" ref="M91">Common_InputFunctions.Utility_DisplayArrayInTable(Fertiliser_SourceData.Fertiliser_Products_Data1(), FertiliserProducts[[#Headers],[Company]],1)</f>
        <v>10.5</v>
      </c>
      <c r="N91" s="188" t="str" cm="1">
        <f t="array" ref="N91">Common_InputFunctions.Utility_DisplayArrayInTable(Fertiliser_SourceData.Fertiliser_Products_Data1(), FertiliserProducts[[#Headers],[Company]],1)</f>
        <v/>
      </c>
      <c r="O91" s="188" t="str" cm="1">
        <f t="array" ref="O91">Common_InputFunctions.Utility_DisplayArrayInTable(Fertiliser_SourceData.Fertiliser_Products_Data1(), FertiliserProducts[[#Headers],[Company]],1)</f>
        <v>Potassium - Generic</v>
      </c>
      <c r="P91" s="188" cm="1">
        <f t="array" ref="P91">Common_InputFunctions.Utility_DisplayArrayInTable(Fertiliser_SourceData.Fertiliser_Products_Data1(), FertiliserProducts[[#Headers],[Company]],1)</f>
        <v>0.105</v>
      </c>
      <c r="Q91" s="188" t="str" cm="1">
        <f t="array" ref="Q91">Common_InputFunctions.Utility_DisplayArrayInTable(Fertiliser_SourceData.Fertiliser_Products_Data1(), FertiliserProducts[[#Headers],[Company]],1)</f>
        <v>Nitrogen - Generic</v>
      </c>
      <c r="R91" s="188" cm="1">
        <f t="array" ref="R91">Common_InputFunctions.Utility_DisplayArrayInTable(Fertiliser_SourceData.Fertiliser_Products_Data1(), FertiliserProducts[[#Headers],[Company]],1)</f>
        <v>9.6000000000000002E-2</v>
      </c>
      <c r="S91" s="188" t="str" cm="1">
        <f t="array" ref="S91">Common_InputFunctions.Utility_DisplayArrayInTable(Fertiliser_SourceData.Fertiliser_Products_Data1(), FertiliserProducts[[#Headers],[Company]],1)</f>
        <v>Phosphorus - Generic</v>
      </c>
      <c r="T91" s="188" cm="1">
        <f t="array" ref="T91">Common_InputFunctions.Utility_DisplayArrayInTable(Fertiliser_SourceData.Fertiliser_Products_Data1(), FertiliserProducts[[#Headers],[Company]],1)</f>
        <v>0.05</v>
      </c>
      <c r="U91" s="188" t="str" cm="1">
        <f t="array" ref="U91">Common_InputFunctions.Utility_DisplayArrayInTable(Fertiliser_SourceData.Fertiliser_Products_Data1(), FertiliserProducts[[#Headers],[Company]],1)</f>
        <v/>
      </c>
      <c r="V91" s="188" t="str" cm="1">
        <f t="array" ref="V91">Common_InputFunctions.Utility_DisplayArrayInTable(Fertiliser_SourceData.Fertiliser_Products_Data1(), FertiliserProducts[[#Headers],[Company]],1)</f>
        <v/>
      </c>
      <c r="W91" s="188" t="str" cm="1">
        <f t="array" ref="W91">Common_InputFunctions.Utility_DisplayArrayInTable(Fertiliser_SourceData.Fertiliser_Products_Data1(), FertiliserProducts[[#Headers],[Company]],1)</f>
        <v/>
      </c>
      <c r="X91" s="188" t="str" cm="1">
        <f t="array" ref="X91">Common_InputFunctions.Utility_DisplayArrayInTable(Fertiliser_SourceData.Fertiliser_Products_Data1(), FertiliserProducts[[#Headers],[Company]],1)</f>
        <v/>
      </c>
      <c r="Y91" s="188" t="str" cm="1">
        <f t="array" ref="Y91">Common_InputFunctions.Utility_DisplayArrayInTable(Fertiliser_SourceData.Fertiliser_Products_Data1(), FertiliserProducts[[#Headers],[Company]],1)</f>
        <v/>
      </c>
      <c r="Z91" s="188" t="str" cm="1">
        <f t="array" ref="Z91">Common_InputFunctions.Utility_DisplayArrayInTable(Fertiliser_SourceData.Fertiliser_Products_Data1(), FertiliserProducts[[#Headers],[Company]],1)</f>
        <v/>
      </c>
      <c r="AA91" s="188" t="str" cm="1">
        <f t="array" ref="AA91">Common_InputFunctions.Utility_DisplayArrayInTable(Fertiliser_SourceData.Fertiliser_Products_Data1(), FertiliserProducts[[#Headers],[Company]],1)</f>
        <v/>
      </c>
      <c r="AB91" s="188" t="str" cm="1">
        <f t="array" ref="AB91">Common_InputFunctions.Utility_DisplayArrayInTable(Fertiliser_SourceData.Fertiliser_Products_Data1(), FertiliserProducts[[#Headers],[Company]],1)</f>
        <v/>
      </c>
      <c r="AC91" s="188" t="str" cm="1">
        <f t="array" ref="AC91">Common_InputFunctions.Utility_DisplayArrayInTable(Fertiliser_SourceData.Fertiliser_Products_Data1(), FertiliserProducts[[#Headers],[Company]],1)</f>
        <v/>
      </c>
      <c r="AD91" s="188" t="str" cm="1">
        <f t="array" ref="AD91">Common_InputFunctions.Utility_DisplayArrayInTable(Fertiliser_SourceData.Fertiliser_Products_Data1(), FertiliserProducts[[#Headers],[Company]],1)</f>
        <v/>
      </c>
      <c r="AE91" s="188" t="str" cm="1">
        <f t="array" ref="AE91">Common_InputFunctions.Utility_DisplayArrayInTable(Fertiliser_SourceData.Fertiliser_Products_Data1(), FertiliserProducts[[#Headers],[Company]],1)</f>
        <v/>
      </c>
      <c r="AF91" s="188" t="str" cm="1">
        <f t="array" ref="AF91">Common_InputFunctions.Utility_DisplayArrayInTable(Fertiliser_SourceData.Fertiliser_Products_Data1(), FertiliserProducts[[#Headers],[Company]],1)</f>
        <v/>
      </c>
      <c r="AG91" s="188" t="str" cm="1">
        <f t="array" ref="AG91">Common_InputFunctions.Utility_DisplayArrayInTable(Fertiliser_SourceData.Fertiliser_Products_Data1(), FertiliserProducts[[#Headers],[Company]],1)</f>
        <v/>
      </c>
      <c r="AH91" s="188" t="str" cm="1">
        <f t="array" ref="AH91">Common_InputFunctions.Utility_DisplayArrayInTable(Fertiliser_SourceData.Fertiliser_Products_Data1(), FertiliserProducts[[#Headers],[Company]],1)</f>
        <v/>
      </c>
      <c r="AK91" s="1"/>
      <c r="AL91" s="1"/>
      <c r="AM91" s="1"/>
    </row>
    <row r="92" spans="4:39" ht="20.100000000000001" customHeight="1" x14ac:dyDescent="0.25">
      <c r="D92" s="188" t="str" cm="1">
        <f t="array" ref="D92">Common_InputFunctions.Utility_DisplayArrayInTable(Fertiliser_SourceData.Fertiliser_Products_Data1(), FertiliserProducts[[#Headers],[Company]],1)</f>
        <v>Campbells fertilisers Australia</v>
      </c>
      <c r="E92" s="188" t="str" cm="1">
        <f t="array" ref="E92">Common_InputFunctions.Utility_DisplayArrayInTable(Fertiliser_SourceData.Fertiliser_Products_Data1(), FertiliserProducts[[#Headers],[Company]],1)</f>
        <v>Aqua Nitro AN</v>
      </c>
      <c r="F92" s="188" t="str" cm="1">
        <f t="array" ref="F92">Common_InputFunctions.Utility_DisplayArrayInTable(Fertiliser_SourceData.Fertiliser_Products_Data1(), FertiliserProducts[[#Headers],[Company]],1)</f>
        <v>L</v>
      </c>
      <c r="G92" s="188" cm="1">
        <f t="array" ref="G92">Common_InputFunctions.Utility_DisplayArrayInTable(Fertiliser_SourceData.Fertiliser_Products_Data1(), FertiliserProducts[[#Headers],[Company]],1)</f>
        <v>1.24</v>
      </c>
      <c r="H92" s="188" t="str" cm="1">
        <f t="array" ref="H92">Common_InputFunctions.Utility_DisplayArrayInTable(Fertiliser_SourceData.Fertiliser_Products_Data1(), FertiliserProducts[[#Headers],[Company]],1)</f>
        <v/>
      </c>
      <c r="I92" s="188" t="str" cm="1">
        <f t="array" ref="I92">Common_InputFunctions.Utility_DisplayArrayInTable(Fertiliser_SourceData.Fertiliser_Products_Data1(), FertiliserProducts[[#Headers],[Company]],1)</f>
        <v/>
      </c>
      <c r="J92" s="188" t="str" cm="1">
        <f t="array" ref="J92">Common_InputFunctions.Utility_DisplayArrayInTable(Fertiliser_SourceData.Fertiliser_Products_Data1(), FertiliserProducts[[#Headers],[Company]],1)</f>
        <v/>
      </c>
      <c r="K92" s="188" cm="1">
        <f t="array" ref="K92">Common_InputFunctions.Utility_DisplayArrayInTable(Fertiliser_SourceData.Fertiliser_Products_Data1(), FertiliserProducts[[#Headers],[Company]],1)</f>
        <v>22.3</v>
      </c>
      <c r="L92" s="188" t="str" cm="1">
        <f t="array" ref="L92">Common_InputFunctions.Utility_DisplayArrayInTable(Fertiliser_SourceData.Fertiliser_Products_Data1(), FertiliserProducts[[#Headers],[Company]],1)</f>
        <v/>
      </c>
      <c r="M92" s="188" t="str" cm="1">
        <f t="array" ref="M92">Common_InputFunctions.Utility_DisplayArrayInTable(Fertiliser_SourceData.Fertiliser_Products_Data1(), FertiliserProducts[[#Headers],[Company]],1)</f>
        <v/>
      </c>
      <c r="N92" s="188" t="str" cm="1">
        <f t="array" ref="N92">Common_InputFunctions.Utility_DisplayArrayInTable(Fertiliser_SourceData.Fertiliser_Products_Data1(), FertiliserProducts[[#Headers],[Company]],1)</f>
        <v/>
      </c>
      <c r="O92" s="188" t="str" cm="1">
        <f t="array" ref="O92">Common_InputFunctions.Utility_DisplayArrayInTable(Fertiliser_SourceData.Fertiliser_Products_Data1(), FertiliserProducts[[#Headers],[Company]],1)</f>
        <v>Nitrogen - Ammoniacal</v>
      </c>
      <c r="P92" s="188" cm="1">
        <f t="array" ref="P92">Common_InputFunctions.Utility_DisplayArrayInTable(Fertiliser_SourceData.Fertiliser_Products_Data1(), FertiliserProducts[[#Headers],[Company]],1)</f>
        <v>0.223</v>
      </c>
      <c r="Q92" s="188" t="str" cm="1">
        <f t="array" ref="Q92">Common_InputFunctions.Utility_DisplayArrayInTable(Fertiliser_SourceData.Fertiliser_Products_Data1(), FertiliserProducts[[#Headers],[Company]],1)</f>
        <v/>
      </c>
      <c r="R92" s="188" t="str" cm="1">
        <f t="array" ref="R92">Common_InputFunctions.Utility_DisplayArrayInTable(Fertiliser_SourceData.Fertiliser_Products_Data1(), FertiliserProducts[[#Headers],[Company]],1)</f>
        <v/>
      </c>
      <c r="S92" s="188" t="str" cm="1">
        <f t="array" ref="S92">Common_InputFunctions.Utility_DisplayArrayInTable(Fertiliser_SourceData.Fertiliser_Products_Data1(), FertiliserProducts[[#Headers],[Company]],1)</f>
        <v/>
      </c>
      <c r="T92" s="188" t="str" cm="1">
        <f t="array" ref="T92">Common_InputFunctions.Utility_DisplayArrayInTable(Fertiliser_SourceData.Fertiliser_Products_Data1(), FertiliserProducts[[#Headers],[Company]],1)</f>
        <v/>
      </c>
      <c r="U92" s="188" t="str" cm="1">
        <f t="array" ref="U92">Common_InputFunctions.Utility_DisplayArrayInTable(Fertiliser_SourceData.Fertiliser_Products_Data1(), FertiliserProducts[[#Headers],[Company]],1)</f>
        <v/>
      </c>
      <c r="V92" s="188" t="str" cm="1">
        <f t="array" ref="V92">Common_InputFunctions.Utility_DisplayArrayInTable(Fertiliser_SourceData.Fertiliser_Products_Data1(), FertiliserProducts[[#Headers],[Company]],1)</f>
        <v/>
      </c>
      <c r="W92" s="188" t="str" cm="1">
        <f t="array" ref="W92">Common_InputFunctions.Utility_DisplayArrayInTable(Fertiliser_SourceData.Fertiliser_Products_Data1(), FertiliserProducts[[#Headers],[Company]],1)</f>
        <v/>
      </c>
      <c r="X92" s="188" t="str" cm="1">
        <f t="array" ref="X92">Common_InputFunctions.Utility_DisplayArrayInTable(Fertiliser_SourceData.Fertiliser_Products_Data1(), FertiliserProducts[[#Headers],[Company]],1)</f>
        <v/>
      </c>
      <c r="Y92" s="188" t="str" cm="1">
        <f t="array" ref="Y92">Common_InputFunctions.Utility_DisplayArrayInTable(Fertiliser_SourceData.Fertiliser_Products_Data1(), FertiliserProducts[[#Headers],[Company]],1)</f>
        <v/>
      </c>
      <c r="Z92" s="188" t="str" cm="1">
        <f t="array" ref="Z92">Common_InputFunctions.Utility_DisplayArrayInTable(Fertiliser_SourceData.Fertiliser_Products_Data1(), FertiliserProducts[[#Headers],[Company]],1)</f>
        <v/>
      </c>
      <c r="AA92" s="188" t="str" cm="1">
        <f t="array" ref="AA92">Common_InputFunctions.Utility_DisplayArrayInTable(Fertiliser_SourceData.Fertiliser_Products_Data1(), FertiliserProducts[[#Headers],[Company]],1)</f>
        <v/>
      </c>
      <c r="AB92" s="188" t="str" cm="1">
        <f t="array" ref="AB92">Common_InputFunctions.Utility_DisplayArrayInTable(Fertiliser_SourceData.Fertiliser_Products_Data1(), FertiliserProducts[[#Headers],[Company]],1)</f>
        <v/>
      </c>
      <c r="AC92" s="188" t="str" cm="1">
        <f t="array" ref="AC92">Common_InputFunctions.Utility_DisplayArrayInTable(Fertiliser_SourceData.Fertiliser_Products_Data1(), FertiliserProducts[[#Headers],[Company]],1)</f>
        <v/>
      </c>
      <c r="AD92" s="188" t="str" cm="1">
        <f t="array" ref="AD92">Common_InputFunctions.Utility_DisplayArrayInTable(Fertiliser_SourceData.Fertiliser_Products_Data1(), FertiliserProducts[[#Headers],[Company]],1)</f>
        <v/>
      </c>
      <c r="AE92" s="188" t="str" cm="1">
        <f t="array" ref="AE92">Common_InputFunctions.Utility_DisplayArrayInTable(Fertiliser_SourceData.Fertiliser_Products_Data1(), FertiliserProducts[[#Headers],[Company]],1)</f>
        <v/>
      </c>
      <c r="AF92" s="188" t="str" cm="1">
        <f t="array" ref="AF92">Common_InputFunctions.Utility_DisplayArrayInTable(Fertiliser_SourceData.Fertiliser_Products_Data1(), FertiliserProducts[[#Headers],[Company]],1)</f>
        <v/>
      </c>
      <c r="AG92" s="188" t="str" cm="1">
        <f t="array" ref="AG92">Common_InputFunctions.Utility_DisplayArrayInTable(Fertiliser_SourceData.Fertiliser_Products_Data1(), FertiliserProducts[[#Headers],[Company]],1)</f>
        <v/>
      </c>
      <c r="AH92" s="188" t="str" cm="1">
        <f t="array" ref="AH92">Common_InputFunctions.Utility_DisplayArrayInTable(Fertiliser_SourceData.Fertiliser_Products_Data1(), FertiliserProducts[[#Headers],[Company]],1)</f>
        <v/>
      </c>
      <c r="AK92" s="1"/>
      <c r="AL92" s="1"/>
      <c r="AM92" s="1"/>
    </row>
    <row r="93" spans="4:39" ht="20.100000000000001" customHeight="1" x14ac:dyDescent="0.25">
      <c r="D93" s="188" t="str" cm="1">
        <f t="array" ref="D93">Common_InputFunctions.Utility_DisplayArrayInTable(Fertiliser_SourceData.Fertiliser_Products_Data1(), FertiliserProducts[[#Headers],[Company]],1)</f>
        <v>Campbells fertilisers Australia</v>
      </c>
      <c r="E93" s="188" t="str" cm="1">
        <f t="array" ref="E93">Common_InputFunctions.Utility_DisplayArrayInTable(Fertiliser_SourceData.Fertiliser_Products_Data1(), FertiliserProducts[[#Headers],[Company]],1)</f>
        <v>Aqua NitroCal</v>
      </c>
      <c r="F93" s="188" t="str" cm="1">
        <f t="array" ref="F93">Common_InputFunctions.Utility_DisplayArrayInTable(Fertiliser_SourceData.Fertiliser_Products_Data1(), FertiliserProducts[[#Headers],[Company]],1)</f>
        <v>L</v>
      </c>
      <c r="G93" s="188" cm="1">
        <f t="array" ref="G93">Common_InputFunctions.Utility_DisplayArrayInTable(Fertiliser_SourceData.Fertiliser_Products_Data1(), FertiliserProducts[[#Headers],[Company]],1)</f>
        <v>1.5</v>
      </c>
      <c r="H93" s="188" t="str" cm="1">
        <f t="array" ref="H93">Common_InputFunctions.Utility_DisplayArrayInTable(Fertiliser_SourceData.Fertiliser_Products_Data1(), FertiliserProducts[[#Headers],[Company]],1)</f>
        <v/>
      </c>
      <c r="I93" s="188" t="str" cm="1">
        <f t="array" ref="I93">Common_InputFunctions.Utility_DisplayArrayInTable(Fertiliser_SourceData.Fertiliser_Products_Data1(), FertiliserProducts[[#Headers],[Company]],1)</f>
        <v/>
      </c>
      <c r="J93" s="188" t="str" cm="1">
        <f t="array" ref="J93">Common_InputFunctions.Utility_DisplayArrayInTable(Fertiliser_SourceData.Fertiliser_Products_Data1(), FertiliserProducts[[#Headers],[Company]],1)</f>
        <v/>
      </c>
      <c r="K93" s="188" cm="1">
        <f t="array" ref="K93">Common_InputFunctions.Utility_DisplayArrayInTable(Fertiliser_SourceData.Fertiliser_Products_Data1(), FertiliserProducts[[#Headers],[Company]],1)</f>
        <v>13.2</v>
      </c>
      <c r="L93" s="188" t="str" cm="1">
        <f t="array" ref="L93">Common_InputFunctions.Utility_DisplayArrayInTable(Fertiliser_SourceData.Fertiliser_Products_Data1(), FertiliserProducts[[#Headers],[Company]],1)</f>
        <v/>
      </c>
      <c r="M93" s="188" t="str" cm="1">
        <f t="array" ref="M93">Common_InputFunctions.Utility_DisplayArrayInTable(Fertiliser_SourceData.Fertiliser_Products_Data1(), FertiliserProducts[[#Headers],[Company]],1)</f>
        <v/>
      </c>
      <c r="N93" s="188" t="str" cm="1">
        <f t="array" ref="N93">Common_InputFunctions.Utility_DisplayArrayInTable(Fertiliser_SourceData.Fertiliser_Products_Data1(), FertiliserProducts[[#Headers],[Company]],1)</f>
        <v/>
      </c>
      <c r="O93" s="188" t="str" cm="1">
        <f t="array" ref="O93">Common_InputFunctions.Utility_DisplayArrayInTable(Fertiliser_SourceData.Fertiliser_Products_Data1(), FertiliserProducts[[#Headers],[Company]],1)</f>
        <v>Calcium</v>
      </c>
      <c r="P93" s="188" cm="1">
        <f t="array" ref="P93">Common_InputFunctions.Utility_DisplayArrayInTable(Fertiliser_SourceData.Fertiliser_Products_Data1(), FertiliserProducts[[#Headers],[Company]],1)</f>
        <v>0.16200000000000001</v>
      </c>
      <c r="Q93" s="188" t="str" cm="1">
        <f t="array" ref="Q93">Common_InputFunctions.Utility_DisplayArrayInTable(Fertiliser_SourceData.Fertiliser_Products_Data1(), FertiliserProducts[[#Headers],[Company]],1)</f>
        <v>Nitrogen - Nitrate</v>
      </c>
      <c r="R93" s="188" cm="1">
        <f t="array" ref="R93">Common_InputFunctions.Utility_DisplayArrayInTable(Fertiliser_SourceData.Fertiliser_Products_Data1(), FertiliserProducts[[#Headers],[Company]],1)</f>
        <v>0.13200000000000001</v>
      </c>
      <c r="S93" s="188" t="str" cm="1">
        <f t="array" ref="S93">Common_InputFunctions.Utility_DisplayArrayInTable(Fertiliser_SourceData.Fertiliser_Products_Data1(), FertiliserProducts[[#Headers],[Company]],1)</f>
        <v/>
      </c>
      <c r="T93" s="188" t="str" cm="1">
        <f t="array" ref="T93">Common_InputFunctions.Utility_DisplayArrayInTable(Fertiliser_SourceData.Fertiliser_Products_Data1(), FertiliserProducts[[#Headers],[Company]],1)</f>
        <v/>
      </c>
      <c r="U93" s="188" t="str" cm="1">
        <f t="array" ref="U93">Common_InputFunctions.Utility_DisplayArrayInTable(Fertiliser_SourceData.Fertiliser_Products_Data1(), FertiliserProducts[[#Headers],[Company]],1)</f>
        <v/>
      </c>
      <c r="V93" s="188" t="str" cm="1">
        <f t="array" ref="V93">Common_InputFunctions.Utility_DisplayArrayInTable(Fertiliser_SourceData.Fertiliser_Products_Data1(), FertiliserProducts[[#Headers],[Company]],1)</f>
        <v/>
      </c>
      <c r="W93" s="188" t="str" cm="1">
        <f t="array" ref="W93">Common_InputFunctions.Utility_DisplayArrayInTable(Fertiliser_SourceData.Fertiliser_Products_Data1(), FertiliserProducts[[#Headers],[Company]],1)</f>
        <v/>
      </c>
      <c r="X93" s="188" t="str" cm="1">
        <f t="array" ref="X93">Common_InputFunctions.Utility_DisplayArrayInTable(Fertiliser_SourceData.Fertiliser_Products_Data1(), FertiliserProducts[[#Headers],[Company]],1)</f>
        <v/>
      </c>
      <c r="Y93" s="188" t="str" cm="1">
        <f t="array" ref="Y93">Common_InputFunctions.Utility_DisplayArrayInTable(Fertiliser_SourceData.Fertiliser_Products_Data1(), FertiliserProducts[[#Headers],[Company]],1)</f>
        <v/>
      </c>
      <c r="Z93" s="188" t="str" cm="1">
        <f t="array" ref="Z93">Common_InputFunctions.Utility_DisplayArrayInTable(Fertiliser_SourceData.Fertiliser_Products_Data1(), FertiliserProducts[[#Headers],[Company]],1)</f>
        <v/>
      </c>
      <c r="AA93" s="188" t="str" cm="1">
        <f t="array" ref="AA93">Common_InputFunctions.Utility_DisplayArrayInTable(Fertiliser_SourceData.Fertiliser_Products_Data1(), FertiliserProducts[[#Headers],[Company]],1)</f>
        <v/>
      </c>
      <c r="AB93" s="188" t="str" cm="1">
        <f t="array" ref="AB93">Common_InputFunctions.Utility_DisplayArrayInTable(Fertiliser_SourceData.Fertiliser_Products_Data1(), FertiliserProducts[[#Headers],[Company]],1)</f>
        <v/>
      </c>
      <c r="AC93" s="188" t="str" cm="1">
        <f t="array" ref="AC93">Common_InputFunctions.Utility_DisplayArrayInTable(Fertiliser_SourceData.Fertiliser_Products_Data1(), FertiliserProducts[[#Headers],[Company]],1)</f>
        <v/>
      </c>
      <c r="AD93" s="188" t="str" cm="1">
        <f t="array" ref="AD93">Common_InputFunctions.Utility_DisplayArrayInTable(Fertiliser_SourceData.Fertiliser_Products_Data1(), FertiliserProducts[[#Headers],[Company]],1)</f>
        <v/>
      </c>
      <c r="AE93" s="188" t="str" cm="1">
        <f t="array" ref="AE93">Common_InputFunctions.Utility_DisplayArrayInTable(Fertiliser_SourceData.Fertiliser_Products_Data1(), FertiliserProducts[[#Headers],[Company]],1)</f>
        <v/>
      </c>
      <c r="AF93" s="188" t="str" cm="1">
        <f t="array" ref="AF93">Common_InputFunctions.Utility_DisplayArrayInTable(Fertiliser_SourceData.Fertiliser_Products_Data1(), FertiliserProducts[[#Headers],[Company]],1)</f>
        <v/>
      </c>
      <c r="AG93" s="188" t="str" cm="1">
        <f t="array" ref="AG93">Common_InputFunctions.Utility_DisplayArrayInTable(Fertiliser_SourceData.Fertiliser_Products_Data1(), FertiliserProducts[[#Headers],[Company]],1)</f>
        <v/>
      </c>
      <c r="AH93" s="188" t="str" cm="1">
        <f t="array" ref="AH93">Common_InputFunctions.Utility_DisplayArrayInTable(Fertiliser_SourceData.Fertiliser_Products_Data1(), FertiliserProducts[[#Headers],[Company]],1)</f>
        <v/>
      </c>
      <c r="AK93" s="1"/>
      <c r="AL93" s="1"/>
      <c r="AM93" s="1"/>
    </row>
    <row r="94" spans="4:39" ht="20.100000000000001" customHeight="1" x14ac:dyDescent="0.25">
      <c r="D94" s="188" t="str" cm="1">
        <f t="array" ref="D94">Common_InputFunctions.Utility_DisplayArrayInTable(Fertiliser_SourceData.Fertiliser_Products_Data1(), FertiliserProducts[[#Headers],[Company]],1)</f>
        <v>Campbells fertilisers Australia</v>
      </c>
      <c r="E94" s="188" t="str" cm="1">
        <f t="array" ref="E94">Common_InputFunctions.Utility_DisplayArrayInTable(Fertiliser_SourceData.Fertiliser_Products_Data1(), FertiliserProducts[[#Headers],[Company]],1)</f>
        <v>Aqua NitroCal (VI)</v>
      </c>
      <c r="F94" s="188" t="str" cm="1">
        <f t="array" ref="F94">Common_InputFunctions.Utility_DisplayArrayInTable(Fertiliser_SourceData.Fertiliser_Products_Data1(), FertiliserProducts[[#Headers],[Company]],1)</f>
        <v>L</v>
      </c>
      <c r="G94" s="188" cm="1">
        <f t="array" ref="G94">Common_InputFunctions.Utility_DisplayArrayInTable(Fertiliser_SourceData.Fertiliser_Products_Data1(), FertiliserProducts[[#Headers],[Company]],1)</f>
        <v>1.5</v>
      </c>
      <c r="H94" s="188" t="str" cm="1">
        <f t="array" ref="H94">Common_InputFunctions.Utility_DisplayArrayInTable(Fertiliser_SourceData.Fertiliser_Products_Data1(), FertiliserProducts[[#Headers],[Company]],1)</f>
        <v/>
      </c>
      <c r="I94" s="188" t="str" cm="1">
        <f t="array" ref="I94">Common_InputFunctions.Utility_DisplayArrayInTable(Fertiliser_SourceData.Fertiliser_Products_Data1(), FertiliserProducts[[#Headers],[Company]],1)</f>
        <v/>
      </c>
      <c r="J94" s="188" t="str" cm="1">
        <f t="array" ref="J94">Common_InputFunctions.Utility_DisplayArrayInTable(Fertiliser_SourceData.Fertiliser_Products_Data1(), FertiliserProducts[[#Headers],[Company]],1)</f>
        <v/>
      </c>
      <c r="K94" s="188" cm="1">
        <f t="array" ref="K94">Common_InputFunctions.Utility_DisplayArrayInTable(Fertiliser_SourceData.Fertiliser_Products_Data1(), FertiliserProducts[[#Headers],[Company]],1)</f>
        <v>13.2</v>
      </c>
      <c r="L94" s="188" t="str" cm="1">
        <f t="array" ref="L94">Common_InputFunctions.Utility_DisplayArrayInTable(Fertiliser_SourceData.Fertiliser_Products_Data1(), FertiliserProducts[[#Headers],[Company]],1)</f>
        <v/>
      </c>
      <c r="M94" s="188" t="str" cm="1">
        <f t="array" ref="M94">Common_InputFunctions.Utility_DisplayArrayInTable(Fertiliser_SourceData.Fertiliser_Products_Data1(), FertiliserProducts[[#Headers],[Company]],1)</f>
        <v/>
      </c>
      <c r="N94" s="188" t="str" cm="1">
        <f t="array" ref="N94">Common_InputFunctions.Utility_DisplayArrayInTable(Fertiliser_SourceData.Fertiliser_Products_Data1(), FertiliserProducts[[#Headers],[Company]],1)</f>
        <v/>
      </c>
      <c r="O94" s="188" t="str" cm="1">
        <f t="array" ref="O94">Common_InputFunctions.Utility_DisplayArrayInTable(Fertiliser_SourceData.Fertiliser_Products_Data1(), FertiliserProducts[[#Headers],[Company]],1)</f>
        <v>Calcium</v>
      </c>
      <c r="P94" s="188" cm="1">
        <f t="array" ref="P94">Common_InputFunctions.Utility_DisplayArrayInTable(Fertiliser_SourceData.Fertiliser_Products_Data1(), FertiliserProducts[[#Headers],[Company]],1)</f>
        <v>0.187</v>
      </c>
      <c r="Q94" s="188" t="str" cm="1">
        <f t="array" ref="Q94">Common_InputFunctions.Utility_DisplayArrayInTable(Fertiliser_SourceData.Fertiliser_Products_Data1(), FertiliserProducts[[#Headers],[Company]],1)</f>
        <v>Nitrogen - Nitrate</v>
      </c>
      <c r="R94" s="188" cm="1">
        <f t="array" ref="R94">Common_InputFunctions.Utility_DisplayArrayInTable(Fertiliser_SourceData.Fertiliser_Products_Data1(), FertiliserProducts[[#Headers],[Company]],1)</f>
        <v>0.13200000000000001</v>
      </c>
      <c r="S94" s="188" t="str" cm="1">
        <f t="array" ref="S94">Common_InputFunctions.Utility_DisplayArrayInTable(Fertiliser_SourceData.Fertiliser_Products_Data1(), FertiliserProducts[[#Headers],[Company]],1)</f>
        <v/>
      </c>
      <c r="T94" s="188" t="str" cm="1">
        <f t="array" ref="T94">Common_InputFunctions.Utility_DisplayArrayInTable(Fertiliser_SourceData.Fertiliser_Products_Data1(), FertiliserProducts[[#Headers],[Company]],1)</f>
        <v/>
      </c>
      <c r="U94" s="188" t="str" cm="1">
        <f t="array" ref="U94">Common_InputFunctions.Utility_DisplayArrayInTable(Fertiliser_SourceData.Fertiliser_Products_Data1(), FertiliserProducts[[#Headers],[Company]],1)</f>
        <v/>
      </c>
      <c r="V94" s="188" t="str" cm="1">
        <f t="array" ref="V94">Common_InputFunctions.Utility_DisplayArrayInTable(Fertiliser_SourceData.Fertiliser_Products_Data1(), FertiliserProducts[[#Headers],[Company]],1)</f>
        <v/>
      </c>
      <c r="W94" s="188" t="str" cm="1">
        <f t="array" ref="W94">Common_InputFunctions.Utility_DisplayArrayInTable(Fertiliser_SourceData.Fertiliser_Products_Data1(), FertiliserProducts[[#Headers],[Company]],1)</f>
        <v/>
      </c>
      <c r="X94" s="188" t="str" cm="1">
        <f t="array" ref="X94">Common_InputFunctions.Utility_DisplayArrayInTable(Fertiliser_SourceData.Fertiliser_Products_Data1(), FertiliserProducts[[#Headers],[Company]],1)</f>
        <v/>
      </c>
      <c r="Y94" s="188" t="str" cm="1">
        <f t="array" ref="Y94">Common_InputFunctions.Utility_DisplayArrayInTable(Fertiliser_SourceData.Fertiliser_Products_Data1(), FertiliserProducts[[#Headers],[Company]],1)</f>
        <v/>
      </c>
      <c r="Z94" s="188" t="str" cm="1">
        <f t="array" ref="Z94">Common_InputFunctions.Utility_DisplayArrayInTable(Fertiliser_SourceData.Fertiliser_Products_Data1(), FertiliserProducts[[#Headers],[Company]],1)</f>
        <v/>
      </c>
      <c r="AA94" s="188" t="str" cm="1">
        <f t="array" ref="AA94">Common_InputFunctions.Utility_DisplayArrayInTable(Fertiliser_SourceData.Fertiliser_Products_Data1(), FertiliserProducts[[#Headers],[Company]],1)</f>
        <v/>
      </c>
      <c r="AB94" s="188" t="str" cm="1">
        <f t="array" ref="AB94">Common_InputFunctions.Utility_DisplayArrayInTable(Fertiliser_SourceData.Fertiliser_Products_Data1(), FertiliserProducts[[#Headers],[Company]],1)</f>
        <v/>
      </c>
      <c r="AC94" s="188" t="str" cm="1">
        <f t="array" ref="AC94">Common_InputFunctions.Utility_DisplayArrayInTable(Fertiliser_SourceData.Fertiliser_Products_Data1(), FertiliserProducts[[#Headers],[Company]],1)</f>
        <v/>
      </c>
      <c r="AD94" s="188" t="str" cm="1">
        <f t="array" ref="AD94">Common_InputFunctions.Utility_DisplayArrayInTable(Fertiliser_SourceData.Fertiliser_Products_Data1(), FertiliserProducts[[#Headers],[Company]],1)</f>
        <v/>
      </c>
      <c r="AE94" s="188" t="str" cm="1">
        <f t="array" ref="AE94">Common_InputFunctions.Utility_DisplayArrayInTable(Fertiliser_SourceData.Fertiliser_Products_Data1(), FertiliserProducts[[#Headers],[Company]],1)</f>
        <v/>
      </c>
      <c r="AF94" s="188" t="str" cm="1">
        <f t="array" ref="AF94">Common_InputFunctions.Utility_DisplayArrayInTable(Fertiliser_SourceData.Fertiliser_Products_Data1(), FertiliserProducts[[#Headers],[Company]],1)</f>
        <v/>
      </c>
      <c r="AG94" s="188" t="str" cm="1">
        <f t="array" ref="AG94">Common_InputFunctions.Utility_DisplayArrayInTable(Fertiliser_SourceData.Fertiliser_Products_Data1(), FertiliserProducts[[#Headers],[Company]],1)</f>
        <v/>
      </c>
      <c r="AH94" s="188" t="str" cm="1">
        <f t="array" ref="AH94">Common_InputFunctions.Utility_DisplayArrayInTable(Fertiliser_SourceData.Fertiliser_Products_Data1(), FertiliserProducts[[#Headers],[Company]],1)</f>
        <v/>
      </c>
      <c r="AK94" s="1"/>
      <c r="AL94" s="1"/>
      <c r="AM94" s="1"/>
    </row>
    <row r="95" spans="4:39" ht="20.100000000000001" customHeight="1" x14ac:dyDescent="0.25">
      <c r="D95" s="188" t="str" cm="1">
        <f t="array" ref="D95">Common_InputFunctions.Utility_DisplayArrayInTable(Fertiliser_SourceData.Fertiliser_Products_Data1(), FertiliserProducts[[#Headers],[Company]],1)</f>
        <v>Campbells fertilisers Australia</v>
      </c>
      <c r="E95" s="188" t="str" cm="1">
        <f t="array" ref="E95">Common_InputFunctions.Utility_DisplayArrayInTable(Fertiliser_SourceData.Fertiliser_Products_Data1(), FertiliserProducts[[#Headers],[Company]],1)</f>
        <v>Aqua NitroCal Ultimate</v>
      </c>
      <c r="F95" s="188" t="str" cm="1">
        <f t="array" ref="F95">Common_InputFunctions.Utility_DisplayArrayInTable(Fertiliser_SourceData.Fertiliser_Products_Data1(), FertiliserProducts[[#Headers],[Company]],1)</f>
        <v>L</v>
      </c>
      <c r="G95" s="188" cm="1">
        <f t="array" ref="G95">Common_InputFunctions.Utility_DisplayArrayInTable(Fertiliser_SourceData.Fertiliser_Products_Data1(), FertiliserProducts[[#Headers],[Company]],1)</f>
        <v>1.5</v>
      </c>
      <c r="H95" s="188" t="str" cm="1">
        <f t="array" ref="H95">Common_InputFunctions.Utility_DisplayArrayInTable(Fertiliser_SourceData.Fertiliser_Products_Data1(), FertiliserProducts[[#Headers],[Company]],1)</f>
        <v/>
      </c>
      <c r="I95" s="188" t="str" cm="1">
        <f t="array" ref="I95">Common_InputFunctions.Utility_DisplayArrayInTable(Fertiliser_SourceData.Fertiliser_Products_Data1(), FertiliserProducts[[#Headers],[Company]],1)</f>
        <v/>
      </c>
      <c r="J95" s="188" t="str" cm="1">
        <f t="array" ref="J95">Common_InputFunctions.Utility_DisplayArrayInTable(Fertiliser_SourceData.Fertiliser_Products_Data1(), FertiliserProducts[[#Headers],[Company]],1)</f>
        <v/>
      </c>
      <c r="K95" s="188" cm="1">
        <f t="array" ref="K95">Common_InputFunctions.Utility_DisplayArrayInTable(Fertiliser_SourceData.Fertiliser_Products_Data1(), FertiliserProducts[[#Headers],[Company]],1)</f>
        <v>13.2</v>
      </c>
      <c r="L95" s="188" t="str" cm="1">
        <f t="array" ref="L95">Common_InputFunctions.Utility_DisplayArrayInTable(Fertiliser_SourceData.Fertiliser_Products_Data1(), FertiliserProducts[[#Headers],[Company]],1)</f>
        <v/>
      </c>
      <c r="M95" s="188" t="str" cm="1">
        <f t="array" ref="M95">Common_InputFunctions.Utility_DisplayArrayInTable(Fertiliser_SourceData.Fertiliser_Products_Data1(), FertiliserProducts[[#Headers],[Company]],1)</f>
        <v/>
      </c>
      <c r="N95" s="188" t="str" cm="1">
        <f t="array" ref="N95">Common_InputFunctions.Utility_DisplayArrayInTable(Fertiliser_SourceData.Fertiliser_Products_Data1(), FertiliserProducts[[#Headers],[Company]],1)</f>
        <v/>
      </c>
      <c r="O95" s="188" t="str" cm="1">
        <f t="array" ref="O95">Common_InputFunctions.Utility_DisplayArrayInTable(Fertiliser_SourceData.Fertiliser_Products_Data1(), FertiliserProducts[[#Headers],[Company]],1)</f>
        <v>Calcium</v>
      </c>
      <c r="P95" s="188" cm="1">
        <f t="array" ref="P95">Common_InputFunctions.Utility_DisplayArrayInTable(Fertiliser_SourceData.Fertiliser_Products_Data1(), FertiliserProducts[[#Headers],[Company]],1)</f>
        <v>0.183</v>
      </c>
      <c r="Q95" s="188" t="str" cm="1">
        <f t="array" ref="Q95">Common_InputFunctions.Utility_DisplayArrayInTable(Fertiliser_SourceData.Fertiliser_Products_Data1(), FertiliserProducts[[#Headers],[Company]],1)</f>
        <v>Nitrogen - Nitrate</v>
      </c>
      <c r="R95" s="188" cm="1">
        <f t="array" ref="R95">Common_InputFunctions.Utility_DisplayArrayInTable(Fertiliser_SourceData.Fertiliser_Products_Data1(), FertiliserProducts[[#Headers],[Company]],1)</f>
        <v>0.13200000000000001</v>
      </c>
      <c r="S95" s="188" t="str" cm="1">
        <f t="array" ref="S95">Common_InputFunctions.Utility_DisplayArrayInTable(Fertiliser_SourceData.Fertiliser_Products_Data1(), FertiliserProducts[[#Headers],[Company]],1)</f>
        <v/>
      </c>
      <c r="T95" s="188" t="str" cm="1">
        <f t="array" ref="T95">Common_InputFunctions.Utility_DisplayArrayInTable(Fertiliser_SourceData.Fertiliser_Products_Data1(), FertiliserProducts[[#Headers],[Company]],1)</f>
        <v/>
      </c>
      <c r="U95" s="188" t="str" cm="1">
        <f t="array" ref="U95">Common_InputFunctions.Utility_DisplayArrayInTable(Fertiliser_SourceData.Fertiliser_Products_Data1(), FertiliserProducts[[#Headers],[Company]],1)</f>
        <v/>
      </c>
      <c r="V95" s="188" t="str" cm="1">
        <f t="array" ref="V95">Common_InputFunctions.Utility_DisplayArrayInTable(Fertiliser_SourceData.Fertiliser_Products_Data1(), FertiliserProducts[[#Headers],[Company]],1)</f>
        <v/>
      </c>
      <c r="W95" s="188" t="str" cm="1">
        <f t="array" ref="W95">Common_InputFunctions.Utility_DisplayArrayInTable(Fertiliser_SourceData.Fertiliser_Products_Data1(), FertiliserProducts[[#Headers],[Company]],1)</f>
        <v/>
      </c>
      <c r="X95" s="188" t="str" cm="1">
        <f t="array" ref="X95">Common_InputFunctions.Utility_DisplayArrayInTable(Fertiliser_SourceData.Fertiliser_Products_Data1(), FertiliserProducts[[#Headers],[Company]],1)</f>
        <v/>
      </c>
      <c r="Y95" s="188" t="str" cm="1">
        <f t="array" ref="Y95">Common_InputFunctions.Utility_DisplayArrayInTable(Fertiliser_SourceData.Fertiliser_Products_Data1(), FertiliserProducts[[#Headers],[Company]],1)</f>
        <v/>
      </c>
      <c r="Z95" s="188" t="str" cm="1">
        <f t="array" ref="Z95">Common_InputFunctions.Utility_DisplayArrayInTable(Fertiliser_SourceData.Fertiliser_Products_Data1(), FertiliserProducts[[#Headers],[Company]],1)</f>
        <v/>
      </c>
      <c r="AA95" s="188" t="str" cm="1">
        <f t="array" ref="AA95">Common_InputFunctions.Utility_DisplayArrayInTable(Fertiliser_SourceData.Fertiliser_Products_Data1(), FertiliserProducts[[#Headers],[Company]],1)</f>
        <v/>
      </c>
      <c r="AB95" s="188" t="str" cm="1">
        <f t="array" ref="AB95">Common_InputFunctions.Utility_DisplayArrayInTable(Fertiliser_SourceData.Fertiliser_Products_Data1(), FertiliserProducts[[#Headers],[Company]],1)</f>
        <v/>
      </c>
      <c r="AC95" s="188" t="str" cm="1">
        <f t="array" ref="AC95">Common_InputFunctions.Utility_DisplayArrayInTable(Fertiliser_SourceData.Fertiliser_Products_Data1(), FertiliserProducts[[#Headers],[Company]],1)</f>
        <v/>
      </c>
      <c r="AD95" s="188" t="str" cm="1">
        <f t="array" ref="AD95">Common_InputFunctions.Utility_DisplayArrayInTable(Fertiliser_SourceData.Fertiliser_Products_Data1(), FertiliserProducts[[#Headers],[Company]],1)</f>
        <v/>
      </c>
      <c r="AE95" s="188" t="str" cm="1">
        <f t="array" ref="AE95">Common_InputFunctions.Utility_DisplayArrayInTable(Fertiliser_SourceData.Fertiliser_Products_Data1(), FertiliserProducts[[#Headers],[Company]],1)</f>
        <v/>
      </c>
      <c r="AF95" s="188" t="str" cm="1">
        <f t="array" ref="AF95">Common_InputFunctions.Utility_DisplayArrayInTable(Fertiliser_SourceData.Fertiliser_Products_Data1(), FertiliserProducts[[#Headers],[Company]],1)</f>
        <v/>
      </c>
      <c r="AG95" s="188" t="str" cm="1">
        <f t="array" ref="AG95">Common_InputFunctions.Utility_DisplayArrayInTable(Fertiliser_SourceData.Fertiliser_Products_Data1(), FertiliserProducts[[#Headers],[Company]],1)</f>
        <v/>
      </c>
      <c r="AH95" s="188" t="str" cm="1">
        <f t="array" ref="AH95">Common_InputFunctions.Utility_DisplayArrayInTable(Fertiliser_SourceData.Fertiliser_Products_Data1(), FertiliserProducts[[#Headers],[Company]],1)</f>
        <v/>
      </c>
      <c r="AK95" s="1"/>
      <c r="AL95" s="1"/>
      <c r="AM95" s="1"/>
    </row>
    <row r="96" spans="4:39" ht="20.100000000000001" customHeight="1" x14ac:dyDescent="0.25">
      <c r="D96" s="188" t="str" cm="1">
        <f t="array" ref="D96">Common_InputFunctions.Utility_DisplayArrayInTable(Fertiliser_SourceData.Fertiliser_Products_Data1(), FertiliserProducts[[#Headers],[Company]],1)</f>
        <v>Campbells fertilisers Australia</v>
      </c>
      <c r="E96" s="188" t="str" cm="1">
        <f t="array" ref="E96">Common_InputFunctions.Utility_DisplayArrayInTable(Fertiliser_SourceData.Fertiliser_Products_Data1(), FertiliserProducts[[#Headers],[Company]],1)</f>
        <v>Aqua Start</v>
      </c>
      <c r="F96" s="188" t="str" cm="1">
        <f t="array" ref="F96">Common_InputFunctions.Utility_DisplayArrayInTable(Fertiliser_SourceData.Fertiliser_Products_Data1(), FertiliserProducts[[#Headers],[Company]],1)</f>
        <v>L</v>
      </c>
      <c r="G96" s="188" cm="1">
        <f t="array" ref="G96">Common_InputFunctions.Utility_DisplayArrayInTable(Fertiliser_SourceData.Fertiliser_Products_Data1(), FertiliserProducts[[#Headers],[Company]],1)</f>
        <v>1.25</v>
      </c>
      <c r="H96" s="188" t="str" cm="1">
        <f t="array" ref="H96">Common_InputFunctions.Utility_DisplayArrayInTable(Fertiliser_SourceData.Fertiliser_Products_Data1(), FertiliserProducts[[#Headers],[Company]],1)</f>
        <v/>
      </c>
      <c r="I96" s="188" t="str" cm="1">
        <f t="array" ref="I96">Common_InputFunctions.Utility_DisplayArrayInTable(Fertiliser_SourceData.Fertiliser_Products_Data1(), FertiliserProducts[[#Headers],[Company]],1)</f>
        <v/>
      </c>
      <c r="J96" s="188" t="str" cm="1">
        <f t="array" ref="J96">Common_InputFunctions.Utility_DisplayArrayInTable(Fertiliser_SourceData.Fertiliser_Products_Data1(), FertiliserProducts[[#Headers],[Company]],1)</f>
        <v/>
      </c>
      <c r="K96" s="188" cm="1">
        <f t="array" ref="K96">Common_InputFunctions.Utility_DisplayArrayInTable(Fertiliser_SourceData.Fertiliser_Products_Data1(), FertiliserProducts[[#Headers],[Company]],1)</f>
        <v>10.3</v>
      </c>
      <c r="L96" s="188" cm="1">
        <f t="array" ref="L96">Common_InputFunctions.Utility_DisplayArrayInTable(Fertiliser_SourceData.Fertiliser_Products_Data1(), FertiliserProducts[[#Headers],[Company]],1)</f>
        <v>10</v>
      </c>
      <c r="M96" s="188" cm="1">
        <f t="array" ref="M96">Common_InputFunctions.Utility_DisplayArrayInTable(Fertiliser_SourceData.Fertiliser_Products_Data1(), FertiliserProducts[[#Headers],[Company]],1)</f>
        <v>3.4</v>
      </c>
      <c r="N96" s="188" t="str" cm="1">
        <f t="array" ref="N96">Common_InputFunctions.Utility_DisplayArrayInTable(Fertiliser_SourceData.Fertiliser_Products_Data1(), FertiliserProducts[[#Headers],[Company]],1)</f>
        <v/>
      </c>
      <c r="O96" s="188" t="str" cm="1">
        <f t="array" ref="O96">Common_InputFunctions.Utility_DisplayArrayInTable(Fertiliser_SourceData.Fertiliser_Products_Data1(), FertiliserProducts[[#Headers],[Company]],1)</f>
        <v>Nitrogen - Generic</v>
      </c>
      <c r="P96" s="188" cm="1">
        <f t="array" ref="P96">Common_InputFunctions.Utility_DisplayArrayInTable(Fertiliser_SourceData.Fertiliser_Products_Data1(), FertiliserProducts[[#Headers],[Company]],1)</f>
        <v>0.10299999999999999</v>
      </c>
      <c r="Q96" s="188" t="str" cm="1">
        <f t="array" ref="Q96">Common_InputFunctions.Utility_DisplayArrayInTable(Fertiliser_SourceData.Fertiliser_Products_Data1(), FertiliserProducts[[#Headers],[Company]],1)</f>
        <v>Phosphorus - Generic</v>
      </c>
      <c r="R96" s="188" cm="1">
        <f t="array" ref="R96">Common_InputFunctions.Utility_DisplayArrayInTable(Fertiliser_SourceData.Fertiliser_Products_Data1(), FertiliserProducts[[#Headers],[Company]],1)</f>
        <v>0.1</v>
      </c>
      <c r="S96" s="188" t="str" cm="1">
        <f t="array" ref="S96">Common_InputFunctions.Utility_DisplayArrayInTable(Fertiliser_SourceData.Fertiliser_Products_Data1(), FertiliserProducts[[#Headers],[Company]],1)</f>
        <v>Potassium - Generic</v>
      </c>
      <c r="T96" s="188" cm="1">
        <f t="array" ref="T96">Common_InputFunctions.Utility_DisplayArrayInTable(Fertiliser_SourceData.Fertiliser_Products_Data1(), FertiliserProducts[[#Headers],[Company]],1)</f>
        <v>3.4000000000000002E-2</v>
      </c>
      <c r="U96" s="188" t="str" cm="1">
        <f t="array" ref="U96">Common_InputFunctions.Utility_DisplayArrayInTable(Fertiliser_SourceData.Fertiliser_Products_Data1(), FertiliserProducts[[#Headers],[Company]],1)</f>
        <v/>
      </c>
      <c r="V96" s="188" t="str" cm="1">
        <f t="array" ref="V96">Common_InputFunctions.Utility_DisplayArrayInTable(Fertiliser_SourceData.Fertiliser_Products_Data1(), FertiliserProducts[[#Headers],[Company]],1)</f>
        <v/>
      </c>
      <c r="W96" s="188" t="str" cm="1">
        <f t="array" ref="W96">Common_InputFunctions.Utility_DisplayArrayInTable(Fertiliser_SourceData.Fertiliser_Products_Data1(), FertiliserProducts[[#Headers],[Company]],1)</f>
        <v/>
      </c>
      <c r="X96" s="188" t="str" cm="1">
        <f t="array" ref="X96">Common_InputFunctions.Utility_DisplayArrayInTable(Fertiliser_SourceData.Fertiliser_Products_Data1(), FertiliserProducts[[#Headers],[Company]],1)</f>
        <v/>
      </c>
      <c r="Y96" s="188" t="str" cm="1">
        <f t="array" ref="Y96">Common_InputFunctions.Utility_DisplayArrayInTable(Fertiliser_SourceData.Fertiliser_Products_Data1(), FertiliserProducts[[#Headers],[Company]],1)</f>
        <v/>
      </c>
      <c r="Z96" s="188" t="str" cm="1">
        <f t="array" ref="Z96">Common_InputFunctions.Utility_DisplayArrayInTable(Fertiliser_SourceData.Fertiliser_Products_Data1(), FertiliserProducts[[#Headers],[Company]],1)</f>
        <v/>
      </c>
      <c r="AA96" s="188" t="str" cm="1">
        <f t="array" ref="AA96">Common_InputFunctions.Utility_DisplayArrayInTable(Fertiliser_SourceData.Fertiliser_Products_Data1(), FertiliserProducts[[#Headers],[Company]],1)</f>
        <v/>
      </c>
      <c r="AB96" s="188" t="str" cm="1">
        <f t="array" ref="AB96">Common_InputFunctions.Utility_DisplayArrayInTable(Fertiliser_SourceData.Fertiliser_Products_Data1(), FertiliserProducts[[#Headers],[Company]],1)</f>
        <v/>
      </c>
      <c r="AC96" s="188" t="str" cm="1">
        <f t="array" ref="AC96">Common_InputFunctions.Utility_DisplayArrayInTable(Fertiliser_SourceData.Fertiliser_Products_Data1(), FertiliserProducts[[#Headers],[Company]],1)</f>
        <v/>
      </c>
      <c r="AD96" s="188" t="str" cm="1">
        <f t="array" ref="AD96">Common_InputFunctions.Utility_DisplayArrayInTable(Fertiliser_SourceData.Fertiliser_Products_Data1(), FertiliserProducts[[#Headers],[Company]],1)</f>
        <v/>
      </c>
      <c r="AE96" s="188" t="str" cm="1">
        <f t="array" ref="AE96">Common_InputFunctions.Utility_DisplayArrayInTable(Fertiliser_SourceData.Fertiliser_Products_Data1(), FertiliserProducts[[#Headers],[Company]],1)</f>
        <v/>
      </c>
      <c r="AF96" s="188" t="str" cm="1">
        <f t="array" ref="AF96">Common_InputFunctions.Utility_DisplayArrayInTable(Fertiliser_SourceData.Fertiliser_Products_Data1(), FertiliserProducts[[#Headers],[Company]],1)</f>
        <v/>
      </c>
      <c r="AG96" s="188" t="str" cm="1">
        <f t="array" ref="AG96">Common_InputFunctions.Utility_DisplayArrayInTable(Fertiliser_SourceData.Fertiliser_Products_Data1(), FertiliserProducts[[#Headers],[Company]],1)</f>
        <v/>
      </c>
      <c r="AH96" s="188" t="str" cm="1">
        <f t="array" ref="AH96">Common_InputFunctions.Utility_DisplayArrayInTable(Fertiliser_SourceData.Fertiliser_Products_Data1(), FertiliserProducts[[#Headers],[Company]],1)</f>
        <v/>
      </c>
      <c r="AK96" s="1"/>
      <c r="AL96" s="1"/>
      <c r="AM96" s="1"/>
    </row>
    <row r="97" spans="4:39" ht="20.100000000000001" customHeight="1" x14ac:dyDescent="0.25">
      <c r="D97" s="188" t="str" cm="1">
        <f t="array" ref="D97">Common_InputFunctions.Utility_DisplayArrayInTable(Fertiliser_SourceData.Fertiliser_Products_Data1(), FertiliserProducts[[#Headers],[Company]],1)</f>
        <v>Campbells fertilisers Australia</v>
      </c>
      <c r="E97" s="188" t="str" cm="1">
        <f t="array" ref="E97">Common_InputFunctions.Utility_DisplayArrayInTable(Fertiliser_SourceData.Fertiliser_Products_Data1(), FertiliserProducts[[#Headers],[Company]],1)</f>
        <v>Aqua Thio-Complete</v>
      </c>
      <c r="F97" s="188" t="str" cm="1">
        <f t="array" ref="F97">Common_InputFunctions.Utility_DisplayArrayInTable(Fertiliser_SourceData.Fertiliser_Products_Data1(), FertiliserProducts[[#Headers],[Company]],1)</f>
        <v>L</v>
      </c>
      <c r="G97" s="188" cm="1">
        <f t="array" ref="G97">Common_InputFunctions.Utility_DisplayArrayInTable(Fertiliser_SourceData.Fertiliser_Products_Data1(), FertiliserProducts[[#Headers],[Company]],1)</f>
        <v>1.43</v>
      </c>
      <c r="H97" s="188" t="str" cm="1">
        <f t="array" ref="H97">Common_InputFunctions.Utility_DisplayArrayInTable(Fertiliser_SourceData.Fertiliser_Products_Data1(), FertiliserProducts[[#Headers],[Company]],1)</f>
        <v/>
      </c>
      <c r="I97" s="188" t="str" cm="1">
        <f t="array" ref="I97">Common_InputFunctions.Utility_DisplayArrayInTable(Fertiliser_SourceData.Fertiliser_Products_Data1(), FertiliserProducts[[#Headers],[Company]],1)</f>
        <v/>
      </c>
      <c r="J97" s="188" t="str" cm="1">
        <f t="array" ref="J97">Common_InputFunctions.Utility_DisplayArrayInTable(Fertiliser_SourceData.Fertiliser_Products_Data1(), FertiliserProducts[[#Headers],[Company]],1)</f>
        <v/>
      </c>
      <c r="K97" s="188" cm="1">
        <f t="array" ref="K97">Common_InputFunctions.Utility_DisplayArrayInTable(Fertiliser_SourceData.Fertiliser_Products_Data1(), FertiliserProducts[[#Headers],[Company]],1)</f>
        <v>2.5</v>
      </c>
      <c r="L97" s="188" cm="1">
        <f t="array" ref="L97">Common_InputFunctions.Utility_DisplayArrayInTable(Fertiliser_SourceData.Fertiliser_Products_Data1(), FertiliserProducts[[#Headers],[Company]],1)</f>
        <v>3.8</v>
      </c>
      <c r="M97" s="188" cm="1">
        <f t="array" ref="M97">Common_InputFunctions.Utility_DisplayArrayInTable(Fertiliser_SourceData.Fertiliser_Products_Data1(), FertiliserProducts[[#Headers],[Company]],1)</f>
        <v>22.5</v>
      </c>
      <c r="N97" s="188" t="str" cm="1">
        <f t="array" ref="N97">Common_InputFunctions.Utility_DisplayArrayInTable(Fertiliser_SourceData.Fertiliser_Products_Data1(), FertiliserProducts[[#Headers],[Company]],1)</f>
        <v/>
      </c>
      <c r="O97" s="188" t="str" cm="1">
        <f t="array" ref="O97">Common_InputFunctions.Utility_DisplayArrayInTable(Fertiliser_SourceData.Fertiliser_Products_Data1(), FertiliserProducts[[#Headers],[Company]],1)</f>
        <v>Potassium - Generic</v>
      </c>
      <c r="P97" s="188" cm="1">
        <f t="array" ref="P97">Common_InputFunctions.Utility_DisplayArrayInTable(Fertiliser_SourceData.Fertiliser_Products_Data1(), FertiliserProducts[[#Headers],[Company]],1)</f>
        <v>0.22500000000000001</v>
      </c>
      <c r="Q97" s="188" t="str" cm="1">
        <f t="array" ref="Q97">Common_InputFunctions.Utility_DisplayArrayInTable(Fertiliser_SourceData.Fertiliser_Products_Data1(), FertiliserProducts[[#Headers],[Company]],1)</f>
        <v>Phosphorus - Generic</v>
      </c>
      <c r="R97" s="188" cm="1">
        <f t="array" ref="R97">Common_InputFunctions.Utility_DisplayArrayInTable(Fertiliser_SourceData.Fertiliser_Products_Data1(), FertiliserProducts[[#Headers],[Company]],1)</f>
        <v>3.7999999999999999E-2</v>
      </c>
      <c r="S97" s="188" t="str" cm="1">
        <f t="array" ref="S97">Common_InputFunctions.Utility_DisplayArrayInTable(Fertiliser_SourceData.Fertiliser_Products_Data1(), FertiliserProducts[[#Headers],[Company]],1)</f>
        <v>Nitrogen - Generic</v>
      </c>
      <c r="T97" s="188" cm="1">
        <f t="array" ref="T97">Common_InputFunctions.Utility_DisplayArrayInTable(Fertiliser_SourceData.Fertiliser_Products_Data1(), FertiliserProducts[[#Headers],[Company]],1)</f>
        <v>2.5000000000000001E-2</v>
      </c>
      <c r="U97" s="188" t="str" cm="1">
        <f t="array" ref="U97">Common_InputFunctions.Utility_DisplayArrayInTable(Fertiliser_SourceData.Fertiliser_Products_Data1(), FertiliserProducts[[#Headers],[Company]],1)</f>
        <v/>
      </c>
      <c r="V97" s="188" t="str" cm="1">
        <f t="array" ref="V97">Common_InputFunctions.Utility_DisplayArrayInTable(Fertiliser_SourceData.Fertiliser_Products_Data1(), FertiliserProducts[[#Headers],[Company]],1)</f>
        <v/>
      </c>
      <c r="W97" s="188" t="str" cm="1">
        <f t="array" ref="W97">Common_InputFunctions.Utility_DisplayArrayInTable(Fertiliser_SourceData.Fertiliser_Products_Data1(), FertiliserProducts[[#Headers],[Company]],1)</f>
        <v/>
      </c>
      <c r="X97" s="188" t="str" cm="1">
        <f t="array" ref="X97">Common_InputFunctions.Utility_DisplayArrayInTable(Fertiliser_SourceData.Fertiliser_Products_Data1(), FertiliserProducts[[#Headers],[Company]],1)</f>
        <v/>
      </c>
      <c r="Y97" s="188" t="str" cm="1">
        <f t="array" ref="Y97">Common_InputFunctions.Utility_DisplayArrayInTable(Fertiliser_SourceData.Fertiliser_Products_Data1(), FertiliserProducts[[#Headers],[Company]],1)</f>
        <v/>
      </c>
      <c r="Z97" s="188" t="str" cm="1">
        <f t="array" ref="Z97">Common_InputFunctions.Utility_DisplayArrayInTable(Fertiliser_SourceData.Fertiliser_Products_Data1(), FertiliserProducts[[#Headers],[Company]],1)</f>
        <v/>
      </c>
      <c r="AA97" s="188" t="str" cm="1">
        <f t="array" ref="AA97">Common_InputFunctions.Utility_DisplayArrayInTable(Fertiliser_SourceData.Fertiliser_Products_Data1(), FertiliserProducts[[#Headers],[Company]],1)</f>
        <v/>
      </c>
      <c r="AB97" s="188" t="str" cm="1">
        <f t="array" ref="AB97">Common_InputFunctions.Utility_DisplayArrayInTable(Fertiliser_SourceData.Fertiliser_Products_Data1(), FertiliserProducts[[#Headers],[Company]],1)</f>
        <v/>
      </c>
      <c r="AC97" s="188" t="str" cm="1">
        <f t="array" ref="AC97">Common_InputFunctions.Utility_DisplayArrayInTable(Fertiliser_SourceData.Fertiliser_Products_Data1(), FertiliserProducts[[#Headers],[Company]],1)</f>
        <v/>
      </c>
      <c r="AD97" s="188" t="str" cm="1">
        <f t="array" ref="AD97">Common_InputFunctions.Utility_DisplayArrayInTable(Fertiliser_SourceData.Fertiliser_Products_Data1(), FertiliserProducts[[#Headers],[Company]],1)</f>
        <v/>
      </c>
      <c r="AE97" s="188" t="str" cm="1">
        <f t="array" ref="AE97">Common_InputFunctions.Utility_DisplayArrayInTable(Fertiliser_SourceData.Fertiliser_Products_Data1(), FertiliserProducts[[#Headers],[Company]],1)</f>
        <v/>
      </c>
      <c r="AF97" s="188" t="str" cm="1">
        <f t="array" ref="AF97">Common_InputFunctions.Utility_DisplayArrayInTable(Fertiliser_SourceData.Fertiliser_Products_Data1(), FertiliserProducts[[#Headers],[Company]],1)</f>
        <v/>
      </c>
      <c r="AG97" s="188" t="str" cm="1">
        <f t="array" ref="AG97">Common_InputFunctions.Utility_DisplayArrayInTable(Fertiliser_SourceData.Fertiliser_Products_Data1(), FertiliserProducts[[#Headers],[Company]],1)</f>
        <v/>
      </c>
      <c r="AH97" s="188" t="str" cm="1">
        <f t="array" ref="AH97">Common_InputFunctions.Utility_DisplayArrayInTable(Fertiliser_SourceData.Fertiliser_Products_Data1(), FertiliserProducts[[#Headers],[Company]],1)</f>
        <v/>
      </c>
      <c r="AK97" s="1"/>
      <c r="AL97" s="1"/>
      <c r="AM97" s="1"/>
    </row>
    <row r="98" spans="4:39" ht="20.100000000000001" customHeight="1" x14ac:dyDescent="0.25">
      <c r="D98" s="188" t="str" cm="1">
        <f t="array" ref="D98">Common_InputFunctions.Utility_DisplayArrayInTable(Fertiliser_SourceData.Fertiliser_Products_Data1(), FertiliserProducts[[#Headers],[Company]],1)</f>
        <v>Campbells fertilisers Australia</v>
      </c>
      <c r="E98" s="188" t="str" cm="1">
        <f t="array" ref="E98">Common_InputFunctions.Utility_DisplayArrayInTable(Fertiliser_SourceData.Fertiliser_Products_Data1(), FertiliserProducts[[#Headers],[Company]],1)</f>
        <v>Aqua Thio-Emerge</v>
      </c>
      <c r="F98" s="188" t="str" cm="1">
        <f t="array" ref="F98">Common_InputFunctions.Utility_DisplayArrayInTable(Fertiliser_SourceData.Fertiliser_Products_Data1(), FertiliserProducts[[#Headers],[Company]],1)</f>
        <v>L</v>
      </c>
      <c r="G98" s="188" cm="1">
        <f t="array" ref="G98">Common_InputFunctions.Utility_DisplayArrayInTable(Fertiliser_SourceData.Fertiliser_Products_Data1(), FertiliserProducts[[#Headers],[Company]],1)</f>
        <v>1.29</v>
      </c>
      <c r="H98" s="188" t="str" cm="1">
        <f t="array" ref="H98">Common_InputFunctions.Utility_DisplayArrayInTable(Fertiliser_SourceData.Fertiliser_Products_Data1(), FertiliserProducts[[#Headers],[Company]],1)</f>
        <v/>
      </c>
      <c r="I98" s="188" t="str" cm="1">
        <f t="array" ref="I98">Common_InputFunctions.Utility_DisplayArrayInTable(Fertiliser_SourceData.Fertiliser_Products_Data1(), FertiliserProducts[[#Headers],[Company]],1)</f>
        <v/>
      </c>
      <c r="J98" s="188" t="str" cm="1">
        <f t="array" ref="J98">Common_InputFunctions.Utility_DisplayArrayInTable(Fertiliser_SourceData.Fertiliser_Products_Data1(), FertiliserProducts[[#Headers],[Company]],1)</f>
        <v/>
      </c>
      <c r="K98" s="188" cm="1">
        <f t="array" ref="K98">Common_InputFunctions.Utility_DisplayArrayInTable(Fertiliser_SourceData.Fertiliser_Products_Data1(), FertiliserProducts[[#Headers],[Company]],1)</f>
        <v>10.5</v>
      </c>
      <c r="L98" s="188" cm="1">
        <f t="array" ref="L98">Common_InputFunctions.Utility_DisplayArrayInTable(Fertiliser_SourceData.Fertiliser_Products_Data1(), FertiliserProducts[[#Headers],[Company]],1)</f>
        <v>9.4</v>
      </c>
      <c r="M98" s="188" cm="1">
        <f t="array" ref="M98">Common_InputFunctions.Utility_DisplayArrayInTable(Fertiliser_SourceData.Fertiliser_Products_Data1(), FertiliserProducts[[#Headers],[Company]],1)</f>
        <v>4</v>
      </c>
      <c r="N98" s="188" cm="1">
        <f t="array" ref="N98">Common_InputFunctions.Utility_DisplayArrayInTable(Fertiliser_SourceData.Fertiliser_Products_Data1(), FertiliserProducts[[#Headers],[Company]],1)</f>
        <v>3</v>
      </c>
      <c r="O98" s="188" t="str" cm="1">
        <f t="array" ref="O98">Common_InputFunctions.Utility_DisplayArrayInTable(Fertiliser_SourceData.Fertiliser_Products_Data1(), FertiliserProducts[[#Headers],[Company]],1)</f>
        <v>Nitrogen - Generic</v>
      </c>
      <c r="P98" s="188" cm="1">
        <f t="array" ref="P98">Common_InputFunctions.Utility_DisplayArrayInTable(Fertiliser_SourceData.Fertiliser_Products_Data1(), FertiliserProducts[[#Headers],[Company]],1)</f>
        <v>0.105</v>
      </c>
      <c r="Q98" s="188" t="str" cm="1">
        <f t="array" ref="Q98">Common_InputFunctions.Utility_DisplayArrayInTable(Fertiliser_SourceData.Fertiliser_Products_Data1(), FertiliserProducts[[#Headers],[Company]],1)</f>
        <v>Phosphorus - Generic</v>
      </c>
      <c r="R98" s="188" cm="1">
        <f t="array" ref="R98">Common_InputFunctions.Utility_DisplayArrayInTable(Fertiliser_SourceData.Fertiliser_Products_Data1(), FertiliserProducts[[#Headers],[Company]],1)</f>
        <v>9.4E-2</v>
      </c>
      <c r="S98" s="188" t="str" cm="1">
        <f t="array" ref="S98">Common_InputFunctions.Utility_DisplayArrayInTable(Fertiliser_SourceData.Fertiliser_Products_Data1(), FertiliserProducts[[#Headers],[Company]],1)</f>
        <v>Potassium - Generic</v>
      </c>
      <c r="T98" s="188" cm="1">
        <f t="array" ref="T98">Common_InputFunctions.Utility_DisplayArrayInTable(Fertiliser_SourceData.Fertiliser_Products_Data1(), FertiliserProducts[[#Headers],[Company]],1)</f>
        <v>0.04</v>
      </c>
      <c r="U98" s="188" t="str" cm="1">
        <f t="array" ref="U98">Common_InputFunctions.Utility_DisplayArrayInTable(Fertiliser_SourceData.Fertiliser_Products_Data1(), FertiliserProducts[[#Headers],[Company]],1)</f>
        <v>Sulfur - Generic</v>
      </c>
      <c r="V98" s="188" cm="1">
        <f t="array" ref="V98">Common_InputFunctions.Utility_DisplayArrayInTable(Fertiliser_SourceData.Fertiliser_Products_Data1(), FertiliserProducts[[#Headers],[Company]],1)</f>
        <v>0.03</v>
      </c>
      <c r="W98" s="188" t="str" cm="1">
        <f t="array" ref="W98">Common_InputFunctions.Utility_DisplayArrayInTable(Fertiliser_SourceData.Fertiliser_Products_Data1(), FertiliserProducts[[#Headers],[Company]],1)</f>
        <v/>
      </c>
      <c r="X98" s="188" t="str" cm="1">
        <f t="array" ref="X98">Common_InputFunctions.Utility_DisplayArrayInTable(Fertiliser_SourceData.Fertiliser_Products_Data1(), FertiliserProducts[[#Headers],[Company]],1)</f>
        <v/>
      </c>
      <c r="Y98" s="188" t="str" cm="1">
        <f t="array" ref="Y98">Common_InputFunctions.Utility_DisplayArrayInTable(Fertiliser_SourceData.Fertiliser_Products_Data1(), FertiliserProducts[[#Headers],[Company]],1)</f>
        <v/>
      </c>
      <c r="Z98" s="188" t="str" cm="1">
        <f t="array" ref="Z98">Common_InputFunctions.Utility_DisplayArrayInTable(Fertiliser_SourceData.Fertiliser_Products_Data1(), FertiliserProducts[[#Headers],[Company]],1)</f>
        <v/>
      </c>
      <c r="AA98" s="188" t="str" cm="1">
        <f t="array" ref="AA98">Common_InputFunctions.Utility_DisplayArrayInTable(Fertiliser_SourceData.Fertiliser_Products_Data1(), FertiliserProducts[[#Headers],[Company]],1)</f>
        <v/>
      </c>
      <c r="AB98" s="188" t="str" cm="1">
        <f t="array" ref="AB98">Common_InputFunctions.Utility_DisplayArrayInTable(Fertiliser_SourceData.Fertiliser_Products_Data1(), FertiliserProducts[[#Headers],[Company]],1)</f>
        <v/>
      </c>
      <c r="AC98" s="188" t="str" cm="1">
        <f t="array" ref="AC98">Common_InputFunctions.Utility_DisplayArrayInTable(Fertiliser_SourceData.Fertiliser_Products_Data1(), FertiliserProducts[[#Headers],[Company]],1)</f>
        <v/>
      </c>
      <c r="AD98" s="188" t="str" cm="1">
        <f t="array" ref="AD98">Common_InputFunctions.Utility_DisplayArrayInTable(Fertiliser_SourceData.Fertiliser_Products_Data1(), FertiliserProducts[[#Headers],[Company]],1)</f>
        <v/>
      </c>
      <c r="AE98" s="188" t="str" cm="1">
        <f t="array" ref="AE98">Common_InputFunctions.Utility_DisplayArrayInTable(Fertiliser_SourceData.Fertiliser_Products_Data1(), FertiliserProducts[[#Headers],[Company]],1)</f>
        <v/>
      </c>
      <c r="AF98" s="188" t="str" cm="1">
        <f t="array" ref="AF98">Common_InputFunctions.Utility_DisplayArrayInTable(Fertiliser_SourceData.Fertiliser_Products_Data1(), FertiliserProducts[[#Headers],[Company]],1)</f>
        <v/>
      </c>
      <c r="AG98" s="188" t="str" cm="1">
        <f t="array" ref="AG98">Common_InputFunctions.Utility_DisplayArrayInTable(Fertiliser_SourceData.Fertiliser_Products_Data1(), FertiliserProducts[[#Headers],[Company]],1)</f>
        <v/>
      </c>
      <c r="AH98" s="188" t="str" cm="1">
        <f t="array" ref="AH98">Common_InputFunctions.Utility_DisplayArrayInTable(Fertiliser_SourceData.Fertiliser_Products_Data1(), FertiliserProducts[[#Headers],[Company]],1)</f>
        <v/>
      </c>
      <c r="AK98" s="1"/>
      <c r="AL98" s="1"/>
      <c r="AM98" s="1"/>
    </row>
    <row r="99" spans="4:39" ht="20.100000000000001" customHeight="1" x14ac:dyDescent="0.25">
      <c r="D99" s="188" t="str" cm="1">
        <f t="array" ref="D99">Common_InputFunctions.Utility_DisplayArrayInTable(Fertiliser_SourceData.Fertiliser_Products_Data1(), FertiliserProducts[[#Headers],[Company]],1)</f>
        <v>Campbells fertilisers Australia</v>
      </c>
      <c r="E99" s="188" t="str" cm="1">
        <f t="array" ref="E99">Common_InputFunctions.Utility_DisplayArrayInTable(Fertiliser_SourceData.Fertiliser_Products_Data1(), FertiliserProducts[[#Headers],[Company]],1)</f>
        <v>Aqua Thio-Flourish</v>
      </c>
      <c r="F99" s="188" t="str" cm="1">
        <f t="array" ref="F99">Common_InputFunctions.Utility_DisplayArrayInTable(Fertiliser_SourceData.Fertiliser_Products_Data1(), FertiliserProducts[[#Headers],[Company]],1)</f>
        <v>L</v>
      </c>
      <c r="G99" s="188" cm="1">
        <f t="array" ref="G99">Common_InputFunctions.Utility_DisplayArrayInTable(Fertiliser_SourceData.Fertiliser_Products_Data1(), FertiliserProducts[[#Headers],[Company]],1)</f>
        <v>1.32</v>
      </c>
      <c r="H99" s="188" t="str" cm="1">
        <f t="array" ref="H99">Common_InputFunctions.Utility_DisplayArrayInTable(Fertiliser_SourceData.Fertiliser_Products_Data1(), FertiliserProducts[[#Headers],[Company]],1)</f>
        <v/>
      </c>
      <c r="I99" s="188" t="str" cm="1">
        <f t="array" ref="I99">Common_InputFunctions.Utility_DisplayArrayInTable(Fertiliser_SourceData.Fertiliser_Products_Data1(), FertiliserProducts[[#Headers],[Company]],1)</f>
        <v/>
      </c>
      <c r="J99" s="188" t="str" cm="1">
        <f t="array" ref="J99">Common_InputFunctions.Utility_DisplayArrayInTable(Fertiliser_SourceData.Fertiliser_Products_Data1(), FertiliserProducts[[#Headers],[Company]],1)</f>
        <v/>
      </c>
      <c r="K99" s="188" cm="1">
        <f t="array" ref="K99">Common_InputFunctions.Utility_DisplayArrayInTable(Fertiliser_SourceData.Fertiliser_Products_Data1(), FertiliserProducts[[#Headers],[Company]],1)</f>
        <v>9.5</v>
      </c>
      <c r="L99" s="188" cm="1">
        <f t="array" ref="L99">Common_InputFunctions.Utility_DisplayArrayInTable(Fertiliser_SourceData.Fertiliser_Products_Data1(), FertiliserProducts[[#Headers],[Company]],1)</f>
        <v>4.7</v>
      </c>
      <c r="M99" s="188" cm="1">
        <f t="array" ref="M99">Common_InputFunctions.Utility_DisplayArrayInTable(Fertiliser_SourceData.Fertiliser_Products_Data1(), FertiliserProducts[[#Headers],[Company]],1)</f>
        <v>10.8</v>
      </c>
      <c r="N99" s="188" cm="1">
        <f t="array" ref="N99">Common_InputFunctions.Utility_DisplayArrayInTable(Fertiliser_SourceData.Fertiliser_Products_Data1(), FertiliserProducts[[#Headers],[Company]],1)</f>
        <v>8.1</v>
      </c>
      <c r="O99" s="188" t="str" cm="1">
        <f t="array" ref="O99">Common_InputFunctions.Utility_DisplayArrayInTable(Fertiliser_SourceData.Fertiliser_Products_Data1(), FertiliserProducts[[#Headers],[Company]],1)</f>
        <v>Potassium - Generic</v>
      </c>
      <c r="P99" s="188" cm="1">
        <f t="array" ref="P99">Common_InputFunctions.Utility_DisplayArrayInTable(Fertiliser_SourceData.Fertiliser_Products_Data1(), FertiliserProducts[[#Headers],[Company]],1)</f>
        <v>0.108</v>
      </c>
      <c r="Q99" s="188" t="str" cm="1">
        <f t="array" ref="Q99">Common_InputFunctions.Utility_DisplayArrayInTable(Fertiliser_SourceData.Fertiliser_Products_Data1(), FertiliserProducts[[#Headers],[Company]],1)</f>
        <v>Nitrogen - Generic</v>
      </c>
      <c r="R99" s="188" cm="1">
        <f t="array" ref="R99">Common_InputFunctions.Utility_DisplayArrayInTable(Fertiliser_SourceData.Fertiliser_Products_Data1(), FertiliserProducts[[#Headers],[Company]],1)</f>
        <v>9.5000000000000001E-2</v>
      </c>
      <c r="S99" s="188" t="str" cm="1">
        <f t="array" ref="S99">Common_InputFunctions.Utility_DisplayArrayInTable(Fertiliser_SourceData.Fertiliser_Products_Data1(), FertiliserProducts[[#Headers],[Company]],1)</f>
        <v>Sulfur - Generic</v>
      </c>
      <c r="T99" s="188" cm="1">
        <f t="array" ref="T99">Common_InputFunctions.Utility_DisplayArrayInTable(Fertiliser_SourceData.Fertiliser_Products_Data1(), FertiliserProducts[[#Headers],[Company]],1)</f>
        <v>8.1000000000000003E-2</v>
      </c>
      <c r="U99" s="188" t="str" cm="1">
        <f t="array" ref="U99">Common_InputFunctions.Utility_DisplayArrayInTable(Fertiliser_SourceData.Fertiliser_Products_Data1(), FertiliserProducts[[#Headers],[Company]],1)</f>
        <v>Phosphorus - Generic</v>
      </c>
      <c r="V99" s="188" cm="1">
        <f t="array" ref="V99">Common_InputFunctions.Utility_DisplayArrayInTable(Fertiliser_SourceData.Fertiliser_Products_Data1(), FertiliserProducts[[#Headers],[Company]],1)</f>
        <v>4.7E-2</v>
      </c>
      <c r="W99" s="188" t="str" cm="1">
        <f t="array" ref="W99">Common_InputFunctions.Utility_DisplayArrayInTable(Fertiliser_SourceData.Fertiliser_Products_Data1(), FertiliserProducts[[#Headers],[Company]],1)</f>
        <v/>
      </c>
      <c r="X99" s="188" t="str" cm="1">
        <f t="array" ref="X99">Common_InputFunctions.Utility_DisplayArrayInTable(Fertiliser_SourceData.Fertiliser_Products_Data1(), FertiliserProducts[[#Headers],[Company]],1)</f>
        <v/>
      </c>
      <c r="Y99" s="188" t="str" cm="1">
        <f t="array" ref="Y99">Common_InputFunctions.Utility_DisplayArrayInTable(Fertiliser_SourceData.Fertiliser_Products_Data1(), FertiliserProducts[[#Headers],[Company]],1)</f>
        <v/>
      </c>
      <c r="Z99" s="188" t="str" cm="1">
        <f t="array" ref="Z99">Common_InputFunctions.Utility_DisplayArrayInTable(Fertiliser_SourceData.Fertiliser_Products_Data1(), FertiliserProducts[[#Headers],[Company]],1)</f>
        <v/>
      </c>
      <c r="AA99" s="188" t="str" cm="1">
        <f t="array" ref="AA99">Common_InputFunctions.Utility_DisplayArrayInTable(Fertiliser_SourceData.Fertiliser_Products_Data1(), FertiliserProducts[[#Headers],[Company]],1)</f>
        <v/>
      </c>
      <c r="AB99" s="188" t="str" cm="1">
        <f t="array" ref="AB99">Common_InputFunctions.Utility_DisplayArrayInTable(Fertiliser_SourceData.Fertiliser_Products_Data1(), FertiliserProducts[[#Headers],[Company]],1)</f>
        <v/>
      </c>
      <c r="AC99" s="188" t="str" cm="1">
        <f t="array" ref="AC99">Common_InputFunctions.Utility_DisplayArrayInTable(Fertiliser_SourceData.Fertiliser_Products_Data1(), FertiliserProducts[[#Headers],[Company]],1)</f>
        <v/>
      </c>
      <c r="AD99" s="188" t="str" cm="1">
        <f t="array" ref="AD99">Common_InputFunctions.Utility_DisplayArrayInTable(Fertiliser_SourceData.Fertiliser_Products_Data1(), FertiliserProducts[[#Headers],[Company]],1)</f>
        <v/>
      </c>
      <c r="AE99" s="188" t="str" cm="1">
        <f t="array" ref="AE99">Common_InputFunctions.Utility_DisplayArrayInTable(Fertiliser_SourceData.Fertiliser_Products_Data1(), FertiliserProducts[[#Headers],[Company]],1)</f>
        <v/>
      </c>
      <c r="AF99" s="188" t="str" cm="1">
        <f t="array" ref="AF99">Common_InputFunctions.Utility_DisplayArrayInTable(Fertiliser_SourceData.Fertiliser_Products_Data1(), FertiliserProducts[[#Headers],[Company]],1)</f>
        <v/>
      </c>
      <c r="AG99" s="188" t="str" cm="1">
        <f t="array" ref="AG99">Common_InputFunctions.Utility_DisplayArrayInTable(Fertiliser_SourceData.Fertiliser_Products_Data1(), FertiliserProducts[[#Headers],[Company]],1)</f>
        <v/>
      </c>
      <c r="AH99" s="188" t="str" cm="1">
        <f t="array" ref="AH99">Common_InputFunctions.Utility_DisplayArrayInTable(Fertiliser_SourceData.Fertiliser_Products_Data1(), FertiliserProducts[[#Headers],[Company]],1)</f>
        <v/>
      </c>
      <c r="AK99" s="1"/>
      <c r="AL99" s="1"/>
      <c r="AM99" s="1"/>
    </row>
    <row r="100" spans="4:39" ht="20.100000000000001" customHeight="1" x14ac:dyDescent="0.25">
      <c r="D100" s="188" t="str" cm="1">
        <f t="array" ref="D100">Common_InputFunctions.Utility_DisplayArrayInTable(Fertiliser_SourceData.Fertiliser_Products_Data1(), FertiliserProducts[[#Headers],[Company]],1)</f>
        <v>Campbells fertilisers Australia</v>
      </c>
      <c r="E100" s="188" t="str" cm="1">
        <f t="array" ref="E100">Common_InputFunctions.Utility_DisplayArrayInTable(Fertiliser_SourceData.Fertiliser_Products_Data1(), FertiliserProducts[[#Headers],[Company]],1)</f>
        <v>Boost-It</v>
      </c>
      <c r="F100" s="188" t="str" cm="1">
        <f t="array" ref="F100">Common_InputFunctions.Utility_DisplayArrayInTable(Fertiliser_SourceData.Fertiliser_Products_Data1(), FertiliserProducts[[#Headers],[Company]],1)</f>
        <v>kg</v>
      </c>
      <c r="G100" s="188" cm="1">
        <f t="array" ref="G100">Common_InputFunctions.Utility_DisplayArrayInTable(Fertiliser_SourceData.Fertiliser_Products_Data1(), FertiliserProducts[[#Headers],[Company]],1)</f>
        <v>1</v>
      </c>
      <c r="H100" s="188" t="str" cm="1">
        <f t="array" ref="H100">Common_InputFunctions.Utility_DisplayArrayInTable(Fertiliser_SourceData.Fertiliser_Products_Data1(), FertiliserProducts[[#Headers],[Company]],1)</f>
        <v/>
      </c>
      <c r="I100" s="188" t="str" cm="1">
        <f t="array" ref="I100">Common_InputFunctions.Utility_DisplayArrayInTable(Fertiliser_SourceData.Fertiliser_Products_Data1(), FertiliserProducts[[#Headers],[Company]],1)</f>
        <v/>
      </c>
      <c r="J100" s="188" t="str" cm="1">
        <f t="array" ref="J100">Common_InputFunctions.Utility_DisplayArrayInTable(Fertiliser_SourceData.Fertiliser_Products_Data1(), FertiliserProducts[[#Headers],[Company]],1)</f>
        <v/>
      </c>
      <c r="K100" s="188" cm="1">
        <f t="array" ref="K100">Common_InputFunctions.Utility_DisplayArrayInTable(Fertiliser_SourceData.Fertiliser_Products_Data1(), FertiliserProducts[[#Headers],[Company]],1)</f>
        <v>24</v>
      </c>
      <c r="L100" s="188" cm="1">
        <f t="array" ref="L100">Common_InputFunctions.Utility_DisplayArrayInTable(Fertiliser_SourceData.Fertiliser_Products_Data1(), FertiliserProducts[[#Headers],[Company]],1)</f>
        <v>5.2</v>
      </c>
      <c r="M100" s="188" cm="1">
        <f t="array" ref="M100">Common_InputFunctions.Utility_DisplayArrayInTable(Fertiliser_SourceData.Fertiliser_Products_Data1(), FertiliserProducts[[#Headers],[Company]],1)</f>
        <v>8</v>
      </c>
      <c r="N100" s="188" cm="1">
        <f t="array" ref="N100">Common_InputFunctions.Utility_DisplayArrayInTable(Fertiliser_SourceData.Fertiliser_Products_Data1(), FertiliserProducts[[#Headers],[Company]],1)</f>
        <v>5.3</v>
      </c>
      <c r="O100" s="188" t="str" cm="1">
        <f t="array" ref="O100">Common_InputFunctions.Utility_DisplayArrayInTable(Fertiliser_SourceData.Fertiliser_Products_Data1(), FertiliserProducts[[#Headers],[Company]],1)</f>
        <v>Urea</v>
      </c>
      <c r="P100" s="188" cm="1">
        <f t="array" ref="P100">Common_InputFunctions.Utility_DisplayArrayInTable(Fertiliser_SourceData.Fertiliser_Products_Data1(), FertiliserProducts[[#Headers],[Company]],1)</f>
        <v>0.52173899999999995</v>
      </c>
      <c r="Q100" s="188" t="str" cm="1">
        <f t="array" ref="Q100">Common_InputFunctions.Utility_DisplayArrayInTable(Fertiliser_SourceData.Fertiliser_Products_Data1(), FertiliserProducts[[#Headers],[Company]],1)</f>
        <v>Potassium - Generic</v>
      </c>
      <c r="R100" s="188" cm="1">
        <f t="array" ref="R100">Common_InputFunctions.Utility_DisplayArrayInTable(Fertiliser_SourceData.Fertiliser_Products_Data1(), FertiliserProducts[[#Headers],[Company]],1)</f>
        <v>0.08</v>
      </c>
      <c r="S100" s="188" t="str" cm="1">
        <f t="array" ref="S100">Common_InputFunctions.Utility_DisplayArrayInTable(Fertiliser_SourceData.Fertiliser_Products_Data1(), FertiliserProducts[[#Headers],[Company]],1)</f>
        <v>Sulfur - Generic</v>
      </c>
      <c r="T100" s="188" cm="1">
        <f t="array" ref="T100">Common_InputFunctions.Utility_DisplayArrayInTable(Fertiliser_SourceData.Fertiliser_Products_Data1(), FertiliserProducts[[#Headers],[Company]],1)</f>
        <v>5.2999999999999999E-2</v>
      </c>
      <c r="U100" s="188" t="str" cm="1">
        <f t="array" ref="U100">Common_InputFunctions.Utility_DisplayArrayInTable(Fertiliser_SourceData.Fertiliser_Products_Data1(), FertiliserProducts[[#Headers],[Company]],1)</f>
        <v>Phosphorus - Generic</v>
      </c>
      <c r="V100" s="188" cm="1">
        <f t="array" ref="V100">Common_InputFunctions.Utility_DisplayArrayInTable(Fertiliser_SourceData.Fertiliser_Products_Data1(), FertiliserProducts[[#Headers],[Company]],1)</f>
        <v>5.1999999999999998E-2</v>
      </c>
      <c r="W100" s="188" t="str" cm="1">
        <f t="array" ref="W100">Common_InputFunctions.Utility_DisplayArrayInTable(Fertiliser_SourceData.Fertiliser_Products_Data1(), FertiliserProducts[[#Headers],[Company]],1)</f>
        <v>Magnesium</v>
      </c>
      <c r="X100" s="188" cm="1">
        <f t="array" ref="X100">Common_InputFunctions.Utility_DisplayArrayInTable(Fertiliser_SourceData.Fertiliser_Products_Data1(), FertiliserProducts[[#Headers],[Company]],1)</f>
        <v>1.2999999999999999E-2</v>
      </c>
      <c r="Y100" s="188" t="str" cm="1">
        <f t="array" ref="Y100">Common_InputFunctions.Utility_DisplayArrayInTable(Fertiliser_SourceData.Fertiliser_Products_Data1(), FertiliserProducts[[#Headers],[Company]],1)</f>
        <v>Zinc</v>
      </c>
      <c r="Z100" s="188" cm="1">
        <f t="array" ref="Z100">Common_InputFunctions.Utility_DisplayArrayInTable(Fertiliser_SourceData.Fertiliser_Products_Data1(), FertiliserProducts[[#Headers],[Company]],1)</f>
        <v>2E-3</v>
      </c>
      <c r="AA100" s="188" t="str" cm="1">
        <f t="array" ref="AA100">Common_InputFunctions.Utility_DisplayArrayInTable(Fertiliser_SourceData.Fertiliser_Products_Data1(), FertiliserProducts[[#Headers],[Company]],1)</f>
        <v>Manganese</v>
      </c>
      <c r="AB100" s="188" cm="1">
        <f t="array" ref="AB100">Common_InputFunctions.Utility_DisplayArrayInTable(Fertiliser_SourceData.Fertiliser_Products_Data1(), FertiliserProducts[[#Headers],[Company]],1)</f>
        <v>3.5000000000000001E-3</v>
      </c>
      <c r="AC100" s="188" t="str" cm="1">
        <f t="array" ref="AC100">Common_InputFunctions.Utility_DisplayArrayInTable(Fertiliser_SourceData.Fertiliser_Products_Data1(), FertiliserProducts[[#Headers],[Company]],1)</f>
        <v>Iron</v>
      </c>
      <c r="AD100" s="188" cm="1">
        <f t="array" ref="AD100">Common_InputFunctions.Utility_DisplayArrayInTable(Fertiliser_SourceData.Fertiliser_Products_Data1(), FertiliserProducts[[#Headers],[Company]],1)</f>
        <v>1.2999999999999999E-3</v>
      </c>
      <c r="AE100" s="188" t="str" cm="1">
        <f t="array" ref="AE100">Common_InputFunctions.Utility_DisplayArrayInTable(Fertiliser_SourceData.Fertiliser_Products_Data1(), FertiliserProducts[[#Headers],[Company]],1)</f>
        <v>Copper</v>
      </c>
      <c r="AF100" s="188" cm="1">
        <f t="array" ref="AF100">Common_InputFunctions.Utility_DisplayArrayInTable(Fertiliser_SourceData.Fertiliser_Products_Data1(), FertiliserProducts[[#Headers],[Company]],1)</f>
        <v>6.9999999999999999E-4</v>
      </c>
      <c r="AG100" s="188" t="str" cm="1">
        <f t="array" ref="AG100">Common_InputFunctions.Utility_DisplayArrayInTable(Fertiliser_SourceData.Fertiliser_Products_Data1(), FertiliserProducts[[#Headers],[Company]],1)</f>
        <v>Boron</v>
      </c>
      <c r="AH100" s="188"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88" t="str" cm="1">
        <f t="array" ref="D101">Common_InputFunctions.Utility_DisplayArrayInTable(Fertiliser_SourceData.Fertiliser_Products_Data1(), FertiliserProducts[[#Headers],[Company]],1)</f>
        <v>Campbells fertilisers Australia</v>
      </c>
      <c r="E101" s="188" t="str" cm="1">
        <f t="array" ref="E101">Common_InputFunctions.Utility_DisplayArrayInTable(Fertiliser_SourceData.Fertiliser_Products_Data1(), FertiliserProducts[[#Headers],[Company]],1)</f>
        <v>Bronze</v>
      </c>
      <c r="F101" s="188" t="str" cm="1">
        <f t="array" ref="F101">Common_InputFunctions.Utility_DisplayArrayInTable(Fertiliser_SourceData.Fertiliser_Products_Data1(), FertiliserProducts[[#Headers],[Company]],1)</f>
        <v>kg</v>
      </c>
      <c r="G101" s="188" cm="1">
        <f t="array" ref="G101">Common_InputFunctions.Utility_DisplayArrayInTable(Fertiliser_SourceData.Fertiliser_Products_Data1(), FertiliserProducts[[#Headers],[Company]],1)</f>
        <v>1</v>
      </c>
      <c r="H101" s="188" t="str" cm="1">
        <f t="array" ref="H101">Common_InputFunctions.Utility_DisplayArrayInTable(Fertiliser_SourceData.Fertiliser_Products_Data1(), FertiliserProducts[[#Headers],[Company]],1)</f>
        <v/>
      </c>
      <c r="I101" s="188" t="str" cm="1">
        <f t="array" ref="I101">Common_InputFunctions.Utility_DisplayArrayInTable(Fertiliser_SourceData.Fertiliser_Products_Data1(), FertiliserProducts[[#Headers],[Company]],1)</f>
        <v/>
      </c>
      <c r="J101" s="188" t="str" cm="1">
        <f t="array" ref="J101">Common_InputFunctions.Utility_DisplayArrayInTable(Fertiliser_SourceData.Fertiliser_Products_Data1(), FertiliserProducts[[#Headers],[Company]],1)</f>
        <v/>
      </c>
      <c r="K101" s="188" cm="1">
        <f t="array" ref="K101">Common_InputFunctions.Utility_DisplayArrayInTable(Fertiliser_SourceData.Fertiliser_Products_Data1(), FertiliserProducts[[#Headers],[Company]],1)</f>
        <v>17</v>
      </c>
      <c r="L101" s="188" cm="1">
        <f t="array" ref="L101">Common_InputFunctions.Utility_DisplayArrayInTable(Fertiliser_SourceData.Fertiliser_Products_Data1(), FertiliserProducts[[#Headers],[Company]],1)</f>
        <v>0.04</v>
      </c>
      <c r="M101" s="188" cm="1">
        <f t="array" ref="M101">Common_InputFunctions.Utility_DisplayArrayInTable(Fertiliser_SourceData.Fertiliser_Products_Data1(), FertiliserProducts[[#Headers],[Company]],1)</f>
        <v>11.6</v>
      </c>
      <c r="N101" s="188" cm="1">
        <f t="array" ref="N101">Common_InputFunctions.Utility_DisplayArrayInTable(Fertiliser_SourceData.Fertiliser_Products_Data1(), FertiliserProducts[[#Headers],[Company]],1)</f>
        <v>0.5</v>
      </c>
      <c r="O101" s="188" t="str" cm="1">
        <f t="array" ref="O101">Common_InputFunctions.Utility_DisplayArrayInTable(Fertiliser_SourceData.Fertiliser_Products_Data1(), FertiliserProducts[[#Headers],[Company]],1)</f>
        <v>Muriate of potash (MOP)</v>
      </c>
      <c r="P101" s="188" cm="1">
        <f t="array" ref="P101">Common_InputFunctions.Utility_DisplayArrayInTable(Fertiliser_SourceData.Fertiliser_Products_Data1(), FertiliserProducts[[#Headers],[Company]],1)</f>
        <v>0.23200000000000001</v>
      </c>
      <c r="Q101" s="188" t="str" cm="1">
        <f t="array" ref="Q101">Common_InputFunctions.Utility_DisplayArrayInTable(Fertiliser_SourceData.Fertiliser_Products_Data1(), FertiliserProducts[[#Headers],[Company]],1)</f>
        <v>Nitrogen - Generic</v>
      </c>
      <c r="R101" s="188" cm="1">
        <f t="array" ref="R101">Common_InputFunctions.Utility_DisplayArrayInTable(Fertiliser_SourceData.Fertiliser_Products_Data1(), FertiliserProducts[[#Headers],[Company]],1)</f>
        <v>0.17</v>
      </c>
      <c r="S101" s="188" t="str" cm="1">
        <f t="array" ref="S101">Common_InputFunctions.Utility_DisplayArrayInTable(Fertiliser_SourceData.Fertiliser_Products_Data1(), FertiliserProducts[[#Headers],[Company]],1)</f>
        <v>Sulfur - Generic</v>
      </c>
      <c r="T101" s="188" cm="1">
        <f t="array" ref="T101">Common_InputFunctions.Utility_DisplayArrayInTable(Fertiliser_SourceData.Fertiliser_Products_Data1(), FertiliserProducts[[#Headers],[Company]],1)</f>
        <v>5.0000000000000001E-3</v>
      </c>
      <c r="U101" s="188" t="str" cm="1">
        <f t="array" ref="U101">Common_InputFunctions.Utility_DisplayArrayInTable(Fertiliser_SourceData.Fertiliser_Products_Data1(), FertiliserProducts[[#Headers],[Company]],1)</f>
        <v>Magnesium</v>
      </c>
      <c r="V101" s="188" cm="1">
        <f t="array" ref="V101">Common_InputFunctions.Utility_DisplayArrayInTable(Fertiliser_SourceData.Fertiliser_Products_Data1(), FertiliserProducts[[#Headers],[Company]],1)</f>
        <v>2.3999999999999998E-3</v>
      </c>
      <c r="W101" s="188" t="str" cm="1">
        <f t="array" ref="W101">Common_InputFunctions.Utility_DisplayArrayInTable(Fertiliser_SourceData.Fertiliser_Products_Data1(), FertiliserProducts[[#Headers],[Company]],1)</f>
        <v>Phosphorus - Generic</v>
      </c>
      <c r="X101" s="188" cm="1">
        <f t="array" ref="X101">Common_InputFunctions.Utility_DisplayArrayInTable(Fertiliser_SourceData.Fertiliser_Products_Data1(), FertiliserProducts[[#Headers],[Company]],1)</f>
        <v>4.0000000000000002E-4</v>
      </c>
      <c r="Y101" s="188" t="str" cm="1">
        <f t="array" ref="Y101">Common_InputFunctions.Utility_DisplayArrayInTable(Fertiliser_SourceData.Fertiliser_Products_Data1(), FertiliserProducts[[#Headers],[Company]],1)</f>
        <v/>
      </c>
      <c r="Z101" s="188" t="str" cm="1">
        <f t="array" ref="Z101">Common_InputFunctions.Utility_DisplayArrayInTable(Fertiliser_SourceData.Fertiliser_Products_Data1(), FertiliserProducts[[#Headers],[Company]],1)</f>
        <v/>
      </c>
      <c r="AA101" s="188" t="str" cm="1">
        <f t="array" ref="AA101">Common_InputFunctions.Utility_DisplayArrayInTable(Fertiliser_SourceData.Fertiliser_Products_Data1(), FertiliserProducts[[#Headers],[Company]],1)</f>
        <v/>
      </c>
      <c r="AB101" s="188" t="str" cm="1">
        <f t="array" ref="AB101">Common_InputFunctions.Utility_DisplayArrayInTable(Fertiliser_SourceData.Fertiliser_Products_Data1(), FertiliserProducts[[#Headers],[Company]],1)</f>
        <v/>
      </c>
      <c r="AC101" s="188" t="str" cm="1">
        <f t="array" ref="AC101">Common_InputFunctions.Utility_DisplayArrayInTable(Fertiliser_SourceData.Fertiliser_Products_Data1(), FertiliserProducts[[#Headers],[Company]],1)</f>
        <v/>
      </c>
      <c r="AD101" s="188" t="str" cm="1">
        <f t="array" ref="AD101">Common_InputFunctions.Utility_DisplayArrayInTable(Fertiliser_SourceData.Fertiliser_Products_Data1(), FertiliserProducts[[#Headers],[Company]],1)</f>
        <v/>
      </c>
      <c r="AE101" s="188" t="str" cm="1">
        <f t="array" ref="AE101">Common_InputFunctions.Utility_DisplayArrayInTable(Fertiliser_SourceData.Fertiliser_Products_Data1(), FertiliserProducts[[#Headers],[Company]],1)</f>
        <v/>
      </c>
      <c r="AF101" s="188" t="str" cm="1">
        <f t="array" ref="AF101">Common_InputFunctions.Utility_DisplayArrayInTable(Fertiliser_SourceData.Fertiliser_Products_Data1(), FertiliserProducts[[#Headers],[Company]],1)</f>
        <v/>
      </c>
      <c r="AG101" s="188" t="str" cm="1">
        <f t="array" ref="AG101">Common_InputFunctions.Utility_DisplayArrayInTable(Fertiliser_SourceData.Fertiliser_Products_Data1(), FertiliserProducts[[#Headers],[Company]],1)</f>
        <v/>
      </c>
      <c r="AH101" s="188"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88" t="str" cm="1">
        <f t="array" ref="D102">Common_InputFunctions.Utility_DisplayArrayInTable(Fertiliser_SourceData.Fertiliser_Products_Data1(), FertiliserProducts[[#Headers],[Company]],1)</f>
        <v>Campbells fertilisers Australia</v>
      </c>
      <c r="E102" s="188" t="str" cm="1">
        <f t="array" ref="E102">Common_InputFunctions.Utility_DisplayArrayInTable(Fertiliser_SourceData.Fertiliser_Products_Data1(), FertiliserProducts[[#Headers],[Company]],1)</f>
        <v>Calbit C</v>
      </c>
      <c r="F102" s="188" t="str" cm="1">
        <f t="array" ref="F102">Common_InputFunctions.Utility_DisplayArrayInTable(Fertiliser_SourceData.Fertiliser_Products_Data1(), FertiliserProducts[[#Headers],[Company]],1)</f>
        <v>L</v>
      </c>
      <c r="G102" s="188" cm="1">
        <f t="array" ref="G102">Common_InputFunctions.Utility_DisplayArrayInTable(Fertiliser_SourceData.Fertiliser_Products_Data1(), FertiliserProducts[[#Headers],[Company]],1)</f>
        <v>1.45</v>
      </c>
      <c r="H102" s="188" t="str" cm="1">
        <f t="array" ref="H102">Common_InputFunctions.Utility_DisplayArrayInTable(Fertiliser_SourceData.Fertiliser_Products_Data1(), FertiliserProducts[[#Headers],[Company]],1)</f>
        <v/>
      </c>
      <c r="I102" s="188" t="str" cm="1">
        <f t="array" ref="I102">Common_InputFunctions.Utility_DisplayArrayInTable(Fertiliser_SourceData.Fertiliser_Products_Data1(), FertiliserProducts[[#Headers],[Company]],1)</f>
        <v/>
      </c>
      <c r="J102" s="188" t="str" cm="1">
        <f t="array" ref="J102">Common_InputFunctions.Utility_DisplayArrayInTable(Fertiliser_SourceData.Fertiliser_Products_Data1(), FertiliserProducts[[#Headers],[Company]],1)</f>
        <v/>
      </c>
      <c r="K102" s="188" t="str" cm="1">
        <f t="array" ref="K102">Common_InputFunctions.Utility_DisplayArrayInTable(Fertiliser_SourceData.Fertiliser_Products_Data1(), FertiliserProducts[[#Headers],[Company]],1)</f>
        <v/>
      </c>
      <c r="L102" s="188" t="str" cm="1">
        <f t="array" ref="L102">Common_InputFunctions.Utility_DisplayArrayInTable(Fertiliser_SourceData.Fertiliser_Products_Data1(), FertiliserProducts[[#Headers],[Company]],1)</f>
        <v/>
      </c>
      <c r="M102" s="188" t="str" cm="1">
        <f t="array" ref="M102">Common_InputFunctions.Utility_DisplayArrayInTable(Fertiliser_SourceData.Fertiliser_Products_Data1(), FertiliserProducts[[#Headers],[Company]],1)</f>
        <v/>
      </c>
      <c r="N102" s="188" t="str" cm="1">
        <f t="array" ref="N102">Common_InputFunctions.Utility_DisplayArrayInTable(Fertiliser_SourceData.Fertiliser_Products_Data1(), FertiliserProducts[[#Headers],[Company]],1)</f>
        <v/>
      </c>
      <c r="O102" s="188" t="str" cm="1">
        <f t="array" ref="O102">Common_InputFunctions.Utility_DisplayArrayInTable(Fertiliser_SourceData.Fertiliser_Products_Data1(), FertiliserProducts[[#Headers],[Company]],1)</f>
        <v>Calcium</v>
      </c>
      <c r="P102" s="188" cm="1">
        <f t="array" ref="P102">Common_InputFunctions.Utility_DisplayArrayInTable(Fertiliser_SourceData.Fertiliser_Products_Data1(), FertiliserProducts[[#Headers],[Company]],1)</f>
        <v>0.107</v>
      </c>
      <c r="Q102" s="188" t="str" cm="1">
        <f t="array" ref="Q102">Common_InputFunctions.Utility_DisplayArrayInTable(Fertiliser_SourceData.Fertiliser_Products_Data1(), FertiliserProducts[[#Headers],[Company]],1)</f>
        <v/>
      </c>
      <c r="R102" s="188" t="str" cm="1">
        <f t="array" ref="R102">Common_InputFunctions.Utility_DisplayArrayInTable(Fertiliser_SourceData.Fertiliser_Products_Data1(), FertiliserProducts[[#Headers],[Company]],1)</f>
        <v/>
      </c>
      <c r="S102" s="188" t="str" cm="1">
        <f t="array" ref="S102">Common_InputFunctions.Utility_DisplayArrayInTable(Fertiliser_SourceData.Fertiliser_Products_Data1(), FertiliserProducts[[#Headers],[Company]],1)</f>
        <v/>
      </c>
      <c r="T102" s="188" t="str" cm="1">
        <f t="array" ref="T102">Common_InputFunctions.Utility_DisplayArrayInTable(Fertiliser_SourceData.Fertiliser_Products_Data1(), FertiliserProducts[[#Headers],[Company]],1)</f>
        <v/>
      </c>
      <c r="U102" s="188" t="str" cm="1">
        <f t="array" ref="U102">Common_InputFunctions.Utility_DisplayArrayInTable(Fertiliser_SourceData.Fertiliser_Products_Data1(), FertiliserProducts[[#Headers],[Company]],1)</f>
        <v/>
      </c>
      <c r="V102" s="188" t="str" cm="1">
        <f t="array" ref="V102">Common_InputFunctions.Utility_DisplayArrayInTable(Fertiliser_SourceData.Fertiliser_Products_Data1(), FertiliserProducts[[#Headers],[Company]],1)</f>
        <v/>
      </c>
      <c r="W102" s="188" t="str" cm="1">
        <f t="array" ref="W102">Common_InputFunctions.Utility_DisplayArrayInTable(Fertiliser_SourceData.Fertiliser_Products_Data1(), FertiliserProducts[[#Headers],[Company]],1)</f>
        <v/>
      </c>
      <c r="X102" s="188" t="str" cm="1">
        <f t="array" ref="X102">Common_InputFunctions.Utility_DisplayArrayInTable(Fertiliser_SourceData.Fertiliser_Products_Data1(), FertiliserProducts[[#Headers],[Company]],1)</f>
        <v/>
      </c>
      <c r="Y102" s="188" t="str" cm="1">
        <f t="array" ref="Y102">Common_InputFunctions.Utility_DisplayArrayInTable(Fertiliser_SourceData.Fertiliser_Products_Data1(), FertiliserProducts[[#Headers],[Company]],1)</f>
        <v/>
      </c>
      <c r="Z102" s="188" t="str" cm="1">
        <f t="array" ref="Z102">Common_InputFunctions.Utility_DisplayArrayInTable(Fertiliser_SourceData.Fertiliser_Products_Data1(), FertiliserProducts[[#Headers],[Company]],1)</f>
        <v/>
      </c>
      <c r="AA102" s="188" t="str" cm="1">
        <f t="array" ref="AA102">Common_InputFunctions.Utility_DisplayArrayInTable(Fertiliser_SourceData.Fertiliser_Products_Data1(), FertiliserProducts[[#Headers],[Company]],1)</f>
        <v/>
      </c>
      <c r="AB102" s="188" t="str" cm="1">
        <f t="array" ref="AB102">Common_InputFunctions.Utility_DisplayArrayInTable(Fertiliser_SourceData.Fertiliser_Products_Data1(), FertiliserProducts[[#Headers],[Company]],1)</f>
        <v/>
      </c>
      <c r="AC102" s="188" t="str" cm="1">
        <f t="array" ref="AC102">Common_InputFunctions.Utility_DisplayArrayInTable(Fertiliser_SourceData.Fertiliser_Products_Data1(), FertiliserProducts[[#Headers],[Company]],1)</f>
        <v/>
      </c>
      <c r="AD102" s="188" t="str" cm="1">
        <f t="array" ref="AD102">Common_InputFunctions.Utility_DisplayArrayInTable(Fertiliser_SourceData.Fertiliser_Products_Data1(), FertiliserProducts[[#Headers],[Company]],1)</f>
        <v/>
      </c>
      <c r="AE102" s="188" t="str" cm="1">
        <f t="array" ref="AE102">Common_InputFunctions.Utility_DisplayArrayInTable(Fertiliser_SourceData.Fertiliser_Products_Data1(), FertiliserProducts[[#Headers],[Company]],1)</f>
        <v/>
      </c>
      <c r="AF102" s="188" t="str" cm="1">
        <f t="array" ref="AF102">Common_InputFunctions.Utility_DisplayArrayInTable(Fertiliser_SourceData.Fertiliser_Products_Data1(), FertiliserProducts[[#Headers],[Company]],1)</f>
        <v/>
      </c>
      <c r="AG102" s="188" t="str" cm="1">
        <f t="array" ref="AG102">Common_InputFunctions.Utility_DisplayArrayInTable(Fertiliser_SourceData.Fertiliser_Products_Data1(), FertiliserProducts[[#Headers],[Company]],1)</f>
        <v/>
      </c>
      <c r="AH102" s="188"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88" t="str" cm="1">
        <f t="array" ref="D103">Common_InputFunctions.Utility_DisplayArrayInTable(Fertiliser_SourceData.Fertiliser_Products_Data1(), FertiliserProducts[[#Headers],[Company]],1)</f>
        <v>Campbells fertilisers Australia</v>
      </c>
      <c r="E103" s="188" t="str" cm="1">
        <f t="array" ref="E103">Common_InputFunctions.Utility_DisplayArrayInTable(Fertiliser_SourceData.Fertiliser_Products_Data1(), FertiliserProducts[[#Headers],[Company]],1)</f>
        <v>Compass</v>
      </c>
      <c r="F103" s="188" t="str" cm="1">
        <f t="array" ref="F103">Common_InputFunctions.Utility_DisplayArrayInTable(Fertiliser_SourceData.Fertiliser_Products_Data1(), FertiliserProducts[[#Headers],[Company]],1)</f>
        <v>kg</v>
      </c>
      <c r="G103" s="188" cm="1">
        <f t="array" ref="G103">Common_InputFunctions.Utility_DisplayArrayInTable(Fertiliser_SourceData.Fertiliser_Products_Data1(), FertiliserProducts[[#Headers],[Company]],1)</f>
        <v>1</v>
      </c>
      <c r="H103" s="188" t="str" cm="1">
        <f t="array" ref="H103">Common_InputFunctions.Utility_DisplayArrayInTable(Fertiliser_SourceData.Fertiliser_Products_Data1(), FertiliserProducts[[#Headers],[Company]],1)</f>
        <v/>
      </c>
      <c r="I103" s="188" t="str" cm="1">
        <f t="array" ref="I103">Common_InputFunctions.Utility_DisplayArrayInTable(Fertiliser_SourceData.Fertiliser_Products_Data1(), FertiliserProducts[[#Headers],[Company]],1)</f>
        <v/>
      </c>
      <c r="J103" s="188" t="str" cm="1">
        <f t="array" ref="J103">Common_InputFunctions.Utility_DisplayArrayInTable(Fertiliser_SourceData.Fertiliser_Products_Data1(), FertiliserProducts[[#Headers],[Company]],1)</f>
        <v/>
      </c>
      <c r="K103" s="188" cm="1">
        <f t="array" ref="K103">Common_InputFunctions.Utility_DisplayArrayInTable(Fertiliser_SourceData.Fertiliser_Products_Data1(), FertiliserProducts[[#Headers],[Company]],1)</f>
        <v>15</v>
      </c>
      <c r="L103" s="188" cm="1">
        <f t="array" ref="L103">Common_InputFunctions.Utility_DisplayArrayInTable(Fertiliser_SourceData.Fertiliser_Products_Data1(), FertiliserProducts[[#Headers],[Company]],1)</f>
        <v>6.5</v>
      </c>
      <c r="M103" s="188" cm="1">
        <f t="array" ref="M103">Common_InputFunctions.Utility_DisplayArrayInTable(Fertiliser_SourceData.Fertiliser_Products_Data1(), FertiliserProducts[[#Headers],[Company]],1)</f>
        <v>12.5</v>
      </c>
      <c r="N103" s="188" cm="1">
        <f t="array" ref="N103">Common_InputFunctions.Utility_DisplayArrayInTable(Fertiliser_SourceData.Fertiliser_Products_Data1(), FertiliserProducts[[#Headers],[Company]],1)</f>
        <v>6</v>
      </c>
      <c r="O103" s="188" t="str" cm="1">
        <f t="array" ref="O103">Common_InputFunctions.Utility_DisplayArrayInTable(Fertiliser_SourceData.Fertiliser_Products_Data1(), FertiliserProducts[[#Headers],[Company]],1)</f>
        <v>Nitrogen - Ammoniacal</v>
      </c>
      <c r="P103" s="188" cm="1">
        <f t="array" ref="P103">Common_InputFunctions.Utility_DisplayArrayInTable(Fertiliser_SourceData.Fertiliser_Products_Data1(), FertiliserProducts[[#Headers],[Company]],1)</f>
        <v>7.4999999999999997E-2</v>
      </c>
      <c r="Q103" s="188" t="str" cm="1">
        <f t="array" ref="Q103">Common_InputFunctions.Utility_DisplayArrayInTable(Fertiliser_SourceData.Fertiliser_Products_Data1(), FertiliserProducts[[#Headers],[Company]],1)</f>
        <v>Nitrogen - Nitrate</v>
      </c>
      <c r="R103" s="188" cm="1">
        <f t="array" ref="R103">Common_InputFunctions.Utility_DisplayArrayInTable(Fertiliser_SourceData.Fertiliser_Products_Data1(), FertiliserProducts[[#Headers],[Company]],1)</f>
        <v>7.4999999999999997E-2</v>
      </c>
      <c r="S103" s="188" t="str" cm="1">
        <f t="array" ref="S103">Common_InputFunctions.Utility_DisplayArrayInTable(Fertiliser_SourceData.Fertiliser_Products_Data1(), FertiliserProducts[[#Headers],[Company]],1)</f>
        <v>Potassium - Generic</v>
      </c>
      <c r="T103" s="188" cm="1">
        <f t="array" ref="T103">Common_InputFunctions.Utility_DisplayArrayInTable(Fertiliser_SourceData.Fertiliser_Products_Data1(), FertiliserProducts[[#Headers],[Company]],1)</f>
        <v>0.125</v>
      </c>
      <c r="U103" s="188" t="str" cm="1">
        <f t="array" ref="U103">Common_InputFunctions.Utility_DisplayArrayInTable(Fertiliser_SourceData.Fertiliser_Products_Data1(), FertiliserProducts[[#Headers],[Company]],1)</f>
        <v>Phosphorus - Generic</v>
      </c>
      <c r="V103" s="188" cm="1">
        <f t="array" ref="V103">Common_InputFunctions.Utility_DisplayArrayInTable(Fertiliser_SourceData.Fertiliser_Products_Data1(), FertiliserProducts[[#Headers],[Company]],1)</f>
        <v>6.5000000000000002E-2</v>
      </c>
      <c r="W103" s="188" t="str" cm="1">
        <f t="array" ref="W103">Common_InputFunctions.Utility_DisplayArrayInTable(Fertiliser_SourceData.Fertiliser_Products_Data1(), FertiliserProducts[[#Headers],[Company]],1)</f>
        <v>Sulfur - Generic</v>
      </c>
      <c r="X103" s="188" cm="1">
        <f t="array" ref="X103">Common_InputFunctions.Utility_DisplayArrayInTable(Fertiliser_SourceData.Fertiliser_Products_Data1(), FertiliserProducts[[#Headers],[Company]],1)</f>
        <v>0.06</v>
      </c>
      <c r="Y103" s="188" t="str" cm="1">
        <f t="array" ref="Y103">Common_InputFunctions.Utility_DisplayArrayInTable(Fertiliser_SourceData.Fertiliser_Products_Data1(), FertiliserProducts[[#Headers],[Company]],1)</f>
        <v/>
      </c>
      <c r="Z103" s="188" t="str" cm="1">
        <f t="array" ref="Z103">Common_InputFunctions.Utility_DisplayArrayInTable(Fertiliser_SourceData.Fertiliser_Products_Data1(), FertiliserProducts[[#Headers],[Company]],1)</f>
        <v/>
      </c>
      <c r="AA103" s="188" t="str" cm="1">
        <f t="array" ref="AA103">Common_InputFunctions.Utility_DisplayArrayInTable(Fertiliser_SourceData.Fertiliser_Products_Data1(), FertiliserProducts[[#Headers],[Company]],1)</f>
        <v/>
      </c>
      <c r="AB103" s="188" t="str" cm="1">
        <f t="array" ref="AB103">Common_InputFunctions.Utility_DisplayArrayInTable(Fertiliser_SourceData.Fertiliser_Products_Data1(), FertiliserProducts[[#Headers],[Company]],1)</f>
        <v/>
      </c>
      <c r="AC103" s="188" t="str" cm="1">
        <f t="array" ref="AC103">Common_InputFunctions.Utility_DisplayArrayInTable(Fertiliser_SourceData.Fertiliser_Products_Data1(), FertiliserProducts[[#Headers],[Company]],1)</f>
        <v/>
      </c>
      <c r="AD103" s="188" t="str" cm="1">
        <f t="array" ref="AD103">Common_InputFunctions.Utility_DisplayArrayInTable(Fertiliser_SourceData.Fertiliser_Products_Data1(), FertiliserProducts[[#Headers],[Company]],1)</f>
        <v/>
      </c>
      <c r="AE103" s="188" t="str" cm="1">
        <f t="array" ref="AE103">Common_InputFunctions.Utility_DisplayArrayInTable(Fertiliser_SourceData.Fertiliser_Products_Data1(), FertiliserProducts[[#Headers],[Company]],1)</f>
        <v/>
      </c>
      <c r="AF103" s="188" t="str" cm="1">
        <f t="array" ref="AF103">Common_InputFunctions.Utility_DisplayArrayInTable(Fertiliser_SourceData.Fertiliser_Products_Data1(), FertiliserProducts[[#Headers],[Company]],1)</f>
        <v/>
      </c>
      <c r="AG103" s="188" t="str" cm="1">
        <f t="array" ref="AG103">Common_InputFunctions.Utility_DisplayArrayInTable(Fertiliser_SourceData.Fertiliser_Products_Data1(), FertiliserProducts[[#Headers],[Company]],1)</f>
        <v/>
      </c>
      <c r="AH103" s="188"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88" t="str" cm="1">
        <f t="array" ref="D104">Common_InputFunctions.Utility_DisplayArrayInTable(Fertiliser_SourceData.Fertiliser_Products_Data1(), FertiliserProducts[[#Headers],[Company]],1)</f>
        <v>Campbells fertilisers Australia</v>
      </c>
      <c r="E104" s="188" t="str" cm="1">
        <f t="array" ref="E104">Common_InputFunctions.Utility_DisplayArrayInTable(Fertiliser_SourceData.Fertiliser_Products_Data1(), FertiliserProducts[[#Headers],[Company]],1)</f>
        <v>CoRoN 12-0-10</v>
      </c>
      <c r="F104" s="188" t="str" cm="1">
        <f t="array" ref="F104">Common_InputFunctions.Utility_DisplayArrayInTable(Fertiliser_SourceData.Fertiliser_Products_Data1(), FertiliserProducts[[#Headers],[Company]],1)</f>
        <v>L</v>
      </c>
      <c r="G104" s="188" cm="1">
        <f t="array" ref="G104">Common_InputFunctions.Utility_DisplayArrayInTable(Fertiliser_SourceData.Fertiliser_Products_Data1(), FertiliserProducts[[#Headers],[Company]],1)</f>
        <v>1.2150000000000001</v>
      </c>
      <c r="H104" s="188" t="str" cm="1">
        <f t="array" ref="H104">Common_InputFunctions.Utility_DisplayArrayInTable(Fertiliser_SourceData.Fertiliser_Products_Data1(), FertiliserProducts[[#Headers],[Company]],1)</f>
        <v/>
      </c>
      <c r="I104" s="188" t="str" cm="1">
        <f t="array" ref="I104">Common_InputFunctions.Utility_DisplayArrayInTable(Fertiliser_SourceData.Fertiliser_Products_Data1(), FertiliserProducts[[#Headers],[Company]],1)</f>
        <v/>
      </c>
      <c r="J104" s="188" t="str" cm="1">
        <f t="array" ref="J104">Common_InputFunctions.Utility_DisplayArrayInTable(Fertiliser_SourceData.Fertiliser_Products_Data1(), FertiliserProducts[[#Headers],[Company]],1)</f>
        <v/>
      </c>
      <c r="K104" s="188" cm="1">
        <f t="array" ref="K104">Common_InputFunctions.Utility_DisplayArrayInTable(Fertiliser_SourceData.Fertiliser_Products_Data1(), FertiliserProducts[[#Headers],[Company]],1)</f>
        <v>12</v>
      </c>
      <c r="L104" s="188" t="str" cm="1">
        <f t="array" ref="L104">Common_InputFunctions.Utility_DisplayArrayInTable(Fertiliser_SourceData.Fertiliser_Products_Data1(), FertiliserProducts[[#Headers],[Company]],1)</f>
        <v/>
      </c>
      <c r="M104" s="188" cm="1">
        <f t="array" ref="M104">Common_InputFunctions.Utility_DisplayArrayInTable(Fertiliser_SourceData.Fertiliser_Products_Data1(), FertiliserProducts[[#Headers],[Company]],1)</f>
        <v>10</v>
      </c>
      <c r="N104" s="188" t="str" cm="1">
        <f t="array" ref="N104">Common_InputFunctions.Utility_DisplayArrayInTable(Fertiliser_SourceData.Fertiliser_Products_Data1(), FertiliserProducts[[#Headers],[Company]],1)</f>
        <v/>
      </c>
      <c r="O104" s="188" t="str" cm="1">
        <f t="array" ref="O104">Common_InputFunctions.Utility_DisplayArrayInTable(Fertiliser_SourceData.Fertiliser_Products_Data1(), FertiliserProducts[[#Headers],[Company]],1)</f>
        <v>Urea</v>
      </c>
      <c r="P104" s="188" cm="1">
        <f t="array" ref="P104">Common_InputFunctions.Utility_DisplayArrayInTable(Fertiliser_SourceData.Fertiliser_Products_Data1(), FertiliserProducts[[#Headers],[Company]],1)</f>
        <v>0.19565199999999999</v>
      </c>
      <c r="Q104" s="188" t="str" cm="1">
        <f t="array" ref="Q104">Common_InputFunctions.Utility_DisplayArrayInTable(Fertiliser_SourceData.Fertiliser_Products_Data1(), FertiliserProducts[[#Headers],[Company]],1)</f>
        <v>Potassium - Generic</v>
      </c>
      <c r="R104" s="188" cm="1">
        <f t="array" ref="R104">Common_InputFunctions.Utility_DisplayArrayInTable(Fertiliser_SourceData.Fertiliser_Products_Data1(), FertiliserProducts[[#Headers],[Company]],1)</f>
        <v>0.1</v>
      </c>
      <c r="S104" s="188" t="str" cm="1">
        <f t="array" ref="S104">Common_InputFunctions.Utility_DisplayArrayInTable(Fertiliser_SourceData.Fertiliser_Products_Data1(), FertiliserProducts[[#Headers],[Company]],1)</f>
        <v>Nitrogen - Generic</v>
      </c>
      <c r="T104" s="188" cm="1">
        <f t="array" ref="T104">Common_InputFunctions.Utility_DisplayArrayInTable(Fertiliser_SourceData.Fertiliser_Products_Data1(), FertiliserProducts[[#Headers],[Company]],1)</f>
        <v>0.03</v>
      </c>
      <c r="U104" s="188" t="str" cm="1">
        <f t="array" ref="U104">Common_InputFunctions.Utility_DisplayArrayInTable(Fertiliser_SourceData.Fertiliser_Products_Data1(), FertiliserProducts[[#Headers],[Company]],1)</f>
        <v>Boron</v>
      </c>
      <c r="V104" s="188" cm="1">
        <f t="array" ref="V104">Common_InputFunctions.Utility_DisplayArrayInTable(Fertiliser_SourceData.Fertiliser_Products_Data1(), FertiliserProducts[[#Headers],[Company]],1)</f>
        <v>5.0000000000000001E-3</v>
      </c>
      <c r="W104" s="188" t="str" cm="1">
        <f t="array" ref="W104">Common_InputFunctions.Utility_DisplayArrayInTable(Fertiliser_SourceData.Fertiliser_Products_Data1(), FertiliserProducts[[#Headers],[Company]],1)</f>
        <v/>
      </c>
      <c r="X104" s="188" t="str" cm="1">
        <f t="array" ref="X104">Common_InputFunctions.Utility_DisplayArrayInTable(Fertiliser_SourceData.Fertiliser_Products_Data1(), FertiliserProducts[[#Headers],[Company]],1)</f>
        <v/>
      </c>
      <c r="Y104" s="188" t="str" cm="1">
        <f t="array" ref="Y104">Common_InputFunctions.Utility_DisplayArrayInTable(Fertiliser_SourceData.Fertiliser_Products_Data1(), FertiliserProducts[[#Headers],[Company]],1)</f>
        <v/>
      </c>
      <c r="Z104" s="188" t="str" cm="1">
        <f t="array" ref="Z104">Common_InputFunctions.Utility_DisplayArrayInTable(Fertiliser_SourceData.Fertiliser_Products_Data1(), FertiliserProducts[[#Headers],[Company]],1)</f>
        <v/>
      </c>
      <c r="AA104" s="188" t="str" cm="1">
        <f t="array" ref="AA104">Common_InputFunctions.Utility_DisplayArrayInTable(Fertiliser_SourceData.Fertiliser_Products_Data1(), FertiliserProducts[[#Headers],[Company]],1)</f>
        <v/>
      </c>
      <c r="AB104" s="188" t="str" cm="1">
        <f t="array" ref="AB104">Common_InputFunctions.Utility_DisplayArrayInTable(Fertiliser_SourceData.Fertiliser_Products_Data1(), FertiliserProducts[[#Headers],[Company]],1)</f>
        <v/>
      </c>
      <c r="AC104" s="188" t="str" cm="1">
        <f t="array" ref="AC104">Common_InputFunctions.Utility_DisplayArrayInTable(Fertiliser_SourceData.Fertiliser_Products_Data1(), FertiliserProducts[[#Headers],[Company]],1)</f>
        <v/>
      </c>
      <c r="AD104" s="188" t="str" cm="1">
        <f t="array" ref="AD104">Common_InputFunctions.Utility_DisplayArrayInTable(Fertiliser_SourceData.Fertiliser_Products_Data1(), FertiliserProducts[[#Headers],[Company]],1)</f>
        <v/>
      </c>
      <c r="AE104" s="188" t="str" cm="1">
        <f t="array" ref="AE104">Common_InputFunctions.Utility_DisplayArrayInTable(Fertiliser_SourceData.Fertiliser_Products_Data1(), FertiliserProducts[[#Headers],[Company]],1)</f>
        <v/>
      </c>
      <c r="AF104" s="188" t="str" cm="1">
        <f t="array" ref="AF104">Common_InputFunctions.Utility_DisplayArrayInTable(Fertiliser_SourceData.Fertiliser_Products_Data1(), FertiliserProducts[[#Headers],[Company]],1)</f>
        <v/>
      </c>
      <c r="AG104" s="188" t="str" cm="1">
        <f t="array" ref="AG104">Common_InputFunctions.Utility_DisplayArrayInTable(Fertiliser_SourceData.Fertiliser_Products_Data1(), FertiliserProducts[[#Headers],[Company]],1)</f>
        <v/>
      </c>
      <c r="AH104" s="188"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88" t="str" cm="1">
        <f t="array" ref="D105">Common_InputFunctions.Utility_DisplayArrayInTable(Fertiliser_SourceData.Fertiliser_Products_Data1(), FertiliserProducts[[#Headers],[Company]],1)</f>
        <v>Campbells fertilisers Australia</v>
      </c>
      <c r="E105" s="188" t="str" cm="1">
        <f t="array" ref="E105">Common_InputFunctions.Utility_DisplayArrayInTable(Fertiliser_SourceData.Fertiliser_Products_Data1(), FertiliserProducts[[#Headers],[Company]],1)</f>
        <v>Maximum Quick-N</v>
      </c>
      <c r="F105" s="188" t="str" cm="1">
        <f t="array" ref="F105">Common_InputFunctions.Utility_DisplayArrayInTable(Fertiliser_SourceData.Fertiliser_Products_Data1(), FertiliserProducts[[#Headers],[Company]],1)</f>
        <v>kg</v>
      </c>
      <c r="G105" s="188" cm="1">
        <f t="array" ref="G105">Common_InputFunctions.Utility_DisplayArrayInTable(Fertiliser_SourceData.Fertiliser_Products_Data1(), FertiliserProducts[[#Headers],[Company]],1)</f>
        <v>1</v>
      </c>
      <c r="H105" s="188" t="str" cm="1">
        <f t="array" ref="H105">Common_InputFunctions.Utility_DisplayArrayInTable(Fertiliser_SourceData.Fertiliser_Products_Data1(), FertiliserProducts[[#Headers],[Company]],1)</f>
        <v/>
      </c>
      <c r="I105" s="188" t="str" cm="1">
        <f t="array" ref="I105">Common_InputFunctions.Utility_DisplayArrayInTable(Fertiliser_SourceData.Fertiliser_Products_Data1(), FertiliserProducts[[#Headers],[Company]],1)</f>
        <v/>
      </c>
      <c r="J105" s="188" t="str" cm="1">
        <f t="array" ref="J105">Common_InputFunctions.Utility_DisplayArrayInTable(Fertiliser_SourceData.Fertiliser_Products_Data1(), FertiliserProducts[[#Headers],[Company]],1)</f>
        <v/>
      </c>
      <c r="K105" s="188" cm="1">
        <f t="array" ref="K105">Common_InputFunctions.Utility_DisplayArrayInTable(Fertiliser_SourceData.Fertiliser_Products_Data1(), FertiliserProducts[[#Headers],[Company]],1)</f>
        <v>21.66</v>
      </c>
      <c r="L105" s="188" t="str" cm="1">
        <f t="array" ref="L105">Common_InputFunctions.Utility_DisplayArrayInTable(Fertiliser_SourceData.Fertiliser_Products_Data1(), FertiliserProducts[[#Headers],[Company]],1)</f>
        <v/>
      </c>
      <c r="M105" s="188" t="str" cm="1">
        <f t="array" ref="M105">Common_InputFunctions.Utility_DisplayArrayInTable(Fertiliser_SourceData.Fertiliser_Products_Data1(), FertiliserProducts[[#Headers],[Company]],1)</f>
        <v/>
      </c>
      <c r="N105" s="188" cm="1">
        <f t="array" ref="N105">Common_InputFunctions.Utility_DisplayArrayInTable(Fertiliser_SourceData.Fertiliser_Products_Data1(), FertiliserProducts[[#Headers],[Company]],1)</f>
        <v>13.2</v>
      </c>
      <c r="O105" s="188" t="str" cm="1">
        <f t="array" ref="O105">Common_InputFunctions.Utility_DisplayArrayInTable(Fertiliser_SourceData.Fertiliser_Products_Data1(), FertiliserProducts[[#Headers],[Company]],1)</f>
        <v>Sulphate of ammonia (SOA)</v>
      </c>
      <c r="P105" s="188" cm="1">
        <f t="array" ref="P105">Common_InputFunctions.Utility_DisplayArrayInTable(Fertiliser_SourceData.Fertiliser_Products_Data1(), FertiliserProducts[[#Headers],[Company]],1)</f>
        <v>0.55000000000000004</v>
      </c>
      <c r="Q105" s="188" t="str" cm="1">
        <f t="array" ref="Q105">Common_InputFunctions.Utility_DisplayArrayInTable(Fertiliser_SourceData.Fertiliser_Products_Data1(), FertiliserProducts[[#Headers],[Company]],1)</f>
        <v>Ammonium nitrate (AN)</v>
      </c>
      <c r="R105" s="188" cm="1">
        <f t="array" ref="R105">Common_InputFunctions.Utility_DisplayArrayInTable(Fertiliser_SourceData.Fertiliser_Products_Data1(), FertiliserProducts[[#Headers],[Company]],1)</f>
        <v>0.3</v>
      </c>
      <c r="S105" s="188" t="str" cm="1">
        <f t="array" ref="S105">Common_InputFunctions.Utility_DisplayArrayInTable(Fertiliser_SourceData.Fertiliser_Products_Data1(), FertiliserProducts[[#Headers],[Company]],1)</f>
        <v/>
      </c>
      <c r="T105" s="188" t="str" cm="1">
        <f t="array" ref="T105">Common_InputFunctions.Utility_DisplayArrayInTable(Fertiliser_SourceData.Fertiliser_Products_Data1(), FertiliserProducts[[#Headers],[Company]],1)</f>
        <v/>
      </c>
      <c r="U105" s="188" t="str" cm="1">
        <f t="array" ref="U105">Common_InputFunctions.Utility_DisplayArrayInTable(Fertiliser_SourceData.Fertiliser_Products_Data1(), FertiliserProducts[[#Headers],[Company]],1)</f>
        <v/>
      </c>
      <c r="V105" s="188" t="str" cm="1">
        <f t="array" ref="V105">Common_InputFunctions.Utility_DisplayArrayInTable(Fertiliser_SourceData.Fertiliser_Products_Data1(), FertiliserProducts[[#Headers],[Company]],1)</f>
        <v/>
      </c>
      <c r="W105" s="188" t="str" cm="1">
        <f t="array" ref="W105">Common_InputFunctions.Utility_DisplayArrayInTable(Fertiliser_SourceData.Fertiliser_Products_Data1(), FertiliserProducts[[#Headers],[Company]],1)</f>
        <v/>
      </c>
      <c r="X105" s="188" t="str" cm="1">
        <f t="array" ref="X105">Common_InputFunctions.Utility_DisplayArrayInTable(Fertiliser_SourceData.Fertiliser_Products_Data1(), FertiliserProducts[[#Headers],[Company]],1)</f>
        <v/>
      </c>
      <c r="Y105" s="188" t="str" cm="1">
        <f t="array" ref="Y105">Common_InputFunctions.Utility_DisplayArrayInTable(Fertiliser_SourceData.Fertiliser_Products_Data1(), FertiliserProducts[[#Headers],[Company]],1)</f>
        <v/>
      </c>
      <c r="Z105" s="188" t="str" cm="1">
        <f t="array" ref="Z105">Common_InputFunctions.Utility_DisplayArrayInTable(Fertiliser_SourceData.Fertiliser_Products_Data1(), FertiliserProducts[[#Headers],[Company]],1)</f>
        <v/>
      </c>
      <c r="AA105" s="188" t="str" cm="1">
        <f t="array" ref="AA105">Common_InputFunctions.Utility_DisplayArrayInTable(Fertiliser_SourceData.Fertiliser_Products_Data1(), FertiliserProducts[[#Headers],[Company]],1)</f>
        <v/>
      </c>
      <c r="AB105" s="188" t="str" cm="1">
        <f t="array" ref="AB105">Common_InputFunctions.Utility_DisplayArrayInTable(Fertiliser_SourceData.Fertiliser_Products_Data1(), FertiliserProducts[[#Headers],[Company]],1)</f>
        <v/>
      </c>
      <c r="AC105" s="188" t="str" cm="1">
        <f t="array" ref="AC105">Common_InputFunctions.Utility_DisplayArrayInTable(Fertiliser_SourceData.Fertiliser_Products_Data1(), FertiliserProducts[[#Headers],[Company]],1)</f>
        <v/>
      </c>
      <c r="AD105" s="188" t="str" cm="1">
        <f t="array" ref="AD105">Common_InputFunctions.Utility_DisplayArrayInTable(Fertiliser_SourceData.Fertiliser_Products_Data1(), FertiliserProducts[[#Headers],[Company]],1)</f>
        <v/>
      </c>
      <c r="AE105" s="188" t="str" cm="1">
        <f t="array" ref="AE105">Common_InputFunctions.Utility_DisplayArrayInTable(Fertiliser_SourceData.Fertiliser_Products_Data1(), FertiliserProducts[[#Headers],[Company]],1)</f>
        <v/>
      </c>
      <c r="AF105" s="188" t="str" cm="1">
        <f t="array" ref="AF105">Common_InputFunctions.Utility_DisplayArrayInTable(Fertiliser_SourceData.Fertiliser_Products_Data1(), FertiliserProducts[[#Headers],[Company]],1)</f>
        <v/>
      </c>
      <c r="AG105" s="188" t="str" cm="1">
        <f t="array" ref="AG105">Common_InputFunctions.Utility_DisplayArrayInTable(Fertiliser_SourceData.Fertiliser_Products_Data1(), FertiliserProducts[[#Headers],[Company]],1)</f>
        <v/>
      </c>
      <c r="AH105" s="188"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88" t="str" cm="1">
        <f t="array" ref="D106">Common_InputFunctions.Utility_DisplayArrayInTable(Fertiliser_SourceData.Fertiliser_Products_Data1(), FertiliserProducts[[#Headers],[Company]],1)</f>
        <v>SL Tec</v>
      </c>
      <c r="E106" s="188" t="str" cm="1">
        <f t="array" ref="E106">Common_InputFunctions.Utility_DisplayArrayInTable(Fertiliser_SourceData.Fertiliser_Products_Data1(), FertiliserProducts[[#Headers],[Company]],1)</f>
        <v>Crop Booster PLUS</v>
      </c>
      <c r="F106" s="188" t="str" cm="1">
        <f t="array" ref="F106">Common_InputFunctions.Utility_DisplayArrayInTable(Fertiliser_SourceData.Fertiliser_Products_Data1(), FertiliserProducts[[#Headers],[Company]],1)</f>
        <v>L</v>
      </c>
      <c r="G106" s="188" cm="1">
        <f t="array" ref="G106">Common_InputFunctions.Utility_DisplayArrayInTable(Fertiliser_SourceData.Fertiliser_Products_Data1(), FertiliserProducts[[#Headers],[Company]],1)</f>
        <v>1.319</v>
      </c>
      <c r="H106" s="188" t="str" cm="1">
        <f t="array" ref="H106">Common_InputFunctions.Utility_DisplayArrayInTable(Fertiliser_SourceData.Fertiliser_Products_Data1(), FertiliserProducts[[#Headers],[Company]],1)</f>
        <v/>
      </c>
      <c r="I106" s="188" t="str" cm="1">
        <f t="array" ref="I106">Common_InputFunctions.Utility_DisplayArrayInTable(Fertiliser_SourceData.Fertiliser_Products_Data1(), FertiliserProducts[[#Headers],[Company]],1)</f>
        <v/>
      </c>
      <c r="J106" s="188" t="str" cm="1">
        <f t="array" ref="J106">Common_InputFunctions.Utility_DisplayArrayInTable(Fertiliser_SourceData.Fertiliser_Products_Data1(), FertiliserProducts[[#Headers],[Company]],1)</f>
        <v/>
      </c>
      <c r="K106" s="188" cm="1">
        <f t="array" ref="K106">Common_InputFunctions.Utility_DisplayArrayInTable(Fertiliser_SourceData.Fertiliser_Products_Data1(), FertiliserProducts[[#Headers],[Company]],1)</f>
        <v>5</v>
      </c>
      <c r="L106" s="188" cm="1">
        <f t="array" ref="L106">Common_InputFunctions.Utility_DisplayArrayInTable(Fertiliser_SourceData.Fertiliser_Products_Data1(), FertiliserProducts[[#Headers],[Company]],1)</f>
        <v>15</v>
      </c>
      <c r="M106" s="188" cm="1">
        <f t="array" ref="M106">Common_InputFunctions.Utility_DisplayArrayInTable(Fertiliser_SourceData.Fertiliser_Products_Data1(), FertiliserProducts[[#Headers],[Company]],1)</f>
        <v>2.1</v>
      </c>
      <c r="N106" s="188" t="str" cm="1">
        <f t="array" ref="N106">Common_InputFunctions.Utility_DisplayArrayInTable(Fertiliser_SourceData.Fertiliser_Products_Data1(), FertiliserProducts[[#Headers],[Company]],1)</f>
        <v/>
      </c>
      <c r="O106" s="188" t="str" cm="1">
        <f t="array" ref="O106">Common_InputFunctions.Utility_DisplayArrayInTable(Fertiliser_SourceData.Fertiliser_Products_Data1(), FertiliserProducts[[#Headers],[Company]],1)</f>
        <v>Phosphorus - Generic</v>
      </c>
      <c r="P106" s="188" cm="1">
        <f t="array" ref="P106">Common_InputFunctions.Utility_DisplayArrayInTable(Fertiliser_SourceData.Fertiliser_Products_Data1(), FertiliserProducts[[#Headers],[Company]],1)</f>
        <v>0.15</v>
      </c>
      <c r="Q106" s="188" t="str" cm="1">
        <f t="array" ref="Q106">Common_InputFunctions.Utility_DisplayArrayInTable(Fertiliser_SourceData.Fertiliser_Products_Data1(), FertiliserProducts[[#Headers],[Company]],1)</f>
        <v>Calcium</v>
      </c>
      <c r="R106" s="188" cm="1">
        <f t="array" ref="R106">Common_InputFunctions.Utility_DisplayArrayInTable(Fertiliser_SourceData.Fertiliser_Products_Data1(), FertiliserProducts[[#Headers],[Company]],1)</f>
        <v>0.04</v>
      </c>
      <c r="S106" s="188" t="str" cm="1">
        <f t="array" ref="S106">Common_InputFunctions.Utility_DisplayArrayInTable(Fertiliser_SourceData.Fertiliser_Products_Data1(), FertiliserProducts[[#Headers],[Company]],1)</f>
        <v>Nitrogen - Ammoniacal</v>
      </c>
      <c r="T106" s="188" cm="1">
        <f t="array" ref="T106">Common_InputFunctions.Utility_DisplayArrayInTable(Fertiliser_SourceData.Fertiliser_Products_Data1(), FertiliserProducts[[#Headers],[Company]],1)</f>
        <v>2.9000000000000001E-2</v>
      </c>
      <c r="U106" s="188" t="str" cm="1">
        <f t="array" ref="U106">Common_InputFunctions.Utility_DisplayArrayInTable(Fertiliser_SourceData.Fertiliser_Products_Data1(), FertiliserProducts[[#Headers],[Company]],1)</f>
        <v>Nitrogen - Nitrate</v>
      </c>
      <c r="V106" s="188" cm="1">
        <f t="array" ref="V106">Common_InputFunctions.Utility_DisplayArrayInTable(Fertiliser_SourceData.Fertiliser_Products_Data1(), FertiliserProducts[[#Headers],[Company]],1)</f>
        <v>2.1000000000000001E-2</v>
      </c>
      <c r="W106" s="188" t="str" cm="1">
        <f t="array" ref="W106">Common_InputFunctions.Utility_DisplayArrayInTable(Fertiliser_SourceData.Fertiliser_Products_Data1(), FertiliserProducts[[#Headers],[Company]],1)</f>
        <v>Potassium - Generic</v>
      </c>
      <c r="X106" s="188" cm="1">
        <f t="array" ref="X106">Common_InputFunctions.Utility_DisplayArrayInTable(Fertiliser_SourceData.Fertiliser_Products_Data1(), FertiliserProducts[[#Headers],[Company]],1)</f>
        <v>2.1000000000000001E-2</v>
      </c>
      <c r="Y106" s="188" t="str" cm="1">
        <f t="array" ref="Y106">Common_InputFunctions.Utility_DisplayArrayInTable(Fertiliser_SourceData.Fertiliser_Products_Data1(), FertiliserProducts[[#Headers],[Company]],1)</f>
        <v>Copper</v>
      </c>
      <c r="Z106" s="188" cm="1">
        <f t="array" ref="Z106">Common_InputFunctions.Utility_DisplayArrayInTable(Fertiliser_SourceData.Fertiliser_Products_Data1(), FertiliserProducts[[#Headers],[Company]],1)</f>
        <v>5.0000000000000001E-3</v>
      </c>
      <c r="AA106" s="188" t="str" cm="1">
        <f t="array" ref="AA106">Common_InputFunctions.Utility_DisplayArrayInTable(Fertiliser_SourceData.Fertiliser_Products_Data1(), FertiliserProducts[[#Headers],[Company]],1)</f>
        <v>Zinc</v>
      </c>
      <c r="AB106" s="188" cm="1">
        <f t="array" ref="AB106">Common_InputFunctions.Utility_DisplayArrayInTable(Fertiliser_SourceData.Fertiliser_Products_Data1(), FertiliserProducts[[#Headers],[Company]],1)</f>
        <v>4.0000000000000001E-3</v>
      </c>
      <c r="AC106" s="188" t="str" cm="1">
        <f t="array" ref="AC106">Common_InputFunctions.Utility_DisplayArrayInTable(Fertiliser_SourceData.Fertiliser_Products_Data1(), FertiliserProducts[[#Headers],[Company]],1)</f>
        <v>Manganese</v>
      </c>
      <c r="AD106" s="188" cm="1">
        <f t="array" ref="AD106">Common_InputFunctions.Utility_DisplayArrayInTable(Fertiliser_SourceData.Fertiliser_Products_Data1(), FertiliserProducts[[#Headers],[Company]],1)</f>
        <v>4.0000000000000001E-3</v>
      </c>
      <c r="AE106" s="188" t="str" cm="1">
        <f t="array" ref="AE106">Common_InputFunctions.Utility_DisplayArrayInTable(Fertiliser_SourceData.Fertiliser_Products_Data1(), FertiliserProducts[[#Headers],[Company]],1)</f>
        <v>Magnesium</v>
      </c>
      <c r="AF106" s="188" cm="1">
        <f t="array" ref="AF106">Common_InputFunctions.Utility_DisplayArrayInTable(Fertiliser_SourceData.Fertiliser_Products_Data1(), FertiliserProducts[[#Headers],[Company]],1)</f>
        <v>2E-3</v>
      </c>
      <c r="AG106" s="188" t="str" cm="1">
        <f t="array" ref="AG106">Common_InputFunctions.Utility_DisplayArrayInTable(Fertiliser_SourceData.Fertiliser_Products_Data1(), FertiliserProducts[[#Headers],[Company]],1)</f>
        <v/>
      </c>
      <c r="AH106" s="188"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88" t="str" cm="1">
        <f t="array" ref="D107">Common_InputFunctions.Utility_DisplayArrayInTable(Fertiliser_SourceData.Fertiliser_Products_Data1(), FertiliserProducts[[#Headers],[Company]],1)</f>
        <v>Risso-Chemical</v>
      </c>
      <c r="E107" s="188" t="str" cm="1">
        <f t="array" ref="E107">Common_InputFunctions.Utility_DisplayArrayInTable(Fertiliser_SourceData.Fertiliser_Products_Data1(), FertiliserProducts[[#Headers],[Company]],1)</f>
        <v>Ammonium Bicarbonate</v>
      </c>
      <c r="F107" s="188" t="str" cm="1">
        <f t="array" ref="F107">Common_InputFunctions.Utility_DisplayArrayInTable(Fertiliser_SourceData.Fertiliser_Products_Data1(), FertiliserProducts[[#Headers],[Company]],1)</f>
        <v>kg</v>
      </c>
      <c r="G107" s="188" cm="1">
        <f t="array" ref="G107">Common_InputFunctions.Utility_DisplayArrayInTable(Fertiliser_SourceData.Fertiliser_Products_Data1(), FertiliserProducts[[#Headers],[Company]],1)</f>
        <v>1</v>
      </c>
      <c r="H107" s="188" t="str" cm="1">
        <f t="array" ref="H107">Common_InputFunctions.Utility_DisplayArrayInTable(Fertiliser_SourceData.Fertiliser_Products_Data1(), FertiliserProducts[[#Headers],[Company]],1)</f>
        <v/>
      </c>
      <c r="I107" s="188" t="str" cm="1">
        <f t="array" ref="I107">Common_InputFunctions.Utility_DisplayArrayInTable(Fertiliser_SourceData.Fertiliser_Products_Data1(), FertiliserProducts[[#Headers],[Company]],1)</f>
        <v/>
      </c>
      <c r="J107" s="188" t="str" cm="1">
        <f t="array" ref="J107">Common_InputFunctions.Utility_DisplayArrayInTable(Fertiliser_SourceData.Fertiliser_Products_Data1(), FertiliserProducts[[#Headers],[Company]],1)</f>
        <v>China</v>
      </c>
      <c r="K107" s="188" cm="1">
        <f t="array" ref="K107">Common_InputFunctions.Utility_DisplayArrayInTable(Fertiliser_SourceData.Fertiliser_Products_Data1(), FertiliserProducts[[#Headers],[Company]],1)</f>
        <v>17.7</v>
      </c>
      <c r="L107" s="188" t="str" cm="1">
        <f t="array" ref="L107">Common_InputFunctions.Utility_DisplayArrayInTable(Fertiliser_SourceData.Fertiliser_Products_Data1(), FertiliserProducts[[#Headers],[Company]],1)</f>
        <v/>
      </c>
      <c r="M107" s="188" t="str" cm="1">
        <f t="array" ref="M107">Common_InputFunctions.Utility_DisplayArrayInTable(Fertiliser_SourceData.Fertiliser_Products_Data1(), FertiliserProducts[[#Headers],[Company]],1)</f>
        <v/>
      </c>
      <c r="N107" s="188" t="str" cm="1">
        <f t="array" ref="N107">Common_InputFunctions.Utility_DisplayArrayInTable(Fertiliser_SourceData.Fertiliser_Products_Data1(), FertiliserProducts[[#Headers],[Company]],1)</f>
        <v/>
      </c>
      <c r="O107" s="188" t="str" cm="1">
        <f t="array" ref="O107">Common_InputFunctions.Utility_DisplayArrayInTable(Fertiliser_SourceData.Fertiliser_Products_Data1(), FertiliserProducts[[#Headers],[Company]],1)</f>
        <v>Nitrogen - Ammoniacal</v>
      </c>
      <c r="P107" s="188" cm="1">
        <f t="array" ref="P107">Common_InputFunctions.Utility_DisplayArrayInTable(Fertiliser_SourceData.Fertiliser_Products_Data1(), FertiliserProducts[[#Headers],[Company]],1)</f>
        <v>0.17699999999999999</v>
      </c>
      <c r="Q107" s="188" t="str" cm="1">
        <f t="array" ref="Q107">Common_InputFunctions.Utility_DisplayArrayInTable(Fertiliser_SourceData.Fertiliser_Products_Data1(), FertiliserProducts[[#Headers],[Company]],1)</f>
        <v/>
      </c>
      <c r="R107" s="188" t="str" cm="1">
        <f t="array" ref="R107">Common_InputFunctions.Utility_DisplayArrayInTable(Fertiliser_SourceData.Fertiliser_Products_Data1(), FertiliserProducts[[#Headers],[Company]],1)</f>
        <v/>
      </c>
      <c r="S107" s="188" t="str" cm="1">
        <f t="array" ref="S107">Common_InputFunctions.Utility_DisplayArrayInTable(Fertiliser_SourceData.Fertiliser_Products_Data1(), FertiliserProducts[[#Headers],[Company]],1)</f>
        <v/>
      </c>
      <c r="T107" s="188" t="str" cm="1">
        <f t="array" ref="T107">Common_InputFunctions.Utility_DisplayArrayInTable(Fertiliser_SourceData.Fertiliser_Products_Data1(), FertiliserProducts[[#Headers],[Company]],1)</f>
        <v/>
      </c>
      <c r="U107" s="188" t="str" cm="1">
        <f t="array" ref="U107">Common_InputFunctions.Utility_DisplayArrayInTable(Fertiliser_SourceData.Fertiliser_Products_Data1(), FertiliserProducts[[#Headers],[Company]],1)</f>
        <v/>
      </c>
      <c r="V107" s="188" t="str" cm="1">
        <f t="array" ref="V107">Common_InputFunctions.Utility_DisplayArrayInTable(Fertiliser_SourceData.Fertiliser_Products_Data1(), FertiliserProducts[[#Headers],[Company]],1)</f>
        <v/>
      </c>
      <c r="W107" s="188" t="str" cm="1">
        <f t="array" ref="W107">Common_InputFunctions.Utility_DisplayArrayInTable(Fertiliser_SourceData.Fertiliser_Products_Data1(), FertiliserProducts[[#Headers],[Company]],1)</f>
        <v/>
      </c>
      <c r="X107" s="188" t="str" cm="1">
        <f t="array" ref="X107">Common_InputFunctions.Utility_DisplayArrayInTable(Fertiliser_SourceData.Fertiliser_Products_Data1(), FertiliserProducts[[#Headers],[Company]],1)</f>
        <v/>
      </c>
      <c r="Y107" s="188" t="str" cm="1">
        <f t="array" ref="Y107">Common_InputFunctions.Utility_DisplayArrayInTable(Fertiliser_SourceData.Fertiliser_Products_Data1(), FertiliserProducts[[#Headers],[Company]],1)</f>
        <v/>
      </c>
      <c r="Z107" s="188" t="str" cm="1">
        <f t="array" ref="Z107">Common_InputFunctions.Utility_DisplayArrayInTable(Fertiliser_SourceData.Fertiliser_Products_Data1(), FertiliserProducts[[#Headers],[Company]],1)</f>
        <v/>
      </c>
      <c r="AA107" s="188" t="str" cm="1">
        <f t="array" ref="AA107">Common_InputFunctions.Utility_DisplayArrayInTable(Fertiliser_SourceData.Fertiliser_Products_Data1(), FertiliserProducts[[#Headers],[Company]],1)</f>
        <v/>
      </c>
      <c r="AB107" s="188" t="str" cm="1">
        <f t="array" ref="AB107">Common_InputFunctions.Utility_DisplayArrayInTable(Fertiliser_SourceData.Fertiliser_Products_Data1(), FertiliserProducts[[#Headers],[Company]],1)</f>
        <v/>
      </c>
      <c r="AC107" s="188" t="str" cm="1">
        <f t="array" ref="AC107">Common_InputFunctions.Utility_DisplayArrayInTable(Fertiliser_SourceData.Fertiliser_Products_Data1(), FertiliserProducts[[#Headers],[Company]],1)</f>
        <v/>
      </c>
      <c r="AD107" s="188" t="str" cm="1">
        <f t="array" ref="AD107">Common_InputFunctions.Utility_DisplayArrayInTable(Fertiliser_SourceData.Fertiliser_Products_Data1(), FertiliserProducts[[#Headers],[Company]],1)</f>
        <v/>
      </c>
      <c r="AE107" s="188" t="str" cm="1">
        <f t="array" ref="AE107">Common_InputFunctions.Utility_DisplayArrayInTable(Fertiliser_SourceData.Fertiliser_Products_Data1(), FertiliserProducts[[#Headers],[Company]],1)</f>
        <v/>
      </c>
      <c r="AF107" s="188" t="str" cm="1">
        <f t="array" ref="AF107">Common_InputFunctions.Utility_DisplayArrayInTable(Fertiliser_SourceData.Fertiliser_Products_Data1(), FertiliserProducts[[#Headers],[Company]],1)</f>
        <v/>
      </c>
      <c r="AG107" s="188" t="str" cm="1">
        <f t="array" ref="AG107">Common_InputFunctions.Utility_DisplayArrayInTable(Fertiliser_SourceData.Fertiliser_Products_Data1(), FertiliserProducts[[#Headers],[Company]],1)</f>
        <v/>
      </c>
      <c r="AH107" s="188"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88" t="str" cm="1">
        <f t="array" ref="D108">Common_InputFunctions.Utility_DisplayArrayInTable(Fertiliser_SourceData.Fertiliser_Products_Data1(), FertiliserProducts[[#Headers],[Company]],1)</f>
        <v>Risso-Chemical</v>
      </c>
      <c r="E108" s="188" t="str" cm="1">
        <f t="array" ref="E108">Common_InputFunctions.Utility_DisplayArrayInTable(Fertiliser_SourceData.Fertiliser_Products_Data1(), FertiliserProducts[[#Headers],[Company]],1)</f>
        <v>Ammonium Sulfate</v>
      </c>
      <c r="F108" s="188" t="str" cm="1">
        <f t="array" ref="F108">Common_InputFunctions.Utility_DisplayArrayInTable(Fertiliser_SourceData.Fertiliser_Products_Data1(), FertiliserProducts[[#Headers],[Company]],1)</f>
        <v>kg</v>
      </c>
      <c r="G108" s="188" cm="1">
        <f t="array" ref="G108">Common_InputFunctions.Utility_DisplayArrayInTable(Fertiliser_SourceData.Fertiliser_Products_Data1(), FertiliserProducts[[#Headers],[Company]],1)</f>
        <v>1</v>
      </c>
      <c r="H108" s="188" t="str" cm="1">
        <f t="array" ref="H108">Common_InputFunctions.Utility_DisplayArrayInTable(Fertiliser_SourceData.Fertiliser_Products_Data1(), FertiliserProducts[[#Headers],[Company]],1)</f>
        <v/>
      </c>
      <c r="I108" s="188" t="str" cm="1">
        <f t="array" ref="I108">Common_InputFunctions.Utility_DisplayArrayInTable(Fertiliser_SourceData.Fertiliser_Products_Data1(), FertiliserProducts[[#Headers],[Company]],1)</f>
        <v/>
      </c>
      <c r="J108" s="188" t="str" cm="1">
        <f t="array" ref="J108">Common_InputFunctions.Utility_DisplayArrayInTable(Fertiliser_SourceData.Fertiliser_Products_Data1(), FertiliserProducts[[#Headers],[Company]],1)</f>
        <v>China</v>
      </c>
      <c r="K108" s="188" cm="1">
        <f t="array" ref="K108">Common_InputFunctions.Utility_DisplayArrayInTable(Fertiliser_SourceData.Fertiliser_Products_Data1(), FertiliserProducts[[#Headers],[Company]],1)</f>
        <v>21</v>
      </c>
      <c r="L108" s="188" t="str" cm="1">
        <f t="array" ref="L108">Common_InputFunctions.Utility_DisplayArrayInTable(Fertiliser_SourceData.Fertiliser_Products_Data1(), FertiliserProducts[[#Headers],[Company]],1)</f>
        <v/>
      </c>
      <c r="M108" s="188" t="str" cm="1">
        <f t="array" ref="M108">Common_InputFunctions.Utility_DisplayArrayInTable(Fertiliser_SourceData.Fertiliser_Products_Data1(), FertiliserProducts[[#Headers],[Company]],1)</f>
        <v/>
      </c>
      <c r="N108" s="188" cm="1">
        <f t="array" ref="N108">Common_InputFunctions.Utility_DisplayArrayInTable(Fertiliser_SourceData.Fertiliser_Products_Data1(), FertiliserProducts[[#Headers],[Company]],1)</f>
        <v>24</v>
      </c>
      <c r="O108" s="188" t="str" cm="1">
        <f t="array" ref="O108">Common_InputFunctions.Utility_DisplayArrayInTable(Fertiliser_SourceData.Fertiliser_Products_Data1(), FertiliserProducts[[#Headers],[Company]],1)</f>
        <v>Sulfur - Generic</v>
      </c>
      <c r="P108" s="188" cm="1">
        <f t="array" ref="P108">Common_InputFunctions.Utility_DisplayArrayInTable(Fertiliser_SourceData.Fertiliser_Products_Data1(), FertiliserProducts[[#Headers],[Company]],1)</f>
        <v>0.24</v>
      </c>
      <c r="Q108" s="188" t="str" cm="1">
        <f t="array" ref="Q108">Common_InputFunctions.Utility_DisplayArrayInTable(Fertiliser_SourceData.Fertiliser_Products_Data1(), FertiliserProducts[[#Headers],[Company]],1)</f>
        <v>Nitrogen - Ammoniacal</v>
      </c>
      <c r="R108" s="188" cm="1">
        <f t="array" ref="R108">Common_InputFunctions.Utility_DisplayArrayInTable(Fertiliser_SourceData.Fertiliser_Products_Data1(), FertiliserProducts[[#Headers],[Company]],1)</f>
        <v>0.21</v>
      </c>
      <c r="S108" s="188" t="str" cm="1">
        <f t="array" ref="S108">Common_InputFunctions.Utility_DisplayArrayInTable(Fertiliser_SourceData.Fertiliser_Products_Data1(), FertiliserProducts[[#Headers],[Company]],1)</f>
        <v/>
      </c>
      <c r="T108" s="188" t="str" cm="1">
        <f t="array" ref="T108">Common_InputFunctions.Utility_DisplayArrayInTable(Fertiliser_SourceData.Fertiliser_Products_Data1(), FertiliserProducts[[#Headers],[Company]],1)</f>
        <v/>
      </c>
      <c r="U108" s="188" t="str" cm="1">
        <f t="array" ref="U108">Common_InputFunctions.Utility_DisplayArrayInTable(Fertiliser_SourceData.Fertiliser_Products_Data1(), FertiliserProducts[[#Headers],[Company]],1)</f>
        <v/>
      </c>
      <c r="V108" s="188" t="str" cm="1">
        <f t="array" ref="V108">Common_InputFunctions.Utility_DisplayArrayInTable(Fertiliser_SourceData.Fertiliser_Products_Data1(), FertiliserProducts[[#Headers],[Company]],1)</f>
        <v/>
      </c>
      <c r="W108" s="188" t="str" cm="1">
        <f t="array" ref="W108">Common_InputFunctions.Utility_DisplayArrayInTable(Fertiliser_SourceData.Fertiliser_Products_Data1(), FertiliserProducts[[#Headers],[Company]],1)</f>
        <v/>
      </c>
      <c r="X108" s="188" t="str" cm="1">
        <f t="array" ref="X108">Common_InputFunctions.Utility_DisplayArrayInTable(Fertiliser_SourceData.Fertiliser_Products_Data1(), FertiliserProducts[[#Headers],[Company]],1)</f>
        <v/>
      </c>
      <c r="Y108" s="188" t="str" cm="1">
        <f t="array" ref="Y108">Common_InputFunctions.Utility_DisplayArrayInTable(Fertiliser_SourceData.Fertiliser_Products_Data1(), FertiliserProducts[[#Headers],[Company]],1)</f>
        <v/>
      </c>
      <c r="Z108" s="188" t="str" cm="1">
        <f t="array" ref="Z108">Common_InputFunctions.Utility_DisplayArrayInTable(Fertiliser_SourceData.Fertiliser_Products_Data1(), FertiliserProducts[[#Headers],[Company]],1)</f>
        <v/>
      </c>
      <c r="AA108" s="188" t="str" cm="1">
        <f t="array" ref="AA108">Common_InputFunctions.Utility_DisplayArrayInTable(Fertiliser_SourceData.Fertiliser_Products_Data1(), FertiliserProducts[[#Headers],[Company]],1)</f>
        <v/>
      </c>
      <c r="AB108" s="188" t="str" cm="1">
        <f t="array" ref="AB108">Common_InputFunctions.Utility_DisplayArrayInTable(Fertiliser_SourceData.Fertiliser_Products_Data1(), FertiliserProducts[[#Headers],[Company]],1)</f>
        <v/>
      </c>
      <c r="AC108" s="188" t="str" cm="1">
        <f t="array" ref="AC108">Common_InputFunctions.Utility_DisplayArrayInTable(Fertiliser_SourceData.Fertiliser_Products_Data1(), FertiliserProducts[[#Headers],[Company]],1)</f>
        <v/>
      </c>
      <c r="AD108" s="188" t="str" cm="1">
        <f t="array" ref="AD108">Common_InputFunctions.Utility_DisplayArrayInTable(Fertiliser_SourceData.Fertiliser_Products_Data1(), FertiliserProducts[[#Headers],[Company]],1)</f>
        <v/>
      </c>
      <c r="AE108" s="188" t="str" cm="1">
        <f t="array" ref="AE108">Common_InputFunctions.Utility_DisplayArrayInTable(Fertiliser_SourceData.Fertiliser_Products_Data1(), FertiliserProducts[[#Headers],[Company]],1)</f>
        <v/>
      </c>
      <c r="AF108" s="188" t="str" cm="1">
        <f t="array" ref="AF108">Common_InputFunctions.Utility_DisplayArrayInTable(Fertiliser_SourceData.Fertiliser_Products_Data1(), FertiliserProducts[[#Headers],[Company]],1)</f>
        <v/>
      </c>
      <c r="AG108" s="188" t="str" cm="1">
        <f t="array" ref="AG108">Common_InputFunctions.Utility_DisplayArrayInTable(Fertiliser_SourceData.Fertiliser_Products_Data1(), FertiliserProducts[[#Headers],[Company]],1)</f>
        <v/>
      </c>
      <c r="AH108" s="188"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88" t="str" cm="1">
        <f t="array" ref="D109">Common_InputFunctions.Utility_DisplayArrayInTable(Fertiliser_SourceData.Fertiliser_Products_Data1(), FertiliserProducts[[#Headers],[Company]],1)</f>
        <v>Ravensdown</v>
      </c>
      <c r="E109" s="188" t="str" cm="1">
        <f t="array" ref="E109">Common_InputFunctions.Utility_DisplayArrayInTable(Fertiliser_SourceData.Fertiliser_Products_Data1(), FertiliserProducts[[#Headers],[Company]],1)</f>
        <v>Ammonium Sulphate - Granular</v>
      </c>
      <c r="F109" s="188" t="str" cm="1">
        <f t="array" ref="F109">Common_InputFunctions.Utility_DisplayArrayInTable(Fertiliser_SourceData.Fertiliser_Products_Data1(), FertiliserProducts[[#Headers],[Company]],1)</f>
        <v>kg</v>
      </c>
      <c r="G109" s="188" cm="1">
        <f t="array" ref="G109">Common_InputFunctions.Utility_DisplayArrayInTable(Fertiliser_SourceData.Fertiliser_Products_Data1(), FertiliserProducts[[#Headers],[Company]],1)</f>
        <v>1</v>
      </c>
      <c r="H109" s="188" t="str" cm="1">
        <f t="array" ref="H109">Common_InputFunctions.Utility_DisplayArrayInTable(Fertiliser_SourceData.Fertiliser_Products_Data1(), FertiliserProducts[[#Headers],[Company]],1)</f>
        <v/>
      </c>
      <c r="I109" s="188" t="str" cm="1">
        <f t="array" ref="I109">Common_InputFunctions.Utility_DisplayArrayInTable(Fertiliser_SourceData.Fertiliser_Products_Data1(), FertiliserProducts[[#Headers],[Company]],1)</f>
        <v/>
      </c>
      <c r="J109" s="188" t="str" cm="1">
        <f t="array" ref="J109">Common_InputFunctions.Utility_DisplayArrayInTable(Fertiliser_SourceData.Fertiliser_Products_Data1(), FertiliserProducts[[#Headers],[Company]],1)</f>
        <v/>
      </c>
      <c r="K109" s="188" cm="1">
        <f t="array" ref="K109">Common_InputFunctions.Utility_DisplayArrayInTable(Fertiliser_SourceData.Fertiliser_Products_Data1(), FertiliserProducts[[#Headers],[Company]],1)</f>
        <v>21</v>
      </c>
      <c r="L109" s="188" t="str" cm="1">
        <f t="array" ref="L109">Common_InputFunctions.Utility_DisplayArrayInTable(Fertiliser_SourceData.Fertiliser_Products_Data1(), FertiliserProducts[[#Headers],[Company]],1)</f>
        <v/>
      </c>
      <c r="M109" s="188" t="str" cm="1">
        <f t="array" ref="M109">Common_InputFunctions.Utility_DisplayArrayInTable(Fertiliser_SourceData.Fertiliser_Products_Data1(), FertiliserProducts[[#Headers],[Company]],1)</f>
        <v/>
      </c>
      <c r="N109" s="188" cm="1">
        <f t="array" ref="N109">Common_InputFunctions.Utility_DisplayArrayInTable(Fertiliser_SourceData.Fertiliser_Products_Data1(), FertiliserProducts[[#Headers],[Company]],1)</f>
        <v>24</v>
      </c>
      <c r="O109" s="188" t="str" cm="1">
        <f t="array" ref="O109">Common_InputFunctions.Utility_DisplayArrayInTable(Fertiliser_SourceData.Fertiliser_Products_Data1(), FertiliserProducts[[#Headers],[Company]],1)</f>
        <v>Sulphate of ammonia (SOA)</v>
      </c>
      <c r="P109" s="188" cm="1">
        <f t="array" ref="P109">Common_InputFunctions.Utility_DisplayArrayInTable(Fertiliser_SourceData.Fertiliser_Products_Data1(), FertiliserProducts[[#Headers],[Company]],1)</f>
        <v>1</v>
      </c>
      <c r="Q109" s="188" t="str" cm="1">
        <f t="array" ref="Q109">Common_InputFunctions.Utility_DisplayArrayInTable(Fertiliser_SourceData.Fertiliser_Products_Data1(), FertiliserProducts[[#Headers],[Company]],1)</f>
        <v/>
      </c>
      <c r="R109" s="188" t="str" cm="1">
        <f t="array" ref="R109">Common_InputFunctions.Utility_DisplayArrayInTable(Fertiliser_SourceData.Fertiliser_Products_Data1(), FertiliserProducts[[#Headers],[Company]],1)</f>
        <v/>
      </c>
      <c r="S109" s="188" t="str" cm="1">
        <f t="array" ref="S109">Common_InputFunctions.Utility_DisplayArrayInTable(Fertiliser_SourceData.Fertiliser_Products_Data1(), FertiliserProducts[[#Headers],[Company]],1)</f>
        <v/>
      </c>
      <c r="T109" s="188" t="str" cm="1">
        <f t="array" ref="T109">Common_InputFunctions.Utility_DisplayArrayInTable(Fertiliser_SourceData.Fertiliser_Products_Data1(), FertiliserProducts[[#Headers],[Company]],1)</f>
        <v/>
      </c>
      <c r="U109" s="188" t="str" cm="1">
        <f t="array" ref="U109">Common_InputFunctions.Utility_DisplayArrayInTable(Fertiliser_SourceData.Fertiliser_Products_Data1(), FertiliserProducts[[#Headers],[Company]],1)</f>
        <v/>
      </c>
      <c r="V109" s="188" t="str" cm="1">
        <f t="array" ref="V109">Common_InputFunctions.Utility_DisplayArrayInTable(Fertiliser_SourceData.Fertiliser_Products_Data1(), FertiliserProducts[[#Headers],[Company]],1)</f>
        <v/>
      </c>
      <c r="W109" s="188" t="str" cm="1">
        <f t="array" ref="W109">Common_InputFunctions.Utility_DisplayArrayInTable(Fertiliser_SourceData.Fertiliser_Products_Data1(), FertiliserProducts[[#Headers],[Company]],1)</f>
        <v/>
      </c>
      <c r="X109" s="188" t="str" cm="1">
        <f t="array" ref="X109">Common_InputFunctions.Utility_DisplayArrayInTable(Fertiliser_SourceData.Fertiliser_Products_Data1(), FertiliserProducts[[#Headers],[Company]],1)</f>
        <v/>
      </c>
      <c r="Y109" s="188" t="str" cm="1">
        <f t="array" ref="Y109">Common_InputFunctions.Utility_DisplayArrayInTable(Fertiliser_SourceData.Fertiliser_Products_Data1(), FertiliserProducts[[#Headers],[Company]],1)</f>
        <v/>
      </c>
      <c r="Z109" s="188" t="str" cm="1">
        <f t="array" ref="Z109">Common_InputFunctions.Utility_DisplayArrayInTable(Fertiliser_SourceData.Fertiliser_Products_Data1(), FertiliserProducts[[#Headers],[Company]],1)</f>
        <v/>
      </c>
      <c r="AA109" s="188" t="str" cm="1">
        <f t="array" ref="AA109">Common_InputFunctions.Utility_DisplayArrayInTable(Fertiliser_SourceData.Fertiliser_Products_Data1(), FertiliserProducts[[#Headers],[Company]],1)</f>
        <v/>
      </c>
      <c r="AB109" s="188" t="str" cm="1">
        <f t="array" ref="AB109">Common_InputFunctions.Utility_DisplayArrayInTable(Fertiliser_SourceData.Fertiliser_Products_Data1(), FertiliserProducts[[#Headers],[Company]],1)</f>
        <v/>
      </c>
      <c r="AC109" s="188" t="str" cm="1">
        <f t="array" ref="AC109">Common_InputFunctions.Utility_DisplayArrayInTable(Fertiliser_SourceData.Fertiliser_Products_Data1(), FertiliserProducts[[#Headers],[Company]],1)</f>
        <v/>
      </c>
      <c r="AD109" s="188" t="str" cm="1">
        <f t="array" ref="AD109">Common_InputFunctions.Utility_DisplayArrayInTable(Fertiliser_SourceData.Fertiliser_Products_Data1(), FertiliserProducts[[#Headers],[Company]],1)</f>
        <v/>
      </c>
      <c r="AE109" s="188" t="str" cm="1">
        <f t="array" ref="AE109">Common_InputFunctions.Utility_DisplayArrayInTable(Fertiliser_SourceData.Fertiliser_Products_Data1(), FertiliserProducts[[#Headers],[Company]],1)</f>
        <v/>
      </c>
      <c r="AF109" s="188" t="str" cm="1">
        <f t="array" ref="AF109">Common_InputFunctions.Utility_DisplayArrayInTable(Fertiliser_SourceData.Fertiliser_Products_Data1(), FertiliserProducts[[#Headers],[Company]],1)</f>
        <v/>
      </c>
      <c r="AG109" s="188" t="str" cm="1">
        <f t="array" ref="AG109">Common_InputFunctions.Utility_DisplayArrayInTable(Fertiliser_SourceData.Fertiliser_Products_Data1(), FertiliserProducts[[#Headers],[Company]],1)</f>
        <v/>
      </c>
      <c r="AH109" s="188"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88" t="str" cm="1">
        <f t="array" ref="D110">Common_InputFunctions.Utility_DisplayArrayInTable(Fertiliser_SourceData.Fertiliser_Products_Data1(), FertiliserProducts[[#Headers],[Company]],1)</f>
        <v>Impact Fertilisers</v>
      </c>
      <c r="E110" s="188" t="str" cm="1">
        <f t="array" ref="E110">Common_InputFunctions.Utility_DisplayArrayInTable(Fertiliser_SourceData.Fertiliser_Products_Data1(), FertiliserProducts[[#Headers],[Company]],1)</f>
        <v>Di-Ammonium Phosphate (DAP)</v>
      </c>
      <c r="F110" s="188" t="str" cm="1">
        <f t="array" ref="F110">Common_InputFunctions.Utility_DisplayArrayInTable(Fertiliser_SourceData.Fertiliser_Products_Data1(), FertiliserProducts[[#Headers],[Company]],1)</f>
        <v>kg</v>
      </c>
      <c r="G110" s="188" cm="1">
        <f t="array" ref="G110">Common_InputFunctions.Utility_DisplayArrayInTable(Fertiliser_SourceData.Fertiliser_Products_Data1(), FertiliserProducts[[#Headers],[Company]],1)</f>
        <v>1</v>
      </c>
      <c r="H110" s="188" t="str" cm="1">
        <f t="array" ref="H110">Common_InputFunctions.Utility_DisplayArrayInTable(Fertiliser_SourceData.Fertiliser_Products_Data1(), FertiliserProducts[[#Headers],[Company]],1)</f>
        <v/>
      </c>
      <c r="I110" s="188" t="str" cm="1">
        <f t="array" ref="I110">Common_InputFunctions.Utility_DisplayArrayInTable(Fertiliser_SourceData.Fertiliser_Products_Data1(), FertiliserProducts[[#Headers],[Company]],1)</f>
        <v/>
      </c>
      <c r="J110" s="188" t="str" cm="1">
        <f t="array" ref="J110">Common_InputFunctions.Utility_DisplayArrayInTable(Fertiliser_SourceData.Fertiliser_Products_Data1(), FertiliserProducts[[#Headers],[Company]],1)</f>
        <v/>
      </c>
      <c r="K110" s="188" cm="1">
        <f t="array" ref="K110">Common_InputFunctions.Utility_DisplayArrayInTable(Fertiliser_SourceData.Fertiliser_Products_Data1(), FertiliserProducts[[#Headers],[Company]],1)</f>
        <v>18</v>
      </c>
      <c r="L110" s="188" cm="1">
        <f t="array" ref="L110">Common_InputFunctions.Utility_DisplayArrayInTable(Fertiliser_SourceData.Fertiliser_Products_Data1(), FertiliserProducts[[#Headers],[Company]],1)</f>
        <v>20</v>
      </c>
      <c r="M110" s="188" t="str" cm="1">
        <f t="array" ref="M110">Common_InputFunctions.Utility_DisplayArrayInTable(Fertiliser_SourceData.Fertiliser_Products_Data1(), FertiliserProducts[[#Headers],[Company]],1)</f>
        <v/>
      </c>
      <c r="N110" s="188" t="str" cm="1">
        <f t="array" ref="N110">Common_InputFunctions.Utility_DisplayArrayInTable(Fertiliser_SourceData.Fertiliser_Products_Data1(), FertiliserProducts[[#Headers],[Company]],1)</f>
        <v/>
      </c>
      <c r="O110" s="188" t="str" cm="1">
        <f t="array" ref="O110">Common_InputFunctions.Utility_DisplayArrayInTable(Fertiliser_SourceData.Fertiliser_Products_Data1(), FertiliserProducts[[#Headers],[Company]],1)</f>
        <v>Diammonium phosphate (DAP)</v>
      </c>
      <c r="P110" s="188" cm="1">
        <f t="array" ref="P110">Common_InputFunctions.Utility_DisplayArrayInTable(Fertiliser_SourceData.Fertiliser_Products_Data1(), FertiliserProducts[[#Headers],[Company]],1)</f>
        <v>1</v>
      </c>
      <c r="Q110" s="188" t="str" cm="1">
        <f t="array" ref="Q110">Common_InputFunctions.Utility_DisplayArrayInTable(Fertiliser_SourceData.Fertiliser_Products_Data1(), FertiliserProducts[[#Headers],[Company]],1)</f>
        <v/>
      </c>
      <c r="R110" s="188" t="str" cm="1">
        <f t="array" ref="R110">Common_InputFunctions.Utility_DisplayArrayInTable(Fertiliser_SourceData.Fertiliser_Products_Data1(), FertiliserProducts[[#Headers],[Company]],1)</f>
        <v/>
      </c>
      <c r="S110" s="188" t="str" cm="1">
        <f t="array" ref="S110">Common_InputFunctions.Utility_DisplayArrayInTable(Fertiliser_SourceData.Fertiliser_Products_Data1(), FertiliserProducts[[#Headers],[Company]],1)</f>
        <v/>
      </c>
      <c r="T110" s="188" t="str" cm="1">
        <f t="array" ref="T110">Common_InputFunctions.Utility_DisplayArrayInTable(Fertiliser_SourceData.Fertiliser_Products_Data1(), FertiliserProducts[[#Headers],[Company]],1)</f>
        <v/>
      </c>
      <c r="U110" s="188" t="str" cm="1">
        <f t="array" ref="U110">Common_InputFunctions.Utility_DisplayArrayInTable(Fertiliser_SourceData.Fertiliser_Products_Data1(), FertiliserProducts[[#Headers],[Company]],1)</f>
        <v/>
      </c>
      <c r="V110" s="188" t="str" cm="1">
        <f t="array" ref="V110">Common_InputFunctions.Utility_DisplayArrayInTable(Fertiliser_SourceData.Fertiliser_Products_Data1(), FertiliserProducts[[#Headers],[Company]],1)</f>
        <v/>
      </c>
      <c r="W110" s="188" t="str" cm="1">
        <f t="array" ref="W110">Common_InputFunctions.Utility_DisplayArrayInTable(Fertiliser_SourceData.Fertiliser_Products_Data1(), FertiliserProducts[[#Headers],[Company]],1)</f>
        <v/>
      </c>
      <c r="X110" s="188" t="str" cm="1">
        <f t="array" ref="X110">Common_InputFunctions.Utility_DisplayArrayInTable(Fertiliser_SourceData.Fertiliser_Products_Data1(), FertiliserProducts[[#Headers],[Company]],1)</f>
        <v/>
      </c>
      <c r="Y110" s="188" t="str" cm="1">
        <f t="array" ref="Y110">Common_InputFunctions.Utility_DisplayArrayInTable(Fertiliser_SourceData.Fertiliser_Products_Data1(), FertiliserProducts[[#Headers],[Company]],1)</f>
        <v/>
      </c>
      <c r="Z110" s="188" t="str" cm="1">
        <f t="array" ref="Z110">Common_InputFunctions.Utility_DisplayArrayInTable(Fertiliser_SourceData.Fertiliser_Products_Data1(), FertiliserProducts[[#Headers],[Company]],1)</f>
        <v/>
      </c>
      <c r="AA110" s="188" t="str" cm="1">
        <f t="array" ref="AA110">Common_InputFunctions.Utility_DisplayArrayInTable(Fertiliser_SourceData.Fertiliser_Products_Data1(), FertiliserProducts[[#Headers],[Company]],1)</f>
        <v/>
      </c>
      <c r="AB110" s="188" t="str" cm="1">
        <f t="array" ref="AB110">Common_InputFunctions.Utility_DisplayArrayInTable(Fertiliser_SourceData.Fertiliser_Products_Data1(), FertiliserProducts[[#Headers],[Company]],1)</f>
        <v/>
      </c>
      <c r="AC110" s="188" t="str" cm="1">
        <f t="array" ref="AC110">Common_InputFunctions.Utility_DisplayArrayInTable(Fertiliser_SourceData.Fertiliser_Products_Data1(), FertiliserProducts[[#Headers],[Company]],1)</f>
        <v/>
      </c>
      <c r="AD110" s="188" t="str" cm="1">
        <f t="array" ref="AD110">Common_InputFunctions.Utility_DisplayArrayInTable(Fertiliser_SourceData.Fertiliser_Products_Data1(), FertiliserProducts[[#Headers],[Company]],1)</f>
        <v/>
      </c>
      <c r="AE110" s="188" t="str" cm="1">
        <f t="array" ref="AE110">Common_InputFunctions.Utility_DisplayArrayInTable(Fertiliser_SourceData.Fertiliser_Products_Data1(), FertiliserProducts[[#Headers],[Company]],1)</f>
        <v/>
      </c>
      <c r="AF110" s="188" t="str" cm="1">
        <f t="array" ref="AF110">Common_InputFunctions.Utility_DisplayArrayInTable(Fertiliser_SourceData.Fertiliser_Products_Data1(), FertiliserProducts[[#Headers],[Company]],1)</f>
        <v/>
      </c>
      <c r="AG110" s="188" t="str" cm="1">
        <f t="array" ref="AG110">Common_InputFunctions.Utility_DisplayArrayInTable(Fertiliser_SourceData.Fertiliser_Products_Data1(), FertiliserProducts[[#Headers],[Company]],1)</f>
        <v/>
      </c>
      <c r="AH110" s="188"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88" t="str" cm="1">
        <f t="array" ref="D111">Common_InputFunctions.Utility_DisplayArrayInTable(Fertiliser_SourceData.Fertiliser_Products_Data1(), FertiliserProducts[[#Headers],[Company]],1)</f>
        <v>Incitec Pivot Fertilisers</v>
      </c>
      <c r="E111" s="188" t="str" cm="1">
        <f t="array" ref="E111">Common_InputFunctions.Utility_DisplayArrayInTable(Fertiliser_SourceData.Fertiliser_Products_Data1(), FertiliserProducts[[#Headers],[Company]],1)</f>
        <v>Basalt BooSSta</v>
      </c>
      <c r="F111" s="188" t="str" cm="1">
        <f t="array" ref="F111">Common_InputFunctions.Utility_DisplayArrayInTable(Fertiliser_SourceData.Fertiliser_Products_Data1(), FertiliserProducts[[#Headers],[Company]],1)</f>
        <v>kg</v>
      </c>
      <c r="G111" s="188" cm="1">
        <f t="array" ref="G111">Common_InputFunctions.Utility_DisplayArrayInTable(Fertiliser_SourceData.Fertiliser_Products_Data1(), FertiliserProducts[[#Headers],[Company]],1)</f>
        <v>1</v>
      </c>
      <c r="H111" s="188" t="str" cm="1">
        <f t="array" ref="H111">Common_InputFunctions.Utility_DisplayArrayInTable(Fertiliser_SourceData.Fertiliser_Products_Data1(), FertiliserProducts[[#Headers],[Company]],1)</f>
        <v/>
      </c>
      <c r="I111" s="188" t="str" cm="1">
        <f t="array" ref="I111">Common_InputFunctions.Utility_DisplayArrayInTable(Fertiliser_SourceData.Fertiliser_Products_Data1(), FertiliserProducts[[#Headers],[Company]],1)</f>
        <v/>
      </c>
      <c r="J111" s="188" t="str" cm="1">
        <f t="array" ref="J111">Common_InputFunctions.Utility_DisplayArrayInTable(Fertiliser_SourceData.Fertiliser_Products_Data1(), FertiliserProducts[[#Headers],[Company]],1)</f>
        <v/>
      </c>
      <c r="K111" s="188" cm="1">
        <f t="array" ref="K111">Common_InputFunctions.Utility_DisplayArrayInTable(Fertiliser_SourceData.Fertiliser_Products_Data1(), FertiliserProducts[[#Headers],[Company]],1)</f>
        <v>8</v>
      </c>
      <c r="L111" s="188" cm="1">
        <f t="array" ref="L111">Common_InputFunctions.Utility_DisplayArrayInTable(Fertiliser_SourceData.Fertiliser_Products_Data1(), FertiliserProducts[[#Headers],[Company]],1)</f>
        <v>14</v>
      </c>
      <c r="M111" s="188" t="str" cm="1">
        <f t="array" ref="M111">Common_InputFunctions.Utility_DisplayArrayInTable(Fertiliser_SourceData.Fertiliser_Products_Data1(), FertiliserProducts[[#Headers],[Company]],1)</f>
        <v/>
      </c>
      <c r="N111" s="188" cm="1">
        <f t="array" ref="N111">Common_InputFunctions.Utility_DisplayArrayInTable(Fertiliser_SourceData.Fertiliser_Products_Data1(), FertiliserProducts[[#Headers],[Company]],1)</f>
        <v>27.6</v>
      </c>
      <c r="O111" s="188" t="str" cm="1">
        <f t="array" ref="O111">Common_InputFunctions.Utility_DisplayArrayInTable(Fertiliser_SourceData.Fertiliser_Products_Data1(), FertiliserProducts[[#Headers],[Company]],1)</f>
        <v>Sulfur - Generic</v>
      </c>
      <c r="P111" s="188" cm="1">
        <f t="array" ref="P111">Common_InputFunctions.Utility_DisplayArrayInTable(Fertiliser_SourceData.Fertiliser_Products_Data1(), FertiliserProducts[[#Headers],[Company]],1)</f>
        <v>0.27600000000000002</v>
      </c>
      <c r="Q111" s="188" t="str" cm="1">
        <f t="array" ref="Q111">Common_InputFunctions.Utility_DisplayArrayInTable(Fertiliser_SourceData.Fertiliser_Products_Data1(), FertiliserProducts[[#Headers],[Company]],1)</f>
        <v>Phosphorus - Generic</v>
      </c>
      <c r="R111" s="188" cm="1">
        <f t="array" ref="R111">Common_InputFunctions.Utility_DisplayArrayInTable(Fertiliser_SourceData.Fertiliser_Products_Data1(), FertiliserProducts[[#Headers],[Company]],1)</f>
        <v>0.14000000000000001</v>
      </c>
      <c r="S111" s="188" t="str" cm="1">
        <f t="array" ref="S111">Common_InputFunctions.Utility_DisplayArrayInTable(Fertiliser_SourceData.Fertiliser_Products_Data1(), FertiliserProducts[[#Headers],[Company]],1)</f>
        <v>Nitrogen - Generic</v>
      </c>
      <c r="T111" s="188" cm="1">
        <f t="array" ref="T111">Common_InputFunctions.Utility_DisplayArrayInTable(Fertiliser_SourceData.Fertiliser_Products_Data1(), FertiliserProducts[[#Headers],[Company]],1)</f>
        <v>0.08</v>
      </c>
      <c r="U111" s="188" t="str" cm="1">
        <f t="array" ref="U111">Common_InputFunctions.Utility_DisplayArrayInTable(Fertiliser_SourceData.Fertiliser_Products_Data1(), FertiliserProducts[[#Headers],[Company]],1)</f>
        <v>Fluoride</v>
      </c>
      <c r="V111" s="188" cm="1">
        <f t="array" ref="V111">Common_InputFunctions.Utility_DisplayArrayInTable(Fertiliser_SourceData.Fertiliser_Products_Data1(), FertiliserProducts[[#Headers],[Company]],1)</f>
        <v>2.4E-2</v>
      </c>
      <c r="W111" s="188" t="str" cm="1">
        <f t="array" ref="W111">Common_InputFunctions.Utility_DisplayArrayInTable(Fertiliser_SourceData.Fertiliser_Products_Data1(), FertiliserProducts[[#Headers],[Company]],1)</f>
        <v/>
      </c>
      <c r="X111" s="188" t="str" cm="1">
        <f t="array" ref="X111">Common_InputFunctions.Utility_DisplayArrayInTable(Fertiliser_SourceData.Fertiliser_Products_Data1(), FertiliserProducts[[#Headers],[Company]],1)</f>
        <v/>
      </c>
      <c r="Y111" s="188" t="str" cm="1">
        <f t="array" ref="Y111">Common_InputFunctions.Utility_DisplayArrayInTable(Fertiliser_SourceData.Fertiliser_Products_Data1(), FertiliserProducts[[#Headers],[Company]],1)</f>
        <v/>
      </c>
      <c r="Z111" s="188" t="str" cm="1">
        <f t="array" ref="Z111">Common_InputFunctions.Utility_DisplayArrayInTable(Fertiliser_SourceData.Fertiliser_Products_Data1(), FertiliserProducts[[#Headers],[Company]],1)</f>
        <v/>
      </c>
      <c r="AA111" s="188" t="str" cm="1">
        <f t="array" ref="AA111">Common_InputFunctions.Utility_DisplayArrayInTable(Fertiliser_SourceData.Fertiliser_Products_Data1(), FertiliserProducts[[#Headers],[Company]],1)</f>
        <v/>
      </c>
      <c r="AB111" s="188" t="str" cm="1">
        <f t="array" ref="AB111">Common_InputFunctions.Utility_DisplayArrayInTable(Fertiliser_SourceData.Fertiliser_Products_Data1(), FertiliserProducts[[#Headers],[Company]],1)</f>
        <v/>
      </c>
      <c r="AC111" s="188" t="str" cm="1">
        <f t="array" ref="AC111">Common_InputFunctions.Utility_DisplayArrayInTable(Fertiliser_SourceData.Fertiliser_Products_Data1(), FertiliserProducts[[#Headers],[Company]],1)</f>
        <v/>
      </c>
      <c r="AD111" s="188" t="str" cm="1">
        <f t="array" ref="AD111">Common_InputFunctions.Utility_DisplayArrayInTable(Fertiliser_SourceData.Fertiliser_Products_Data1(), FertiliserProducts[[#Headers],[Company]],1)</f>
        <v/>
      </c>
      <c r="AE111" s="188" t="str" cm="1">
        <f t="array" ref="AE111">Common_InputFunctions.Utility_DisplayArrayInTable(Fertiliser_SourceData.Fertiliser_Products_Data1(), FertiliserProducts[[#Headers],[Company]],1)</f>
        <v/>
      </c>
      <c r="AF111" s="188" t="str" cm="1">
        <f t="array" ref="AF111">Common_InputFunctions.Utility_DisplayArrayInTable(Fertiliser_SourceData.Fertiliser_Products_Data1(), FertiliserProducts[[#Headers],[Company]],1)</f>
        <v/>
      </c>
      <c r="AG111" s="188" t="str" cm="1">
        <f t="array" ref="AG111">Common_InputFunctions.Utility_DisplayArrayInTable(Fertiliser_SourceData.Fertiliser_Products_Data1(), FertiliserProducts[[#Headers],[Company]],1)</f>
        <v/>
      </c>
      <c r="AH111" s="188"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88" t="str" cm="1">
        <f t="array" ref="D112">Common_InputFunctions.Utility_DisplayArrayInTable(Fertiliser_SourceData.Fertiliser_Products_Data1(), FertiliserProducts[[#Headers],[Company]],1)</f>
        <v>Summit Fertilizers</v>
      </c>
      <c r="E112" s="188" t="str" cm="1">
        <f t="array" ref="E112">Common_InputFunctions.Utility_DisplayArrayInTable(Fertiliser_SourceData.Fertiliser_Products_Data1(), FertiliserProducts[[#Headers],[Company]],1)</f>
        <v>DAPSZC</v>
      </c>
      <c r="F112" s="188" t="str" cm="1">
        <f t="array" ref="F112">Common_InputFunctions.Utility_DisplayArrayInTable(Fertiliser_SourceData.Fertiliser_Products_Data1(), FertiliserProducts[[#Headers],[Company]],1)</f>
        <v>kg</v>
      </c>
      <c r="G112" s="188" cm="1">
        <f t="array" ref="G112">Common_InputFunctions.Utility_DisplayArrayInTable(Fertiliser_SourceData.Fertiliser_Products_Data1(), FertiliserProducts[[#Headers],[Company]],1)</f>
        <v>1</v>
      </c>
      <c r="H112" s="188" t="str" cm="1">
        <f t="array" ref="H112">Common_InputFunctions.Utility_DisplayArrayInTable(Fertiliser_SourceData.Fertiliser_Products_Data1(), FertiliserProducts[[#Headers],[Company]],1)</f>
        <v/>
      </c>
      <c r="I112" s="188" t="str" cm="1">
        <f t="array" ref="I112">Common_InputFunctions.Utility_DisplayArrayInTable(Fertiliser_SourceData.Fertiliser_Products_Data1(), FertiliserProducts[[#Headers],[Company]],1)</f>
        <v/>
      </c>
      <c r="J112" s="188" t="str" cm="1">
        <f t="array" ref="J112">Common_InputFunctions.Utility_DisplayArrayInTable(Fertiliser_SourceData.Fertiliser_Products_Data1(), FertiliserProducts[[#Headers],[Company]],1)</f>
        <v/>
      </c>
      <c r="K112" s="188" cm="1">
        <f t="array" ref="K112">Common_InputFunctions.Utility_DisplayArrayInTable(Fertiliser_SourceData.Fertiliser_Products_Data1(), FertiliserProducts[[#Headers],[Company]],1)</f>
        <v>16.899999999999999</v>
      </c>
      <c r="L112" s="188" cm="1">
        <f t="array" ref="L112">Common_InputFunctions.Utility_DisplayArrayInTable(Fertiliser_SourceData.Fertiliser_Products_Data1(), FertiliserProducts[[#Headers],[Company]],1)</f>
        <v>18.2</v>
      </c>
      <c r="M112" s="188" t="str" cm="1">
        <f t="array" ref="M112">Common_InputFunctions.Utility_DisplayArrayInTable(Fertiliser_SourceData.Fertiliser_Products_Data1(), FertiliserProducts[[#Headers],[Company]],1)</f>
        <v/>
      </c>
      <c r="N112" s="188" cm="1">
        <f t="array" ref="N112">Common_InputFunctions.Utility_DisplayArrayInTable(Fertiliser_SourceData.Fertiliser_Products_Data1(), FertiliserProducts[[#Headers],[Company]],1)</f>
        <v>8</v>
      </c>
      <c r="O112" s="188" t="str" cm="1">
        <f t="array" ref="O112">Common_InputFunctions.Utility_DisplayArrayInTable(Fertiliser_SourceData.Fertiliser_Products_Data1(), FertiliserProducts[[#Headers],[Company]],1)</f>
        <v>Phosphorus - Generic</v>
      </c>
      <c r="P112" s="188" cm="1">
        <f t="array" ref="P112">Common_InputFunctions.Utility_DisplayArrayInTable(Fertiliser_SourceData.Fertiliser_Products_Data1(), FertiliserProducts[[#Headers],[Company]],1)</f>
        <v>0.182</v>
      </c>
      <c r="Q112" s="188" t="str" cm="1">
        <f t="array" ref="Q112">Common_InputFunctions.Utility_DisplayArrayInTable(Fertiliser_SourceData.Fertiliser_Products_Data1(), FertiliserProducts[[#Headers],[Company]],1)</f>
        <v>Nitrogen - Generic</v>
      </c>
      <c r="R112" s="188" cm="1">
        <f t="array" ref="R112">Common_InputFunctions.Utility_DisplayArrayInTable(Fertiliser_SourceData.Fertiliser_Products_Data1(), FertiliserProducts[[#Headers],[Company]],1)</f>
        <v>0.16900000000000001</v>
      </c>
      <c r="S112" s="188" t="str" cm="1">
        <f t="array" ref="S112">Common_InputFunctions.Utility_DisplayArrayInTable(Fertiliser_SourceData.Fertiliser_Products_Data1(), FertiliserProducts[[#Headers],[Company]],1)</f>
        <v>Sulfur - Generic</v>
      </c>
      <c r="T112" s="188" cm="1">
        <f t="array" ref="T112">Common_InputFunctions.Utility_DisplayArrayInTable(Fertiliser_SourceData.Fertiliser_Products_Data1(), FertiliserProducts[[#Headers],[Company]],1)</f>
        <v>0.08</v>
      </c>
      <c r="U112" s="188" t="str" cm="1">
        <f t="array" ref="U112">Common_InputFunctions.Utility_DisplayArrayInTable(Fertiliser_SourceData.Fertiliser_Products_Data1(), FertiliserProducts[[#Headers],[Company]],1)</f>
        <v>Zinc</v>
      </c>
      <c r="V112" s="188" cm="1">
        <f t="array" ref="V112">Common_InputFunctions.Utility_DisplayArrayInTable(Fertiliser_SourceData.Fertiliser_Products_Data1(), FertiliserProducts[[#Headers],[Company]],1)</f>
        <v>2E-3</v>
      </c>
      <c r="W112" s="188" t="str" cm="1">
        <f t="array" ref="W112">Common_InputFunctions.Utility_DisplayArrayInTable(Fertiliser_SourceData.Fertiliser_Products_Data1(), FertiliserProducts[[#Headers],[Company]],1)</f>
        <v>Copper</v>
      </c>
      <c r="X112" s="188" cm="1">
        <f t="array" ref="X112">Common_InputFunctions.Utility_DisplayArrayInTable(Fertiliser_SourceData.Fertiliser_Products_Data1(), FertiliserProducts[[#Headers],[Company]],1)</f>
        <v>1E-3</v>
      </c>
      <c r="Y112" s="188" t="str" cm="1">
        <f t="array" ref="Y112">Common_InputFunctions.Utility_DisplayArrayInTable(Fertiliser_SourceData.Fertiliser_Products_Data1(), FertiliserProducts[[#Headers],[Company]],1)</f>
        <v/>
      </c>
      <c r="Z112" s="188" t="str" cm="1">
        <f t="array" ref="Z112">Common_InputFunctions.Utility_DisplayArrayInTable(Fertiliser_SourceData.Fertiliser_Products_Data1(), FertiliserProducts[[#Headers],[Company]],1)</f>
        <v/>
      </c>
      <c r="AA112" s="188" t="str" cm="1">
        <f t="array" ref="AA112">Common_InputFunctions.Utility_DisplayArrayInTable(Fertiliser_SourceData.Fertiliser_Products_Data1(), FertiliserProducts[[#Headers],[Company]],1)</f>
        <v/>
      </c>
      <c r="AB112" s="188" t="str" cm="1">
        <f t="array" ref="AB112">Common_InputFunctions.Utility_DisplayArrayInTable(Fertiliser_SourceData.Fertiliser_Products_Data1(), FertiliserProducts[[#Headers],[Company]],1)</f>
        <v/>
      </c>
      <c r="AC112" s="188" t="str" cm="1">
        <f t="array" ref="AC112">Common_InputFunctions.Utility_DisplayArrayInTable(Fertiliser_SourceData.Fertiliser_Products_Data1(), FertiliserProducts[[#Headers],[Company]],1)</f>
        <v/>
      </c>
      <c r="AD112" s="188" t="str" cm="1">
        <f t="array" ref="AD112">Common_InputFunctions.Utility_DisplayArrayInTable(Fertiliser_SourceData.Fertiliser_Products_Data1(), FertiliserProducts[[#Headers],[Company]],1)</f>
        <v/>
      </c>
      <c r="AE112" s="188" t="str" cm="1">
        <f t="array" ref="AE112">Common_InputFunctions.Utility_DisplayArrayInTable(Fertiliser_SourceData.Fertiliser_Products_Data1(), FertiliserProducts[[#Headers],[Company]],1)</f>
        <v/>
      </c>
      <c r="AF112" s="188" t="str" cm="1">
        <f t="array" ref="AF112">Common_InputFunctions.Utility_DisplayArrayInTable(Fertiliser_SourceData.Fertiliser_Products_Data1(), FertiliserProducts[[#Headers],[Company]],1)</f>
        <v/>
      </c>
      <c r="AG112" s="188" t="str" cm="1">
        <f t="array" ref="AG112">Common_InputFunctions.Utility_DisplayArrayInTable(Fertiliser_SourceData.Fertiliser_Products_Data1(), FertiliserProducts[[#Headers],[Company]],1)</f>
        <v/>
      </c>
      <c r="AH112" s="188"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88" t="str" cm="1">
        <f t="array" ref="D113">Common_InputFunctions.Utility_DisplayArrayInTable(Fertiliser_SourceData.Fertiliser_Products_Data1(), FertiliserProducts[[#Headers],[Company]],1)</f>
        <v>Incitec Pivot Fertilisers</v>
      </c>
      <c r="E113" s="188" t="str" cm="1">
        <f t="array" ref="E113">Common_InputFunctions.Utility_DisplayArrayInTable(Fertiliser_SourceData.Fertiliser_Products_Data1(), FertiliserProducts[[#Headers],[Company]],1)</f>
        <v>Easy N</v>
      </c>
      <c r="F113" s="188" t="str" cm="1">
        <f t="array" ref="F113">Common_InputFunctions.Utility_DisplayArrayInTable(Fertiliser_SourceData.Fertiliser_Products_Data1(), FertiliserProducts[[#Headers],[Company]],1)</f>
        <v>L</v>
      </c>
      <c r="G113" s="188" cm="1">
        <f t="array" ref="G113">Common_InputFunctions.Utility_DisplayArrayInTable(Fertiliser_SourceData.Fertiliser_Products_Data1(), FertiliserProducts[[#Headers],[Company]],1)</f>
        <v>1.32</v>
      </c>
      <c r="H113" s="188" t="str" cm="1">
        <f t="array" ref="H113">Common_InputFunctions.Utility_DisplayArrayInTable(Fertiliser_SourceData.Fertiliser_Products_Data1(), FertiliserProducts[[#Headers],[Company]],1)</f>
        <v/>
      </c>
      <c r="I113" s="188" t="str" cm="1">
        <f t="array" ref="I113">Common_InputFunctions.Utility_DisplayArrayInTable(Fertiliser_SourceData.Fertiliser_Products_Data1(), FertiliserProducts[[#Headers],[Company]],1)</f>
        <v/>
      </c>
      <c r="J113" s="188" t="str" cm="1">
        <f t="array" ref="J113">Common_InputFunctions.Utility_DisplayArrayInTable(Fertiliser_SourceData.Fertiliser_Products_Data1(), FertiliserProducts[[#Headers],[Company]],1)</f>
        <v/>
      </c>
      <c r="K113" s="188" cm="1">
        <f t="array" ref="K113">Common_InputFunctions.Utility_DisplayArrayInTable(Fertiliser_SourceData.Fertiliser_Products_Data1(), FertiliserProducts[[#Headers],[Company]],1)</f>
        <v>42.5</v>
      </c>
      <c r="L113" s="188" t="str" cm="1">
        <f t="array" ref="L113">Common_InputFunctions.Utility_DisplayArrayInTable(Fertiliser_SourceData.Fertiliser_Products_Data1(), FertiliserProducts[[#Headers],[Company]],1)</f>
        <v/>
      </c>
      <c r="M113" s="188" t="str" cm="1">
        <f t="array" ref="M113">Common_InputFunctions.Utility_DisplayArrayInTable(Fertiliser_SourceData.Fertiliser_Products_Data1(), FertiliserProducts[[#Headers],[Company]],1)</f>
        <v/>
      </c>
      <c r="N113" s="188" t="str" cm="1">
        <f t="array" ref="N113">Common_InputFunctions.Utility_DisplayArrayInTable(Fertiliser_SourceData.Fertiliser_Products_Data1(), FertiliserProducts[[#Headers],[Company]],1)</f>
        <v/>
      </c>
      <c r="O113" s="188" t="str" cm="1">
        <f t="array" ref="O113">Common_InputFunctions.Utility_DisplayArrayInTable(Fertiliser_SourceData.Fertiliser_Products_Data1(), FertiliserProducts[[#Headers],[Company]],1)</f>
        <v>Urea</v>
      </c>
      <c r="P113" s="188" cm="1">
        <f t="array" ref="P113">Common_InputFunctions.Utility_DisplayArrayInTable(Fertiliser_SourceData.Fertiliser_Products_Data1(), FertiliserProducts[[#Headers],[Company]],1)</f>
        <v>0.467391</v>
      </c>
      <c r="Q113" s="188" t="str" cm="1">
        <f t="array" ref="Q113">Common_InputFunctions.Utility_DisplayArrayInTable(Fertiliser_SourceData.Fertiliser_Products_Data1(), FertiliserProducts[[#Headers],[Company]],1)</f>
        <v>Nitrogen - Nitrate</v>
      </c>
      <c r="R113" s="188" cm="1">
        <f t="array" ref="R113">Common_InputFunctions.Utility_DisplayArrayInTable(Fertiliser_SourceData.Fertiliser_Products_Data1(), FertiliserProducts[[#Headers],[Company]],1)</f>
        <v>0.105</v>
      </c>
      <c r="S113" s="188" t="str" cm="1">
        <f t="array" ref="S113">Common_InputFunctions.Utility_DisplayArrayInTable(Fertiliser_SourceData.Fertiliser_Products_Data1(), FertiliserProducts[[#Headers],[Company]],1)</f>
        <v>Nitrogen - Ammoniacal</v>
      </c>
      <c r="T113" s="188" cm="1">
        <f t="array" ref="T113">Common_InputFunctions.Utility_DisplayArrayInTable(Fertiliser_SourceData.Fertiliser_Products_Data1(), FertiliserProducts[[#Headers],[Company]],1)</f>
        <v>0.105</v>
      </c>
      <c r="U113" s="188" t="str" cm="1">
        <f t="array" ref="U113">Common_InputFunctions.Utility_DisplayArrayInTable(Fertiliser_SourceData.Fertiliser_Products_Data1(), FertiliserProducts[[#Headers],[Company]],1)</f>
        <v>Biuret</v>
      </c>
      <c r="V113" s="188" cm="1">
        <f t="array" ref="V113">Common_InputFunctions.Utility_DisplayArrayInTable(Fertiliser_SourceData.Fertiliser_Products_Data1(), FertiliserProducts[[#Headers],[Company]],1)</f>
        <v>6.0000000000000001E-3</v>
      </c>
      <c r="W113" s="188" t="str" cm="1">
        <f t="array" ref="W113">Common_InputFunctions.Utility_DisplayArrayInTable(Fertiliser_SourceData.Fertiliser_Products_Data1(), FertiliserProducts[[#Headers],[Company]],1)</f>
        <v/>
      </c>
      <c r="X113" s="188" t="str" cm="1">
        <f t="array" ref="X113">Common_InputFunctions.Utility_DisplayArrayInTable(Fertiliser_SourceData.Fertiliser_Products_Data1(), FertiliserProducts[[#Headers],[Company]],1)</f>
        <v/>
      </c>
      <c r="Y113" s="188" t="str" cm="1">
        <f t="array" ref="Y113">Common_InputFunctions.Utility_DisplayArrayInTable(Fertiliser_SourceData.Fertiliser_Products_Data1(), FertiliserProducts[[#Headers],[Company]],1)</f>
        <v/>
      </c>
      <c r="Z113" s="188" t="str" cm="1">
        <f t="array" ref="Z113">Common_InputFunctions.Utility_DisplayArrayInTable(Fertiliser_SourceData.Fertiliser_Products_Data1(), FertiliserProducts[[#Headers],[Company]],1)</f>
        <v/>
      </c>
      <c r="AA113" s="188" t="str" cm="1">
        <f t="array" ref="AA113">Common_InputFunctions.Utility_DisplayArrayInTable(Fertiliser_SourceData.Fertiliser_Products_Data1(), FertiliserProducts[[#Headers],[Company]],1)</f>
        <v/>
      </c>
      <c r="AB113" s="188" t="str" cm="1">
        <f t="array" ref="AB113">Common_InputFunctions.Utility_DisplayArrayInTable(Fertiliser_SourceData.Fertiliser_Products_Data1(), FertiliserProducts[[#Headers],[Company]],1)</f>
        <v/>
      </c>
      <c r="AC113" s="188" t="str" cm="1">
        <f t="array" ref="AC113">Common_InputFunctions.Utility_DisplayArrayInTable(Fertiliser_SourceData.Fertiliser_Products_Data1(), FertiliserProducts[[#Headers],[Company]],1)</f>
        <v/>
      </c>
      <c r="AD113" s="188" t="str" cm="1">
        <f t="array" ref="AD113">Common_InputFunctions.Utility_DisplayArrayInTable(Fertiliser_SourceData.Fertiliser_Products_Data1(), FertiliserProducts[[#Headers],[Company]],1)</f>
        <v/>
      </c>
      <c r="AE113" s="188" t="str" cm="1">
        <f t="array" ref="AE113">Common_InputFunctions.Utility_DisplayArrayInTable(Fertiliser_SourceData.Fertiliser_Products_Data1(), FertiliserProducts[[#Headers],[Company]],1)</f>
        <v/>
      </c>
      <c r="AF113" s="188" t="str" cm="1">
        <f t="array" ref="AF113">Common_InputFunctions.Utility_DisplayArrayInTable(Fertiliser_SourceData.Fertiliser_Products_Data1(), FertiliserProducts[[#Headers],[Company]],1)</f>
        <v/>
      </c>
      <c r="AG113" s="188" t="str" cm="1">
        <f t="array" ref="AG113">Common_InputFunctions.Utility_DisplayArrayInTable(Fertiliser_SourceData.Fertiliser_Products_Data1(), FertiliserProducts[[#Headers],[Company]],1)</f>
        <v/>
      </c>
      <c r="AH113" s="188"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88" t="str" cm="1">
        <f t="array" ref="D114">Common_InputFunctions.Utility_DisplayArrayInTable(Fertiliser_SourceData.Fertiliser_Products_Data1(), FertiliserProducts[[#Headers],[Company]],1)</f>
        <v>Risso-Chemical</v>
      </c>
      <c r="E114" s="188" t="str" cm="1">
        <f t="array" ref="E114">Common_InputFunctions.Utility_DisplayArrayInTable(Fertiliser_SourceData.Fertiliser_Products_Data1(), FertiliserProducts[[#Headers],[Company]],1)</f>
        <v>Calcium Ammonium nitrate</v>
      </c>
      <c r="F114" s="188" t="str" cm="1">
        <f t="array" ref="F114">Common_InputFunctions.Utility_DisplayArrayInTable(Fertiliser_SourceData.Fertiliser_Products_Data1(), FertiliserProducts[[#Headers],[Company]],1)</f>
        <v>kg</v>
      </c>
      <c r="G114" s="188" cm="1">
        <f t="array" ref="G114">Common_InputFunctions.Utility_DisplayArrayInTable(Fertiliser_SourceData.Fertiliser_Products_Data1(), FertiliserProducts[[#Headers],[Company]],1)</f>
        <v>1</v>
      </c>
      <c r="H114" s="188" t="str" cm="1">
        <f t="array" ref="H114">Common_InputFunctions.Utility_DisplayArrayInTable(Fertiliser_SourceData.Fertiliser_Products_Data1(), FertiliserProducts[[#Headers],[Company]],1)</f>
        <v/>
      </c>
      <c r="I114" s="188" t="str" cm="1">
        <f t="array" ref="I114">Common_InputFunctions.Utility_DisplayArrayInTable(Fertiliser_SourceData.Fertiliser_Products_Data1(), FertiliserProducts[[#Headers],[Company]],1)</f>
        <v/>
      </c>
      <c r="J114" s="188" t="str" cm="1">
        <f t="array" ref="J114">Common_InputFunctions.Utility_DisplayArrayInTable(Fertiliser_SourceData.Fertiliser_Products_Data1(), FertiliserProducts[[#Headers],[Company]],1)</f>
        <v>China</v>
      </c>
      <c r="K114" s="188" cm="1">
        <f t="array" ref="K114">Common_InputFunctions.Utility_DisplayArrayInTable(Fertiliser_SourceData.Fertiliser_Products_Data1(), FertiliserProducts[[#Headers],[Company]],1)</f>
        <v>40.5</v>
      </c>
      <c r="L114" s="188" t="str" cm="1">
        <f t="array" ref="L114">Common_InputFunctions.Utility_DisplayArrayInTable(Fertiliser_SourceData.Fertiliser_Products_Data1(), FertiliserProducts[[#Headers],[Company]],1)</f>
        <v/>
      </c>
      <c r="M114" s="188" t="str" cm="1">
        <f t="array" ref="M114">Common_InputFunctions.Utility_DisplayArrayInTable(Fertiliser_SourceData.Fertiliser_Products_Data1(), FertiliserProducts[[#Headers],[Company]],1)</f>
        <v/>
      </c>
      <c r="N114" s="188" t="str" cm="1">
        <f t="array" ref="N114">Common_InputFunctions.Utility_DisplayArrayInTable(Fertiliser_SourceData.Fertiliser_Products_Data1(), FertiliserProducts[[#Headers],[Company]],1)</f>
        <v/>
      </c>
      <c r="O114" s="188" t="str" cm="1">
        <f t="array" ref="O114">Common_InputFunctions.Utility_DisplayArrayInTable(Fertiliser_SourceData.Fertiliser_Products_Data1(), FertiliserProducts[[#Headers],[Company]],1)</f>
        <v>Nitrogen - Ammoniacal</v>
      </c>
      <c r="P114" s="188" cm="1">
        <f t="array" ref="P114">Common_InputFunctions.Utility_DisplayArrayInTable(Fertiliser_SourceData.Fertiliser_Products_Data1(), FertiliserProducts[[#Headers],[Company]],1)</f>
        <v>0.27</v>
      </c>
      <c r="Q114" s="188" t="str" cm="1">
        <f t="array" ref="Q114">Common_InputFunctions.Utility_DisplayArrayInTable(Fertiliser_SourceData.Fertiliser_Products_Data1(), FertiliserProducts[[#Headers],[Company]],1)</f>
        <v>Nitrogen - Nitrate</v>
      </c>
      <c r="R114" s="188" cm="1">
        <f t="array" ref="R114">Common_InputFunctions.Utility_DisplayArrayInTable(Fertiliser_SourceData.Fertiliser_Products_Data1(), FertiliserProducts[[#Headers],[Company]],1)</f>
        <v>0.13500000000000001</v>
      </c>
      <c r="S114" s="188" t="str" cm="1">
        <f t="array" ref="S114">Common_InputFunctions.Utility_DisplayArrayInTable(Fertiliser_SourceData.Fertiliser_Products_Data1(), FertiliserProducts[[#Headers],[Company]],1)</f>
        <v>Calcium</v>
      </c>
      <c r="T114" s="188" cm="1">
        <f t="array" ref="T114">Common_InputFunctions.Utility_DisplayArrayInTable(Fertiliser_SourceData.Fertiliser_Products_Data1(), FertiliserProducts[[#Headers],[Company]],1)</f>
        <v>0.12</v>
      </c>
      <c r="U114" s="188" t="str" cm="1">
        <f t="array" ref="U114">Common_InputFunctions.Utility_DisplayArrayInTable(Fertiliser_SourceData.Fertiliser_Products_Data1(), FertiliserProducts[[#Headers],[Company]],1)</f>
        <v/>
      </c>
      <c r="V114" s="188" t="str" cm="1">
        <f t="array" ref="V114">Common_InputFunctions.Utility_DisplayArrayInTable(Fertiliser_SourceData.Fertiliser_Products_Data1(), FertiliserProducts[[#Headers],[Company]],1)</f>
        <v/>
      </c>
      <c r="W114" s="188" t="str" cm="1">
        <f t="array" ref="W114">Common_InputFunctions.Utility_DisplayArrayInTable(Fertiliser_SourceData.Fertiliser_Products_Data1(), FertiliserProducts[[#Headers],[Company]],1)</f>
        <v/>
      </c>
      <c r="X114" s="188" t="str" cm="1">
        <f t="array" ref="X114">Common_InputFunctions.Utility_DisplayArrayInTable(Fertiliser_SourceData.Fertiliser_Products_Data1(), FertiliserProducts[[#Headers],[Company]],1)</f>
        <v/>
      </c>
      <c r="Y114" s="188" t="str" cm="1">
        <f t="array" ref="Y114">Common_InputFunctions.Utility_DisplayArrayInTable(Fertiliser_SourceData.Fertiliser_Products_Data1(), FertiliserProducts[[#Headers],[Company]],1)</f>
        <v/>
      </c>
      <c r="Z114" s="188" t="str" cm="1">
        <f t="array" ref="Z114">Common_InputFunctions.Utility_DisplayArrayInTable(Fertiliser_SourceData.Fertiliser_Products_Data1(), FertiliserProducts[[#Headers],[Company]],1)</f>
        <v/>
      </c>
      <c r="AA114" s="188" t="str" cm="1">
        <f t="array" ref="AA114">Common_InputFunctions.Utility_DisplayArrayInTable(Fertiliser_SourceData.Fertiliser_Products_Data1(), FertiliserProducts[[#Headers],[Company]],1)</f>
        <v/>
      </c>
      <c r="AB114" s="188" t="str" cm="1">
        <f t="array" ref="AB114">Common_InputFunctions.Utility_DisplayArrayInTable(Fertiliser_SourceData.Fertiliser_Products_Data1(), FertiliserProducts[[#Headers],[Company]],1)</f>
        <v/>
      </c>
      <c r="AC114" s="188" t="str" cm="1">
        <f t="array" ref="AC114">Common_InputFunctions.Utility_DisplayArrayInTable(Fertiliser_SourceData.Fertiliser_Products_Data1(), FertiliserProducts[[#Headers],[Company]],1)</f>
        <v/>
      </c>
      <c r="AD114" s="188" t="str" cm="1">
        <f t="array" ref="AD114">Common_InputFunctions.Utility_DisplayArrayInTable(Fertiliser_SourceData.Fertiliser_Products_Data1(), FertiliserProducts[[#Headers],[Company]],1)</f>
        <v/>
      </c>
      <c r="AE114" s="188" t="str" cm="1">
        <f t="array" ref="AE114">Common_InputFunctions.Utility_DisplayArrayInTable(Fertiliser_SourceData.Fertiliser_Products_Data1(), FertiliserProducts[[#Headers],[Company]],1)</f>
        <v/>
      </c>
      <c r="AF114" s="188" t="str" cm="1">
        <f t="array" ref="AF114">Common_InputFunctions.Utility_DisplayArrayInTable(Fertiliser_SourceData.Fertiliser_Products_Data1(), FertiliserProducts[[#Headers],[Company]],1)</f>
        <v/>
      </c>
      <c r="AG114" s="188" t="str" cm="1">
        <f t="array" ref="AG114">Common_InputFunctions.Utility_DisplayArrayInTable(Fertiliser_SourceData.Fertiliser_Products_Data1(), FertiliserProducts[[#Headers],[Company]],1)</f>
        <v/>
      </c>
      <c r="AH114" s="188"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88" t="str" cm="1">
        <f t="array" ref="D115">Common_InputFunctions.Utility_DisplayArrayInTable(Fertiliser_SourceData.Fertiliser_Products_Data1(), FertiliserProducts[[#Headers],[Company]],1)</f>
        <v>SL Tec</v>
      </c>
      <c r="E115" s="188" t="str" cm="1">
        <f t="array" ref="E115">Common_InputFunctions.Utility_DisplayArrayInTable(Fertiliser_SourceData.Fertiliser_Products_Data1(), FertiliserProducts[[#Headers],[Company]],1)</f>
        <v>CellCAL Plus</v>
      </c>
      <c r="F115" s="188" t="str" cm="1">
        <f t="array" ref="F115">Common_InputFunctions.Utility_DisplayArrayInTable(Fertiliser_SourceData.Fertiliser_Products_Data1(), FertiliserProducts[[#Headers],[Company]],1)</f>
        <v>L</v>
      </c>
      <c r="G115" s="188" cm="1">
        <f t="array" ref="G115">Common_InputFunctions.Utility_DisplayArrayInTable(Fertiliser_SourceData.Fertiliser_Products_Data1(), FertiliserProducts[[#Headers],[Company]],1)</f>
        <v>1.1379999999999999</v>
      </c>
      <c r="H115" s="188" t="str" cm="1">
        <f t="array" ref="H115">Common_InputFunctions.Utility_DisplayArrayInTable(Fertiliser_SourceData.Fertiliser_Products_Data1(), FertiliserProducts[[#Headers],[Company]],1)</f>
        <v/>
      </c>
      <c r="I115" s="188" t="str" cm="1">
        <f t="array" ref="I115">Common_InputFunctions.Utility_DisplayArrayInTable(Fertiliser_SourceData.Fertiliser_Products_Data1(), FertiliserProducts[[#Headers],[Company]],1)</f>
        <v/>
      </c>
      <c r="J115" s="188" t="str" cm="1">
        <f t="array" ref="J115">Common_InputFunctions.Utility_DisplayArrayInTable(Fertiliser_SourceData.Fertiliser_Products_Data1(), FertiliserProducts[[#Headers],[Company]],1)</f>
        <v/>
      </c>
      <c r="K115" s="188" t="str" cm="1">
        <f t="array" ref="K115">Common_InputFunctions.Utility_DisplayArrayInTable(Fertiliser_SourceData.Fertiliser_Products_Data1(), FertiliserProducts[[#Headers],[Company]],1)</f>
        <v/>
      </c>
      <c r="L115" s="188" t="str" cm="1">
        <f t="array" ref="L115">Common_InputFunctions.Utility_DisplayArrayInTable(Fertiliser_SourceData.Fertiliser_Products_Data1(), FertiliserProducts[[#Headers],[Company]],1)</f>
        <v/>
      </c>
      <c r="M115" s="188" t="str" cm="1">
        <f t="array" ref="M115">Common_InputFunctions.Utility_DisplayArrayInTable(Fertiliser_SourceData.Fertiliser_Products_Data1(), FertiliserProducts[[#Headers],[Company]],1)</f>
        <v/>
      </c>
      <c r="N115" s="188" t="str" cm="1">
        <f t="array" ref="N115">Common_InputFunctions.Utility_DisplayArrayInTable(Fertiliser_SourceData.Fertiliser_Products_Data1(), FertiliserProducts[[#Headers],[Company]],1)</f>
        <v/>
      </c>
      <c r="O115" s="188" t="str" cm="1">
        <f t="array" ref="O115">Common_InputFunctions.Utility_DisplayArrayInTable(Fertiliser_SourceData.Fertiliser_Products_Data1(), FertiliserProducts[[#Headers],[Company]],1)</f>
        <v>Calcium</v>
      </c>
      <c r="P115" s="188" cm="1">
        <f t="array" ref="P115">Common_InputFunctions.Utility_DisplayArrayInTable(Fertiliser_SourceData.Fertiliser_Products_Data1(), FertiliserProducts[[#Headers],[Company]],1)</f>
        <v>5.8999999999999997E-2</v>
      </c>
      <c r="Q115" s="188" t="str" cm="1">
        <f t="array" ref="Q115">Common_InputFunctions.Utility_DisplayArrayInTable(Fertiliser_SourceData.Fertiliser_Products_Data1(), FertiliserProducts[[#Headers],[Company]],1)</f>
        <v>Copper</v>
      </c>
      <c r="R115" s="188" cm="1">
        <f t="array" ref="R115">Common_InputFunctions.Utility_DisplayArrayInTable(Fertiliser_SourceData.Fertiliser_Products_Data1(), FertiliserProducts[[#Headers],[Company]],1)</f>
        <v>3.0000000000000001E-3</v>
      </c>
      <c r="S115" s="188" t="str" cm="1">
        <f t="array" ref="S115">Common_InputFunctions.Utility_DisplayArrayInTable(Fertiliser_SourceData.Fertiliser_Products_Data1(), FertiliserProducts[[#Headers],[Company]],1)</f>
        <v>Boron</v>
      </c>
      <c r="T115" s="188" cm="1">
        <f t="array" ref="T115">Common_InputFunctions.Utility_DisplayArrayInTable(Fertiliser_SourceData.Fertiliser_Products_Data1(), FertiliserProducts[[#Headers],[Company]],1)</f>
        <v>1E-3</v>
      </c>
      <c r="U115" s="188" t="str" cm="1">
        <f t="array" ref="U115">Common_InputFunctions.Utility_DisplayArrayInTable(Fertiliser_SourceData.Fertiliser_Products_Data1(), FertiliserProducts[[#Headers],[Company]],1)</f>
        <v/>
      </c>
      <c r="V115" s="188" t="str" cm="1">
        <f t="array" ref="V115">Common_InputFunctions.Utility_DisplayArrayInTable(Fertiliser_SourceData.Fertiliser_Products_Data1(), FertiliserProducts[[#Headers],[Company]],1)</f>
        <v/>
      </c>
      <c r="W115" s="188" t="str" cm="1">
        <f t="array" ref="W115">Common_InputFunctions.Utility_DisplayArrayInTable(Fertiliser_SourceData.Fertiliser_Products_Data1(), FertiliserProducts[[#Headers],[Company]],1)</f>
        <v/>
      </c>
      <c r="X115" s="188" t="str" cm="1">
        <f t="array" ref="X115">Common_InputFunctions.Utility_DisplayArrayInTable(Fertiliser_SourceData.Fertiliser_Products_Data1(), FertiliserProducts[[#Headers],[Company]],1)</f>
        <v/>
      </c>
      <c r="Y115" s="188" t="str" cm="1">
        <f t="array" ref="Y115">Common_InputFunctions.Utility_DisplayArrayInTable(Fertiliser_SourceData.Fertiliser_Products_Data1(), FertiliserProducts[[#Headers],[Company]],1)</f>
        <v/>
      </c>
      <c r="Z115" s="188" t="str" cm="1">
        <f t="array" ref="Z115">Common_InputFunctions.Utility_DisplayArrayInTable(Fertiliser_SourceData.Fertiliser_Products_Data1(), FertiliserProducts[[#Headers],[Company]],1)</f>
        <v/>
      </c>
      <c r="AA115" s="188" t="str" cm="1">
        <f t="array" ref="AA115">Common_InputFunctions.Utility_DisplayArrayInTable(Fertiliser_SourceData.Fertiliser_Products_Data1(), FertiliserProducts[[#Headers],[Company]],1)</f>
        <v/>
      </c>
      <c r="AB115" s="188" t="str" cm="1">
        <f t="array" ref="AB115">Common_InputFunctions.Utility_DisplayArrayInTable(Fertiliser_SourceData.Fertiliser_Products_Data1(), FertiliserProducts[[#Headers],[Company]],1)</f>
        <v/>
      </c>
      <c r="AC115" s="188" t="str" cm="1">
        <f t="array" ref="AC115">Common_InputFunctions.Utility_DisplayArrayInTable(Fertiliser_SourceData.Fertiliser_Products_Data1(), FertiliserProducts[[#Headers],[Company]],1)</f>
        <v/>
      </c>
      <c r="AD115" s="188" t="str" cm="1">
        <f t="array" ref="AD115">Common_InputFunctions.Utility_DisplayArrayInTable(Fertiliser_SourceData.Fertiliser_Products_Data1(), FertiliserProducts[[#Headers],[Company]],1)</f>
        <v/>
      </c>
      <c r="AE115" s="188" t="str" cm="1">
        <f t="array" ref="AE115">Common_InputFunctions.Utility_DisplayArrayInTable(Fertiliser_SourceData.Fertiliser_Products_Data1(), FertiliserProducts[[#Headers],[Company]],1)</f>
        <v/>
      </c>
      <c r="AF115" s="188" t="str" cm="1">
        <f t="array" ref="AF115">Common_InputFunctions.Utility_DisplayArrayInTable(Fertiliser_SourceData.Fertiliser_Products_Data1(), FertiliserProducts[[#Headers],[Company]],1)</f>
        <v/>
      </c>
      <c r="AG115" s="188" t="str" cm="1">
        <f t="array" ref="AG115">Common_InputFunctions.Utility_DisplayArrayInTable(Fertiliser_SourceData.Fertiliser_Products_Data1(), FertiliserProducts[[#Headers],[Company]],1)</f>
        <v/>
      </c>
      <c r="AH115" s="188"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88" t="str" cm="1">
        <f t="array" ref="D116">Common_InputFunctions.Utility_DisplayArrayInTable(Fertiliser_SourceData.Fertiliser_Products_Data1(), FertiliserProducts[[#Headers],[Company]],1)</f>
        <v>Incitec Pivot Fertilisers</v>
      </c>
      <c r="E116" s="188" t="str" cm="1">
        <f t="array" ref="E116">Common_InputFunctions.Utility_DisplayArrayInTable(Fertiliser_SourceData.Fertiliser_Products_Data1(), FertiliserProducts[[#Headers],[Company]],1)</f>
        <v>CK55</v>
      </c>
      <c r="F116" s="188" t="str" cm="1">
        <f t="array" ref="F116">Common_InputFunctions.Utility_DisplayArrayInTable(Fertiliser_SourceData.Fertiliser_Products_Data1(), FertiliserProducts[[#Headers],[Company]],1)</f>
        <v>kg</v>
      </c>
      <c r="G116" s="188" cm="1">
        <f t="array" ref="G116">Common_InputFunctions.Utility_DisplayArrayInTable(Fertiliser_SourceData.Fertiliser_Products_Data1(), FertiliserProducts[[#Headers],[Company]],1)</f>
        <v>1</v>
      </c>
      <c r="H116" s="188" t="str" cm="1">
        <f t="array" ref="H116">Common_InputFunctions.Utility_DisplayArrayInTable(Fertiliser_SourceData.Fertiliser_Products_Data1(), FertiliserProducts[[#Headers],[Company]],1)</f>
        <v/>
      </c>
      <c r="I116" s="188" t="str" cm="1">
        <f t="array" ref="I116">Common_InputFunctions.Utility_DisplayArrayInTable(Fertiliser_SourceData.Fertiliser_Products_Data1(), FertiliserProducts[[#Headers],[Company]],1)</f>
        <v/>
      </c>
      <c r="J116" s="188" t="str" cm="1">
        <f t="array" ref="J116">Common_InputFunctions.Utility_DisplayArrayInTable(Fertiliser_SourceData.Fertiliser_Products_Data1(), FertiliserProducts[[#Headers],[Company]],1)</f>
        <v/>
      </c>
      <c r="K116" s="188" cm="1">
        <f t="array" ref="K116">Common_InputFunctions.Utility_DisplayArrayInTable(Fertiliser_SourceData.Fertiliser_Products_Data1(), FertiliserProducts[[#Headers],[Company]],1)</f>
        <v>13.5</v>
      </c>
      <c r="L116" s="188" cm="1">
        <f t="array" ref="L116">Common_InputFunctions.Utility_DisplayArrayInTable(Fertiliser_SourceData.Fertiliser_Products_Data1(), FertiliserProducts[[#Headers],[Company]],1)</f>
        <v>15</v>
      </c>
      <c r="M116" s="188" cm="1">
        <f t="array" ref="M116">Common_InputFunctions.Utility_DisplayArrayInTable(Fertiliser_SourceData.Fertiliser_Products_Data1(), FertiliserProducts[[#Headers],[Company]],1)</f>
        <v>6.25</v>
      </c>
      <c r="N116" s="188" cm="1">
        <f t="array" ref="N116">Common_InputFunctions.Utility_DisplayArrayInTable(Fertiliser_SourceData.Fertiliser_Products_Data1(), FertiliserProducts[[#Headers],[Company]],1)</f>
        <v>1.2</v>
      </c>
      <c r="O116" s="188" t="str" cm="1">
        <f t="array" ref="O116">Common_InputFunctions.Utility_DisplayArrayInTable(Fertiliser_SourceData.Fertiliser_Products_Data1(), FertiliserProducts[[#Headers],[Company]],1)</f>
        <v>Phosphorus - Generic</v>
      </c>
      <c r="P116" s="188" cm="1">
        <f t="array" ref="P116">Common_InputFunctions.Utility_DisplayArrayInTable(Fertiliser_SourceData.Fertiliser_Products_Data1(), FertiliserProducts[[#Headers],[Company]],1)</f>
        <v>0.15</v>
      </c>
      <c r="Q116" s="188" t="str" cm="1">
        <f t="array" ref="Q116">Common_InputFunctions.Utility_DisplayArrayInTable(Fertiliser_SourceData.Fertiliser_Products_Data1(), FertiliserProducts[[#Headers],[Company]],1)</f>
        <v>Nitrogen - Ammoniacal</v>
      </c>
      <c r="R116" s="188" cm="1">
        <f t="array" ref="R116">Common_InputFunctions.Utility_DisplayArrayInTable(Fertiliser_SourceData.Fertiliser_Products_Data1(), FertiliserProducts[[#Headers],[Company]],1)</f>
        <v>0.13500000000000001</v>
      </c>
      <c r="S116" s="188" t="str" cm="1">
        <f t="array" ref="S116">Common_InputFunctions.Utility_DisplayArrayInTable(Fertiliser_SourceData.Fertiliser_Products_Data1(), FertiliserProducts[[#Headers],[Company]],1)</f>
        <v>Muriate of potash (MOP)</v>
      </c>
      <c r="T116" s="188" cm="1">
        <f t="array" ref="T116">Common_InputFunctions.Utility_DisplayArrayInTable(Fertiliser_SourceData.Fertiliser_Products_Data1(), FertiliserProducts[[#Headers],[Company]],1)</f>
        <v>0.125</v>
      </c>
      <c r="U116" s="188" t="str" cm="1">
        <f t="array" ref="U116">Common_InputFunctions.Utility_DisplayArrayInTable(Fertiliser_SourceData.Fertiliser_Products_Data1(), FertiliserProducts[[#Headers],[Company]],1)</f>
        <v>Fluoride</v>
      </c>
      <c r="V116" s="188" cm="1">
        <f t="array" ref="V116">Common_InputFunctions.Utility_DisplayArrayInTable(Fertiliser_SourceData.Fertiliser_Products_Data1(), FertiliserProducts[[#Headers],[Company]],1)</f>
        <v>2.3E-2</v>
      </c>
      <c r="W116" s="188" t="str" cm="1">
        <f t="array" ref="W116">Common_InputFunctions.Utility_DisplayArrayInTable(Fertiliser_SourceData.Fertiliser_Products_Data1(), FertiliserProducts[[#Headers],[Company]],1)</f>
        <v>Sulfur - Generic</v>
      </c>
      <c r="X116" s="188" cm="1">
        <f t="array" ref="X116">Common_InputFunctions.Utility_DisplayArrayInTable(Fertiliser_SourceData.Fertiliser_Products_Data1(), FertiliserProducts[[#Headers],[Company]],1)</f>
        <v>1.2E-2</v>
      </c>
      <c r="Y116" s="188" t="str" cm="1">
        <f t="array" ref="Y116">Common_InputFunctions.Utility_DisplayArrayInTable(Fertiliser_SourceData.Fertiliser_Products_Data1(), FertiliserProducts[[#Headers],[Company]],1)</f>
        <v/>
      </c>
      <c r="Z116" s="188" t="str" cm="1">
        <f t="array" ref="Z116">Common_InputFunctions.Utility_DisplayArrayInTable(Fertiliser_SourceData.Fertiliser_Products_Data1(), FertiliserProducts[[#Headers],[Company]],1)</f>
        <v/>
      </c>
      <c r="AA116" s="188" t="str" cm="1">
        <f t="array" ref="AA116">Common_InputFunctions.Utility_DisplayArrayInTable(Fertiliser_SourceData.Fertiliser_Products_Data1(), FertiliserProducts[[#Headers],[Company]],1)</f>
        <v/>
      </c>
      <c r="AB116" s="188" t="str" cm="1">
        <f t="array" ref="AB116">Common_InputFunctions.Utility_DisplayArrayInTable(Fertiliser_SourceData.Fertiliser_Products_Data1(), FertiliserProducts[[#Headers],[Company]],1)</f>
        <v/>
      </c>
      <c r="AC116" s="188" t="str" cm="1">
        <f t="array" ref="AC116">Common_InputFunctions.Utility_DisplayArrayInTable(Fertiliser_SourceData.Fertiliser_Products_Data1(), FertiliserProducts[[#Headers],[Company]],1)</f>
        <v/>
      </c>
      <c r="AD116" s="188" t="str" cm="1">
        <f t="array" ref="AD116">Common_InputFunctions.Utility_DisplayArrayInTable(Fertiliser_SourceData.Fertiliser_Products_Data1(), FertiliserProducts[[#Headers],[Company]],1)</f>
        <v/>
      </c>
      <c r="AE116" s="188" t="str" cm="1">
        <f t="array" ref="AE116">Common_InputFunctions.Utility_DisplayArrayInTable(Fertiliser_SourceData.Fertiliser_Products_Data1(), FertiliserProducts[[#Headers],[Company]],1)</f>
        <v/>
      </c>
      <c r="AF116" s="188" t="str" cm="1">
        <f t="array" ref="AF116">Common_InputFunctions.Utility_DisplayArrayInTable(Fertiliser_SourceData.Fertiliser_Products_Data1(), FertiliserProducts[[#Headers],[Company]],1)</f>
        <v/>
      </c>
      <c r="AG116" s="188" t="str" cm="1">
        <f t="array" ref="AG116">Common_InputFunctions.Utility_DisplayArrayInTable(Fertiliser_SourceData.Fertiliser_Products_Data1(), FertiliserProducts[[#Headers],[Company]],1)</f>
        <v/>
      </c>
      <c r="AH116" s="188"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88" t="str" cm="1">
        <f t="array" ref="D117">Common_InputFunctions.Utility_DisplayArrayInTable(Fertiliser_SourceData.Fertiliser_Products_Data1(), FertiliserProducts[[#Headers],[Company]],1)</f>
        <v>Switch Ag</v>
      </c>
      <c r="E117" s="188" t="str" cm="1">
        <f t="array" ref="E117">Common_InputFunctions.Utility_DisplayArrayInTable(Fertiliser_SourceData.Fertiliser_Products_Data1(), FertiliserProducts[[#Headers],[Company]],1)</f>
        <v>Crop K</v>
      </c>
      <c r="F117" s="188" t="str" cm="1">
        <f t="array" ref="F117">Common_InputFunctions.Utility_DisplayArrayInTable(Fertiliser_SourceData.Fertiliser_Products_Data1(), FertiliserProducts[[#Headers],[Company]],1)</f>
        <v>L</v>
      </c>
      <c r="G117" s="188" cm="1">
        <f t="array" ref="G117">Common_InputFunctions.Utility_DisplayArrayInTable(Fertiliser_SourceData.Fertiliser_Products_Data1(), FertiliserProducts[[#Headers],[Company]],1)</f>
        <v>1.25</v>
      </c>
      <c r="H117" s="188" t="str" cm="1">
        <f t="array" ref="H117">Common_InputFunctions.Utility_DisplayArrayInTable(Fertiliser_SourceData.Fertiliser_Products_Data1(), FertiliserProducts[[#Headers],[Company]],1)</f>
        <v/>
      </c>
      <c r="I117" s="188" t="str" cm="1">
        <f t="array" ref="I117">Common_InputFunctions.Utility_DisplayArrayInTable(Fertiliser_SourceData.Fertiliser_Products_Data1(), FertiliserProducts[[#Headers],[Company]],1)</f>
        <v/>
      </c>
      <c r="J117" s="188" t="str" cm="1">
        <f t="array" ref="J117">Common_InputFunctions.Utility_DisplayArrayInTable(Fertiliser_SourceData.Fertiliser_Products_Data1(), FertiliserProducts[[#Headers],[Company]],1)</f>
        <v/>
      </c>
      <c r="K117" s="188" cm="1">
        <f t="array" ref="K117">Common_InputFunctions.Utility_DisplayArrayInTable(Fertiliser_SourceData.Fertiliser_Products_Data1(), FertiliserProducts[[#Headers],[Company]],1)</f>
        <v>3</v>
      </c>
      <c r="L117" s="188" t="str" cm="1">
        <f t="array" ref="L117">Common_InputFunctions.Utility_DisplayArrayInTable(Fertiliser_SourceData.Fertiliser_Products_Data1(), FertiliserProducts[[#Headers],[Company]],1)</f>
        <v/>
      </c>
      <c r="M117" s="188" cm="1">
        <f t="array" ref="M117">Common_InputFunctions.Utility_DisplayArrayInTable(Fertiliser_SourceData.Fertiliser_Products_Data1(), FertiliserProducts[[#Headers],[Company]],1)</f>
        <v>21</v>
      </c>
      <c r="N117" s="188" t="str" cm="1">
        <f t="array" ref="N117">Common_InputFunctions.Utility_DisplayArrayInTable(Fertiliser_SourceData.Fertiliser_Products_Data1(), FertiliserProducts[[#Headers],[Company]],1)</f>
        <v/>
      </c>
      <c r="O117" s="188" t="str" cm="1">
        <f t="array" ref="O117">Common_InputFunctions.Utility_DisplayArrayInTable(Fertiliser_SourceData.Fertiliser_Products_Data1(), FertiliserProducts[[#Headers],[Company]],1)</f>
        <v>Potassium - Generic</v>
      </c>
      <c r="P117" s="188" cm="1">
        <f t="array" ref="P117">Common_InputFunctions.Utility_DisplayArrayInTable(Fertiliser_SourceData.Fertiliser_Products_Data1(), FertiliserProducts[[#Headers],[Company]],1)</f>
        <v>0.21</v>
      </c>
      <c r="Q117" s="188" t="str" cm="1">
        <f t="array" ref="Q117">Common_InputFunctions.Utility_DisplayArrayInTable(Fertiliser_SourceData.Fertiliser_Products_Data1(), FertiliserProducts[[#Headers],[Company]],1)</f>
        <v>Nitrogen - Generic</v>
      </c>
      <c r="R117" s="188" cm="1">
        <f t="array" ref="R117">Common_InputFunctions.Utility_DisplayArrayInTable(Fertiliser_SourceData.Fertiliser_Products_Data1(), FertiliserProducts[[#Headers],[Company]],1)</f>
        <v>0.03</v>
      </c>
      <c r="S117" s="188" t="str" cm="1">
        <f t="array" ref="S117">Common_InputFunctions.Utility_DisplayArrayInTable(Fertiliser_SourceData.Fertiliser_Products_Data1(), FertiliserProducts[[#Headers],[Company]],1)</f>
        <v/>
      </c>
      <c r="T117" s="188" t="str" cm="1">
        <f t="array" ref="T117">Common_InputFunctions.Utility_DisplayArrayInTable(Fertiliser_SourceData.Fertiliser_Products_Data1(), FertiliserProducts[[#Headers],[Company]],1)</f>
        <v/>
      </c>
      <c r="U117" s="188" t="str" cm="1">
        <f t="array" ref="U117">Common_InputFunctions.Utility_DisplayArrayInTable(Fertiliser_SourceData.Fertiliser_Products_Data1(), FertiliserProducts[[#Headers],[Company]],1)</f>
        <v/>
      </c>
      <c r="V117" s="188" t="str" cm="1">
        <f t="array" ref="V117">Common_InputFunctions.Utility_DisplayArrayInTable(Fertiliser_SourceData.Fertiliser_Products_Data1(), FertiliserProducts[[#Headers],[Company]],1)</f>
        <v/>
      </c>
      <c r="W117" s="188" t="str" cm="1">
        <f t="array" ref="W117">Common_InputFunctions.Utility_DisplayArrayInTable(Fertiliser_SourceData.Fertiliser_Products_Data1(), FertiliserProducts[[#Headers],[Company]],1)</f>
        <v/>
      </c>
      <c r="X117" s="188" t="str" cm="1">
        <f t="array" ref="X117">Common_InputFunctions.Utility_DisplayArrayInTable(Fertiliser_SourceData.Fertiliser_Products_Data1(), FertiliserProducts[[#Headers],[Company]],1)</f>
        <v/>
      </c>
      <c r="Y117" s="188" t="str" cm="1">
        <f t="array" ref="Y117">Common_InputFunctions.Utility_DisplayArrayInTable(Fertiliser_SourceData.Fertiliser_Products_Data1(), FertiliserProducts[[#Headers],[Company]],1)</f>
        <v/>
      </c>
      <c r="Z117" s="188" t="str" cm="1">
        <f t="array" ref="Z117">Common_InputFunctions.Utility_DisplayArrayInTable(Fertiliser_SourceData.Fertiliser_Products_Data1(), FertiliserProducts[[#Headers],[Company]],1)</f>
        <v/>
      </c>
      <c r="AA117" s="188" t="str" cm="1">
        <f t="array" ref="AA117">Common_InputFunctions.Utility_DisplayArrayInTable(Fertiliser_SourceData.Fertiliser_Products_Data1(), FertiliserProducts[[#Headers],[Company]],1)</f>
        <v/>
      </c>
      <c r="AB117" s="188" t="str" cm="1">
        <f t="array" ref="AB117">Common_InputFunctions.Utility_DisplayArrayInTable(Fertiliser_SourceData.Fertiliser_Products_Data1(), FertiliserProducts[[#Headers],[Company]],1)</f>
        <v/>
      </c>
      <c r="AC117" s="188" t="str" cm="1">
        <f t="array" ref="AC117">Common_InputFunctions.Utility_DisplayArrayInTable(Fertiliser_SourceData.Fertiliser_Products_Data1(), FertiliserProducts[[#Headers],[Company]],1)</f>
        <v/>
      </c>
      <c r="AD117" s="188" t="str" cm="1">
        <f t="array" ref="AD117">Common_InputFunctions.Utility_DisplayArrayInTable(Fertiliser_SourceData.Fertiliser_Products_Data1(), FertiliserProducts[[#Headers],[Company]],1)</f>
        <v/>
      </c>
      <c r="AE117" s="188" t="str" cm="1">
        <f t="array" ref="AE117">Common_InputFunctions.Utility_DisplayArrayInTable(Fertiliser_SourceData.Fertiliser_Products_Data1(), FertiliserProducts[[#Headers],[Company]],1)</f>
        <v/>
      </c>
      <c r="AF117" s="188" t="str" cm="1">
        <f t="array" ref="AF117">Common_InputFunctions.Utility_DisplayArrayInTable(Fertiliser_SourceData.Fertiliser_Products_Data1(), FertiliserProducts[[#Headers],[Company]],1)</f>
        <v/>
      </c>
      <c r="AG117" s="188" t="str" cm="1">
        <f t="array" ref="AG117">Common_InputFunctions.Utility_DisplayArrayInTable(Fertiliser_SourceData.Fertiliser_Products_Data1(), FertiliserProducts[[#Headers],[Company]],1)</f>
        <v/>
      </c>
      <c r="AH117" s="188"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88" t="str" cm="1">
        <f t="array" ref="D118">Common_InputFunctions.Utility_DisplayArrayInTable(Fertiliser_SourceData.Fertiliser_Products_Data1(), FertiliserProducts[[#Headers],[Company]],1)</f>
        <v>Switch Ag</v>
      </c>
      <c r="E118" s="188" t="str" cm="1">
        <f t="array" ref="E118">Common_InputFunctions.Utility_DisplayArrayInTable(Fertiliser_SourceData.Fertiliser_Products_Data1(), FertiliserProducts[[#Headers],[Company]],1)</f>
        <v>Crop Starter</v>
      </c>
      <c r="F118" s="188" t="str" cm="1">
        <f t="array" ref="F118">Common_InputFunctions.Utility_DisplayArrayInTable(Fertiliser_SourceData.Fertiliser_Products_Data1(), FertiliserProducts[[#Headers],[Company]],1)</f>
        <v>L</v>
      </c>
      <c r="G118" s="188" cm="1">
        <f t="array" ref="G118">Common_InputFunctions.Utility_DisplayArrayInTable(Fertiliser_SourceData.Fertiliser_Products_Data1(), FertiliserProducts[[#Headers],[Company]],1)</f>
        <v>1.2</v>
      </c>
      <c r="H118" s="188" t="str" cm="1">
        <f t="array" ref="H118">Common_InputFunctions.Utility_DisplayArrayInTable(Fertiliser_SourceData.Fertiliser_Products_Data1(), FertiliserProducts[[#Headers],[Company]],1)</f>
        <v/>
      </c>
      <c r="I118" s="188" t="str" cm="1">
        <f t="array" ref="I118">Common_InputFunctions.Utility_DisplayArrayInTable(Fertiliser_SourceData.Fertiliser_Products_Data1(), FertiliserProducts[[#Headers],[Company]],1)</f>
        <v/>
      </c>
      <c r="J118" s="188" t="str" cm="1">
        <f t="array" ref="J118">Common_InputFunctions.Utility_DisplayArrayInTable(Fertiliser_SourceData.Fertiliser_Products_Data1(), FertiliserProducts[[#Headers],[Company]],1)</f>
        <v/>
      </c>
      <c r="K118" s="188" cm="1">
        <f t="array" ref="K118">Common_InputFunctions.Utility_DisplayArrayInTable(Fertiliser_SourceData.Fertiliser_Products_Data1(), FertiliserProducts[[#Headers],[Company]],1)</f>
        <v>5</v>
      </c>
      <c r="L118" s="188" cm="1">
        <f t="array" ref="L118">Common_InputFunctions.Utility_DisplayArrayInTable(Fertiliser_SourceData.Fertiliser_Products_Data1(), FertiliserProducts[[#Headers],[Company]],1)</f>
        <v>3</v>
      </c>
      <c r="M118" s="188" cm="1">
        <f t="array" ref="M118">Common_InputFunctions.Utility_DisplayArrayInTable(Fertiliser_SourceData.Fertiliser_Products_Data1(), FertiliserProducts[[#Headers],[Company]],1)</f>
        <v>8</v>
      </c>
      <c r="N118" s="188" t="str" cm="1">
        <f t="array" ref="N118">Common_InputFunctions.Utility_DisplayArrayInTable(Fertiliser_SourceData.Fertiliser_Products_Data1(), FertiliserProducts[[#Headers],[Company]],1)</f>
        <v/>
      </c>
      <c r="O118" s="188" t="str" cm="1">
        <f t="array" ref="O118">Common_InputFunctions.Utility_DisplayArrayInTable(Fertiliser_SourceData.Fertiliser_Products_Data1(), FertiliserProducts[[#Headers],[Company]],1)</f>
        <v>Potassium - Generic</v>
      </c>
      <c r="P118" s="188" cm="1">
        <f t="array" ref="P118">Common_InputFunctions.Utility_DisplayArrayInTable(Fertiliser_SourceData.Fertiliser_Products_Data1(), FertiliserProducts[[#Headers],[Company]],1)</f>
        <v>0.08</v>
      </c>
      <c r="Q118" s="188" t="str" cm="1">
        <f t="array" ref="Q118">Common_InputFunctions.Utility_DisplayArrayInTable(Fertiliser_SourceData.Fertiliser_Products_Data1(), FertiliserProducts[[#Headers],[Company]],1)</f>
        <v>Nitrogen - Generic</v>
      </c>
      <c r="R118" s="188" cm="1">
        <f t="array" ref="R118">Common_InputFunctions.Utility_DisplayArrayInTable(Fertiliser_SourceData.Fertiliser_Products_Data1(), FertiliserProducts[[#Headers],[Company]],1)</f>
        <v>0.05</v>
      </c>
      <c r="S118" s="188" t="str" cm="1">
        <f t="array" ref="S118">Common_InputFunctions.Utility_DisplayArrayInTable(Fertiliser_SourceData.Fertiliser_Products_Data1(), FertiliserProducts[[#Headers],[Company]],1)</f>
        <v>Phosphorus - Generic</v>
      </c>
      <c r="T118" s="188" cm="1">
        <f t="array" ref="T118">Common_InputFunctions.Utility_DisplayArrayInTable(Fertiliser_SourceData.Fertiliser_Products_Data1(), FertiliserProducts[[#Headers],[Company]],1)</f>
        <v>0.03</v>
      </c>
      <c r="U118" s="188" t="str" cm="1">
        <f t="array" ref="U118">Common_InputFunctions.Utility_DisplayArrayInTable(Fertiliser_SourceData.Fertiliser_Products_Data1(), FertiliserProducts[[#Headers],[Company]],1)</f>
        <v/>
      </c>
      <c r="V118" s="188" t="str" cm="1">
        <f t="array" ref="V118">Common_InputFunctions.Utility_DisplayArrayInTable(Fertiliser_SourceData.Fertiliser_Products_Data1(), FertiliserProducts[[#Headers],[Company]],1)</f>
        <v/>
      </c>
      <c r="W118" s="188" t="str" cm="1">
        <f t="array" ref="W118">Common_InputFunctions.Utility_DisplayArrayInTable(Fertiliser_SourceData.Fertiliser_Products_Data1(), FertiliserProducts[[#Headers],[Company]],1)</f>
        <v/>
      </c>
      <c r="X118" s="188" t="str" cm="1">
        <f t="array" ref="X118">Common_InputFunctions.Utility_DisplayArrayInTable(Fertiliser_SourceData.Fertiliser_Products_Data1(), FertiliserProducts[[#Headers],[Company]],1)</f>
        <v/>
      </c>
      <c r="Y118" s="188" t="str" cm="1">
        <f t="array" ref="Y118">Common_InputFunctions.Utility_DisplayArrayInTable(Fertiliser_SourceData.Fertiliser_Products_Data1(), FertiliserProducts[[#Headers],[Company]],1)</f>
        <v/>
      </c>
      <c r="Z118" s="188" t="str" cm="1">
        <f t="array" ref="Z118">Common_InputFunctions.Utility_DisplayArrayInTable(Fertiliser_SourceData.Fertiliser_Products_Data1(), FertiliserProducts[[#Headers],[Company]],1)</f>
        <v/>
      </c>
      <c r="AA118" s="188" t="str" cm="1">
        <f t="array" ref="AA118">Common_InputFunctions.Utility_DisplayArrayInTable(Fertiliser_SourceData.Fertiliser_Products_Data1(), FertiliserProducts[[#Headers],[Company]],1)</f>
        <v/>
      </c>
      <c r="AB118" s="188" t="str" cm="1">
        <f t="array" ref="AB118">Common_InputFunctions.Utility_DisplayArrayInTable(Fertiliser_SourceData.Fertiliser_Products_Data1(), FertiliserProducts[[#Headers],[Company]],1)</f>
        <v/>
      </c>
      <c r="AC118" s="188" t="str" cm="1">
        <f t="array" ref="AC118">Common_InputFunctions.Utility_DisplayArrayInTable(Fertiliser_SourceData.Fertiliser_Products_Data1(), FertiliserProducts[[#Headers],[Company]],1)</f>
        <v/>
      </c>
      <c r="AD118" s="188" t="str" cm="1">
        <f t="array" ref="AD118">Common_InputFunctions.Utility_DisplayArrayInTable(Fertiliser_SourceData.Fertiliser_Products_Data1(), FertiliserProducts[[#Headers],[Company]],1)</f>
        <v/>
      </c>
      <c r="AE118" s="188" t="str" cm="1">
        <f t="array" ref="AE118">Common_InputFunctions.Utility_DisplayArrayInTable(Fertiliser_SourceData.Fertiliser_Products_Data1(), FertiliserProducts[[#Headers],[Company]],1)</f>
        <v/>
      </c>
      <c r="AF118" s="188" t="str" cm="1">
        <f t="array" ref="AF118">Common_InputFunctions.Utility_DisplayArrayInTable(Fertiliser_SourceData.Fertiliser_Products_Data1(), FertiliserProducts[[#Headers],[Company]],1)</f>
        <v/>
      </c>
      <c r="AG118" s="188" t="str" cm="1">
        <f t="array" ref="AG118">Common_InputFunctions.Utility_DisplayArrayInTable(Fertiliser_SourceData.Fertiliser_Products_Data1(), FertiliserProducts[[#Headers],[Company]],1)</f>
        <v/>
      </c>
      <c r="AH118" s="188"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88" t="str" cm="1">
        <f t="array" ref="D119">Common_InputFunctions.Utility_DisplayArrayInTable(Fertiliser_SourceData.Fertiliser_Products_Data1(), FertiliserProducts[[#Headers],[Company]],1)</f>
        <v>Incitec Pivot Fertilisers</v>
      </c>
      <c r="E119" s="188" t="str" cm="1">
        <f t="array" ref="E119">Common_InputFunctions.Utility_DisplayArrayInTable(Fertiliser_SourceData.Fertiliser_Products_Data1(), FertiliserProducts[[#Headers],[Company]],1)</f>
        <v>Gran-Am</v>
      </c>
      <c r="F119" s="188" t="str" cm="1">
        <f t="array" ref="F119">Common_InputFunctions.Utility_DisplayArrayInTable(Fertiliser_SourceData.Fertiliser_Products_Data1(), FertiliserProducts[[#Headers],[Company]],1)</f>
        <v>kg</v>
      </c>
      <c r="G119" s="188" cm="1">
        <f t="array" ref="G119">Common_InputFunctions.Utility_DisplayArrayInTable(Fertiliser_SourceData.Fertiliser_Products_Data1(), FertiliserProducts[[#Headers],[Company]],1)</f>
        <v>1</v>
      </c>
      <c r="H119" s="188" t="str" cm="1">
        <f t="array" ref="H119">Common_InputFunctions.Utility_DisplayArrayInTable(Fertiliser_SourceData.Fertiliser_Products_Data1(), FertiliserProducts[[#Headers],[Company]],1)</f>
        <v/>
      </c>
      <c r="I119" s="188" t="str" cm="1">
        <f t="array" ref="I119">Common_InputFunctions.Utility_DisplayArrayInTable(Fertiliser_SourceData.Fertiliser_Products_Data1(), FertiliserProducts[[#Headers],[Company]],1)</f>
        <v/>
      </c>
      <c r="J119" s="188" t="str" cm="1">
        <f t="array" ref="J119">Common_InputFunctions.Utility_DisplayArrayInTable(Fertiliser_SourceData.Fertiliser_Products_Data1(), FertiliserProducts[[#Headers],[Company]],1)</f>
        <v/>
      </c>
      <c r="K119" s="188" cm="1">
        <f t="array" ref="K119">Common_InputFunctions.Utility_DisplayArrayInTable(Fertiliser_SourceData.Fertiliser_Products_Data1(), FertiliserProducts[[#Headers],[Company]],1)</f>
        <v>21</v>
      </c>
      <c r="L119" s="188" t="str" cm="1">
        <f t="array" ref="L119">Common_InputFunctions.Utility_DisplayArrayInTable(Fertiliser_SourceData.Fertiliser_Products_Data1(), FertiliserProducts[[#Headers],[Company]],1)</f>
        <v/>
      </c>
      <c r="M119" s="188" t="str" cm="1">
        <f t="array" ref="M119">Common_InputFunctions.Utility_DisplayArrayInTable(Fertiliser_SourceData.Fertiliser_Products_Data1(), FertiliserProducts[[#Headers],[Company]],1)</f>
        <v/>
      </c>
      <c r="N119" s="188" cm="1">
        <f t="array" ref="N119">Common_InputFunctions.Utility_DisplayArrayInTable(Fertiliser_SourceData.Fertiliser_Products_Data1(), FertiliserProducts[[#Headers],[Company]],1)</f>
        <v>24</v>
      </c>
      <c r="O119" s="188" t="str" cm="1">
        <f t="array" ref="O119">Common_InputFunctions.Utility_DisplayArrayInTable(Fertiliser_SourceData.Fertiliser_Products_Data1(), FertiliserProducts[[#Headers],[Company]],1)</f>
        <v>Sulphate of ammonia (SOA)</v>
      </c>
      <c r="P119" s="188" cm="1">
        <f t="array" ref="P119">Common_InputFunctions.Utility_DisplayArrayInTable(Fertiliser_SourceData.Fertiliser_Products_Data1(), FertiliserProducts[[#Headers],[Company]],1)</f>
        <v>1</v>
      </c>
      <c r="Q119" s="188" t="str" cm="1">
        <f t="array" ref="Q119">Common_InputFunctions.Utility_DisplayArrayInTable(Fertiliser_SourceData.Fertiliser_Products_Data1(), FertiliserProducts[[#Headers],[Company]],1)</f>
        <v/>
      </c>
      <c r="R119" s="188" t="str" cm="1">
        <f t="array" ref="R119">Common_InputFunctions.Utility_DisplayArrayInTable(Fertiliser_SourceData.Fertiliser_Products_Data1(), FertiliserProducts[[#Headers],[Company]],1)</f>
        <v/>
      </c>
      <c r="S119" s="188" t="str" cm="1">
        <f t="array" ref="S119">Common_InputFunctions.Utility_DisplayArrayInTable(Fertiliser_SourceData.Fertiliser_Products_Data1(), FertiliserProducts[[#Headers],[Company]],1)</f>
        <v/>
      </c>
      <c r="T119" s="188" t="str" cm="1">
        <f t="array" ref="T119">Common_InputFunctions.Utility_DisplayArrayInTable(Fertiliser_SourceData.Fertiliser_Products_Data1(), FertiliserProducts[[#Headers],[Company]],1)</f>
        <v/>
      </c>
      <c r="U119" s="188" t="str" cm="1">
        <f t="array" ref="U119">Common_InputFunctions.Utility_DisplayArrayInTable(Fertiliser_SourceData.Fertiliser_Products_Data1(), FertiliserProducts[[#Headers],[Company]],1)</f>
        <v/>
      </c>
      <c r="V119" s="188" t="str" cm="1">
        <f t="array" ref="V119">Common_InputFunctions.Utility_DisplayArrayInTable(Fertiliser_SourceData.Fertiliser_Products_Data1(), FertiliserProducts[[#Headers],[Company]],1)</f>
        <v/>
      </c>
      <c r="W119" s="188" t="str" cm="1">
        <f t="array" ref="W119">Common_InputFunctions.Utility_DisplayArrayInTable(Fertiliser_SourceData.Fertiliser_Products_Data1(), FertiliserProducts[[#Headers],[Company]],1)</f>
        <v/>
      </c>
      <c r="X119" s="188" t="str" cm="1">
        <f t="array" ref="X119">Common_InputFunctions.Utility_DisplayArrayInTable(Fertiliser_SourceData.Fertiliser_Products_Data1(), FertiliserProducts[[#Headers],[Company]],1)</f>
        <v/>
      </c>
      <c r="Y119" s="188" t="str" cm="1">
        <f t="array" ref="Y119">Common_InputFunctions.Utility_DisplayArrayInTable(Fertiliser_SourceData.Fertiliser_Products_Data1(), FertiliserProducts[[#Headers],[Company]],1)</f>
        <v/>
      </c>
      <c r="Z119" s="188" t="str" cm="1">
        <f t="array" ref="Z119">Common_InputFunctions.Utility_DisplayArrayInTable(Fertiliser_SourceData.Fertiliser_Products_Data1(), FertiliserProducts[[#Headers],[Company]],1)</f>
        <v/>
      </c>
      <c r="AA119" s="188" t="str" cm="1">
        <f t="array" ref="AA119">Common_InputFunctions.Utility_DisplayArrayInTable(Fertiliser_SourceData.Fertiliser_Products_Data1(), FertiliserProducts[[#Headers],[Company]],1)</f>
        <v/>
      </c>
      <c r="AB119" s="188" t="str" cm="1">
        <f t="array" ref="AB119">Common_InputFunctions.Utility_DisplayArrayInTable(Fertiliser_SourceData.Fertiliser_Products_Data1(), FertiliserProducts[[#Headers],[Company]],1)</f>
        <v/>
      </c>
      <c r="AC119" s="188" t="str" cm="1">
        <f t="array" ref="AC119">Common_InputFunctions.Utility_DisplayArrayInTable(Fertiliser_SourceData.Fertiliser_Products_Data1(), FertiliserProducts[[#Headers],[Company]],1)</f>
        <v/>
      </c>
      <c r="AD119" s="188" t="str" cm="1">
        <f t="array" ref="AD119">Common_InputFunctions.Utility_DisplayArrayInTable(Fertiliser_SourceData.Fertiliser_Products_Data1(), FertiliserProducts[[#Headers],[Company]],1)</f>
        <v/>
      </c>
      <c r="AE119" s="188" t="str" cm="1">
        <f t="array" ref="AE119">Common_InputFunctions.Utility_DisplayArrayInTable(Fertiliser_SourceData.Fertiliser_Products_Data1(), FertiliserProducts[[#Headers],[Company]],1)</f>
        <v/>
      </c>
      <c r="AF119" s="188" t="str" cm="1">
        <f t="array" ref="AF119">Common_InputFunctions.Utility_DisplayArrayInTable(Fertiliser_SourceData.Fertiliser_Products_Data1(), FertiliserProducts[[#Headers],[Company]],1)</f>
        <v/>
      </c>
      <c r="AG119" s="188" t="str" cm="1">
        <f t="array" ref="AG119">Common_InputFunctions.Utility_DisplayArrayInTable(Fertiliser_SourceData.Fertiliser_Products_Data1(), FertiliserProducts[[#Headers],[Company]],1)</f>
        <v/>
      </c>
      <c r="AH119" s="188"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88" t="str" cm="1">
        <f t="array" ref="D120">Common_InputFunctions.Utility_DisplayArrayInTable(Fertiliser_SourceData.Fertiliser_Products_Data2(), FertiliserProducts[[#Headers],[Company]],31)</f>
        <v>Campbells fertilisers Australia</v>
      </c>
      <c r="E120" s="188" t="str" cm="1">
        <f t="array" ref="E120">Common_InputFunctions.Utility_DisplayArrayInTable(Fertiliser_SourceData.Fertiliser_Products_Data2(), FertiliserProducts[[#Headers],[Company]],31)</f>
        <v>Encal</v>
      </c>
      <c r="F120" s="188" t="str" cm="1">
        <f t="array" ref="F120">Common_InputFunctions.Utility_DisplayArrayInTable(Fertiliser_SourceData.Fertiliser_Products_Data2(), FertiliserProducts[[#Headers],[Company]],31)</f>
        <v>L</v>
      </c>
      <c r="G120" s="188" cm="1">
        <f t="array" ref="G120">Common_InputFunctions.Utility_DisplayArrayInTable(Fertiliser_SourceData.Fertiliser_Products_Data2(), FertiliserProducts[[#Headers],[Company]],31)</f>
        <v>1.5</v>
      </c>
      <c r="H120" s="188" t="str" cm="1">
        <f t="array" ref="H120">Common_InputFunctions.Utility_DisplayArrayInTable(Fertiliser_SourceData.Fertiliser_Products_Data2(), FertiliserProducts[[#Headers],[Company]],31)</f>
        <v/>
      </c>
      <c r="I120" s="188" t="str" cm="1">
        <f t="array" ref="I120">Common_InputFunctions.Utility_DisplayArrayInTable(Fertiliser_SourceData.Fertiliser_Products_Data2(), FertiliserProducts[[#Headers],[Company]],31)</f>
        <v/>
      </c>
      <c r="J120" s="188" t="str" cm="1">
        <f t="array" ref="J120">Common_InputFunctions.Utility_DisplayArrayInTable(Fertiliser_SourceData.Fertiliser_Products_Data2(), FertiliserProducts[[#Headers],[Company]],31)</f>
        <v/>
      </c>
      <c r="K120" s="188" cm="1">
        <f t="array" ref="K120">Common_InputFunctions.Utility_DisplayArrayInTable(Fertiliser_SourceData.Fertiliser_Products_Data2(), FertiliserProducts[[#Headers],[Company]],31)</f>
        <v>9</v>
      </c>
      <c r="L120" s="188" t="str" cm="1">
        <f t="array" ref="L120">Common_InputFunctions.Utility_DisplayArrayInTable(Fertiliser_SourceData.Fertiliser_Products_Data2(), FertiliserProducts[[#Headers],[Company]],31)</f>
        <v/>
      </c>
      <c r="M120" s="188" t="str" cm="1">
        <f t="array" ref="M120">Common_InputFunctions.Utility_DisplayArrayInTable(Fertiliser_SourceData.Fertiliser_Products_Data2(), FertiliserProducts[[#Headers],[Company]],31)</f>
        <v/>
      </c>
      <c r="N120" s="188" cm="1">
        <f t="array" ref="N120">Common_InputFunctions.Utility_DisplayArrayInTable(Fertiliser_SourceData.Fertiliser_Products_Data2(), FertiliserProducts[[#Headers],[Company]],31)</f>
        <v>13.94</v>
      </c>
      <c r="O120" s="188" t="str" cm="1">
        <f t="array" ref="O120">Common_InputFunctions.Utility_DisplayArrayInTable(Fertiliser_SourceData.Fertiliser_Products_Data2(), FertiliserProducts[[#Headers],[Company]],31)</f>
        <v>Sulphate of ammonia (SOA)</v>
      </c>
      <c r="P120" s="188" cm="1">
        <f t="array" ref="P120">Common_InputFunctions.Utility_DisplayArrayInTable(Fertiliser_SourceData.Fertiliser_Products_Data2(), FertiliserProducts[[#Headers],[Company]],31)</f>
        <v>0.58064499999999997</v>
      </c>
      <c r="Q120" s="188" t="str" cm="1">
        <f t="array" ref="Q120">Common_InputFunctions.Utility_DisplayArrayInTable(Fertiliser_SourceData.Fertiliser_Products_Data2(), FertiliserProducts[[#Headers],[Company]],31)</f>
        <v>Magnesium</v>
      </c>
      <c r="R120" s="188" cm="1">
        <f t="array" ref="R120">Common_InputFunctions.Utility_DisplayArrayInTable(Fertiliser_SourceData.Fertiliser_Products_Data2(), FertiliserProducts[[#Headers],[Company]],31)</f>
        <v>1.2E-2</v>
      </c>
      <c r="S120" s="188" t="str" cm="1">
        <f t="array" ref="S120">Common_InputFunctions.Utility_DisplayArrayInTable(Fertiliser_SourceData.Fertiliser_Products_Data2(), FertiliserProducts[[#Headers],[Company]],31)</f>
        <v/>
      </c>
      <c r="T120" s="188" t="str" cm="1">
        <f t="array" ref="T120">Common_InputFunctions.Utility_DisplayArrayInTable(Fertiliser_SourceData.Fertiliser_Products_Data2(), FertiliserProducts[[#Headers],[Company]],31)</f>
        <v/>
      </c>
      <c r="U120" s="188" t="str" cm="1">
        <f t="array" ref="U120">Common_InputFunctions.Utility_DisplayArrayInTable(Fertiliser_SourceData.Fertiliser_Products_Data2(), FertiliserProducts[[#Headers],[Company]],31)</f>
        <v/>
      </c>
      <c r="V120" s="188" t="str" cm="1">
        <f t="array" ref="V120">Common_InputFunctions.Utility_DisplayArrayInTable(Fertiliser_SourceData.Fertiliser_Products_Data2(), FertiliserProducts[[#Headers],[Company]],31)</f>
        <v/>
      </c>
      <c r="W120" s="188" t="str" cm="1">
        <f t="array" ref="W120">Common_InputFunctions.Utility_DisplayArrayInTable(Fertiliser_SourceData.Fertiliser_Products_Data2(), FertiliserProducts[[#Headers],[Company]],31)</f>
        <v/>
      </c>
      <c r="X120" s="188" t="str" cm="1">
        <f t="array" ref="X120">Common_InputFunctions.Utility_DisplayArrayInTable(Fertiliser_SourceData.Fertiliser_Products_Data2(), FertiliserProducts[[#Headers],[Company]],31)</f>
        <v/>
      </c>
      <c r="Y120" s="188" t="str" cm="1">
        <f t="array" ref="Y120">Common_InputFunctions.Utility_DisplayArrayInTable(Fertiliser_SourceData.Fertiliser_Products_Data2(), FertiliserProducts[[#Headers],[Company]],31)</f>
        <v/>
      </c>
      <c r="Z120" s="188" t="str" cm="1">
        <f t="array" ref="Z120">Common_InputFunctions.Utility_DisplayArrayInTable(Fertiliser_SourceData.Fertiliser_Products_Data2(), FertiliserProducts[[#Headers],[Company]],31)</f>
        <v/>
      </c>
      <c r="AA120" s="188" t="str" cm="1">
        <f t="array" ref="AA120">Common_InputFunctions.Utility_DisplayArrayInTable(Fertiliser_SourceData.Fertiliser_Products_Data2(), FertiliserProducts[[#Headers],[Company]],31)</f>
        <v/>
      </c>
      <c r="AB120" s="188" t="str" cm="1">
        <f t="array" ref="AB120">Common_InputFunctions.Utility_DisplayArrayInTable(Fertiliser_SourceData.Fertiliser_Products_Data2(), FertiliserProducts[[#Headers],[Company]],31)</f>
        <v/>
      </c>
      <c r="AC120" s="188" t="str" cm="1">
        <f t="array" ref="AC120">Common_InputFunctions.Utility_DisplayArrayInTable(Fertiliser_SourceData.Fertiliser_Products_Data2(), FertiliserProducts[[#Headers],[Company]],31)</f>
        <v/>
      </c>
      <c r="AD120" s="188" t="str" cm="1">
        <f t="array" ref="AD120">Common_InputFunctions.Utility_DisplayArrayInTable(Fertiliser_SourceData.Fertiliser_Products_Data2(), FertiliserProducts[[#Headers],[Company]],31)</f>
        <v/>
      </c>
      <c r="AE120" s="188" t="str" cm="1">
        <f t="array" ref="AE120">Common_InputFunctions.Utility_DisplayArrayInTable(Fertiliser_SourceData.Fertiliser_Products_Data2(), FertiliserProducts[[#Headers],[Company]],31)</f>
        <v/>
      </c>
      <c r="AF120" s="188" t="str" cm="1">
        <f t="array" ref="AF120">Common_InputFunctions.Utility_DisplayArrayInTable(Fertiliser_SourceData.Fertiliser_Products_Data2(), FertiliserProducts[[#Headers],[Company]],31)</f>
        <v/>
      </c>
      <c r="AG120" s="188" t="str" cm="1">
        <f t="array" ref="AG120">Common_InputFunctions.Utility_DisplayArrayInTable(Fertiliser_SourceData.Fertiliser_Products_Data2(), FertiliserProducts[[#Headers],[Company]],31)</f>
        <v/>
      </c>
      <c r="AH120" s="188"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88" t="str" cm="1">
        <f t="array" ref="D121">Common_InputFunctions.Utility_DisplayArrayInTable(Fertiliser_SourceData.Fertiliser_Products_Data2(), FertiliserProducts[[#Headers],[Company]],31)</f>
        <v>Incitec Pivot Fertilisers</v>
      </c>
      <c r="E121" s="188" t="str" cm="1">
        <f t="array" ref="E121">Common_InputFunctions.Utility_DisplayArrayInTable(Fertiliser_SourceData.Fertiliser_Products_Data2(), FertiliserProducts[[#Headers],[Company]],31)</f>
        <v>Granulock SS</v>
      </c>
      <c r="F121" s="188" t="str" cm="1">
        <f t="array" ref="F121">Common_InputFunctions.Utility_DisplayArrayInTable(Fertiliser_SourceData.Fertiliser_Products_Data2(), FertiliserProducts[[#Headers],[Company]],31)</f>
        <v>kg</v>
      </c>
      <c r="G121" s="188" cm="1">
        <f t="array" ref="G121">Common_InputFunctions.Utility_DisplayArrayInTable(Fertiliser_SourceData.Fertiliser_Products_Data2(), FertiliserProducts[[#Headers],[Company]],31)</f>
        <v>1</v>
      </c>
      <c r="H121" s="188" t="str" cm="1">
        <f t="array" ref="H121">Common_InputFunctions.Utility_DisplayArrayInTable(Fertiliser_SourceData.Fertiliser_Products_Data2(), FertiliserProducts[[#Headers],[Company]],31)</f>
        <v/>
      </c>
      <c r="I121" s="188" t="str" cm="1">
        <f t="array" ref="I121">Common_InputFunctions.Utility_DisplayArrayInTable(Fertiliser_SourceData.Fertiliser_Products_Data2(), FertiliserProducts[[#Headers],[Company]],31)</f>
        <v/>
      </c>
      <c r="J121" s="188" t="str" cm="1">
        <f t="array" ref="J121">Common_InputFunctions.Utility_DisplayArrayInTable(Fertiliser_SourceData.Fertiliser_Products_Data2(), FertiliserProducts[[#Headers],[Company]],31)</f>
        <v/>
      </c>
      <c r="K121" s="188" cm="1">
        <f t="array" ref="K121">Common_InputFunctions.Utility_DisplayArrayInTable(Fertiliser_SourceData.Fertiliser_Products_Data2(), FertiliserProducts[[#Headers],[Company]],31)</f>
        <v>10</v>
      </c>
      <c r="L121" s="188" cm="1">
        <f t="array" ref="L121">Common_InputFunctions.Utility_DisplayArrayInTable(Fertiliser_SourceData.Fertiliser_Products_Data2(), FertiliserProducts[[#Headers],[Company]],31)</f>
        <v>17.5</v>
      </c>
      <c r="M121" s="188" t="str" cm="1">
        <f t="array" ref="M121">Common_InputFunctions.Utility_DisplayArrayInTable(Fertiliser_SourceData.Fertiliser_Products_Data2(), FertiliserProducts[[#Headers],[Company]],31)</f>
        <v/>
      </c>
      <c r="N121" s="188" cm="1">
        <f t="array" ref="N121">Common_InputFunctions.Utility_DisplayArrayInTable(Fertiliser_SourceData.Fertiliser_Products_Data2(), FertiliserProducts[[#Headers],[Company]],31)</f>
        <v>12</v>
      </c>
      <c r="O121" s="188" t="str" cm="1">
        <f t="array" ref="O121">Common_InputFunctions.Utility_DisplayArrayInTable(Fertiliser_SourceData.Fertiliser_Products_Data2(), FertiliserProducts[[#Headers],[Company]],31)</f>
        <v>Phosphorus - Generic</v>
      </c>
      <c r="P121" s="188" cm="1">
        <f t="array" ref="P121">Common_InputFunctions.Utility_DisplayArrayInTable(Fertiliser_SourceData.Fertiliser_Products_Data2(), FertiliserProducts[[#Headers],[Company]],31)</f>
        <v>0.17499999999999999</v>
      </c>
      <c r="Q121" s="188" t="str" cm="1">
        <f t="array" ref="Q121">Common_InputFunctions.Utility_DisplayArrayInTable(Fertiliser_SourceData.Fertiliser_Products_Data2(), FertiliserProducts[[#Headers],[Company]],31)</f>
        <v>Sulfur - Generic</v>
      </c>
      <c r="R121" s="188" cm="1">
        <f t="array" ref="R121">Common_InputFunctions.Utility_DisplayArrayInTable(Fertiliser_SourceData.Fertiliser_Products_Data2(), FertiliserProducts[[#Headers],[Company]],31)</f>
        <v>0.12</v>
      </c>
      <c r="S121" s="188" t="str" cm="1">
        <f t="array" ref="S121">Common_InputFunctions.Utility_DisplayArrayInTable(Fertiliser_SourceData.Fertiliser_Products_Data2(), FertiliserProducts[[#Headers],[Company]],31)</f>
        <v>Nitrogen - Ammoniacal</v>
      </c>
      <c r="T121" s="188" cm="1">
        <f t="array" ref="T121">Common_InputFunctions.Utility_DisplayArrayInTable(Fertiliser_SourceData.Fertiliser_Products_Data2(), FertiliserProducts[[#Headers],[Company]],31)</f>
        <v>0.1</v>
      </c>
      <c r="U121" s="188" t="str" cm="1">
        <f t="array" ref="U121">Common_InputFunctions.Utility_DisplayArrayInTable(Fertiliser_SourceData.Fertiliser_Products_Data2(), FertiliserProducts[[#Headers],[Company]],31)</f>
        <v>Fluoride</v>
      </c>
      <c r="V121" s="188" cm="1">
        <f t="array" ref="V121">Common_InputFunctions.Utility_DisplayArrayInTable(Fertiliser_SourceData.Fertiliser_Products_Data2(), FertiliserProducts[[#Headers],[Company]],31)</f>
        <v>0.03</v>
      </c>
      <c r="W121" s="188" t="str" cm="1">
        <f t="array" ref="W121">Common_InputFunctions.Utility_DisplayArrayInTable(Fertiliser_SourceData.Fertiliser_Products_Data2(), FertiliserProducts[[#Headers],[Company]],31)</f>
        <v/>
      </c>
      <c r="X121" s="188" t="str" cm="1">
        <f t="array" ref="X121">Common_InputFunctions.Utility_DisplayArrayInTable(Fertiliser_SourceData.Fertiliser_Products_Data2(), FertiliserProducts[[#Headers],[Company]],31)</f>
        <v/>
      </c>
      <c r="Y121" s="188" t="str" cm="1">
        <f t="array" ref="Y121">Common_InputFunctions.Utility_DisplayArrayInTable(Fertiliser_SourceData.Fertiliser_Products_Data2(), FertiliserProducts[[#Headers],[Company]],31)</f>
        <v/>
      </c>
      <c r="Z121" s="188" t="str" cm="1">
        <f t="array" ref="Z121">Common_InputFunctions.Utility_DisplayArrayInTable(Fertiliser_SourceData.Fertiliser_Products_Data2(), FertiliserProducts[[#Headers],[Company]],31)</f>
        <v/>
      </c>
      <c r="AA121" s="188" t="str" cm="1">
        <f t="array" ref="AA121">Common_InputFunctions.Utility_DisplayArrayInTable(Fertiliser_SourceData.Fertiliser_Products_Data2(), FertiliserProducts[[#Headers],[Company]],31)</f>
        <v/>
      </c>
      <c r="AB121" s="188" t="str" cm="1">
        <f t="array" ref="AB121">Common_InputFunctions.Utility_DisplayArrayInTable(Fertiliser_SourceData.Fertiliser_Products_Data2(), FertiliserProducts[[#Headers],[Company]],31)</f>
        <v/>
      </c>
      <c r="AC121" s="188" t="str" cm="1">
        <f t="array" ref="AC121">Common_InputFunctions.Utility_DisplayArrayInTable(Fertiliser_SourceData.Fertiliser_Products_Data2(), FertiliserProducts[[#Headers],[Company]],31)</f>
        <v/>
      </c>
      <c r="AD121" s="188" t="str" cm="1">
        <f t="array" ref="AD121">Common_InputFunctions.Utility_DisplayArrayInTable(Fertiliser_SourceData.Fertiliser_Products_Data2(), FertiliserProducts[[#Headers],[Company]],31)</f>
        <v/>
      </c>
      <c r="AE121" s="188" t="str" cm="1">
        <f t="array" ref="AE121">Common_InputFunctions.Utility_DisplayArrayInTable(Fertiliser_SourceData.Fertiliser_Products_Data2(), FertiliserProducts[[#Headers],[Company]],31)</f>
        <v/>
      </c>
      <c r="AF121" s="188" t="str" cm="1">
        <f t="array" ref="AF121">Common_InputFunctions.Utility_DisplayArrayInTable(Fertiliser_SourceData.Fertiliser_Products_Data2(), FertiliserProducts[[#Headers],[Company]],31)</f>
        <v/>
      </c>
      <c r="AG121" s="188" t="str" cm="1">
        <f t="array" ref="AG121">Common_InputFunctions.Utility_DisplayArrayInTable(Fertiliser_SourceData.Fertiliser_Products_Data2(), FertiliserProducts[[#Headers],[Company]],31)</f>
        <v/>
      </c>
      <c r="AH121" s="188"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88" t="str" cm="1">
        <f t="array" ref="D122">Common_InputFunctions.Utility_DisplayArrayInTable(Fertiliser_SourceData.Fertiliser_Products_Data2(), FertiliserProducts[[#Headers],[Company]],31)</f>
        <v>Incitec Pivot Fertilisers</v>
      </c>
      <c r="E122" s="188" t="str" cm="1">
        <f t="array" ref="E122">Common_InputFunctions.Utility_DisplayArrayInTable(Fertiliser_SourceData.Fertiliser_Products_Data2(), FertiliserProducts[[#Headers],[Company]],31)</f>
        <v>Granulock Z</v>
      </c>
      <c r="F122" s="188" t="str" cm="1">
        <f t="array" ref="F122">Common_InputFunctions.Utility_DisplayArrayInTable(Fertiliser_SourceData.Fertiliser_Products_Data2(), FertiliserProducts[[#Headers],[Company]],31)</f>
        <v>kg</v>
      </c>
      <c r="G122" s="188" cm="1">
        <f t="array" ref="G122">Common_InputFunctions.Utility_DisplayArrayInTable(Fertiliser_SourceData.Fertiliser_Products_Data2(), FertiliserProducts[[#Headers],[Company]],31)</f>
        <v>1</v>
      </c>
      <c r="H122" s="188" t="str" cm="1">
        <f t="array" ref="H122">Common_InputFunctions.Utility_DisplayArrayInTable(Fertiliser_SourceData.Fertiliser_Products_Data2(), FertiliserProducts[[#Headers],[Company]],31)</f>
        <v/>
      </c>
      <c r="I122" s="188" t="str" cm="1">
        <f t="array" ref="I122">Common_InputFunctions.Utility_DisplayArrayInTable(Fertiliser_SourceData.Fertiliser_Products_Data2(), FertiliserProducts[[#Headers],[Company]],31)</f>
        <v/>
      </c>
      <c r="J122" s="188" t="str" cm="1">
        <f t="array" ref="J122">Common_InputFunctions.Utility_DisplayArrayInTable(Fertiliser_SourceData.Fertiliser_Products_Data2(), FertiliserProducts[[#Headers],[Company]],31)</f>
        <v/>
      </c>
      <c r="K122" s="188" cm="1">
        <f t="array" ref="K122">Common_InputFunctions.Utility_DisplayArrayInTable(Fertiliser_SourceData.Fertiliser_Products_Data2(), FertiliserProducts[[#Headers],[Company]],31)</f>
        <v>11</v>
      </c>
      <c r="L122" s="188" cm="1">
        <f t="array" ref="L122">Common_InputFunctions.Utility_DisplayArrayInTable(Fertiliser_SourceData.Fertiliser_Products_Data2(), FertiliserProducts[[#Headers],[Company]],31)</f>
        <v>21.8</v>
      </c>
      <c r="M122" s="188" t="str" cm="1">
        <f t="array" ref="M122">Common_InputFunctions.Utility_DisplayArrayInTable(Fertiliser_SourceData.Fertiliser_Products_Data2(), FertiliserProducts[[#Headers],[Company]],31)</f>
        <v/>
      </c>
      <c r="N122" s="188" cm="1">
        <f t="array" ref="N122">Common_InputFunctions.Utility_DisplayArrayInTable(Fertiliser_SourceData.Fertiliser_Products_Data2(), FertiliserProducts[[#Headers],[Company]],31)</f>
        <v>4</v>
      </c>
      <c r="O122" s="188" t="str" cm="1">
        <f t="array" ref="O122">Common_InputFunctions.Utility_DisplayArrayInTable(Fertiliser_SourceData.Fertiliser_Products_Data2(), FertiliserProducts[[#Headers],[Company]],31)</f>
        <v>Phosphorus - Generic</v>
      </c>
      <c r="P122" s="188" cm="1">
        <f t="array" ref="P122">Common_InputFunctions.Utility_DisplayArrayInTable(Fertiliser_SourceData.Fertiliser_Products_Data2(), FertiliserProducts[[#Headers],[Company]],31)</f>
        <v>0.218</v>
      </c>
      <c r="Q122" s="188" t="str" cm="1">
        <f t="array" ref="Q122">Common_InputFunctions.Utility_DisplayArrayInTable(Fertiliser_SourceData.Fertiliser_Products_Data2(), FertiliserProducts[[#Headers],[Company]],31)</f>
        <v>Nitrogen - Generic</v>
      </c>
      <c r="R122" s="188" cm="1">
        <f t="array" ref="R122">Common_InputFunctions.Utility_DisplayArrayInTable(Fertiliser_SourceData.Fertiliser_Products_Data2(), FertiliserProducts[[#Headers],[Company]],31)</f>
        <v>0.11</v>
      </c>
      <c r="S122" s="188" t="str" cm="1">
        <f t="array" ref="S122">Common_InputFunctions.Utility_DisplayArrayInTable(Fertiliser_SourceData.Fertiliser_Products_Data2(), FertiliserProducts[[#Headers],[Company]],31)</f>
        <v>Sulfur - Generic</v>
      </c>
      <c r="T122" s="188" cm="1">
        <f t="array" ref="T122">Common_InputFunctions.Utility_DisplayArrayInTable(Fertiliser_SourceData.Fertiliser_Products_Data2(), FertiliserProducts[[#Headers],[Company]],31)</f>
        <v>0.04</v>
      </c>
      <c r="U122" s="188" t="str" cm="1">
        <f t="array" ref="U122">Common_InputFunctions.Utility_DisplayArrayInTable(Fertiliser_SourceData.Fertiliser_Products_Data2(), FertiliserProducts[[#Headers],[Company]],31)</f>
        <v>Fluoride</v>
      </c>
      <c r="V122" s="188" cm="1">
        <f t="array" ref="V122">Common_InputFunctions.Utility_DisplayArrayInTable(Fertiliser_SourceData.Fertiliser_Products_Data2(), FertiliserProducts[[#Headers],[Company]],31)</f>
        <v>0.03</v>
      </c>
      <c r="W122" s="188" t="str" cm="1">
        <f t="array" ref="W122">Common_InputFunctions.Utility_DisplayArrayInTable(Fertiliser_SourceData.Fertiliser_Products_Data2(), FertiliserProducts[[#Headers],[Company]],31)</f>
        <v>Zinc</v>
      </c>
      <c r="X122" s="188" cm="1">
        <f t="array" ref="X122">Common_InputFunctions.Utility_DisplayArrayInTable(Fertiliser_SourceData.Fertiliser_Products_Data2(), FertiliserProducts[[#Headers],[Company]],31)</f>
        <v>0.01</v>
      </c>
      <c r="Y122" s="188" t="str" cm="1">
        <f t="array" ref="Y122">Common_InputFunctions.Utility_DisplayArrayInTable(Fertiliser_SourceData.Fertiliser_Products_Data2(), FertiliserProducts[[#Headers],[Company]],31)</f>
        <v/>
      </c>
      <c r="Z122" s="188" t="str" cm="1">
        <f t="array" ref="Z122">Common_InputFunctions.Utility_DisplayArrayInTable(Fertiliser_SourceData.Fertiliser_Products_Data2(), FertiliserProducts[[#Headers],[Company]],31)</f>
        <v/>
      </c>
      <c r="AA122" s="188" t="str" cm="1">
        <f t="array" ref="AA122">Common_InputFunctions.Utility_DisplayArrayInTable(Fertiliser_SourceData.Fertiliser_Products_Data2(), FertiliserProducts[[#Headers],[Company]],31)</f>
        <v/>
      </c>
      <c r="AB122" s="188" t="str" cm="1">
        <f t="array" ref="AB122">Common_InputFunctions.Utility_DisplayArrayInTable(Fertiliser_SourceData.Fertiliser_Products_Data2(), FertiliserProducts[[#Headers],[Company]],31)</f>
        <v/>
      </c>
      <c r="AC122" s="188" t="str" cm="1">
        <f t="array" ref="AC122">Common_InputFunctions.Utility_DisplayArrayInTable(Fertiliser_SourceData.Fertiliser_Products_Data2(), FertiliserProducts[[#Headers],[Company]],31)</f>
        <v/>
      </c>
      <c r="AD122" s="188" t="str" cm="1">
        <f t="array" ref="AD122">Common_InputFunctions.Utility_DisplayArrayInTable(Fertiliser_SourceData.Fertiliser_Products_Data2(), FertiliserProducts[[#Headers],[Company]],31)</f>
        <v/>
      </c>
      <c r="AE122" s="188" t="str" cm="1">
        <f t="array" ref="AE122">Common_InputFunctions.Utility_DisplayArrayInTable(Fertiliser_SourceData.Fertiliser_Products_Data2(), FertiliserProducts[[#Headers],[Company]],31)</f>
        <v/>
      </c>
      <c r="AF122" s="188" t="str" cm="1">
        <f t="array" ref="AF122">Common_InputFunctions.Utility_DisplayArrayInTable(Fertiliser_SourceData.Fertiliser_Products_Data2(), FertiliserProducts[[#Headers],[Company]],31)</f>
        <v/>
      </c>
      <c r="AG122" s="188" t="str" cm="1">
        <f t="array" ref="AG122">Common_InputFunctions.Utility_DisplayArrayInTable(Fertiliser_SourceData.Fertiliser_Products_Data2(), FertiliserProducts[[#Headers],[Company]],31)</f>
        <v/>
      </c>
      <c r="AH122" s="188"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88" t="str" cm="1">
        <f t="array" ref="D123">Common_InputFunctions.Utility_DisplayArrayInTable(Fertiliser_SourceData.Fertiliser_Products_Data2(), FertiliserProducts[[#Headers],[Company]],31)</f>
        <v>Incitec Pivot Fertilisers</v>
      </c>
      <c r="E123" s="188" t="str" cm="1">
        <f t="array" ref="E123">Common_InputFunctions.Utility_DisplayArrayInTable(Fertiliser_SourceData.Fertiliser_Products_Data2(), FertiliserProducts[[#Headers],[Company]],31)</f>
        <v>Farm Ag Leichhardt</v>
      </c>
      <c r="F123" s="188" t="str" cm="1">
        <f t="array" ref="F123">Common_InputFunctions.Utility_DisplayArrayInTable(Fertiliser_SourceData.Fertiliser_Products_Data2(), FertiliserProducts[[#Headers],[Company]],31)</f>
        <v>kg</v>
      </c>
      <c r="G123" s="188" cm="1">
        <f t="array" ref="G123">Common_InputFunctions.Utility_DisplayArrayInTable(Fertiliser_SourceData.Fertiliser_Products_Data2(), FertiliserProducts[[#Headers],[Company]],31)</f>
        <v>1</v>
      </c>
      <c r="H123" s="188" t="str" cm="1">
        <f t="array" ref="H123">Common_InputFunctions.Utility_DisplayArrayInTable(Fertiliser_SourceData.Fertiliser_Products_Data2(), FertiliserProducts[[#Headers],[Company]],31)</f>
        <v/>
      </c>
      <c r="I123" s="188" t="str" cm="1">
        <f t="array" ref="I123">Common_InputFunctions.Utility_DisplayArrayInTable(Fertiliser_SourceData.Fertiliser_Products_Data2(), FertiliserProducts[[#Headers],[Company]],31)</f>
        <v/>
      </c>
      <c r="J123" s="188" t="str" cm="1">
        <f t="array" ref="J123">Common_InputFunctions.Utility_DisplayArrayInTable(Fertiliser_SourceData.Fertiliser_Products_Data2(), FertiliserProducts[[#Headers],[Company]],31)</f>
        <v/>
      </c>
      <c r="K123" s="188" cm="1">
        <f t="array" ref="K123">Common_InputFunctions.Utility_DisplayArrayInTable(Fertiliser_SourceData.Fertiliser_Products_Data2(), FertiliserProducts[[#Headers],[Company]],31)</f>
        <v>32.5</v>
      </c>
      <c r="L123" s="188" cm="1">
        <f t="array" ref="L123">Common_InputFunctions.Utility_DisplayArrayInTable(Fertiliser_SourceData.Fertiliser_Products_Data2(), FertiliserProducts[[#Headers],[Company]],31)</f>
        <v>5.4</v>
      </c>
      <c r="M123" s="188" cm="1">
        <f t="array" ref="M123">Common_InputFunctions.Utility_DisplayArrayInTable(Fertiliser_SourceData.Fertiliser_Products_Data2(), FertiliserProducts[[#Headers],[Company]],31)</f>
        <v>6.25</v>
      </c>
      <c r="N123" s="188" t="str" cm="1">
        <f t="array" ref="N123">Common_InputFunctions.Utility_DisplayArrayInTable(Fertiliser_SourceData.Fertiliser_Products_Data2(), FertiliserProducts[[#Headers],[Company]],31)</f>
        <v/>
      </c>
      <c r="O123" s="188" t="str" cm="1">
        <f t="array" ref="O123">Common_InputFunctions.Utility_DisplayArrayInTable(Fertiliser_SourceData.Fertiliser_Products_Data2(), FertiliserProducts[[#Headers],[Company]],31)</f>
        <v>Urea</v>
      </c>
      <c r="P123" s="188" cm="1">
        <f t="array" ref="P123">Common_InputFunctions.Utility_DisplayArrayInTable(Fertiliser_SourceData.Fertiliser_Products_Data2(), FertiliserProducts[[#Headers],[Company]],31)</f>
        <v>0.6</v>
      </c>
      <c r="Q123" s="188" t="str" cm="1">
        <f t="array" ref="Q123">Common_InputFunctions.Utility_DisplayArrayInTable(Fertiliser_SourceData.Fertiliser_Products_Data2(), FertiliserProducts[[#Headers],[Company]],31)</f>
        <v>Nitrogen - Ammoniacal</v>
      </c>
      <c r="R123" s="188" cm="1">
        <f t="array" ref="R123">Common_InputFunctions.Utility_DisplayArrayInTable(Fertiliser_SourceData.Fertiliser_Products_Data2(), FertiliserProducts[[#Headers],[Company]],31)</f>
        <v>4.9000000000000002E-2</v>
      </c>
      <c r="S123" s="188" t="str" cm="1">
        <f t="array" ref="S123">Common_InputFunctions.Utility_DisplayArrayInTable(Fertiliser_SourceData.Fertiliser_Products_Data2(), FertiliserProducts[[#Headers],[Company]],31)</f>
        <v>Phosphorus - Generic</v>
      </c>
      <c r="T123" s="188" cm="1">
        <f t="array" ref="T123">Common_InputFunctions.Utility_DisplayArrayInTable(Fertiliser_SourceData.Fertiliser_Products_Data2(), FertiliserProducts[[#Headers],[Company]],31)</f>
        <v>5.3999999999999999E-2</v>
      </c>
      <c r="U123" s="188" t="str" cm="1">
        <f t="array" ref="U123">Common_InputFunctions.Utility_DisplayArrayInTable(Fertiliser_SourceData.Fertiliser_Products_Data2(), FertiliserProducts[[#Headers],[Company]],31)</f>
        <v>Muriate of potash (MOP)</v>
      </c>
      <c r="V123" s="188" cm="1">
        <f t="array" ref="V123">Common_InputFunctions.Utility_DisplayArrayInTable(Fertiliser_SourceData.Fertiliser_Products_Data2(), FertiliserProducts[[#Headers],[Company]],31)</f>
        <v>0.125</v>
      </c>
      <c r="W123" s="188" t="str" cm="1">
        <f t="array" ref="W123">Common_InputFunctions.Utility_DisplayArrayInTable(Fertiliser_SourceData.Fertiliser_Products_Data2(), FertiliserProducts[[#Headers],[Company]],31)</f>
        <v/>
      </c>
      <c r="X123" s="188" t="str" cm="1">
        <f t="array" ref="X123">Common_InputFunctions.Utility_DisplayArrayInTable(Fertiliser_SourceData.Fertiliser_Products_Data2(), FertiliserProducts[[#Headers],[Company]],31)</f>
        <v/>
      </c>
      <c r="Y123" s="188" t="str" cm="1">
        <f t="array" ref="Y123">Common_InputFunctions.Utility_DisplayArrayInTable(Fertiliser_SourceData.Fertiliser_Products_Data2(), FertiliserProducts[[#Headers],[Company]],31)</f>
        <v/>
      </c>
      <c r="Z123" s="188" t="str" cm="1">
        <f t="array" ref="Z123">Common_InputFunctions.Utility_DisplayArrayInTable(Fertiliser_SourceData.Fertiliser_Products_Data2(), FertiliserProducts[[#Headers],[Company]],31)</f>
        <v/>
      </c>
      <c r="AA123" s="188" t="str" cm="1">
        <f t="array" ref="AA123">Common_InputFunctions.Utility_DisplayArrayInTable(Fertiliser_SourceData.Fertiliser_Products_Data2(), FertiliserProducts[[#Headers],[Company]],31)</f>
        <v/>
      </c>
      <c r="AB123" s="188" t="str" cm="1">
        <f t="array" ref="AB123">Common_InputFunctions.Utility_DisplayArrayInTable(Fertiliser_SourceData.Fertiliser_Products_Data2(), FertiliserProducts[[#Headers],[Company]],31)</f>
        <v/>
      </c>
      <c r="AC123" s="188" t="str" cm="1">
        <f t="array" ref="AC123">Common_InputFunctions.Utility_DisplayArrayInTable(Fertiliser_SourceData.Fertiliser_Products_Data2(), FertiliserProducts[[#Headers],[Company]],31)</f>
        <v/>
      </c>
      <c r="AD123" s="188" t="str" cm="1">
        <f t="array" ref="AD123">Common_InputFunctions.Utility_DisplayArrayInTable(Fertiliser_SourceData.Fertiliser_Products_Data2(), FertiliserProducts[[#Headers],[Company]],31)</f>
        <v/>
      </c>
      <c r="AE123" s="188" t="str" cm="1">
        <f t="array" ref="AE123">Common_InputFunctions.Utility_DisplayArrayInTable(Fertiliser_SourceData.Fertiliser_Products_Data2(), FertiliserProducts[[#Headers],[Company]],31)</f>
        <v/>
      </c>
      <c r="AF123" s="188" t="str" cm="1">
        <f t="array" ref="AF123">Common_InputFunctions.Utility_DisplayArrayInTable(Fertiliser_SourceData.Fertiliser_Products_Data2(), FertiliserProducts[[#Headers],[Company]],31)</f>
        <v/>
      </c>
      <c r="AG123" s="188" t="str" cm="1">
        <f t="array" ref="AG123">Common_InputFunctions.Utility_DisplayArrayInTable(Fertiliser_SourceData.Fertiliser_Products_Data2(), FertiliserProducts[[#Headers],[Company]],31)</f>
        <v/>
      </c>
      <c r="AH123" s="188"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88" t="str" cm="1">
        <f t="array" ref="D124">Common_InputFunctions.Utility_DisplayArrayInTable(Fertiliser_SourceData.Fertiliser_Products_Data2(), FertiliserProducts[[#Headers],[Company]],31)</f>
        <v>Ravensdown</v>
      </c>
      <c r="E124" s="188" t="str" cm="1">
        <f t="array" ref="E124">Common_InputFunctions.Utility_DisplayArrayInTable(Fertiliser_SourceData.Fertiliser_Products_Data2(), FertiliserProducts[[#Headers],[Company]],31)</f>
        <v>Flexi-N NBPT</v>
      </c>
      <c r="F124" s="188" t="str" cm="1">
        <f t="array" ref="F124">Common_InputFunctions.Utility_DisplayArrayInTable(Fertiliser_SourceData.Fertiliser_Products_Data2(), FertiliserProducts[[#Headers],[Company]],31)</f>
        <v>kg</v>
      </c>
      <c r="G124" s="188" cm="1">
        <f t="array" ref="G124">Common_InputFunctions.Utility_DisplayArrayInTable(Fertiliser_SourceData.Fertiliser_Products_Data2(), FertiliserProducts[[#Headers],[Company]],31)</f>
        <v>1</v>
      </c>
      <c r="H124" s="188" t="str" cm="1">
        <f t="array" ref="H124">Common_InputFunctions.Utility_DisplayArrayInTable(Fertiliser_SourceData.Fertiliser_Products_Data2(), FertiliserProducts[[#Headers],[Company]],31)</f>
        <v>Yes</v>
      </c>
      <c r="I124" s="188" t="str" cm="1">
        <f t="array" ref="I124">Common_InputFunctions.Utility_DisplayArrayInTable(Fertiliser_SourceData.Fertiliser_Products_Data2(), FertiliserProducts[[#Headers],[Company]],31)</f>
        <v/>
      </c>
      <c r="J124" s="188" t="str" cm="1">
        <f t="array" ref="J124">Common_InputFunctions.Utility_DisplayArrayInTable(Fertiliser_SourceData.Fertiliser_Products_Data2(), FertiliserProducts[[#Headers],[Company]],31)</f>
        <v/>
      </c>
      <c r="K124" s="188" cm="1">
        <f t="array" ref="K124">Common_InputFunctions.Utility_DisplayArrayInTable(Fertiliser_SourceData.Fertiliser_Products_Data2(), FertiliserProducts[[#Headers],[Company]],31)</f>
        <v>45.54</v>
      </c>
      <c r="L124" s="188" t="str" cm="1">
        <f t="array" ref="L124">Common_InputFunctions.Utility_DisplayArrayInTable(Fertiliser_SourceData.Fertiliser_Products_Data2(), FertiliserProducts[[#Headers],[Company]],31)</f>
        <v/>
      </c>
      <c r="M124" s="188" t="str" cm="1">
        <f t="array" ref="M124">Common_InputFunctions.Utility_DisplayArrayInTable(Fertiliser_SourceData.Fertiliser_Products_Data2(), FertiliserProducts[[#Headers],[Company]],31)</f>
        <v/>
      </c>
      <c r="N124" s="188" t="str" cm="1">
        <f t="array" ref="N124">Common_InputFunctions.Utility_DisplayArrayInTable(Fertiliser_SourceData.Fertiliser_Products_Data2(), FertiliserProducts[[#Headers],[Company]],31)</f>
        <v/>
      </c>
      <c r="O124" s="188" t="str" cm="1">
        <f t="array" ref="O124">Common_InputFunctions.Utility_DisplayArrayInTable(Fertiliser_SourceData.Fertiliser_Products_Data2(), FertiliserProducts[[#Headers],[Company]],31)</f>
        <v>Urea</v>
      </c>
      <c r="P124" s="188" cm="1">
        <f t="array" ref="P124">Common_InputFunctions.Utility_DisplayArrayInTable(Fertiliser_SourceData.Fertiliser_Products_Data2(), FertiliserProducts[[#Headers],[Company]],31)</f>
        <v>0.99</v>
      </c>
      <c r="Q124" s="188" t="str" cm="1">
        <f t="array" ref="Q124">Common_InputFunctions.Utility_DisplayArrayInTable(Fertiliser_SourceData.Fertiliser_Products_Data2(), FertiliserProducts[[#Headers],[Company]],31)</f>
        <v/>
      </c>
      <c r="R124" s="188" t="str" cm="1">
        <f t="array" ref="R124">Common_InputFunctions.Utility_DisplayArrayInTable(Fertiliser_SourceData.Fertiliser_Products_Data2(), FertiliserProducts[[#Headers],[Company]],31)</f>
        <v/>
      </c>
      <c r="S124" s="188" t="str" cm="1">
        <f t="array" ref="S124">Common_InputFunctions.Utility_DisplayArrayInTable(Fertiliser_SourceData.Fertiliser_Products_Data2(), FertiliserProducts[[#Headers],[Company]],31)</f>
        <v/>
      </c>
      <c r="T124" s="188" t="str" cm="1">
        <f t="array" ref="T124">Common_InputFunctions.Utility_DisplayArrayInTable(Fertiliser_SourceData.Fertiliser_Products_Data2(), FertiliserProducts[[#Headers],[Company]],31)</f>
        <v/>
      </c>
      <c r="U124" s="188" t="str" cm="1">
        <f t="array" ref="U124">Common_InputFunctions.Utility_DisplayArrayInTable(Fertiliser_SourceData.Fertiliser_Products_Data2(), FertiliserProducts[[#Headers],[Company]],31)</f>
        <v/>
      </c>
      <c r="V124" s="188" t="str" cm="1">
        <f t="array" ref="V124">Common_InputFunctions.Utility_DisplayArrayInTable(Fertiliser_SourceData.Fertiliser_Products_Data2(), FertiliserProducts[[#Headers],[Company]],31)</f>
        <v/>
      </c>
      <c r="W124" s="188" t="str" cm="1">
        <f t="array" ref="W124">Common_InputFunctions.Utility_DisplayArrayInTable(Fertiliser_SourceData.Fertiliser_Products_Data2(), FertiliserProducts[[#Headers],[Company]],31)</f>
        <v/>
      </c>
      <c r="X124" s="188" t="str" cm="1">
        <f t="array" ref="X124">Common_InputFunctions.Utility_DisplayArrayInTable(Fertiliser_SourceData.Fertiliser_Products_Data2(), FertiliserProducts[[#Headers],[Company]],31)</f>
        <v/>
      </c>
      <c r="Y124" s="188" t="str" cm="1">
        <f t="array" ref="Y124">Common_InputFunctions.Utility_DisplayArrayInTable(Fertiliser_SourceData.Fertiliser_Products_Data2(), FertiliserProducts[[#Headers],[Company]],31)</f>
        <v/>
      </c>
      <c r="Z124" s="188" t="str" cm="1">
        <f t="array" ref="Z124">Common_InputFunctions.Utility_DisplayArrayInTable(Fertiliser_SourceData.Fertiliser_Products_Data2(), FertiliserProducts[[#Headers],[Company]],31)</f>
        <v/>
      </c>
      <c r="AA124" s="188" t="str" cm="1">
        <f t="array" ref="AA124">Common_InputFunctions.Utility_DisplayArrayInTable(Fertiliser_SourceData.Fertiliser_Products_Data2(), FertiliserProducts[[#Headers],[Company]],31)</f>
        <v/>
      </c>
      <c r="AB124" s="188" t="str" cm="1">
        <f t="array" ref="AB124">Common_InputFunctions.Utility_DisplayArrayInTable(Fertiliser_SourceData.Fertiliser_Products_Data2(), FertiliserProducts[[#Headers],[Company]],31)</f>
        <v/>
      </c>
      <c r="AC124" s="188" t="str" cm="1">
        <f t="array" ref="AC124">Common_InputFunctions.Utility_DisplayArrayInTable(Fertiliser_SourceData.Fertiliser_Products_Data2(), FertiliserProducts[[#Headers],[Company]],31)</f>
        <v/>
      </c>
      <c r="AD124" s="188" t="str" cm="1">
        <f t="array" ref="AD124">Common_InputFunctions.Utility_DisplayArrayInTable(Fertiliser_SourceData.Fertiliser_Products_Data2(), FertiliserProducts[[#Headers],[Company]],31)</f>
        <v/>
      </c>
      <c r="AE124" s="188" t="str" cm="1">
        <f t="array" ref="AE124">Common_InputFunctions.Utility_DisplayArrayInTable(Fertiliser_SourceData.Fertiliser_Products_Data2(), FertiliserProducts[[#Headers],[Company]],31)</f>
        <v/>
      </c>
      <c r="AF124" s="188" t="str" cm="1">
        <f t="array" ref="AF124">Common_InputFunctions.Utility_DisplayArrayInTable(Fertiliser_SourceData.Fertiliser_Products_Data2(), FertiliserProducts[[#Headers],[Company]],31)</f>
        <v/>
      </c>
      <c r="AG124" s="188" t="str" cm="1">
        <f t="array" ref="AG124">Common_InputFunctions.Utility_DisplayArrayInTable(Fertiliser_SourceData.Fertiliser_Products_Data2(), FertiliserProducts[[#Headers],[Company]],31)</f>
        <v/>
      </c>
      <c r="AH124" s="188"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88" t="str" cm="1">
        <f t="array" ref="D125">Common_InputFunctions.Utility_DisplayArrayInTable(Fertiliser_SourceData.Fertiliser_Products_Data2(), FertiliserProducts[[#Headers],[Company]],31)</f>
        <v>Campbells fertilisers Australia</v>
      </c>
      <c r="E125" s="188" t="str" cm="1">
        <f t="array" ref="E125">Common_InputFunctions.Utility_DisplayArrayInTable(Fertiliser_SourceData.Fertiliser_Products_Data2(), FertiliserProducts[[#Headers],[Company]],31)</f>
        <v>Gold Premium</v>
      </c>
      <c r="F125" s="188" t="str" cm="1">
        <f t="array" ref="F125">Common_InputFunctions.Utility_DisplayArrayInTable(Fertiliser_SourceData.Fertiliser_Products_Data2(), FertiliserProducts[[#Headers],[Company]],31)</f>
        <v>kg</v>
      </c>
      <c r="G125" s="188" cm="1">
        <f t="array" ref="G125">Common_InputFunctions.Utility_DisplayArrayInTable(Fertiliser_SourceData.Fertiliser_Products_Data2(), FertiliserProducts[[#Headers],[Company]],31)</f>
        <v>1</v>
      </c>
      <c r="H125" s="188" t="str" cm="1">
        <f t="array" ref="H125">Common_InputFunctions.Utility_DisplayArrayInTable(Fertiliser_SourceData.Fertiliser_Products_Data2(), FertiliserProducts[[#Headers],[Company]],31)</f>
        <v/>
      </c>
      <c r="I125" s="188" t="str" cm="1">
        <f t="array" ref="I125">Common_InputFunctions.Utility_DisplayArrayInTable(Fertiliser_SourceData.Fertiliser_Products_Data2(), FertiliserProducts[[#Headers],[Company]],31)</f>
        <v/>
      </c>
      <c r="J125" s="188" t="str" cm="1">
        <f t="array" ref="J125">Common_InputFunctions.Utility_DisplayArrayInTable(Fertiliser_SourceData.Fertiliser_Products_Data2(), FertiliserProducts[[#Headers],[Company]],31)</f>
        <v/>
      </c>
      <c r="K125" s="188" cm="1">
        <f t="array" ref="K125">Common_InputFunctions.Utility_DisplayArrayInTable(Fertiliser_SourceData.Fertiliser_Products_Data2(), FertiliserProducts[[#Headers],[Company]],31)</f>
        <v>14.87</v>
      </c>
      <c r="L125" s="188" cm="1">
        <f t="array" ref="L125">Common_InputFunctions.Utility_DisplayArrayInTable(Fertiliser_SourceData.Fertiliser_Products_Data2(), FertiliserProducts[[#Headers],[Company]],31)</f>
        <v>2.2000000000000002</v>
      </c>
      <c r="M125" s="188" cm="1">
        <f t="array" ref="M125">Common_InputFunctions.Utility_DisplayArrayInTable(Fertiliser_SourceData.Fertiliser_Products_Data2(), FertiliserProducts[[#Headers],[Company]],31)</f>
        <v>16.600000000000001</v>
      </c>
      <c r="N125" s="188" cm="1">
        <f t="array" ref="N125">Common_InputFunctions.Utility_DisplayArrayInTable(Fertiliser_SourceData.Fertiliser_Products_Data2(), FertiliserProducts[[#Headers],[Company]],31)</f>
        <v>8</v>
      </c>
      <c r="O125" s="188" t="str" cm="1">
        <f t="array" ref="O125">Common_InputFunctions.Utility_DisplayArrayInTable(Fertiliser_SourceData.Fertiliser_Products_Data2(), FertiliserProducts[[#Headers],[Company]],31)</f>
        <v>Ammonium nitrate (AN)</v>
      </c>
      <c r="P125" s="188" cm="1">
        <f t="array" ref="P125">Common_InputFunctions.Utility_DisplayArrayInTable(Fertiliser_SourceData.Fertiliser_Products_Data2(), FertiliserProducts[[#Headers],[Company]],31)</f>
        <v>0.44117600000000001</v>
      </c>
      <c r="Q125" s="188" t="str" cm="1">
        <f t="array" ref="Q125">Common_InputFunctions.Utility_DisplayArrayInTable(Fertiliser_SourceData.Fertiliser_Products_Data2(), FertiliserProducts[[#Headers],[Company]],31)</f>
        <v>Potassium - Generic</v>
      </c>
      <c r="R125" s="188" cm="1">
        <f t="array" ref="R125">Common_InputFunctions.Utility_DisplayArrayInTable(Fertiliser_SourceData.Fertiliser_Products_Data2(), FertiliserProducts[[#Headers],[Company]],31)</f>
        <v>0.16600000000000001</v>
      </c>
      <c r="S125" s="188" t="str" cm="1">
        <f t="array" ref="S125">Common_InputFunctions.Utility_DisplayArrayInTable(Fertiliser_SourceData.Fertiliser_Products_Data2(), FertiliserProducts[[#Headers],[Company]],31)</f>
        <v>Sulfur - Generic</v>
      </c>
      <c r="T125" s="188" cm="1">
        <f t="array" ref="T125">Common_InputFunctions.Utility_DisplayArrayInTable(Fertiliser_SourceData.Fertiliser_Products_Data2(), FertiliserProducts[[#Headers],[Company]],31)</f>
        <v>0.08</v>
      </c>
      <c r="U125" s="188" t="str" cm="1">
        <f t="array" ref="U125">Common_InputFunctions.Utility_DisplayArrayInTable(Fertiliser_SourceData.Fertiliser_Products_Data2(), FertiliserProducts[[#Headers],[Company]],31)</f>
        <v>Phosphorus - Generic</v>
      </c>
      <c r="V125" s="188" cm="1">
        <f t="array" ref="V125">Common_InputFunctions.Utility_DisplayArrayInTable(Fertiliser_SourceData.Fertiliser_Products_Data2(), FertiliserProducts[[#Headers],[Company]],31)</f>
        <v>2.1999999999999999E-2</v>
      </c>
      <c r="W125" s="188" t="str" cm="1">
        <f t="array" ref="W125">Common_InputFunctions.Utility_DisplayArrayInTable(Fertiliser_SourceData.Fertiliser_Products_Data2(), FertiliserProducts[[#Headers],[Company]],31)</f>
        <v>Magnesium</v>
      </c>
      <c r="X125" s="188" cm="1">
        <f t="array" ref="X125">Common_InputFunctions.Utility_DisplayArrayInTable(Fertiliser_SourceData.Fertiliser_Products_Data2(), FertiliserProducts[[#Headers],[Company]],31)</f>
        <v>1.2E-2</v>
      </c>
      <c r="Y125" s="188" t="str" cm="1">
        <f t="array" ref="Y125">Common_InputFunctions.Utility_DisplayArrayInTable(Fertiliser_SourceData.Fertiliser_Products_Data2(), FertiliserProducts[[#Headers],[Company]],31)</f>
        <v>Boron</v>
      </c>
      <c r="Z125" s="188" cm="1">
        <f t="array" ref="Z125">Common_InputFunctions.Utility_DisplayArrayInTable(Fertiliser_SourceData.Fertiliser_Products_Data2(), FertiliserProducts[[#Headers],[Company]],31)</f>
        <v>2.0000000000000001E-4</v>
      </c>
      <c r="AA125" s="188" t="str" cm="1">
        <f t="array" ref="AA125">Common_InputFunctions.Utility_DisplayArrayInTable(Fertiliser_SourceData.Fertiliser_Products_Data2(), FertiliserProducts[[#Headers],[Company]],31)</f>
        <v>Zinc</v>
      </c>
      <c r="AB125" s="188" cm="1">
        <f t="array" ref="AB125">Common_InputFunctions.Utility_DisplayArrayInTable(Fertiliser_SourceData.Fertiliser_Products_Data2(), FertiliserProducts[[#Headers],[Company]],31)</f>
        <v>1E-4</v>
      </c>
      <c r="AC125" s="188" t="str" cm="1">
        <f t="array" ref="AC125">Common_InputFunctions.Utility_DisplayArrayInTable(Fertiliser_SourceData.Fertiliser_Products_Data2(), FertiliserProducts[[#Headers],[Company]],31)</f>
        <v/>
      </c>
      <c r="AD125" s="188" t="str" cm="1">
        <f t="array" ref="AD125">Common_InputFunctions.Utility_DisplayArrayInTable(Fertiliser_SourceData.Fertiliser_Products_Data2(), FertiliserProducts[[#Headers],[Company]],31)</f>
        <v/>
      </c>
      <c r="AE125" s="188" t="str" cm="1">
        <f t="array" ref="AE125">Common_InputFunctions.Utility_DisplayArrayInTable(Fertiliser_SourceData.Fertiliser_Products_Data2(), FertiliserProducts[[#Headers],[Company]],31)</f>
        <v/>
      </c>
      <c r="AF125" s="188" t="str" cm="1">
        <f t="array" ref="AF125">Common_InputFunctions.Utility_DisplayArrayInTable(Fertiliser_SourceData.Fertiliser_Products_Data2(), FertiliserProducts[[#Headers],[Company]],31)</f>
        <v/>
      </c>
      <c r="AG125" s="188" t="str" cm="1">
        <f t="array" ref="AG125">Common_InputFunctions.Utility_DisplayArrayInTable(Fertiliser_SourceData.Fertiliser_Products_Data2(), FertiliserProducts[[#Headers],[Company]],31)</f>
        <v/>
      </c>
      <c r="AH125" s="188"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88" t="str" cm="1">
        <f t="array" ref="D126">Common_InputFunctions.Utility_DisplayArrayInTable(Fertiliser_SourceData.Fertiliser_Products_Data2(), FertiliserProducts[[#Headers],[Company]],31)</f>
        <v>SL Tec</v>
      </c>
      <c r="E126" s="188" t="str" cm="1">
        <f t="array" ref="E126">Common_InputFunctions.Utility_DisplayArrayInTable(Fertiliser_SourceData.Fertiliser_Products_Data2(), FertiliserProducts[[#Headers],[Company]],31)</f>
        <v>High NS</v>
      </c>
      <c r="F126" s="188" t="str" cm="1">
        <f t="array" ref="F126">Common_InputFunctions.Utility_DisplayArrayInTable(Fertiliser_SourceData.Fertiliser_Products_Data2(), FertiliserProducts[[#Headers],[Company]],31)</f>
        <v>L</v>
      </c>
      <c r="G126" s="188" cm="1">
        <f t="array" ref="G126">Common_InputFunctions.Utility_DisplayArrayInTable(Fertiliser_SourceData.Fertiliser_Products_Data2(), FertiliserProducts[[#Headers],[Company]],31)</f>
        <v>1.2989999999999999</v>
      </c>
      <c r="H126" s="188" t="str" cm="1">
        <f t="array" ref="H126">Common_InputFunctions.Utility_DisplayArrayInTable(Fertiliser_SourceData.Fertiliser_Products_Data2(), FertiliserProducts[[#Headers],[Company]],31)</f>
        <v/>
      </c>
      <c r="I126" s="188" t="str" cm="1">
        <f t="array" ref="I126">Common_InputFunctions.Utility_DisplayArrayInTable(Fertiliser_SourceData.Fertiliser_Products_Data2(), FertiliserProducts[[#Headers],[Company]],31)</f>
        <v/>
      </c>
      <c r="J126" s="188" t="str" cm="1">
        <f t="array" ref="J126">Common_InputFunctions.Utility_DisplayArrayInTable(Fertiliser_SourceData.Fertiliser_Products_Data2(), FertiliserProducts[[#Headers],[Company]],31)</f>
        <v/>
      </c>
      <c r="K126" s="188" cm="1">
        <f t="array" ref="K126">Common_InputFunctions.Utility_DisplayArrayInTable(Fertiliser_SourceData.Fertiliser_Products_Data2(), FertiliserProducts[[#Headers],[Company]],31)</f>
        <v>38</v>
      </c>
      <c r="L126" s="188" t="str" cm="1">
        <f t="array" ref="L126">Common_InputFunctions.Utility_DisplayArrayInTable(Fertiliser_SourceData.Fertiliser_Products_Data2(), FertiliserProducts[[#Headers],[Company]],31)</f>
        <v/>
      </c>
      <c r="M126" s="188" t="str" cm="1">
        <f t="array" ref="M126">Common_InputFunctions.Utility_DisplayArrayInTable(Fertiliser_SourceData.Fertiliser_Products_Data2(), FertiliserProducts[[#Headers],[Company]],31)</f>
        <v/>
      </c>
      <c r="N126" s="188" cm="1">
        <f t="array" ref="N126">Common_InputFunctions.Utility_DisplayArrayInTable(Fertiliser_SourceData.Fertiliser_Products_Data2(), FertiliserProducts[[#Headers],[Company]],31)</f>
        <v>2</v>
      </c>
      <c r="O126" s="188" t="str" cm="1">
        <f t="array" ref="O126">Common_InputFunctions.Utility_DisplayArrayInTable(Fertiliser_SourceData.Fertiliser_Products_Data2(), FertiliserProducts[[#Headers],[Company]],31)</f>
        <v>Urea</v>
      </c>
      <c r="P126" s="188" cm="1">
        <f t="array" ref="P126">Common_InputFunctions.Utility_DisplayArrayInTable(Fertiliser_SourceData.Fertiliser_Products_Data2(), FertiliserProducts[[#Headers],[Company]],31)</f>
        <v>0.46087</v>
      </c>
      <c r="Q126" s="188" t="str" cm="1">
        <f t="array" ref="Q126">Common_InputFunctions.Utility_DisplayArrayInTable(Fertiliser_SourceData.Fertiliser_Products_Data2(), FertiliserProducts[[#Headers],[Company]],31)</f>
        <v>Nitrogen - Ammoniacal</v>
      </c>
      <c r="R126" s="188" cm="1">
        <f t="array" ref="R126">Common_InputFunctions.Utility_DisplayArrayInTable(Fertiliser_SourceData.Fertiliser_Products_Data2(), FertiliserProducts[[#Headers],[Company]],31)</f>
        <v>9.1999999999999998E-2</v>
      </c>
      <c r="S126" s="188" t="str" cm="1">
        <f t="array" ref="S126">Common_InputFunctions.Utility_DisplayArrayInTable(Fertiliser_SourceData.Fertiliser_Products_Data2(), FertiliserProducts[[#Headers],[Company]],31)</f>
        <v>Nitrogen - Nitrate</v>
      </c>
      <c r="T126" s="188" cm="1">
        <f t="array" ref="T126">Common_InputFunctions.Utility_DisplayArrayInTable(Fertiliser_SourceData.Fertiliser_Products_Data2(), FertiliserProducts[[#Headers],[Company]],31)</f>
        <v>7.5999999999999998E-2</v>
      </c>
      <c r="U126" s="188" t="str" cm="1">
        <f t="array" ref="U126">Common_InputFunctions.Utility_DisplayArrayInTable(Fertiliser_SourceData.Fertiliser_Products_Data2(), FertiliserProducts[[#Headers],[Company]],31)</f>
        <v>Sulfur - Generic</v>
      </c>
      <c r="V126" s="188" cm="1">
        <f t="array" ref="V126">Common_InputFunctions.Utility_DisplayArrayInTable(Fertiliser_SourceData.Fertiliser_Products_Data2(), FertiliserProducts[[#Headers],[Company]],31)</f>
        <v>0.02</v>
      </c>
      <c r="W126" s="188" t="str" cm="1">
        <f t="array" ref="W126">Common_InputFunctions.Utility_DisplayArrayInTable(Fertiliser_SourceData.Fertiliser_Products_Data2(), FertiliserProducts[[#Headers],[Company]],31)</f>
        <v/>
      </c>
      <c r="X126" s="188" t="str" cm="1">
        <f t="array" ref="X126">Common_InputFunctions.Utility_DisplayArrayInTable(Fertiliser_SourceData.Fertiliser_Products_Data2(), FertiliserProducts[[#Headers],[Company]],31)</f>
        <v/>
      </c>
      <c r="Y126" s="188" t="str" cm="1">
        <f t="array" ref="Y126">Common_InputFunctions.Utility_DisplayArrayInTable(Fertiliser_SourceData.Fertiliser_Products_Data2(), FertiliserProducts[[#Headers],[Company]],31)</f>
        <v/>
      </c>
      <c r="Z126" s="188" t="str" cm="1">
        <f t="array" ref="Z126">Common_InputFunctions.Utility_DisplayArrayInTable(Fertiliser_SourceData.Fertiliser_Products_Data2(), FertiliserProducts[[#Headers],[Company]],31)</f>
        <v/>
      </c>
      <c r="AA126" s="188" t="str" cm="1">
        <f t="array" ref="AA126">Common_InputFunctions.Utility_DisplayArrayInTable(Fertiliser_SourceData.Fertiliser_Products_Data2(), FertiliserProducts[[#Headers],[Company]],31)</f>
        <v/>
      </c>
      <c r="AB126" s="188" t="str" cm="1">
        <f t="array" ref="AB126">Common_InputFunctions.Utility_DisplayArrayInTable(Fertiliser_SourceData.Fertiliser_Products_Data2(), FertiliserProducts[[#Headers],[Company]],31)</f>
        <v/>
      </c>
      <c r="AC126" s="188" t="str" cm="1">
        <f t="array" ref="AC126">Common_InputFunctions.Utility_DisplayArrayInTable(Fertiliser_SourceData.Fertiliser_Products_Data2(), FertiliserProducts[[#Headers],[Company]],31)</f>
        <v/>
      </c>
      <c r="AD126" s="188" t="str" cm="1">
        <f t="array" ref="AD126">Common_InputFunctions.Utility_DisplayArrayInTable(Fertiliser_SourceData.Fertiliser_Products_Data2(), FertiliserProducts[[#Headers],[Company]],31)</f>
        <v/>
      </c>
      <c r="AE126" s="188" t="str" cm="1">
        <f t="array" ref="AE126">Common_InputFunctions.Utility_DisplayArrayInTable(Fertiliser_SourceData.Fertiliser_Products_Data2(), FertiliserProducts[[#Headers],[Company]],31)</f>
        <v/>
      </c>
      <c r="AF126" s="188" t="str" cm="1">
        <f t="array" ref="AF126">Common_InputFunctions.Utility_DisplayArrayInTable(Fertiliser_SourceData.Fertiliser_Products_Data2(), FertiliserProducts[[#Headers],[Company]],31)</f>
        <v/>
      </c>
      <c r="AG126" s="188" t="str" cm="1">
        <f t="array" ref="AG126">Common_InputFunctions.Utility_DisplayArrayInTable(Fertiliser_SourceData.Fertiliser_Products_Data2(), FertiliserProducts[[#Headers],[Company]],31)</f>
        <v/>
      </c>
      <c r="AH126" s="188"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88" t="str" cm="1">
        <f t="array" ref="D127">Common_InputFunctions.Utility_DisplayArrayInTable(Fertiliser_SourceData.Fertiliser_Products_Data2(), FertiliserProducts[[#Headers],[Company]],31)</f>
        <v>Impact Fertilisers</v>
      </c>
      <c r="E127" s="188" t="str" cm="1">
        <f t="array" ref="E127">Common_InputFunctions.Utility_DisplayArrayInTable(Fertiliser_SourceData.Fertiliser_Products_Data2(), FertiliserProducts[[#Headers],[Company]],31)</f>
        <v>Impact SSP</v>
      </c>
      <c r="F127" s="188" t="str" cm="1">
        <f t="array" ref="F127">Common_InputFunctions.Utility_DisplayArrayInTable(Fertiliser_SourceData.Fertiliser_Products_Data2(), FertiliserProducts[[#Headers],[Company]],31)</f>
        <v>kg</v>
      </c>
      <c r="G127" s="188" cm="1">
        <f t="array" ref="G127">Common_InputFunctions.Utility_DisplayArrayInTable(Fertiliser_SourceData.Fertiliser_Products_Data2(), FertiliserProducts[[#Headers],[Company]],31)</f>
        <v>1</v>
      </c>
      <c r="H127" s="188" t="str" cm="1">
        <f t="array" ref="H127">Common_InputFunctions.Utility_DisplayArrayInTable(Fertiliser_SourceData.Fertiliser_Products_Data2(), FertiliserProducts[[#Headers],[Company]],31)</f>
        <v/>
      </c>
      <c r="I127" s="188" t="str" cm="1">
        <f t="array" ref="I127">Common_InputFunctions.Utility_DisplayArrayInTable(Fertiliser_SourceData.Fertiliser_Products_Data2(), FertiliserProducts[[#Headers],[Company]],31)</f>
        <v/>
      </c>
      <c r="J127" s="188" t="str" cm="1">
        <f t="array" ref="J127">Common_InputFunctions.Utility_DisplayArrayInTable(Fertiliser_SourceData.Fertiliser_Products_Data2(), FertiliserProducts[[#Headers],[Company]],31)</f>
        <v/>
      </c>
      <c r="K127" s="188" t="str" cm="1">
        <f t="array" ref="K127">Common_InputFunctions.Utility_DisplayArrayInTable(Fertiliser_SourceData.Fertiliser_Products_Data2(), FertiliserProducts[[#Headers],[Company]],31)</f>
        <v/>
      </c>
      <c r="L127" s="188" cm="1">
        <f t="array" ref="L127">Common_InputFunctions.Utility_DisplayArrayInTable(Fertiliser_SourceData.Fertiliser_Products_Data2(), FertiliserProducts[[#Headers],[Company]],31)</f>
        <v>8.8000000000000007</v>
      </c>
      <c r="M127" s="188" t="str" cm="1">
        <f t="array" ref="M127">Common_InputFunctions.Utility_DisplayArrayInTable(Fertiliser_SourceData.Fertiliser_Products_Data2(), FertiliserProducts[[#Headers],[Company]],31)</f>
        <v/>
      </c>
      <c r="N127" s="188" cm="1">
        <f t="array" ref="N127">Common_InputFunctions.Utility_DisplayArrayInTable(Fertiliser_SourceData.Fertiliser_Products_Data2(), FertiliserProducts[[#Headers],[Company]],31)</f>
        <v>11</v>
      </c>
      <c r="O127" s="188" t="str" cm="1">
        <f t="array" ref="O127">Common_InputFunctions.Utility_DisplayArrayInTable(Fertiliser_SourceData.Fertiliser_Products_Data2(), FertiliserProducts[[#Headers],[Company]],31)</f>
        <v>Single superphosphate (SSP)</v>
      </c>
      <c r="P127" s="188" cm="1">
        <f t="array" ref="P127">Common_InputFunctions.Utility_DisplayArrayInTable(Fertiliser_SourceData.Fertiliser_Products_Data2(), FertiliserProducts[[#Headers],[Company]],31)</f>
        <v>1</v>
      </c>
      <c r="Q127" s="188" t="str" cm="1">
        <f t="array" ref="Q127">Common_InputFunctions.Utility_DisplayArrayInTable(Fertiliser_SourceData.Fertiliser_Products_Data2(), FertiliserProducts[[#Headers],[Company]],31)</f>
        <v/>
      </c>
      <c r="R127" s="188" t="str" cm="1">
        <f t="array" ref="R127">Common_InputFunctions.Utility_DisplayArrayInTable(Fertiliser_SourceData.Fertiliser_Products_Data2(), FertiliserProducts[[#Headers],[Company]],31)</f>
        <v/>
      </c>
      <c r="S127" s="188" t="str" cm="1">
        <f t="array" ref="S127">Common_InputFunctions.Utility_DisplayArrayInTable(Fertiliser_SourceData.Fertiliser_Products_Data2(), FertiliserProducts[[#Headers],[Company]],31)</f>
        <v/>
      </c>
      <c r="T127" s="188" t="str" cm="1">
        <f t="array" ref="T127">Common_InputFunctions.Utility_DisplayArrayInTable(Fertiliser_SourceData.Fertiliser_Products_Data2(), FertiliserProducts[[#Headers],[Company]],31)</f>
        <v/>
      </c>
      <c r="U127" s="188" t="str" cm="1">
        <f t="array" ref="U127">Common_InputFunctions.Utility_DisplayArrayInTable(Fertiliser_SourceData.Fertiliser_Products_Data2(), FertiliserProducts[[#Headers],[Company]],31)</f>
        <v/>
      </c>
      <c r="V127" s="188" t="str" cm="1">
        <f t="array" ref="V127">Common_InputFunctions.Utility_DisplayArrayInTable(Fertiliser_SourceData.Fertiliser_Products_Data2(), FertiliserProducts[[#Headers],[Company]],31)</f>
        <v/>
      </c>
      <c r="W127" s="188" t="str" cm="1">
        <f t="array" ref="W127">Common_InputFunctions.Utility_DisplayArrayInTable(Fertiliser_SourceData.Fertiliser_Products_Data2(), FertiliserProducts[[#Headers],[Company]],31)</f>
        <v/>
      </c>
      <c r="X127" s="188" t="str" cm="1">
        <f t="array" ref="X127">Common_InputFunctions.Utility_DisplayArrayInTable(Fertiliser_SourceData.Fertiliser_Products_Data2(), FertiliserProducts[[#Headers],[Company]],31)</f>
        <v/>
      </c>
      <c r="Y127" s="188" t="str" cm="1">
        <f t="array" ref="Y127">Common_InputFunctions.Utility_DisplayArrayInTable(Fertiliser_SourceData.Fertiliser_Products_Data2(), FertiliserProducts[[#Headers],[Company]],31)</f>
        <v/>
      </c>
      <c r="Z127" s="188" t="str" cm="1">
        <f t="array" ref="Z127">Common_InputFunctions.Utility_DisplayArrayInTable(Fertiliser_SourceData.Fertiliser_Products_Data2(), FertiliserProducts[[#Headers],[Company]],31)</f>
        <v/>
      </c>
      <c r="AA127" s="188" t="str" cm="1">
        <f t="array" ref="AA127">Common_InputFunctions.Utility_DisplayArrayInTable(Fertiliser_SourceData.Fertiliser_Products_Data2(), FertiliserProducts[[#Headers],[Company]],31)</f>
        <v/>
      </c>
      <c r="AB127" s="188" t="str" cm="1">
        <f t="array" ref="AB127">Common_InputFunctions.Utility_DisplayArrayInTable(Fertiliser_SourceData.Fertiliser_Products_Data2(), FertiliserProducts[[#Headers],[Company]],31)</f>
        <v/>
      </c>
      <c r="AC127" s="188" t="str" cm="1">
        <f t="array" ref="AC127">Common_InputFunctions.Utility_DisplayArrayInTable(Fertiliser_SourceData.Fertiliser_Products_Data2(), FertiliserProducts[[#Headers],[Company]],31)</f>
        <v/>
      </c>
      <c r="AD127" s="188" t="str" cm="1">
        <f t="array" ref="AD127">Common_InputFunctions.Utility_DisplayArrayInTable(Fertiliser_SourceData.Fertiliser_Products_Data2(), FertiliserProducts[[#Headers],[Company]],31)</f>
        <v/>
      </c>
      <c r="AE127" s="188" t="str" cm="1">
        <f t="array" ref="AE127">Common_InputFunctions.Utility_DisplayArrayInTable(Fertiliser_SourceData.Fertiliser_Products_Data2(), FertiliserProducts[[#Headers],[Company]],31)</f>
        <v/>
      </c>
      <c r="AF127" s="188" t="str" cm="1">
        <f t="array" ref="AF127">Common_InputFunctions.Utility_DisplayArrayInTable(Fertiliser_SourceData.Fertiliser_Products_Data2(), FertiliserProducts[[#Headers],[Company]],31)</f>
        <v/>
      </c>
      <c r="AG127" s="188" t="str" cm="1">
        <f t="array" ref="AG127">Common_InputFunctions.Utility_DisplayArrayInTable(Fertiliser_SourceData.Fertiliser_Products_Data2(), FertiliserProducts[[#Headers],[Company]],31)</f>
        <v/>
      </c>
      <c r="AH127" s="188"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88" t="str" cm="1">
        <f t="array" ref="D128">Common_InputFunctions.Utility_DisplayArrayInTable(Fertiliser_SourceData.Fertiliser_Products_Data2(), FertiliserProducts[[#Headers],[Company]],31)</f>
        <v>Switch Ag</v>
      </c>
      <c r="E128" s="188" t="str" cm="1">
        <f t="array" ref="E128">Common_InputFunctions.Utility_DisplayArrayInTable(Fertiliser_SourceData.Fertiliser_Products_Data2(), FertiliserProducts[[#Headers],[Company]],31)</f>
        <v>In Crop</v>
      </c>
      <c r="F128" s="188" t="str" cm="1">
        <f t="array" ref="F128">Common_InputFunctions.Utility_DisplayArrayInTable(Fertiliser_SourceData.Fertiliser_Products_Data2(), FertiliserProducts[[#Headers],[Company]],31)</f>
        <v>L</v>
      </c>
      <c r="G128" s="188" cm="1">
        <f t="array" ref="G128">Common_InputFunctions.Utility_DisplayArrayInTable(Fertiliser_SourceData.Fertiliser_Products_Data2(), FertiliserProducts[[#Headers],[Company]],31)</f>
        <v>1.2</v>
      </c>
      <c r="H128" s="188" t="str" cm="1">
        <f t="array" ref="H128">Common_InputFunctions.Utility_DisplayArrayInTable(Fertiliser_SourceData.Fertiliser_Products_Data2(), FertiliserProducts[[#Headers],[Company]],31)</f>
        <v/>
      </c>
      <c r="I128" s="188" t="str" cm="1">
        <f t="array" ref="I128">Common_InputFunctions.Utility_DisplayArrayInTable(Fertiliser_SourceData.Fertiliser_Products_Data2(), FertiliserProducts[[#Headers],[Company]],31)</f>
        <v/>
      </c>
      <c r="J128" s="188" t="str" cm="1">
        <f t="array" ref="J128">Common_InputFunctions.Utility_DisplayArrayInTable(Fertiliser_SourceData.Fertiliser_Products_Data2(), FertiliserProducts[[#Headers],[Company]],31)</f>
        <v/>
      </c>
      <c r="K128" s="188" cm="1">
        <f t="array" ref="K128">Common_InputFunctions.Utility_DisplayArrayInTable(Fertiliser_SourceData.Fertiliser_Products_Data2(), FertiliserProducts[[#Headers],[Company]],31)</f>
        <v>10</v>
      </c>
      <c r="L128" s="188" cm="1">
        <f t="array" ref="L128">Common_InputFunctions.Utility_DisplayArrayInTable(Fertiliser_SourceData.Fertiliser_Products_Data2(), FertiliserProducts[[#Headers],[Company]],31)</f>
        <v>1</v>
      </c>
      <c r="M128" s="188" cm="1">
        <f t="array" ref="M128">Common_InputFunctions.Utility_DisplayArrayInTable(Fertiliser_SourceData.Fertiliser_Products_Data2(), FertiliserProducts[[#Headers],[Company]],31)</f>
        <v>11</v>
      </c>
      <c r="N128" s="188" t="str" cm="1">
        <f t="array" ref="N128">Common_InputFunctions.Utility_DisplayArrayInTable(Fertiliser_SourceData.Fertiliser_Products_Data2(), FertiliserProducts[[#Headers],[Company]],31)</f>
        <v/>
      </c>
      <c r="O128" s="188" t="str" cm="1">
        <f t="array" ref="O128">Common_InputFunctions.Utility_DisplayArrayInTable(Fertiliser_SourceData.Fertiliser_Products_Data2(), FertiliserProducts[[#Headers],[Company]],31)</f>
        <v>Potassium - Generic</v>
      </c>
      <c r="P128" s="188" cm="1">
        <f t="array" ref="P128">Common_InputFunctions.Utility_DisplayArrayInTable(Fertiliser_SourceData.Fertiliser_Products_Data2(), FertiliserProducts[[#Headers],[Company]],31)</f>
        <v>0.11</v>
      </c>
      <c r="Q128" s="188" t="str" cm="1">
        <f t="array" ref="Q128">Common_InputFunctions.Utility_DisplayArrayInTable(Fertiliser_SourceData.Fertiliser_Products_Data2(), FertiliserProducts[[#Headers],[Company]],31)</f>
        <v>Nitrogen - Generic</v>
      </c>
      <c r="R128" s="188" cm="1">
        <f t="array" ref="R128">Common_InputFunctions.Utility_DisplayArrayInTable(Fertiliser_SourceData.Fertiliser_Products_Data2(), FertiliserProducts[[#Headers],[Company]],31)</f>
        <v>0.1</v>
      </c>
      <c r="S128" s="188" t="str" cm="1">
        <f t="array" ref="S128">Common_InputFunctions.Utility_DisplayArrayInTable(Fertiliser_SourceData.Fertiliser_Products_Data2(), FertiliserProducts[[#Headers],[Company]],31)</f>
        <v>Phosphorus - Generic</v>
      </c>
      <c r="T128" s="188" cm="1">
        <f t="array" ref="T128">Common_InputFunctions.Utility_DisplayArrayInTable(Fertiliser_SourceData.Fertiliser_Products_Data2(), FertiliserProducts[[#Headers],[Company]],31)</f>
        <v>0.01</v>
      </c>
      <c r="U128" s="188" t="str" cm="1">
        <f t="array" ref="U128">Common_InputFunctions.Utility_DisplayArrayInTable(Fertiliser_SourceData.Fertiliser_Products_Data2(), FertiliserProducts[[#Headers],[Company]],31)</f>
        <v/>
      </c>
      <c r="V128" s="188" t="str" cm="1">
        <f t="array" ref="V128">Common_InputFunctions.Utility_DisplayArrayInTable(Fertiliser_SourceData.Fertiliser_Products_Data2(), FertiliserProducts[[#Headers],[Company]],31)</f>
        <v/>
      </c>
      <c r="W128" s="188" t="str" cm="1">
        <f t="array" ref="W128">Common_InputFunctions.Utility_DisplayArrayInTable(Fertiliser_SourceData.Fertiliser_Products_Data2(), FertiliserProducts[[#Headers],[Company]],31)</f>
        <v/>
      </c>
      <c r="X128" s="188" t="str" cm="1">
        <f t="array" ref="X128">Common_InputFunctions.Utility_DisplayArrayInTable(Fertiliser_SourceData.Fertiliser_Products_Data2(), FertiliserProducts[[#Headers],[Company]],31)</f>
        <v/>
      </c>
      <c r="Y128" s="188" t="str" cm="1">
        <f t="array" ref="Y128">Common_InputFunctions.Utility_DisplayArrayInTable(Fertiliser_SourceData.Fertiliser_Products_Data2(), FertiliserProducts[[#Headers],[Company]],31)</f>
        <v/>
      </c>
      <c r="Z128" s="188" t="str" cm="1">
        <f t="array" ref="Z128">Common_InputFunctions.Utility_DisplayArrayInTable(Fertiliser_SourceData.Fertiliser_Products_Data2(), FertiliserProducts[[#Headers],[Company]],31)</f>
        <v/>
      </c>
      <c r="AA128" s="188" t="str" cm="1">
        <f t="array" ref="AA128">Common_InputFunctions.Utility_DisplayArrayInTable(Fertiliser_SourceData.Fertiliser_Products_Data2(), FertiliserProducts[[#Headers],[Company]],31)</f>
        <v/>
      </c>
      <c r="AB128" s="188" t="str" cm="1">
        <f t="array" ref="AB128">Common_InputFunctions.Utility_DisplayArrayInTable(Fertiliser_SourceData.Fertiliser_Products_Data2(), FertiliserProducts[[#Headers],[Company]],31)</f>
        <v/>
      </c>
      <c r="AC128" s="188" t="str" cm="1">
        <f t="array" ref="AC128">Common_InputFunctions.Utility_DisplayArrayInTable(Fertiliser_SourceData.Fertiliser_Products_Data2(), FertiliserProducts[[#Headers],[Company]],31)</f>
        <v/>
      </c>
      <c r="AD128" s="188" t="str" cm="1">
        <f t="array" ref="AD128">Common_InputFunctions.Utility_DisplayArrayInTable(Fertiliser_SourceData.Fertiliser_Products_Data2(), FertiliserProducts[[#Headers],[Company]],31)</f>
        <v/>
      </c>
      <c r="AE128" s="188" t="str" cm="1">
        <f t="array" ref="AE128">Common_InputFunctions.Utility_DisplayArrayInTable(Fertiliser_SourceData.Fertiliser_Products_Data2(), FertiliserProducts[[#Headers],[Company]],31)</f>
        <v/>
      </c>
      <c r="AF128" s="188" t="str" cm="1">
        <f t="array" ref="AF128">Common_InputFunctions.Utility_DisplayArrayInTable(Fertiliser_SourceData.Fertiliser_Products_Data2(), FertiliserProducts[[#Headers],[Company]],31)</f>
        <v/>
      </c>
      <c r="AG128" s="188" t="str" cm="1">
        <f t="array" ref="AG128">Common_InputFunctions.Utility_DisplayArrayInTable(Fertiliser_SourceData.Fertiliser_Products_Data2(), FertiliserProducts[[#Headers],[Company]],31)</f>
        <v/>
      </c>
      <c r="AH128" s="188"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88" t="str" cm="1">
        <f t="array" ref="D129">Common_InputFunctions.Utility_DisplayArrayInTable(Fertiliser_SourceData.Fertiliser_Products_Data2(), FertiliserProducts[[#Headers],[Company]],31)</f>
        <v>Switch Ag</v>
      </c>
      <c r="E129" s="188" t="str" cm="1">
        <f t="array" ref="E129">Common_InputFunctions.Utility_DisplayArrayInTable(Fertiliser_SourceData.Fertiliser_Products_Data2(), FertiliserProducts[[#Headers],[Company]],31)</f>
        <v>K20</v>
      </c>
      <c r="F129" s="188" t="str" cm="1">
        <f t="array" ref="F129">Common_InputFunctions.Utility_DisplayArrayInTable(Fertiliser_SourceData.Fertiliser_Products_Data2(), FertiliserProducts[[#Headers],[Company]],31)</f>
        <v>L</v>
      </c>
      <c r="G129" s="188" cm="1">
        <f t="array" ref="G129">Common_InputFunctions.Utility_DisplayArrayInTable(Fertiliser_SourceData.Fertiliser_Products_Data2(), FertiliserProducts[[#Headers],[Company]],31)</f>
        <v>1.3</v>
      </c>
      <c r="H129" s="188" t="str" cm="1">
        <f t="array" ref="H129">Common_InputFunctions.Utility_DisplayArrayInTable(Fertiliser_SourceData.Fertiliser_Products_Data2(), FertiliserProducts[[#Headers],[Company]],31)</f>
        <v/>
      </c>
      <c r="I129" s="188" t="str" cm="1">
        <f t="array" ref="I129">Common_InputFunctions.Utility_DisplayArrayInTable(Fertiliser_SourceData.Fertiliser_Products_Data2(), FertiliserProducts[[#Headers],[Company]],31)</f>
        <v/>
      </c>
      <c r="J129" s="188" t="str" cm="1">
        <f t="array" ref="J129">Common_InputFunctions.Utility_DisplayArrayInTable(Fertiliser_SourceData.Fertiliser_Products_Data2(), FertiliserProducts[[#Headers],[Company]],31)</f>
        <v/>
      </c>
      <c r="K129" s="188" cm="1">
        <f t="array" ref="K129">Common_InputFunctions.Utility_DisplayArrayInTable(Fertiliser_SourceData.Fertiliser_Products_Data2(), FertiliserProducts[[#Headers],[Company]],31)</f>
        <v>3</v>
      </c>
      <c r="L129" s="188" t="str" cm="1">
        <f t="array" ref="L129">Common_InputFunctions.Utility_DisplayArrayInTable(Fertiliser_SourceData.Fertiliser_Products_Data2(), FertiliserProducts[[#Headers],[Company]],31)</f>
        <v/>
      </c>
      <c r="M129" s="188" cm="1">
        <f t="array" ref="M129">Common_InputFunctions.Utility_DisplayArrayInTable(Fertiliser_SourceData.Fertiliser_Products_Data2(), FertiliserProducts[[#Headers],[Company]],31)</f>
        <v>22</v>
      </c>
      <c r="N129" s="188" t="str" cm="1">
        <f t="array" ref="N129">Common_InputFunctions.Utility_DisplayArrayInTable(Fertiliser_SourceData.Fertiliser_Products_Data2(), FertiliserProducts[[#Headers],[Company]],31)</f>
        <v/>
      </c>
      <c r="O129" s="188" t="str" cm="1">
        <f t="array" ref="O129">Common_InputFunctions.Utility_DisplayArrayInTable(Fertiliser_SourceData.Fertiliser_Products_Data2(), FertiliserProducts[[#Headers],[Company]],31)</f>
        <v>Potassium - Generic</v>
      </c>
      <c r="P129" s="188" cm="1">
        <f t="array" ref="P129">Common_InputFunctions.Utility_DisplayArrayInTable(Fertiliser_SourceData.Fertiliser_Products_Data2(), FertiliserProducts[[#Headers],[Company]],31)</f>
        <v>0.22</v>
      </c>
      <c r="Q129" s="188" t="str" cm="1">
        <f t="array" ref="Q129">Common_InputFunctions.Utility_DisplayArrayInTable(Fertiliser_SourceData.Fertiliser_Products_Data2(), FertiliserProducts[[#Headers],[Company]],31)</f>
        <v>Nitrogen - Generic</v>
      </c>
      <c r="R129" s="188" cm="1">
        <f t="array" ref="R129">Common_InputFunctions.Utility_DisplayArrayInTable(Fertiliser_SourceData.Fertiliser_Products_Data2(), FertiliserProducts[[#Headers],[Company]],31)</f>
        <v>0.03</v>
      </c>
      <c r="S129" s="188" t="str" cm="1">
        <f t="array" ref="S129">Common_InputFunctions.Utility_DisplayArrayInTable(Fertiliser_SourceData.Fertiliser_Products_Data2(), FertiliserProducts[[#Headers],[Company]],31)</f>
        <v/>
      </c>
      <c r="T129" s="188" t="str" cm="1">
        <f t="array" ref="T129">Common_InputFunctions.Utility_DisplayArrayInTable(Fertiliser_SourceData.Fertiliser_Products_Data2(), FertiliserProducts[[#Headers],[Company]],31)</f>
        <v/>
      </c>
      <c r="U129" s="188" t="str" cm="1">
        <f t="array" ref="U129">Common_InputFunctions.Utility_DisplayArrayInTable(Fertiliser_SourceData.Fertiliser_Products_Data2(), FertiliserProducts[[#Headers],[Company]],31)</f>
        <v/>
      </c>
      <c r="V129" s="188" t="str" cm="1">
        <f t="array" ref="V129">Common_InputFunctions.Utility_DisplayArrayInTable(Fertiliser_SourceData.Fertiliser_Products_Data2(), FertiliserProducts[[#Headers],[Company]],31)</f>
        <v/>
      </c>
      <c r="W129" s="188" t="str" cm="1">
        <f t="array" ref="W129">Common_InputFunctions.Utility_DisplayArrayInTable(Fertiliser_SourceData.Fertiliser_Products_Data2(), FertiliserProducts[[#Headers],[Company]],31)</f>
        <v/>
      </c>
      <c r="X129" s="188" t="str" cm="1">
        <f t="array" ref="X129">Common_InputFunctions.Utility_DisplayArrayInTable(Fertiliser_SourceData.Fertiliser_Products_Data2(), FertiliserProducts[[#Headers],[Company]],31)</f>
        <v/>
      </c>
      <c r="Y129" s="188" t="str" cm="1">
        <f t="array" ref="Y129">Common_InputFunctions.Utility_DisplayArrayInTable(Fertiliser_SourceData.Fertiliser_Products_Data2(), FertiliserProducts[[#Headers],[Company]],31)</f>
        <v/>
      </c>
      <c r="Z129" s="188" t="str" cm="1">
        <f t="array" ref="Z129">Common_InputFunctions.Utility_DisplayArrayInTable(Fertiliser_SourceData.Fertiliser_Products_Data2(), FertiliserProducts[[#Headers],[Company]],31)</f>
        <v/>
      </c>
      <c r="AA129" s="188" t="str" cm="1">
        <f t="array" ref="AA129">Common_InputFunctions.Utility_DisplayArrayInTable(Fertiliser_SourceData.Fertiliser_Products_Data2(), FertiliserProducts[[#Headers],[Company]],31)</f>
        <v/>
      </c>
      <c r="AB129" s="188" t="str" cm="1">
        <f t="array" ref="AB129">Common_InputFunctions.Utility_DisplayArrayInTable(Fertiliser_SourceData.Fertiliser_Products_Data2(), FertiliserProducts[[#Headers],[Company]],31)</f>
        <v/>
      </c>
      <c r="AC129" s="188" t="str" cm="1">
        <f t="array" ref="AC129">Common_InputFunctions.Utility_DisplayArrayInTable(Fertiliser_SourceData.Fertiliser_Products_Data2(), FertiliserProducts[[#Headers],[Company]],31)</f>
        <v/>
      </c>
      <c r="AD129" s="188" t="str" cm="1">
        <f t="array" ref="AD129">Common_InputFunctions.Utility_DisplayArrayInTable(Fertiliser_SourceData.Fertiliser_Products_Data2(), FertiliserProducts[[#Headers],[Company]],31)</f>
        <v/>
      </c>
      <c r="AE129" s="188" t="str" cm="1">
        <f t="array" ref="AE129">Common_InputFunctions.Utility_DisplayArrayInTable(Fertiliser_SourceData.Fertiliser_Products_Data2(), FertiliserProducts[[#Headers],[Company]],31)</f>
        <v/>
      </c>
      <c r="AF129" s="188" t="str" cm="1">
        <f t="array" ref="AF129">Common_InputFunctions.Utility_DisplayArrayInTable(Fertiliser_SourceData.Fertiliser_Products_Data2(), FertiliserProducts[[#Headers],[Company]],31)</f>
        <v/>
      </c>
      <c r="AG129" s="188" t="str" cm="1">
        <f t="array" ref="AG129">Common_InputFunctions.Utility_DisplayArrayInTable(Fertiliser_SourceData.Fertiliser_Products_Data2(), FertiliserProducts[[#Headers],[Company]],31)</f>
        <v/>
      </c>
      <c r="AH129" s="188"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88" t="str" cm="1">
        <f t="array" ref="D130">Common_InputFunctions.Utility_DisplayArrayInTable(Fertiliser_SourceData.Fertiliser_Products_Data2(), FertiliserProducts[[#Headers],[Company]],31)</f>
        <v>Loveland Agriproducts</v>
      </c>
      <c r="E130" s="188" t="str" cm="1">
        <f t="array" ref="E130">Common_InputFunctions.Utility_DisplayArrayInTable(Fertiliser_SourceData.Fertiliser_Products_Data2(), FertiliserProducts[[#Headers],[Company]],31)</f>
        <v>Maximum N-Pact</v>
      </c>
      <c r="F130" s="188" t="str" cm="1">
        <f t="array" ref="F130">Common_InputFunctions.Utility_DisplayArrayInTable(Fertiliser_SourceData.Fertiliser_Products_Data2(), FertiliserProducts[[#Headers],[Company]],31)</f>
        <v>L</v>
      </c>
      <c r="G130" s="188" cm="1">
        <f t="array" ref="G130">Common_InputFunctions.Utility_DisplayArrayInTable(Fertiliser_SourceData.Fertiliser_Products_Data2(), FertiliserProducts[[#Headers],[Company]],31)</f>
        <v>1.1850000000000001</v>
      </c>
      <c r="H130" s="188" t="str" cm="1">
        <f t="array" ref="H130">Common_InputFunctions.Utility_DisplayArrayInTable(Fertiliser_SourceData.Fertiliser_Products_Data2(), FertiliserProducts[[#Headers],[Company]],31)</f>
        <v/>
      </c>
      <c r="I130" s="188" t="str" cm="1">
        <f t="array" ref="I130">Common_InputFunctions.Utility_DisplayArrayInTable(Fertiliser_SourceData.Fertiliser_Products_Data2(), FertiliserProducts[[#Headers],[Company]],31)</f>
        <v/>
      </c>
      <c r="J130" s="188" t="str" cm="1">
        <f t="array" ref="J130">Common_InputFunctions.Utility_DisplayArrayInTable(Fertiliser_SourceData.Fertiliser_Products_Data2(), FertiliserProducts[[#Headers],[Company]],31)</f>
        <v/>
      </c>
      <c r="K130" s="188" cm="1">
        <f t="array" ref="K130">Common_InputFunctions.Utility_DisplayArrayInTable(Fertiliser_SourceData.Fertiliser_Products_Data2(), FertiliserProducts[[#Headers],[Company]],31)</f>
        <v>23.8</v>
      </c>
      <c r="L130" s="188" t="str" cm="1">
        <f t="array" ref="L130">Common_InputFunctions.Utility_DisplayArrayInTable(Fertiliser_SourceData.Fertiliser_Products_Data2(), FertiliserProducts[[#Headers],[Company]],31)</f>
        <v/>
      </c>
      <c r="M130" s="188" t="str" cm="1">
        <f t="array" ref="M130">Common_InputFunctions.Utility_DisplayArrayInTable(Fertiliser_SourceData.Fertiliser_Products_Data2(), FertiliserProducts[[#Headers],[Company]],31)</f>
        <v/>
      </c>
      <c r="N130" s="188" t="str" cm="1">
        <f t="array" ref="N130">Common_InputFunctions.Utility_DisplayArrayInTable(Fertiliser_SourceData.Fertiliser_Products_Data2(), FertiliserProducts[[#Headers],[Company]],31)</f>
        <v/>
      </c>
      <c r="O130" s="188" t="str" cm="1">
        <f t="array" ref="O130">Common_InputFunctions.Utility_DisplayArrayInTable(Fertiliser_SourceData.Fertiliser_Products_Data2(), FertiliserProducts[[#Headers],[Company]],31)</f>
        <v>Urea</v>
      </c>
      <c r="P130" s="188" cm="1">
        <f t="array" ref="P130">Common_InputFunctions.Utility_DisplayArrayInTable(Fertiliser_SourceData.Fertiliser_Products_Data2(), FertiliserProducts[[#Headers],[Company]],31)</f>
        <v>0.51739100000000005</v>
      </c>
      <c r="Q130" s="188" t="str" cm="1">
        <f t="array" ref="Q130">Common_InputFunctions.Utility_DisplayArrayInTable(Fertiliser_SourceData.Fertiliser_Products_Data2(), FertiliserProducts[[#Headers],[Company]],31)</f>
        <v/>
      </c>
      <c r="R130" s="188" t="str" cm="1">
        <f t="array" ref="R130">Common_InputFunctions.Utility_DisplayArrayInTable(Fertiliser_SourceData.Fertiliser_Products_Data2(), FertiliserProducts[[#Headers],[Company]],31)</f>
        <v/>
      </c>
      <c r="S130" s="188" t="str" cm="1">
        <f t="array" ref="S130">Common_InputFunctions.Utility_DisplayArrayInTable(Fertiliser_SourceData.Fertiliser_Products_Data2(), FertiliserProducts[[#Headers],[Company]],31)</f>
        <v/>
      </c>
      <c r="T130" s="188" t="str" cm="1">
        <f t="array" ref="T130">Common_InputFunctions.Utility_DisplayArrayInTable(Fertiliser_SourceData.Fertiliser_Products_Data2(), FertiliserProducts[[#Headers],[Company]],31)</f>
        <v/>
      </c>
      <c r="U130" s="188" t="str" cm="1">
        <f t="array" ref="U130">Common_InputFunctions.Utility_DisplayArrayInTable(Fertiliser_SourceData.Fertiliser_Products_Data2(), FertiliserProducts[[#Headers],[Company]],31)</f>
        <v/>
      </c>
      <c r="V130" s="188" t="str" cm="1">
        <f t="array" ref="V130">Common_InputFunctions.Utility_DisplayArrayInTable(Fertiliser_SourceData.Fertiliser_Products_Data2(), FertiliserProducts[[#Headers],[Company]],31)</f>
        <v/>
      </c>
      <c r="W130" s="188" t="str" cm="1">
        <f t="array" ref="W130">Common_InputFunctions.Utility_DisplayArrayInTable(Fertiliser_SourceData.Fertiliser_Products_Data2(), FertiliserProducts[[#Headers],[Company]],31)</f>
        <v/>
      </c>
      <c r="X130" s="188" t="str" cm="1">
        <f t="array" ref="X130">Common_InputFunctions.Utility_DisplayArrayInTable(Fertiliser_SourceData.Fertiliser_Products_Data2(), FertiliserProducts[[#Headers],[Company]],31)</f>
        <v/>
      </c>
      <c r="Y130" s="188" t="str" cm="1">
        <f t="array" ref="Y130">Common_InputFunctions.Utility_DisplayArrayInTable(Fertiliser_SourceData.Fertiliser_Products_Data2(), FertiliserProducts[[#Headers],[Company]],31)</f>
        <v/>
      </c>
      <c r="Z130" s="188" t="str" cm="1">
        <f t="array" ref="Z130">Common_InputFunctions.Utility_DisplayArrayInTable(Fertiliser_SourceData.Fertiliser_Products_Data2(), FertiliserProducts[[#Headers],[Company]],31)</f>
        <v/>
      </c>
      <c r="AA130" s="188" t="str" cm="1">
        <f t="array" ref="AA130">Common_InputFunctions.Utility_DisplayArrayInTable(Fertiliser_SourceData.Fertiliser_Products_Data2(), FertiliserProducts[[#Headers],[Company]],31)</f>
        <v/>
      </c>
      <c r="AB130" s="188" t="str" cm="1">
        <f t="array" ref="AB130">Common_InputFunctions.Utility_DisplayArrayInTable(Fertiliser_SourceData.Fertiliser_Products_Data2(), FertiliserProducts[[#Headers],[Company]],31)</f>
        <v/>
      </c>
      <c r="AC130" s="188" t="str" cm="1">
        <f t="array" ref="AC130">Common_InputFunctions.Utility_DisplayArrayInTable(Fertiliser_SourceData.Fertiliser_Products_Data2(), FertiliserProducts[[#Headers],[Company]],31)</f>
        <v/>
      </c>
      <c r="AD130" s="188" t="str" cm="1">
        <f t="array" ref="AD130">Common_InputFunctions.Utility_DisplayArrayInTable(Fertiliser_SourceData.Fertiliser_Products_Data2(), FertiliserProducts[[#Headers],[Company]],31)</f>
        <v/>
      </c>
      <c r="AE130" s="188" t="str" cm="1">
        <f t="array" ref="AE130">Common_InputFunctions.Utility_DisplayArrayInTable(Fertiliser_SourceData.Fertiliser_Products_Data2(), FertiliserProducts[[#Headers],[Company]],31)</f>
        <v/>
      </c>
      <c r="AF130" s="188" t="str" cm="1">
        <f t="array" ref="AF130">Common_InputFunctions.Utility_DisplayArrayInTable(Fertiliser_SourceData.Fertiliser_Products_Data2(), FertiliserProducts[[#Headers],[Company]],31)</f>
        <v/>
      </c>
      <c r="AG130" s="188" t="str" cm="1">
        <f t="array" ref="AG130">Common_InputFunctions.Utility_DisplayArrayInTable(Fertiliser_SourceData.Fertiliser_Products_Data2(), FertiliserProducts[[#Headers],[Company]],31)</f>
        <v/>
      </c>
      <c r="AH130" s="188"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88" t="str" cm="1">
        <f t="array" ref="D131">Common_InputFunctions.Utility_DisplayArrayInTable(Fertiliser_SourceData.Fertiliser_Products_Data2(), FertiliserProducts[[#Headers],[Company]],31)</f>
        <v>SL Tec</v>
      </c>
      <c r="E131" s="188" t="str" cm="1">
        <f t="array" ref="E131">Common_InputFunctions.Utility_DisplayArrayInTable(Fertiliser_SourceData.Fertiliser_Products_Data2(), FertiliserProducts[[#Headers],[Company]],31)</f>
        <v>Nitro Combi TE</v>
      </c>
      <c r="F131" s="188" t="str" cm="1">
        <f t="array" ref="F131">Common_InputFunctions.Utility_DisplayArrayInTable(Fertiliser_SourceData.Fertiliser_Products_Data2(), FertiliserProducts[[#Headers],[Company]],31)</f>
        <v>L</v>
      </c>
      <c r="G131" s="188" cm="1">
        <f t="array" ref="G131">Common_InputFunctions.Utility_DisplayArrayInTable(Fertiliser_SourceData.Fertiliser_Products_Data2(), FertiliserProducts[[#Headers],[Company]],31)</f>
        <v>1.2549999999999999</v>
      </c>
      <c r="H131" s="188" t="str" cm="1">
        <f t="array" ref="H131">Common_InputFunctions.Utility_DisplayArrayInTable(Fertiliser_SourceData.Fertiliser_Products_Data2(), FertiliserProducts[[#Headers],[Company]],31)</f>
        <v/>
      </c>
      <c r="I131" s="188" t="str" cm="1">
        <f t="array" ref="I131">Common_InputFunctions.Utility_DisplayArrayInTable(Fertiliser_SourceData.Fertiliser_Products_Data2(), FertiliserProducts[[#Headers],[Company]],31)</f>
        <v/>
      </c>
      <c r="J131" s="188" t="str" cm="1">
        <f t="array" ref="J131">Common_InputFunctions.Utility_DisplayArrayInTable(Fertiliser_SourceData.Fertiliser_Products_Data2(), FertiliserProducts[[#Headers],[Company]],31)</f>
        <v/>
      </c>
      <c r="K131" s="188" t="str" cm="1">
        <f t="array" ref="K131">Common_InputFunctions.Utility_DisplayArrayInTable(Fertiliser_SourceData.Fertiliser_Products_Data2(), FertiliserProducts[[#Headers],[Company]],31)</f>
        <v/>
      </c>
      <c r="L131" s="188" t="str" cm="1">
        <f t="array" ref="L131">Common_InputFunctions.Utility_DisplayArrayInTable(Fertiliser_SourceData.Fertiliser_Products_Data2(), FertiliserProducts[[#Headers],[Company]],31)</f>
        <v/>
      </c>
      <c r="M131" s="188" cm="1">
        <f t="array" ref="M131">Common_InputFunctions.Utility_DisplayArrayInTable(Fertiliser_SourceData.Fertiliser_Products_Data2(), FertiliserProducts[[#Headers],[Company]],31)</f>
        <v>0.1</v>
      </c>
      <c r="N131" s="188" cm="1">
        <f t="array" ref="N131">Common_InputFunctions.Utility_DisplayArrayInTable(Fertiliser_SourceData.Fertiliser_Products_Data2(), FertiliserProducts[[#Headers],[Company]],31)</f>
        <v>4.4000000000000004</v>
      </c>
      <c r="O131" s="188" t="str" cm="1">
        <f t="array" ref="O131">Common_InputFunctions.Utility_DisplayArrayInTable(Fertiliser_SourceData.Fertiliser_Products_Data2(), FertiliserProducts[[#Headers],[Company]],31)</f>
        <v>Sulfur - Generic</v>
      </c>
      <c r="P131" s="188" cm="1">
        <f t="array" ref="P131">Common_InputFunctions.Utility_DisplayArrayInTable(Fertiliser_SourceData.Fertiliser_Products_Data2(), FertiliserProducts[[#Headers],[Company]],31)</f>
        <v>4.3999999999999997E-2</v>
      </c>
      <c r="Q131" s="188" t="str" cm="1">
        <f t="array" ref="Q131">Common_InputFunctions.Utility_DisplayArrayInTable(Fertiliser_SourceData.Fertiliser_Products_Data2(), FertiliserProducts[[#Headers],[Company]],31)</f>
        <v>Zinc</v>
      </c>
      <c r="R131" s="188" cm="1">
        <f t="array" ref="R131">Common_InputFunctions.Utility_DisplayArrayInTable(Fertiliser_SourceData.Fertiliser_Products_Data2(), FertiliserProducts[[#Headers],[Company]],31)</f>
        <v>2.1999999999999999E-2</v>
      </c>
      <c r="S131" s="188" t="str" cm="1">
        <f t="array" ref="S131">Common_InputFunctions.Utility_DisplayArrayInTable(Fertiliser_SourceData.Fertiliser_Products_Data2(), FertiliserProducts[[#Headers],[Company]],31)</f>
        <v>Iron</v>
      </c>
      <c r="T131" s="188" cm="1">
        <f t="array" ref="T131">Common_InputFunctions.Utility_DisplayArrayInTable(Fertiliser_SourceData.Fertiliser_Products_Data2(), FertiliserProducts[[#Headers],[Company]],31)</f>
        <v>2.1999999999999999E-2</v>
      </c>
      <c r="U131" s="188" t="str" cm="1">
        <f t="array" ref="U131">Common_InputFunctions.Utility_DisplayArrayInTable(Fertiliser_SourceData.Fertiliser_Products_Data2(), FertiliserProducts[[#Headers],[Company]],31)</f>
        <v>Manganese</v>
      </c>
      <c r="V131" s="188" cm="1">
        <f t="array" ref="V131">Common_InputFunctions.Utility_DisplayArrayInTable(Fertiliser_SourceData.Fertiliser_Products_Data2(), FertiliserProducts[[#Headers],[Company]],31)</f>
        <v>1.6E-2</v>
      </c>
      <c r="W131" s="188" t="str" cm="1">
        <f t="array" ref="W131">Common_InputFunctions.Utility_DisplayArrayInTable(Fertiliser_SourceData.Fertiliser_Products_Data2(), FertiliserProducts[[#Headers],[Company]],31)</f>
        <v>Boron</v>
      </c>
      <c r="X131" s="188" cm="1">
        <f t="array" ref="X131">Common_InputFunctions.Utility_DisplayArrayInTable(Fertiliser_SourceData.Fertiliser_Products_Data2(), FertiliserProducts[[#Headers],[Company]],31)</f>
        <v>8.0000000000000002E-3</v>
      </c>
      <c r="Y131" s="188" t="str" cm="1">
        <f t="array" ref="Y131">Common_InputFunctions.Utility_DisplayArrayInTable(Fertiliser_SourceData.Fertiliser_Products_Data2(), FertiliserProducts[[#Headers],[Company]],31)</f>
        <v>Magnesium</v>
      </c>
      <c r="Z131" s="188" cm="1">
        <f t="array" ref="Z131">Common_InputFunctions.Utility_DisplayArrayInTable(Fertiliser_SourceData.Fertiliser_Products_Data2(), FertiliserProducts[[#Headers],[Company]],31)</f>
        <v>7.0000000000000001E-3</v>
      </c>
      <c r="AA131" s="188" t="str" cm="1">
        <f t="array" ref="AA131">Common_InputFunctions.Utility_DisplayArrayInTable(Fertiliser_SourceData.Fertiliser_Products_Data2(), FertiliserProducts[[#Headers],[Company]],31)</f>
        <v>Fulvic acid (organic)</v>
      </c>
      <c r="AB131" s="188" cm="1">
        <f t="array" ref="AB131">Common_InputFunctions.Utility_DisplayArrayInTable(Fertiliser_SourceData.Fertiliser_Products_Data2(), FertiliserProducts[[#Headers],[Company]],31)</f>
        <v>5.0000000000000001E-3</v>
      </c>
      <c r="AC131" s="188" t="str" cm="1">
        <f t="array" ref="AC131">Common_InputFunctions.Utility_DisplayArrayInTable(Fertiliser_SourceData.Fertiliser_Products_Data2(), FertiliserProducts[[#Headers],[Company]],31)</f>
        <v>Copper</v>
      </c>
      <c r="AD131" s="188" cm="1">
        <f t="array" ref="AD131">Common_InputFunctions.Utility_DisplayArrayInTable(Fertiliser_SourceData.Fertiliser_Products_Data2(), FertiliserProducts[[#Headers],[Company]],31)</f>
        <v>3.0000000000000001E-3</v>
      </c>
      <c r="AE131" s="188" t="str" cm="1">
        <f t="array" ref="AE131">Common_InputFunctions.Utility_DisplayArrayInTable(Fertiliser_SourceData.Fertiliser_Products_Data2(), FertiliserProducts[[#Headers],[Company]],31)</f>
        <v>Potassium - Generic</v>
      </c>
      <c r="AF131" s="188" cm="1">
        <f t="array" ref="AF131">Common_InputFunctions.Utility_DisplayArrayInTable(Fertiliser_SourceData.Fertiliser_Products_Data2(), FertiliserProducts[[#Headers],[Company]],31)</f>
        <v>1E-3</v>
      </c>
      <c r="AG131" s="188" t="str" cm="1">
        <f t="array" ref="AG131">Common_InputFunctions.Utility_DisplayArrayInTable(Fertiliser_SourceData.Fertiliser_Products_Data2(), FertiliserProducts[[#Headers],[Company]],31)</f>
        <v>Molybdenum</v>
      </c>
      <c r="AH131" s="188"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88" t="str" cm="1">
        <f t="array" ref="D132">Common_InputFunctions.Utility_DisplayArrayInTable(Fertiliser_SourceData.Fertiliser_Products_Data2(), FertiliserProducts[[#Headers],[Company]],31)</f>
        <v>Switch Ag</v>
      </c>
      <c r="E132" s="188" t="str" cm="1">
        <f t="array" ref="E132">Common_InputFunctions.Utility_DisplayArrayInTable(Fertiliser_SourceData.Fertiliser_Products_Data2(), FertiliserProducts[[#Headers],[Company]],31)</f>
        <v>PastureMAXX</v>
      </c>
      <c r="F132" s="188" t="str" cm="1">
        <f t="array" ref="F132">Common_InputFunctions.Utility_DisplayArrayInTable(Fertiliser_SourceData.Fertiliser_Products_Data2(), FertiliserProducts[[#Headers],[Company]],31)</f>
        <v>L</v>
      </c>
      <c r="G132" s="188" cm="1">
        <f t="array" ref="G132">Common_InputFunctions.Utility_DisplayArrayInTable(Fertiliser_SourceData.Fertiliser_Products_Data2(), FertiliserProducts[[#Headers],[Company]],31)</f>
        <v>1.23</v>
      </c>
      <c r="H132" s="188" t="str" cm="1">
        <f t="array" ref="H132">Common_InputFunctions.Utility_DisplayArrayInTable(Fertiliser_SourceData.Fertiliser_Products_Data2(), FertiliserProducts[[#Headers],[Company]],31)</f>
        <v/>
      </c>
      <c r="I132" s="188" t="str" cm="1">
        <f t="array" ref="I132">Common_InputFunctions.Utility_DisplayArrayInTable(Fertiliser_SourceData.Fertiliser_Products_Data2(), FertiliserProducts[[#Headers],[Company]],31)</f>
        <v/>
      </c>
      <c r="J132" s="188" t="str" cm="1">
        <f t="array" ref="J132">Common_InputFunctions.Utility_DisplayArrayInTable(Fertiliser_SourceData.Fertiliser_Products_Data2(), FertiliserProducts[[#Headers],[Company]],31)</f>
        <v/>
      </c>
      <c r="K132" s="188" cm="1">
        <f t="array" ref="K132">Common_InputFunctions.Utility_DisplayArrayInTable(Fertiliser_SourceData.Fertiliser_Products_Data2(), FertiliserProducts[[#Headers],[Company]],31)</f>
        <v>9.7100000000000009</v>
      </c>
      <c r="L132" s="188" t="str" cm="1">
        <f t="array" ref="L132">Common_InputFunctions.Utility_DisplayArrayInTable(Fertiliser_SourceData.Fertiliser_Products_Data2(), FertiliserProducts[[#Headers],[Company]],31)</f>
        <v/>
      </c>
      <c r="M132" s="188" cm="1">
        <f t="array" ref="M132">Common_InputFunctions.Utility_DisplayArrayInTable(Fertiliser_SourceData.Fertiliser_Products_Data2(), FertiliserProducts[[#Headers],[Company]],31)</f>
        <v>3.25</v>
      </c>
      <c r="N132" s="188" cm="1">
        <f t="array" ref="N132">Common_InputFunctions.Utility_DisplayArrayInTable(Fertiliser_SourceData.Fertiliser_Products_Data2(), FertiliserProducts[[#Headers],[Company]],31)</f>
        <v>2.11</v>
      </c>
      <c r="O132" s="188" t="str" cm="1">
        <f t="array" ref="O132">Common_InputFunctions.Utility_DisplayArrayInTable(Fertiliser_SourceData.Fertiliser_Products_Data2(), FertiliserProducts[[#Headers],[Company]],31)</f>
        <v>Nitrogen - Generic</v>
      </c>
      <c r="P132" s="188" cm="1">
        <f t="array" ref="P132">Common_InputFunctions.Utility_DisplayArrayInTable(Fertiliser_SourceData.Fertiliser_Products_Data2(), FertiliserProducts[[#Headers],[Company]],31)</f>
        <v>9.7100000000000006E-2</v>
      </c>
      <c r="Q132" s="188" t="str" cm="1">
        <f t="array" ref="Q132">Common_InputFunctions.Utility_DisplayArrayInTable(Fertiliser_SourceData.Fertiliser_Products_Data2(), FertiliserProducts[[#Headers],[Company]],31)</f>
        <v>Potassium - Generic</v>
      </c>
      <c r="R132" s="188" cm="1">
        <f t="array" ref="R132">Common_InputFunctions.Utility_DisplayArrayInTable(Fertiliser_SourceData.Fertiliser_Products_Data2(), FertiliserProducts[[#Headers],[Company]],31)</f>
        <v>3.2500000000000001E-2</v>
      </c>
      <c r="S132" s="188" t="str" cm="1">
        <f t="array" ref="S132">Common_InputFunctions.Utility_DisplayArrayInTable(Fertiliser_SourceData.Fertiliser_Products_Data2(), FertiliserProducts[[#Headers],[Company]],31)</f>
        <v>Sulfur - Generic</v>
      </c>
      <c r="T132" s="188" cm="1">
        <f t="array" ref="T132">Common_InputFunctions.Utility_DisplayArrayInTable(Fertiliser_SourceData.Fertiliser_Products_Data2(), FertiliserProducts[[#Headers],[Company]],31)</f>
        <v>2.1100000000000001E-2</v>
      </c>
      <c r="U132" s="188" t="str" cm="1">
        <f t="array" ref="U132">Common_InputFunctions.Utility_DisplayArrayInTable(Fertiliser_SourceData.Fertiliser_Products_Data2(), FertiliserProducts[[#Headers],[Company]],31)</f>
        <v>Zinc</v>
      </c>
      <c r="V132" s="188" cm="1">
        <f t="array" ref="V132">Common_InputFunctions.Utility_DisplayArrayInTable(Fertiliser_SourceData.Fertiliser_Products_Data2(), FertiliserProducts[[#Headers],[Company]],31)</f>
        <v>1.4999999999999999E-2</v>
      </c>
      <c r="W132" s="188" t="str" cm="1">
        <f t="array" ref="W132">Common_InputFunctions.Utility_DisplayArrayInTable(Fertiliser_SourceData.Fertiliser_Products_Data2(), FertiliserProducts[[#Headers],[Company]],31)</f>
        <v>Iron</v>
      </c>
      <c r="X132" s="188" cm="1">
        <f t="array" ref="X132">Common_InputFunctions.Utility_DisplayArrayInTable(Fertiliser_SourceData.Fertiliser_Products_Data2(), FertiliserProducts[[#Headers],[Company]],31)</f>
        <v>1.11E-2</v>
      </c>
      <c r="Y132" s="188" t="str" cm="1">
        <f t="array" ref="Y132">Common_InputFunctions.Utility_DisplayArrayInTable(Fertiliser_SourceData.Fertiliser_Products_Data2(), FertiliserProducts[[#Headers],[Company]],31)</f>
        <v>Manganese</v>
      </c>
      <c r="Z132" s="188" cm="1">
        <f t="array" ref="Z132">Common_InputFunctions.Utility_DisplayArrayInTable(Fertiliser_SourceData.Fertiliser_Products_Data2(), FertiliserProducts[[#Headers],[Company]],31)</f>
        <v>1.15E-2</v>
      </c>
      <c r="AA132" s="188" t="str" cm="1">
        <f t="array" ref="AA132">Common_InputFunctions.Utility_DisplayArrayInTable(Fertiliser_SourceData.Fertiliser_Products_Data2(), FertiliserProducts[[#Headers],[Company]],31)</f>
        <v>Magnesium</v>
      </c>
      <c r="AB132" s="188" cm="1">
        <f t="array" ref="AB132">Common_InputFunctions.Utility_DisplayArrayInTable(Fertiliser_SourceData.Fertiliser_Products_Data2(), FertiliserProducts[[#Headers],[Company]],31)</f>
        <v>4.4999999999999997E-3</v>
      </c>
      <c r="AC132" s="188" t="str" cm="1">
        <f t="array" ref="AC132">Common_InputFunctions.Utility_DisplayArrayInTable(Fertiliser_SourceData.Fertiliser_Products_Data2(), FertiliserProducts[[#Headers],[Company]],31)</f>
        <v>Boron</v>
      </c>
      <c r="AD132" s="188" cm="1">
        <f t="array" ref="AD132">Common_InputFunctions.Utility_DisplayArrayInTable(Fertiliser_SourceData.Fertiliser_Products_Data2(), FertiliserProducts[[#Headers],[Company]],31)</f>
        <v>2E-3</v>
      </c>
      <c r="AE132" s="188" t="str" cm="1">
        <f t="array" ref="AE132">Common_InputFunctions.Utility_DisplayArrayInTable(Fertiliser_SourceData.Fertiliser_Products_Data2(), FertiliserProducts[[#Headers],[Company]],31)</f>
        <v/>
      </c>
      <c r="AF132" s="188" t="str" cm="1">
        <f t="array" ref="AF132">Common_InputFunctions.Utility_DisplayArrayInTable(Fertiliser_SourceData.Fertiliser_Products_Data2(), FertiliserProducts[[#Headers],[Company]],31)</f>
        <v/>
      </c>
      <c r="AG132" s="188" t="str" cm="1">
        <f t="array" ref="AG132">Common_InputFunctions.Utility_DisplayArrayInTable(Fertiliser_SourceData.Fertiliser_Products_Data2(), FertiliserProducts[[#Headers],[Company]],31)</f>
        <v/>
      </c>
      <c r="AH132" s="188"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88" t="str" cm="1">
        <f t="array" ref="D133">Common_InputFunctions.Utility_DisplayArrayInTable(Fertiliser_SourceData.Fertiliser_Products_Data2(), FertiliserProducts[[#Headers],[Company]],31)</f>
        <v>Campbells fertilisers Australia</v>
      </c>
      <c r="E133" s="188" t="str" cm="1">
        <f t="array" ref="E133">Common_InputFunctions.Utility_DisplayArrayInTable(Fertiliser_SourceData.Fertiliser_Products_Data2(), FertiliserProducts[[#Headers],[Company]],31)</f>
        <v>Platinum Nergetic</v>
      </c>
      <c r="F133" s="188" t="str" cm="1">
        <f t="array" ref="F133">Common_InputFunctions.Utility_DisplayArrayInTable(Fertiliser_SourceData.Fertiliser_Products_Data2(), FertiliserProducts[[#Headers],[Company]],31)</f>
        <v>kg</v>
      </c>
      <c r="G133" s="188" cm="1">
        <f t="array" ref="G133">Common_InputFunctions.Utility_DisplayArrayInTable(Fertiliser_SourceData.Fertiliser_Products_Data2(), FertiliserProducts[[#Headers],[Company]],31)</f>
        <v>1</v>
      </c>
      <c r="H133" s="188" t="str" cm="1">
        <f t="array" ref="H133">Common_InputFunctions.Utility_DisplayArrayInTable(Fertiliser_SourceData.Fertiliser_Products_Data2(), FertiliserProducts[[#Headers],[Company]],31)</f>
        <v/>
      </c>
      <c r="I133" s="188" t="str" cm="1">
        <f t="array" ref="I133">Common_InputFunctions.Utility_DisplayArrayInTable(Fertiliser_SourceData.Fertiliser_Products_Data2(), FertiliserProducts[[#Headers],[Company]],31)</f>
        <v/>
      </c>
      <c r="J133" s="188" t="str" cm="1">
        <f t="array" ref="J133">Common_InputFunctions.Utility_DisplayArrayInTable(Fertiliser_SourceData.Fertiliser_Products_Data2(), FertiliserProducts[[#Headers],[Company]],31)</f>
        <v/>
      </c>
      <c r="K133" s="188" cm="1">
        <f t="array" ref="K133">Common_InputFunctions.Utility_DisplayArrayInTable(Fertiliser_SourceData.Fertiliser_Products_Data2(), FertiliserProducts[[#Headers],[Company]],31)</f>
        <v>10</v>
      </c>
      <c r="L133" s="188" cm="1">
        <f t="array" ref="L133">Common_InputFunctions.Utility_DisplayArrayInTable(Fertiliser_SourceData.Fertiliser_Products_Data2(), FertiliserProducts[[#Headers],[Company]],31)</f>
        <v>10.9</v>
      </c>
      <c r="M133" s="188" cm="1">
        <f t="array" ref="M133">Common_InputFunctions.Utility_DisplayArrayInTable(Fertiliser_SourceData.Fertiliser_Products_Data2(), FertiliserProducts[[#Headers],[Company]],31)</f>
        <v>10</v>
      </c>
      <c r="N133" s="188" cm="1">
        <f t="array" ref="N133">Common_InputFunctions.Utility_DisplayArrayInTable(Fertiliser_SourceData.Fertiliser_Products_Data2(), FertiliserProducts[[#Headers],[Company]],31)</f>
        <v>4.34</v>
      </c>
      <c r="O133" s="188" t="str" cm="1">
        <f t="array" ref="O133">Common_InputFunctions.Utility_DisplayArrayInTable(Fertiliser_SourceData.Fertiliser_Products_Data2(), FertiliserProducts[[#Headers],[Company]],31)</f>
        <v>Monoammonium phosphate (MAP)</v>
      </c>
      <c r="P133" s="188" cm="1">
        <f t="array" ref="P133">Common_InputFunctions.Utility_DisplayArrayInTable(Fertiliser_SourceData.Fertiliser_Products_Data2(), FertiliserProducts[[#Headers],[Company]],31)</f>
        <v>0.4178</v>
      </c>
      <c r="Q133" s="188" t="str" cm="1">
        <f t="array" ref="Q133">Common_InputFunctions.Utility_DisplayArrayInTable(Fertiliser_SourceData.Fertiliser_Products_Data2(), FertiliserProducts[[#Headers],[Company]],31)</f>
        <v>Ammonium nitrate (AN)</v>
      </c>
      <c r="R133" s="188" cm="1">
        <f t="array" ref="R133">Common_InputFunctions.Utility_DisplayArrayInTable(Fertiliser_SourceData.Fertiliser_Products_Data2(), FertiliserProducts[[#Headers],[Company]],31)</f>
        <v>0.17280000000000001</v>
      </c>
      <c r="S133" s="188" t="str" cm="1">
        <f t="array" ref="S133">Common_InputFunctions.Utility_DisplayArrayInTable(Fertiliser_SourceData.Fertiliser_Products_Data2(), FertiliserProducts[[#Headers],[Company]],31)</f>
        <v>Potassium sulphate</v>
      </c>
      <c r="T133" s="188" cm="1">
        <f t="array" ref="T133">Common_InputFunctions.Utility_DisplayArrayInTable(Fertiliser_SourceData.Fertiliser_Products_Data2(), FertiliserProducts[[#Headers],[Company]],31)</f>
        <v>0.24096400000000001</v>
      </c>
      <c r="U133" s="188" t="str" cm="1">
        <f t="array" ref="U133">Common_InputFunctions.Utility_DisplayArrayInTable(Fertiliser_SourceData.Fertiliser_Products_Data2(), FertiliserProducts[[#Headers],[Company]],31)</f>
        <v>Double superphosphate</v>
      </c>
      <c r="V133" s="188" cm="1">
        <f t="array" ref="V133">Common_InputFunctions.Utility_DisplayArrayInTable(Fertiliser_SourceData.Fertiliser_Products_Data2(), FertiliserProducts[[#Headers],[Company]],31)</f>
        <v>0.1</v>
      </c>
      <c r="W133" s="188" t="str" cm="1">
        <f t="array" ref="W133">Common_InputFunctions.Utility_DisplayArrayInTable(Fertiliser_SourceData.Fertiliser_Products_Data2(), FertiliserProducts[[#Headers],[Company]],31)</f>
        <v>Magnesium</v>
      </c>
      <c r="X133" s="188" cm="1">
        <f t="array" ref="X133">Common_InputFunctions.Utility_DisplayArrayInTable(Fertiliser_SourceData.Fertiliser_Products_Data2(), FertiliserProducts[[#Headers],[Company]],31)</f>
        <v>1.2E-2</v>
      </c>
      <c r="Y133" s="188" t="str" cm="1">
        <f t="array" ref="Y133">Common_InputFunctions.Utility_DisplayArrayInTable(Fertiliser_SourceData.Fertiliser_Products_Data2(), FertiliserProducts[[#Headers],[Company]],31)</f>
        <v>Zinc</v>
      </c>
      <c r="Z133" s="188" cm="1">
        <f t="array" ref="Z133">Common_InputFunctions.Utility_DisplayArrayInTable(Fertiliser_SourceData.Fertiliser_Products_Data2(), FertiliserProducts[[#Headers],[Company]],31)</f>
        <v>3.5999999999999999E-3</v>
      </c>
      <c r="AA133" s="188" t="str" cm="1">
        <f t="array" ref="AA133">Common_InputFunctions.Utility_DisplayArrayInTable(Fertiliser_SourceData.Fertiliser_Products_Data2(), FertiliserProducts[[#Headers],[Company]],31)</f>
        <v>Boron</v>
      </c>
      <c r="AB133" s="188" cm="1">
        <f t="array" ref="AB133">Common_InputFunctions.Utility_DisplayArrayInTable(Fertiliser_SourceData.Fertiliser_Products_Data2(), FertiliserProducts[[#Headers],[Company]],31)</f>
        <v>1E-3</v>
      </c>
      <c r="AC133" s="188" t="str" cm="1">
        <f t="array" ref="AC133">Common_InputFunctions.Utility_DisplayArrayInTable(Fertiliser_SourceData.Fertiliser_Products_Data2(), FertiliserProducts[[#Headers],[Company]],31)</f>
        <v>Glaze Extend G3 Flexi</v>
      </c>
      <c r="AD133" s="188" cm="1">
        <f t="array" ref="AD133">Common_InputFunctions.Utility_DisplayArrayInTable(Fertiliser_SourceData.Fertiliser_Products_Data2(), FertiliserProducts[[#Headers],[Company]],31)</f>
        <v>5.1900000000000002E-2</v>
      </c>
      <c r="AE133" s="188" t="str" cm="1">
        <f t="array" ref="AE133">Common_InputFunctions.Utility_DisplayArrayInTable(Fertiliser_SourceData.Fertiliser_Products_Data2(), FertiliserProducts[[#Headers],[Company]],31)</f>
        <v/>
      </c>
      <c r="AF133" s="188" t="str" cm="1">
        <f t="array" ref="AF133">Common_InputFunctions.Utility_DisplayArrayInTable(Fertiliser_SourceData.Fertiliser_Products_Data2(), FertiliserProducts[[#Headers],[Company]],31)</f>
        <v/>
      </c>
      <c r="AG133" s="188" t="str" cm="1">
        <f t="array" ref="AG133">Common_InputFunctions.Utility_DisplayArrayInTable(Fertiliser_SourceData.Fertiliser_Products_Data2(), FertiliserProducts[[#Headers],[Company]],31)</f>
        <v/>
      </c>
      <c r="AH133" s="188"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88" t="str" cm="1">
        <f t="array" ref="D134">Common_InputFunctions.Utility_DisplayArrayInTable(Fertiliser_SourceData.Fertiliser_Products_Data2(), FertiliserProducts[[#Headers],[Company]],31)</f>
        <v>Impact Fertilisers</v>
      </c>
      <c r="E134" s="188" t="str" cm="1">
        <f t="array" ref="E134">Common_InputFunctions.Utility_DisplayArrayInTable(Fertiliser_SourceData.Fertiliser_Products_Data2(), FertiliserProducts[[#Headers],[Company]],31)</f>
        <v>Sulphate of ammonia (SOA)</v>
      </c>
      <c r="F134" s="188" t="str" cm="1">
        <f t="array" ref="F134">Common_InputFunctions.Utility_DisplayArrayInTable(Fertiliser_SourceData.Fertiliser_Products_Data2(), FertiliserProducts[[#Headers],[Company]],31)</f>
        <v>kg</v>
      </c>
      <c r="G134" s="188" cm="1">
        <f t="array" ref="G134">Common_InputFunctions.Utility_DisplayArrayInTable(Fertiliser_SourceData.Fertiliser_Products_Data2(), FertiliserProducts[[#Headers],[Company]],31)</f>
        <v>1</v>
      </c>
      <c r="H134" s="188" t="str" cm="1">
        <f t="array" ref="H134">Common_InputFunctions.Utility_DisplayArrayInTable(Fertiliser_SourceData.Fertiliser_Products_Data2(), FertiliserProducts[[#Headers],[Company]],31)</f>
        <v/>
      </c>
      <c r="I134" s="188" t="str" cm="1">
        <f t="array" ref="I134">Common_InputFunctions.Utility_DisplayArrayInTable(Fertiliser_SourceData.Fertiliser_Products_Data2(), FertiliserProducts[[#Headers],[Company]],31)</f>
        <v/>
      </c>
      <c r="J134" s="188" t="str" cm="1">
        <f t="array" ref="J134">Common_InputFunctions.Utility_DisplayArrayInTable(Fertiliser_SourceData.Fertiliser_Products_Data2(), FertiliserProducts[[#Headers],[Company]],31)</f>
        <v/>
      </c>
      <c r="K134" s="188" cm="1">
        <f t="array" ref="K134">Common_InputFunctions.Utility_DisplayArrayInTable(Fertiliser_SourceData.Fertiliser_Products_Data2(), FertiliserProducts[[#Headers],[Company]],31)</f>
        <v>21</v>
      </c>
      <c r="L134" s="188" t="str" cm="1">
        <f t="array" ref="L134">Common_InputFunctions.Utility_DisplayArrayInTable(Fertiliser_SourceData.Fertiliser_Products_Data2(), FertiliserProducts[[#Headers],[Company]],31)</f>
        <v/>
      </c>
      <c r="M134" s="188" t="str" cm="1">
        <f t="array" ref="M134">Common_InputFunctions.Utility_DisplayArrayInTable(Fertiliser_SourceData.Fertiliser_Products_Data2(), FertiliserProducts[[#Headers],[Company]],31)</f>
        <v/>
      </c>
      <c r="N134" s="188" cm="1">
        <f t="array" ref="N134">Common_InputFunctions.Utility_DisplayArrayInTable(Fertiliser_SourceData.Fertiliser_Products_Data2(), FertiliserProducts[[#Headers],[Company]],31)</f>
        <v>24</v>
      </c>
      <c r="O134" s="188" t="str" cm="1">
        <f t="array" ref="O134">Common_InputFunctions.Utility_DisplayArrayInTable(Fertiliser_SourceData.Fertiliser_Products_Data2(), FertiliserProducts[[#Headers],[Company]],31)</f>
        <v>Sulphate of ammonia (SOA)</v>
      </c>
      <c r="P134" s="188" cm="1">
        <f t="array" ref="P134">Common_InputFunctions.Utility_DisplayArrayInTable(Fertiliser_SourceData.Fertiliser_Products_Data2(), FertiliserProducts[[#Headers],[Company]],31)</f>
        <v>1</v>
      </c>
      <c r="Q134" s="188" t="str" cm="1">
        <f t="array" ref="Q134">Common_InputFunctions.Utility_DisplayArrayInTable(Fertiliser_SourceData.Fertiliser_Products_Data2(), FertiliserProducts[[#Headers],[Company]],31)</f>
        <v/>
      </c>
      <c r="R134" s="188" t="str" cm="1">
        <f t="array" ref="R134">Common_InputFunctions.Utility_DisplayArrayInTable(Fertiliser_SourceData.Fertiliser_Products_Data2(), FertiliserProducts[[#Headers],[Company]],31)</f>
        <v/>
      </c>
      <c r="S134" s="188" t="str" cm="1">
        <f t="array" ref="S134">Common_InputFunctions.Utility_DisplayArrayInTable(Fertiliser_SourceData.Fertiliser_Products_Data2(), FertiliserProducts[[#Headers],[Company]],31)</f>
        <v/>
      </c>
      <c r="T134" s="188" t="str" cm="1">
        <f t="array" ref="T134">Common_InputFunctions.Utility_DisplayArrayInTable(Fertiliser_SourceData.Fertiliser_Products_Data2(), FertiliserProducts[[#Headers],[Company]],31)</f>
        <v/>
      </c>
      <c r="U134" s="188" t="str" cm="1">
        <f t="array" ref="U134">Common_InputFunctions.Utility_DisplayArrayInTable(Fertiliser_SourceData.Fertiliser_Products_Data2(), FertiliserProducts[[#Headers],[Company]],31)</f>
        <v/>
      </c>
      <c r="V134" s="188" t="str" cm="1">
        <f t="array" ref="V134">Common_InputFunctions.Utility_DisplayArrayInTable(Fertiliser_SourceData.Fertiliser_Products_Data2(), FertiliserProducts[[#Headers],[Company]],31)</f>
        <v/>
      </c>
      <c r="W134" s="188" t="str" cm="1">
        <f t="array" ref="W134">Common_InputFunctions.Utility_DisplayArrayInTable(Fertiliser_SourceData.Fertiliser_Products_Data2(), FertiliserProducts[[#Headers],[Company]],31)</f>
        <v/>
      </c>
      <c r="X134" s="188" t="str" cm="1">
        <f t="array" ref="X134">Common_InputFunctions.Utility_DisplayArrayInTable(Fertiliser_SourceData.Fertiliser_Products_Data2(), FertiliserProducts[[#Headers],[Company]],31)</f>
        <v/>
      </c>
      <c r="Y134" s="188" t="str" cm="1">
        <f t="array" ref="Y134">Common_InputFunctions.Utility_DisplayArrayInTable(Fertiliser_SourceData.Fertiliser_Products_Data2(), FertiliserProducts[[#Headers],[Company]],31)</f>
        <v/>
      </c>
      <c r="Z134" s="188" t="str" cm="1">
        <f t="array" ref="Z134">Common_InputFunctions.Utility_DisplayArrayInTable(Fertiliser_SourceData.Fertiliser_Products_Data2(), FertiliserProducts[[#Headers],[Company]],31)</f>
        <v/>
      </c>
      <c r="AA134" s="188" t="str" cm="1">
        <f t="array" ref="AA134">Common_InputFunctions.Utility_DisplayArrayInTable(Fertiliser_SourceData.Fertiliser_Products_Data2(), FertiliserProducts[[#Headers],[Company]],31)</f>
        <v/>
      </c>
      <c r="AB134" s="188" t="str" cm="1">
        <f t="array" ref="AB134">Common_InputFunctions.Utility_DisplayArrayInTable(Fertiliser_SourceData.Fertiliser_Products_Data2(), FertiliserProducts[[#Headers],[Company]],31)</f>
        <v/>
      </c>
      <c r="AC134" s="188" t="str" cm="1">
        <f t="array" ref="AC134">Common_InputFunctions.Utility_DisplayArrayInTable(Fertiliser_SourceData.Fertiliser_Products_Data2(), FertiliserProducts[[#Headers],[Company]],31)</f>
        <v/>
      </c>
      <c r="AD134" s="188" t="str" cm="1">
        <f t="array" ref="AD134">Common_InputFunctions.Utility_DisplayArrayInTable(Fertiliser_SourceData.Fertiliser_Products_Data2(), FertiliserProducts[[#Headers],[Company]],31)</f>
        <v/>
      </c>
      <c r="AE134" s="188" t="str" cm="1">
        <f t="array" ref="AE134">Common_InputFunctions.Utility_DisplayArrayInTable(Fertiliser_SourceData.Fertiliser_Products_Data2(), FertiliserProducts[[#Headers],[Company]],31)</f>
        <v/>
      </c>
      <c r="AF134" s="188" t="str" cm="1">
        <f t="array" ref="AF134">Common_InputFunctions.Utility_DisplayArrayInTable(Fertiliser_SourceData.Fertiliser_Products_Data2(), FertiliserProducts[[#Headers],[Company]],31)</f>
        <v/>
      </c>
      <c r="AG134" s="188" t="str" cm="1">
        <f t="array" ref="AG134">Common_InputFunctions.Utility_DisplayArrayInTable(Fertiliser_SourceData.Fertiliser_Products_Data2(), FertiliserProducts[[#Headers],[Company]],31)</f>
        <v/>
      </c>
      <c r="AH134" s="188"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88" t="str" cm="1">
        <f t="array" ref="D135">Common_InputFunctions.Utility_DisplayArrayInTable(Fertiliser_SourceData.Fertiliser_Products_Data2(), FertiliserProducts[[#Headers],[Company]],31)</f>
        <v>Impact Fertilisers</v>
      </c>
      <c r="E135" s="188" t="str" cm="1">
        <f t="array" ref="E135">Common_InputFunctions.Utility_DisplayArrayInTable(Fertiliser_SourceData.Fertiliser_Products_Data2(), FertiliserProducts[[#Headers],[Company]],31)</f>
        <v>Mono-Ammonium Phosphate (MAP)</v>
      </c>
      <c r="F135" s="188" t="str" cm="1">
        <f t="array" ref="F135">Common_InputFunctions.Utility_DisplayArrayInTable(Fertiliser_SourceData.Fertiliser_Products_Data2(), FertiliserProducts[[#Headers],[Company]],31)</f>
        <v>kg</v>
      </c>
      <c r="G135" s="188" cm="1">
        <f t="array" ref="G135">Common_InputFunctions.Utility_DisplayArrayInTable(Fertiliser_SourceData.Fertiliser_Products_Data2(), FertiliserProducts[[#Headers],[Company]],31)</f>
        <v>1</v>
      </c>
      <c r="H135" s="188" t="str" cm="1">
        <f t="array" ref="H135">Common_InputFunctions.Utility_DisplayArrayInTable(Fertiliser_SourceData.Fertiliser_Products_Data2(), FertiliserProducts[[#Headers],[Company]],31)</f>
        <v/>
      </c>
      <c r="I135" s="188" t="str" cm="1">
        <f t="array" ref="I135">Common_InputFunctions.Utility_DisplayArrayInTable(Fertiliser_SourceData.Fertiliser_Products_Data2(), FertiliserProducts[[#Headers],[Company]],31)</f>
        <v/>
      </c>
      <c r="J135" s="188" t="str" cm="1">
        <f t="array" ref="J135">Common_InputFunctions.Utility_DisplayArrayInTable(Fertiliser_SourceData.Fertiliser_Products_Data2(), FertiliserProducts[[#Headers],[Company]],31)</f>
        <v/>
      </c>
      <c r="K135" s="188" cm="1">
        <f t="array" ref="K135">Common_InputFunctions.Utility_DisplayArrayInTable(Fertiliser_SourceData.Fertiliser_Products_Data2(), FertiliserProducts[[#Headers],[Company]],31)</f>
        <v>10</v>
      </c>
      <c r="L135" s="188" cm="1">
        <f t="array" ref="L135">Common_InputFunctions.Utility_DisplayArrayInTable(Fertiliser_SourceData.Fertiliser_Products_Data2(), FertiliserProducts[[#Headers],[Company]],31)</f>
        <v>21.9</v>
      </c>
      <c r="M135" s="188" t="str" cm="1">
        <f t="array" ref="M135">Common_InputFunctions.Utility_DisplayArrayInTable(Fertiliser_SourceData.Fertiliser_Products_Data2(), FertiliserProducts[[#Headers],[Company]],31)</f>
        <v/>
      </c>
      <c r="N135" s="188" cm="1">
        <f t="array" ref="N135">Common_InputFunctions.Utility_DisplayArrayInTable(Fertiliser_SourceData.Fertiliser_Products_Data2(), FertiliserProducts[[#Headers],[Company]],31)</f>
        <v>1.5</v>
      </c>
      <c r="O135" s="188" t="str" cm="1">
        <f t="array" ref="O135">Common_InputFunctions.Utility_DisplayArrayInTable(Fertiliser_SourceData.Fertiliser_Products_Data2(), FertiliserProducts[[#Headers],[Company]],31)</f>
        <v>Monoammonium phosphate (MAP)</v>
      </c>
      <c r="P135" s="188" cm="1">
        <f t="array" ref="P135">Common_InputFunctions.Utility_DisplayArrayInTable(Fertiliser_SourceData.Fertiliser_Products_Data2(), FertiliserProducts[[#Headers],[Company]],31)</f>
        <v>1</v>
      </c>
      <c r="Q135" s="188" t="str" cm="1">
        <f t="array" ref="Q135">Common_InputFunctions.Utility_DisplayArrayInTable(Fertiliser_SourceData.Fertiliser_Products_Data2(), FertiliserProducts[[#Headers],[Company]],31)</f>
        <v/>
      </c>
      <c r="R135" s="188" t="str" cm="1">
        <f t="array" ref="R135">Common_InputFunctions.Utility_DisplayArrayInTable(Fertiliser_SourceData.Fertiliser_Products_Data2(), FertiliserProducts[[#Headers],[Company]],31)</f>
        <v/>
      </c>
      <c r="S135" s="188" t="str" cm="1">
        <f t="array" ref="S135">Common_InputFunctions.Utility_DisplayArrayInTable(Fertiliser_SourceData.Fertiliser_Products_Data2(), FertiliserProducts[[#Headers],[Company]],31)</f>
        <v/>
      </c>
      <c r="T135" s="188" t="str" cm="1">
        <f t="array" ref="T135">Common_InputFunctions.Utility_DisplayArrayInTable(Fertiliser_SourceData.Fertiliser_Products_Data2(), FertiliserProducts[[#Headers],[Company]],31)</f>
        <v/>
      </c>
      <c r="U135" s="188" t="str" cm="1">
        <f t="array" ref="U135">Common_InputFunctions.Utility_DisplayArrayInTable(Fertiliser_SourceData.Fertiliser_Products_Data2(), FertiliserProducts[[#Headers],[Company]],31)</f>
        <v/>
      </c>
      <c r="V135" s="188" t="str" cm="1">
        <f t="array" ref="V135">Common_InputFunctions.Utility_DisplayArrayInTable(Fertiliser_SourceData.Fertiliser_Products_Data2(), FertiliserProducts[[#Headers],[Company]],31)</f>
        <v/>
      </c>
      <c r="W135" s="188" t="str" cm="1">
        <f t="array" ref="W135">Common_InputFunctions.Utility_DisplayArrayInTable(Fertiliser_SourceData.Fertiliser_Products_Data2(), FertiliserProducts[[#Headers],[Company]],31)</f>
        <v/>
      </c>
      <c r="X135" s="188" t="str" cm="1">
        <f t="array" ref="X135">Common_InputFunctions.Utility_DisplayArrayInTable(Fertiliser_SourceData.Fertiliser_Products_Data2(), FertiliserProducts[[#Headers],[Company]],31)</f>
        <v/>
      </c>
      <c r="Y135" s="188" t="str" cm="1">
        <f t="array" ref="Y135">Common_InputFunctions.Utility_DisplayArrayInTable(Fertiliser_SourceData.Fertiliser_Products_Data2(), FertiliserProducts[[#Headers],[Company]],31)</f>
        <v/>
      </c>
      <c r="Z135" s="188" t="str" cm="1">
        <f t="array" ref="Z135">Common_InputFunctions.Utility_DisplayArrayInTable(Fertiliser_SourceData.Fertiliser_Products_Data2(), FertiliserProducts[[#Headers],[Company]],31)</f>
        <v/>
      </c>
      <c r="AA135" s="188" t="str" cm="1">
        <f t="array" ref="AA135">Common_InputFunctions.Utility_DisplayArrayInTable(Fertiliser_SourceData.Fertiliser_Products_Data2(), FertiliserProducts[[#Headers],[Company]],31)</f>
        <v/>
      </c>
      <c r="AB135" s="188" t="str" cm="1">
        <f t="array" ref="AB135">Common_InputFunctions.Utility_DisplayArrayInTable(Fertiliser_SourceData.Fertiliser_Products_Data2(), FertiliserProducts[[#Headers],[Company]],31)</f>
        <v/>
      </c>
      <c r="AC135" s="188" t="str" cm="1">
        <f t="array" ref="AC135">Common_InputFunctions.Utility_DisplayArrayInTable(Fertiliser_SourceData.Fertiliser_Products_Data2(), FertiliserProducts[[#Headers],[Company]],31)</f>
        <v/>
      </c>
      <c r="AD135" s="188" t="str" cm="1">
        <f t="array" ref="AD135">Common_InputFunctions.Utility_DisplayArrayInTable(Fertiliser_SourceData.Fertiliser_Products_Data2(), FertiliserProducts[[#Headers],[Company]],31)</f>
        <v/>
      </c>
      <c r="AE135" s="188" t="str" cm="1">
        <f t="array" ref="AE135">Common_InputFunctions.Utility_DisplayArrayInTable(Fertiliser_SourceData.Fertiliser_Products_Data2(), FertiliserProducts[[#Headers],[Company]],31)</f>
        <v/>
      </c>
      <c r="AF135" s="188" t="str" cm="1">
        <f t="array" ref="AF135">Common_InputFunctions.Utility_DisplayArrayInTable(Fertiliser_SourceData.Fertiliser_Products_Data2(), FertiliserProducts[[#Headers],[Company]],31)</f>
        <v/>
      </c>
      <c r="AG135" s="188" t="str" cm="1">
        <f t="array" ref="AG135">Common_InputFunctions.Utility_DisplayArrayInTable(Fertiliser_SourceData.Fertiliser_Products_Data2(), FertiliserProducts[[#Headers],[Company]],31)</f>
        <v/>
      </c>
      <c r="AH135" s="188"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88" t="str" cm="1">
        <f t="array" ref="D136">Common_InputFunctions.Utility_DisplayArrayInTable(Fertiliser_SourceData.Fertiliser_Products_Data2(), FertiliserProducts[[#Headers],[Company]],31)</f>
        <v>Impact Fertilisers</v>
      </c>
      <c r="E136" s="188" t="str" cm="1">
        <f t="array" ref="E136">Common_InputFunctions.Utility_DisplayArrayInTable(Fertiliser_SourceData.Fertiliser_Products_Data2(), FertiliserProducts[[#Headers],[Company]],31)</f>
        <v>Urea</v>
      </c>
      <c r="F136" s="188" t="str" cm="1">
        <f t="array" ref="F136">Common_InputFunctions.Utility_DisplayArrayInTable(Fertiliser_SourceData.Fertiliser_Products_Data2(), FertiliserProducts[[#Headers],[Company]],31)</f>
        <v>kg</v>
      </c>
      <c r="G136" s="188" cm="1">
        <f t="array" ref="G136">Common_InputFunctions.Utility_DisplayArrayInTable(Fertiliser_SourceData.Fertiliser_Products_Data2(), FertiliserProducts[[#Headers],[Company]],31)</f>
        <v>1</v>
      </c>
      <c r="H136" s="188" t="str" cm="1">
        <f t="array" ref="H136">Common_InputFunctions.Utility_DisplayArrayInTable(Fertiliser_SourceData.Fertiliser_Products_Data2(), FertiliserProducts[[#Headers],[Company]],31)</f>
        <v/>
      </c>
      <c r="I136" s="188" t="str" cm="1">
        <f t="array" ref="I136">Common_InputFunctions.Utility_DisplayArrayInTable(Fertiliser_SourceData.Fertiliser_Products_Data2(), FertiliserProducts[[#Headers],[Company]],31)</f>
        <v/>
      </c>
      <c r="J136" s="188" t="str" cm="1">
        <f t="array" ref="J136">Common_InputFunctions.Utility_DisplayArrayInTable(Fertiliser_SourceData.Fertiliser_Products_Data2(), FertiliserProducts[[#Headers],[Company]],31)</f>
        <v/>
      </c>
      <c r="K136" s="188" cm="1">
        <f t="array" ref="K136">Common_InputFunctions.Utility_DisplayArrayInTable(Fertiliser_SourceData.Fertiliser_Products_Data2(), FertiliserProducts[[#Headers],[Company]],31)</f>
        <v>46</v>
      </c>
      <c r="L136" s="188" t="str" cm="1">
        <f t="array" ref="L136">Common_InputFunctions.Utility_DisplayArrayInTable(Fertiliser_SourceData.Fertiliser_Products_Data2(), FertiliserProducts[[#Headers],[Company]],31)</f>
        <v/>
      </c>
      <c r="M136" s="188" t="str" cm="1">
        <f t="array" ref="M136">Common_InputFunctions.Utility_DisplayArrayInTable(Fertiliser_SourceData.Fertiliser_Products_Data2(), FertiliserProducts[[#Headers],[Company]],31)</f>
        <v/>
      </c>
      <c r="N136" s="188" t="str" cm="1">
        <f t="array" ref="N136">Common_InputFunctions.Utility_DisplayArrayInTable(Fertiliser_SourceData.Fertiliser_Products_Data2(), FertiliserProducts[[#Headers],[Company]],31)</f>
        <v/>
      </c>
      <c r="O136" s="188" t="str" cm="1">
        <f t="array" ref="O136">Common_InputFunctions.Utility_DisplayArrayInTable(Fertiliser_SourceData.Fertiliser_Products_Data2(), FertiliserProducts[[#Headers],[Company]],31)</f>
        <v>Urea</v>
      </c>
      <c r="P136" s="188" cm="1">
        <f t="array" ref="P136">Common_InputFunctions.Utility_DisplayArrayInTable(Fertiliser_SourceData.Fertiliser_Products_Data2(), FertiliserProducts[[#Headers],[Company]],31)</f>
        <v>1</v>
      </c>
      <c r="Q136" s="188" t="str" cm="1">
        <f t="array" ref="Q136">Common_InputFunctions.Utility_DisplayArrayInTable(Fertiliser_SourceData.Fertiliser_Products_Data2(), FertiliserProducts[[#Headers],[Company]],31)</f>
        <v/>
      </c>
      <c r="R136" s="188" t="str" cm="1">
        <f t="array" ref="R136">Common_InputFunctions.Utility_DisplayArrayInTable(Fertiliser_SourceData.Fertiliser_Products_Data2(), FertiliserProducts[[#Headers],[Company]],31)</f>
        <v/>
      </c>
      <c r="S136" s="188" t="str" cm="1">
        <f t="array" ref="S136">Common_InputFunctions.Utility_DisplayArrayInTable(Fertiliser_SourceData.Fertiliser_Products_Data2(), FertiliserProducts[[#Headers],[Company]],31)</f>
        <v/>
      </c>
      <c r="T136" s="188" t="str" cm="1">
        <f t="array" ref="T136">Common_InputFunctions.Utility_DisplayArrayInTable(Fertiliser_SourceData.Fertiliser_Products_Data2(), FertiliserProducts[[#Headers],[Company]],31)</f>
        <v/>
      </c>
      <c r="U136" s="188" t="str" cm="1">
        <f t="array" ref="U136">Common_InputFunctions.Utility_DisplayArrayInTable(Fertiliser_SourceData.Fertiliser_Products_Data2(), FertiliserProducts[[#Headers],[Company]],31)</f>
        <v/>
      </c>
      <c r="V136" s="188" t="str" cm="1">
        <f t="array" ref="V136">Common_InputFunctions.Utility_DisplayArrayInTable(Fertiliser_SourceData.Fertiliser_Products_Data2(), FertiliserProducts[[#Headers],[Company]],31)</f>
        <v/>
      </c>
      <c r="W136" s="188" t="str" cm="1">
        <f t="array" ref="W136">Common_InputFunctions.Utility_DisplayArrayInTable(Fertiliser_SourceData.Fertiliser_Products_Data2(), FertiliserProducts[[#Headers],[Company]],31)</f>
        <v/>
      </c>
      <c r="X136" s="188" t="str" cm="1">
        <f t="array" ref="X136">Common_InputFunctions.Utility_DisplayArrayInTable(Fertiliser_SourceData.Fertiliser_Products_Data2(), FertiliserProducts[[#Headers],[Company]],31)</f>
        <v/>
      </c>
      <c r="Y136" s="188" t="str" cm="1">
        <f t="array" ref="Y136">Common_InputFunctions.Utility_DisplayArrayInTable(Fertiliser_SourceData.Fertiliser_Products_Data2(), FertiliserProducts[[#Headers],[Company]],31)</f>
        <v/>
      </c>
      <c r="Z136" s="188" t="str" cm="1">
        <f t="array" ref="Z136">Common_InputFunctions.Utility_DisplayArrayInTable(Fertiliser_SourceData.Fertiliser_Products_Data2(), FertiliserProducts[[#Headers],[Company]],31)</f>
        <v/>
      </c>
      <c r="AA136" s="188" t="str" cm="1">
        <f t="array" ref="AA136">Common_InputFunctions.Utility_DisplayArrayInTable(Fertiliser_SourceData.Fertiliser_Products_Data2(), FertiliserProducts[[#Headers],[Company]],31)</f>
        <v/>
      </c>
      <c r="AB136" s="188" t="str" cm="1">
        <f t="array" ref="AB136">Common_InputFunctions.Utility_DisplayArrayInTable(Fertiliser_SourceData.Fertiliser_Products_Data2(), FertiliserProducts[[#Headers],[Company]],31)</f>
        <v/>
      </c>
      <c r="AC136" s="188" t="str" cm="1">
        <f t="array" ref="AC136">Common_InputFunctions.Utility_DisplayArrayInTable(Fertiliser_SourceData.Fertiliser_Products_Data2(), FertiliserProducts[[#Headers],[Company]],31)</f>
        <v/>
      </c>
      <c r="AD136" s="188" t="str" cm="1">
        <f t="array" ref="AD136">Common_InputFunctions.Utility_DisplayArrayInTable(Fertiliser_SourceData.Fertiliser_Products_Data2(), FertiliserProducts[[#Headers],[Company]],31)</f>
        <v/>
      </c>
      <c r="AE136" s="188" t="str" cm="1">
        <f t="array" ref="AE136">Common_InputFunctions.Utility_DisplayArrayInTable(Fertiliser_SourceData.Fertiliser_Products_Data2(), FertiliserProducts[[#Headers],[Company]],31)</f>
        <v/>
      </c>
      <c r="AF136" s="188" t="str" cm="1">
        <f t="array" ref="AF136">Common_InputFunctions.Utility_DisplayArrayInTable(Fertiliser_SourceData.Fertiliser_Products_Data2(), FertiliserProducts[[#Headers],[Company]],31)</f>
        <v/>
      </c>
      <c r="AG136" s="188" t="str" cm="1">
        <f t="array" ref="AG136">Common_InputFunctions.Utility_DisplayArrayInTable(Fertiliser_SourceData.Fertiliser_Products_Data2(), FertiliserProducts[[#Headers],[Company]],31)</f>
        <v/>
      </c>
      <c r="AH136" s="188"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88" t="str" cm="1">
        <f t="array" ref="D137">Common_InputFunctions.Utility_DisplayArrayInTable(Fertiliser_SourceData.Fertiliser_Products_Data2(), FertiliserProducts[[#Headers],[Company]],31)</f>
        <v>Koch Fertiliser Australia</v>
      </c>
      <c r="E137" s="188" t="str" cm="1">
        <f t="array" ref="E137">Common_InputFunctions.Utility_DisplayArrayInTable(Fertiliser_SourceData.Fertiliser_Products_Data2(), FertiliserProducts[[#Headers],[Company]],31)</f>
        <v>Muriate of potash (MOP)</v>
      </c>
      <c r="F137" s="188" t="str" cm="1">
        <f t="array" ref="F137">Common_InputFunctions.Utility_DisplayArrayInTable(Fertiliser_SourceData.Fertiliser_Products_Data2(), FertiliserProducts[[#Headers],[Company]],31)</f>
        <v>kg</v>
      </c>
      <c r="G137" s="188" cm="1">
        <f t="array" ref="G137">Common_InputFunctions.Utility_DisplayArrayInTable(Fertiliser_SourceData.Fertiliser_Products_Data2(), FertiliserProducts[[#Headers],[Company]],31)</f>
        <v>1</v>
      </c>
      <c r="H137" s="188" t="str" cm="1">
        <f t="array" ref="H137">Common_InputFunctions.Utility_DisplayArrayInTable(Fertiliser_SourceData.Fertiliser_Products_Data2(), FertiliserProducts[[#Headers],[Company]],31)</f>
        <v/>
      </c>
      <c r="I137" s="188" t="str" cm="1">
        <f t="array" ref="I137">Common_InputFunctions.Utility_DisplayArrayInTable(Fertiliser_SourceData.Fertiliser_Products_Data2(), FertiliserProducts[[#Headers],[Company]],31)</f>
        <v/>
      </c>
      <c r="J137" s="188" t="str" cm="1">
        <f t="array" ref="J137">Common_InputFunctions.Utility_DisplayArrayInTable(Fertiliser_SourceData.Fertiliser_Products_Data2(), FertiliserProducts[[#Headers],[Company]],31)</f>
        <v/>
      </c>
      <c r="K137" s="188" t="str" cm="1">
        <f t="array" ref="K137">Common_InputFunctions.Utility_DisplayArrayInTable(Fertiliser_SourceData.Fertiliser_Products_Data2(), FertiliserProducts[[#Headers],[Company]],31)</f>
        <v/>
      </c>
      <c r="L137" s="188" t="str" cm="1">
        <f t="array" ref="L137">Common_InputFunctions.Utility_DisplayArrayInTable(Fertiliser_SourceData.Fertiliser_Products_Data2(), FertiliserProducts[[#Headers],[Company]],31)</f>
        <v/>
      </c>
      <c r="M137" s="188" cm="1">
        <f t="array" ref="M137">Common_InputFunctions.Utility_DisplayArrayInTable(Fertiliser_SourceData.Fertiliser_Products_Data2(), FertiliserProducts[[#Headers],[Company]],31)</f>
        <v>50</v>
      </c>
      <c r="N137" s="188" t="str" cm="1">
        <f t="array" ref="N137">Common_InputFunctions.Utility_DisplayArrayInTable(Fertiliser_SourceData.Fertiliser_Products_Data2(), FertiliserProducts[[#Headers],[Company]],31)</f>
        <v/>
      </c>
      <c r="O137" s="188" t="str" cm="1">
        <f t="array" ref="O137">Common_InputFunctions.Utility_DisplayArrayInTable(Fertiliser_SourceData.Fertiliser_Products_Data2(), FertiliserProducts[[#Headers],[Company]],31)</f>
        <v>Muriate of potash (MOP)</v>
      </c>
      <c r="P137" s="188" cm="1">
        <f t="array" ref="P137">Common_InputFunctions.Utility_DisplayArrayInTable(Fertiliser_SourceData.Fertiliser_Products_Data2(), FertiliserProducts[[#Headers],[Company]],31)</f>
        <v>1</v>
      </c>
      <c r="Q137" s="188" t="str" cm="1">
        <f t="array" ref="Q137">Common_InputFunctions.Utility_DisplayArrayInTable(Fertiliser_SourceData.Fertiliser_Products_Data2(), FertiliserProducts[[#Headers],[Company]],31)</f>
        <v/>
      </c>
      <c r="R137" s="188" t="str" cm="1">
        <f t="array" ref="R137">Common_InputFunctions.Utility_DisplayArrayInTable(Fertiliser_SourceData.Fertiliser_Products_Data2(), FertiliserProducts[[#Headers],[Company]],31)</f>
        <v/>
      </c>
      <c r="S137" s="188" t="str" cm="1">
        <f t="array" ref="S137">Common_InputFunctions.Utility_DisplayArrayInTable(Fertiliser_SourceData.Fertiliser_Products_Data2(), FertiliserProducts[[#Headers],[Company]],31)</f>
        <v/>
      </c>
      <c r="T137" s="188" t="str" cm="1">
        <f t="array" ref="T137">Common_InputFunctions.Utility_DisplayArrayInTable(Fertiliser_SourceData.Fertiliser_Products_Data2(), FertiliserProducts[[#Headers],[Company]],31)</f>
        <v/>
      </c>
      <c r="U137" s="188" t="str" cm="1">
        <f t="array" ref="U137">Common_InputFunctions.Utility_DisplayArrayInTable(Fertiliser_SourceData.Fertiliser_Products_Data2(), FertiliserProducts[[#Headers],[Company]],31)</f>
        <v/>
      </c>
      <c r="V137" s="188" t="str" cm="1">
        <f t="array" ref="V137">Common_InputFunctions.Utility_DisplayArrayInTable(Fertiliser_SourceData.Fertiliser_Products_Data2(), FertiliserProducts[[#Headers],[Company]],31)</f>
        <v/>
      </c>
      <c r="W137" s="188" t="str" cm="1">
        <f t="array" ref="W137">Common_InputFunctions.Utility_DisplayArrayInTable(Fertiliser_SourceData.Fertiliser_Products_Data2(), FertiliserProducts[[#Headers],[Company]],31)</f>
        <v/>
      </c>
      <c r="X137" s="188" t="str" cm="1">
        <f t="array" ref="X137">Common_InputFunctions.Utility_DisplayArrayInTable(Fertiliser_SourceData.Fertiliser_Products_Data2(), FertiliserProducts[[#Headers],[Company]],31)</f>
        <v/>
      </c>
      <c r="Y137" s="188" t="str" cm="1">
        <f t="array" ref="Y137">Common_InputFunctions.Utility_DisplayArrayInTable(Fertiliser_SourceData.Fertiliser_Products_Data2(), FertiliserProducts[[#Headers],[Company]],31)</f>
        <v/>
      </c>
      <c r="Z137" s="188" t="str" cm="1">
        <f t="array" ref="Z137">Common_InputFunctions.Utility_DisplayArrayInTable(Fertiliser_SourceData.Fertiliser_Products_Data2(), FertiliserProducts[[#Headers],[Company]],31)</f>
        <v/>
      </c>
      <c r="AA137" s="188" t="str" cm="1">
        <f t="array" ref="AA137">Common_InputFunctions.Utility_DisplayArrayInTable(Fertiliser_SourceData.Fertiliser_Products_Data2(), FertiliserProducts[[#Headers],[Company]],31)</f>
        <v/>
      </c>
      <c r="AB137" s="188" t="str" cm="1">
        <f t="array" ref="AB137">Common_InputFunctions.Utility_DisplayArrayInTable(Fertiliser_SourceData.Fertiliser_Products_Data2(), FertiliserProducts[[#Headers],[Company]],31)</f>
        <v/>
      </c>
      <c r="AC137" s="188" t="str" cm="1">
        <f t="array" ref="AC137">Common_InputFunctions.Utility_DisplayArrayInTable(Fertiliser_SourceData.Fertiliser_Products_Data2(), FertiliserProducts[[#Headers],[Company]],31)</f>
        <v/>
      </c>
      <c r="AD137" s="188" t="str" cm="1">
        <f t="array" ref="AD137">Common_InputFunctions.Utility_DisplayArrayInTable(Fertiliser_SourceData.Fertiliser_Products_Data2(), FertiliserProducts[[#Headers],[Company]],31)</f>
        <v/>
      </c>
      <c r="AE137" s="188" t="str" cm="1">
        <f t="array" ref="AE137">Common_InputFunctions.Utility_DisplayArrayInTable(Fertiliser_SourceData.Fertiliser_Products_Data2(), FertiliserProducts[[#Headers],[Company]],31)</f>
        <v/>
      </c>
      <c r="AF137" s="188" t="str" cm="1">
        <f t="array" ref="AF137">Common_InputFunctions.Utility_DisplayArrayInTable(Fertiliser_SourceData.Fertiliser_Products_Data2(), FertiliserProducts[[#Headers],[Company]],31)</f>
        <v/>
      </c>
      <c r="AG137" s="188" t="str" cm="1">
        <f t="array" ref="AG137">Common_InputFunctions.Utility_DisplayArrayInTable(Fertiliser_SourceData.Fertiliser_Products_Data2(), FertiliserProducts[[#Headers],[Company]],31)</f>
        <v/>
      </c>
      <c r="AH137" s="188"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88" t="str" cm="1">
        <f t="array" ref="D138">Common_InputFunctions.Utility_DisplayArrayInTable(Fertiliser_SourceData.Fertiliser_Products_Data2(), FertiliserProducts[[#Headers],[Company]],31)</f>
        <v>Risso-Chemical</v>
      </c>
      <c r="E138" s="188" t="str" cm="1">
        <f t="array" ref="E138">Common_InputFunctions.Utility_DisplayArrayInTable(Fertiliser_SourceData.Fertiliser_Products_Data2(), FertiliserProducts[[#Headers],[Company]],31)</f>
        <v>Urea Ammonium nitrate (UAN 32-0-0)</v>
      </c>
      <c r="F138" s="188" t="str" cm="1">
        <f t="array" ref="F138">Common_InputFunctions.Utility_DisplayArrayInTable(Fertiliser_SourceData.Fertiliser_Products_Data2(), FertiliserProducts[[#Headers],[Company]],31)</f>
        <v>L</v>
      </c>
      <c r="G138" s="188" cm="1">
        <f t="array" ref="G138">Common_InputFunctions.Utility_DisplayArrayInTable(Fertiliser_SourceData.Fertiliser_Products_Data2(), FertiliserProducts[[#Headers],[Company]],31)</f>
        <v>1.32</v>
      </c>
      <c r="H138" s="188" t="str" cm="1">
        <f t="array" ref="H138">Common_InputFunctions.Utility_DisplayArrayInTable(Fertiliser_SourceData.Fertiliser_Products_Data2(), FertiliserProducts[[#Headers],[Company]],31)</f>
        <v/>
      </c>
      <c r="I138" s="188" t="str" cm="1">
        <f t="array" ref="I138">Common_InputFunctions.Utility_DisplayArrayInTable(Fertiliser_SourceData.Fertiliser_Products_Data2(), FertiliserProducts[[#Headers],[Company]],31)</f>
        <v>China</v>
      </c>
      <c r="J138" s="188" t="str" cm="1">
        <f t="array" ref="J138">Common_InputFunctions.Utility_DisplayArrayInTable(Fertiliser_SourceData.Fertiliser_Products_Data2(), FertiliserProducts[[#Headers],[Company]],31)</f>
        <v>China</v>
      </c>
      <c r="K138" s="188" cm="1">
        <f t="array" ref="K138">Common_InputFunctions.Utility_DisplayArrayInTable(Fertiliser_SourceData.Fertiliser_Products_Data2(), FertiliserProducts[[#Headers],[Company]],31)</f>
        <v>32</v>
      </c>
      <c r="L138" s="188" t="str" cm="1">
        <f t="array" ref="L138">Common_InputFunctions.Utility_DisplayArrayInTable(Fertiliser_SourceData.Fertiliser_Products_Data2(), FertiliserProducts[[#Headers],[Company]],31)</f>
        <v/>
      </c>
      <c r="M138" s="188" t="str" cm="1">
        <f t="array" ref="M138">Common_InputFunctions.Utility_DisplayArrayInTable(Fertiliser_SourceData.Fertiliser_Products_Data2(), FertiliserProducts[[#Headers],[Company]],31)</f>
        <v/>
      </c>
      <c r="N138" s="188" t="str" cm="1">
        <f t="array" ref="N138">Common_InputFunctions.Utility_DisplayArrayInTable(Fertiliser_SourceData.Fertiliser_Products_Data2(), FertiliserProducts[[#Headers],[Company]],31)</f>
        <v/>
      </c>
      <c r="O138" s="188" t="str" cm="1">
        <f t="array" ref="O138">Common_InputFunctions.Utility_DisplayArrayInTable(Fertiliser_SourceData.Fertiliser_Products_Data2(), FertiliserProducts[[#Headers],[Company]],31)</f>
        <v>Urea-ammonium nitrate (UAN)</v>
      </c>
      <c r="P138" s="188" cm="1">
        <f t="array" ref="P138">Common_InputFunctions.Utility_DisplayArrayInTable(Fertiliser_SourceData.Fertiliser_Products_Data2(), FertiliserProducts[[#Headers],[Company]],31)</f>
        <v>1</v>
      </c>
      <c r="Q138" s="188" t="str" cm="1">
        <f t="array" ref="Q138">Common_InputFunctions.Utility_DisplayArrayInTable(Fertiliser_SourceData.Fertiliser_Products_Data2(), FertiliserProducts[[#Headers],[Company]],31)</f>
        <v/>
      </c>
      <c r="R138" s="188" t="str" cm="1">
        <f t="array" ref="R138">Common_InputFunctions.Utility_DisplayArrayInTable(Fertiliser_SourceData.Fertiliser_Products_Data2(), FertiliserProducts[[#Headers],[Company]],31)</f>
        <v/>
      </c>
      <c r="S138" s="188" t="str" cm="1">
        <f t="array" ref="S138">Common_InputFunctions.Utility_DisplayArrayInTable(Fertiliser_SourceData.Fertiliser_Products_Data2(), FertiliserProducts[[#Headers],[Company]],31)</f>
        <v/>
      </c>
      <c r="T138" s="188" t="str" cm="1">
        <f t="array" ref="T138">Common_InputFunctions.Utility_DisplayArrayInTable(Fertiliser_SourceData.Fertiliser_Products_Data2(), FertiliserProducts[[#Headers],[Company]],31)</f>
        <v/>
      </c>
      <c r="U138" s="188" t="str" cm="1">
        <f t="array" ref="U138">Common_InputFunctions.Utility_DisplayArrayInTable(Fertiliser_SourceData.Fertiliser_Products_Data2(), FertiliserProducts[[#Headers],[Company]],31)</f>
        <v/>
      </c>
      <c r="V138" s="188" t="str" cm="1">
        <f t="array" ref="V138">Common_InputFunctions.Utility_DisplayArrayInTable(Fertiliser_SourceData.Fertiliser_Products_Data2(), FertiliserProducts[[#Headers],[Company]],31)</f>
        <v/>
      </c>
      <c r="W138" s="188" t="str" cm="1">
        <f t="array" ref="W138">Common_InputFunctions.Utility_DisplayArrayInTable(Fertiliser_SourceData.Fertiliser_Products_Data2(), FertiliserProducts[[#Headers],[Company]],31)</f>
        <v/>
      </c>
      <c r="X138" s="188" t="str" cm="1">
        <f t="array" ref="X138">Common_InputFunctions.Utility_DisplayArrayInTable(Fertiliser_SourceData.Fertiliser_Products_Data2(), FertiliserProducts[[#Headers],[Company]],31)</f>
        <v/>
      </c>
      <c r="Y138" s="188" t="str" cm="1">
        <f t="array" ref="Y138">Common_InputFunctions.Utility_DisplayArrayInTable(Fertiliser_SourceData.Fertiliser_Products_Data2(), FertiliserProducts[[#Headers],[Company]],31)</f>
        <v/>
      </c>
      <c r="Z138" s="188" t="str" cm="1">
        <f t="array" ref="Z138">Common_InputFunctions.Utility_DisplayArrayInTable(Fertiliser_SourceData.Fertiliser_Products_Data2(), FertiliserProducts[[#Headers],[Company]],31)</f>
        <v/>
      </c>
      <c r="AA138" s="188" t="str" cm="1">
        <f t="array" ref="AA138">Common_InputFunctions.Utility_DisplayArrayInTable(Fertiliser_SourceData.Fertiliser_Products_Data2(), FertiliserProducts[[#Headers],[Company]],31)</f>
        <v/>
      </c>
      <c r="AB138" s="188" t="str" cm="1">
        <f t="array" ref="AB138">Common_InputFunctions.Utility_DisplayArrayInTable(Fertiliser_SourceData.Fertiliser_Products_Data2(), FertiliserProducts[[#Headers],[Company]],31)</f>
        <v/>
      </c>
      <c r="AC138" s="188" t="str" cm="1">
        <f t="array" ref="AC138">Common_InputFunctions.Utility_DisplayArrayInTable(Fertiliser_SourceData.Fertiliser_Products_Data2(), FertiliserProducts[[#Headers],[Company]],31)</f>
        <v/>
      </c>
      <c r="AD138" s="188" t="str" cm="1">
        <f t="array" ref="AD138">Common_InputFunctions.Utility_DisplayArrayInTable(Fertiliser_SourceData.Fertiliser_Products_Data2(), FertiliserProducts[[#Headers],[Company]],31)</f>
        <v/>
      </c>
      <c r="AE138" s="188" t="str" cm="1">
        <f t="array" ref="AE138">Common_InputFunctions.Utility_DisplayArrayInTable(Fertiliser_SourceData.Fertiliser_Products_Data2(), FertiliserProducts[[#Headers],[Company]],31)</f>
        <v/>
      </c>
      <c r="AF138" s="188" t="str" cm="1">
        <f t="array" ref="AF138">Common_InputFunctions.Utility_DisplayArrayInTable(Fertiliser_SourceData.Fertiliser_Products_Data2(), FertiliserProducts[[#Headers],[Company]],31)</f>
        <v/>
      </c>
      <c r="AG138" s="188" t="str" cm="1">
        <f t="array" ref="AG138">Common_InputFunctions.Utility_DisplayArrayInTable(Fertiliser_SourceData.Fertiliser_Products_Data2(), FertiliserProducts[[#Headers],[Company]],31)</f>
        <v/>
      </c>
      <c r="AH138" s="188"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88" t="str" cm="1">
        <f t="array" ref="D139">Common_InputFunctions.Utility_DisplayArrayInTable(Fertiliser_SourceData.Fertiliser_Products_Data2(), FertiliserProducts[[#Headers],[Company]],31)</f>
        <v>Risso-Chemical</v>
      </c>
      <c r="E139" s="188" t="str" cm="1">
        <f t="array" ref="E139">Common_InputFunctions.Utility_DisplayArrayInTable(Fertiliser_SourceData.Fertiliser_Products_Data2(), FertiliserProducts[[#Headers],[Company]],31)</f>
        <v>Polypeptide Urea</v>
      </c>
      <c r="F139" s="188" t="str" cm="1">
        <f t="array" ref="F139">Common_InputFunctions.Utility_DisplayArrayInTable(Fertiliser_SourceData.Fertiliser_Products_Data2(), FertiliserProducts[[#Headers],[Company]],31)</f>
        <v>kg</v>
      </c>
      <c r="G139" s="188" cm="1">
        <f t="array" ref="G139">Common_InputFunctions.Utility_DisplayArrayInTable(Fertiliser_SourceData.Fertiliser_Products_Data2(), FertiliserProducts[[#Headers],[Company]],31)</f>
        <v>1</v>
      </c>
      <c r="H139" s="188" t="str" cm="1">
        <f t="array" ref="H139">Common_InputFunctions.Utility_DisplayArrayInTable(Fertiliser_SourceData.Fertiliser_Products_Data2(), FertiliserProducts[[#Headers],[Company]],31)</f>
        <v/>
      </c>
      <c r="I139" s="188" t="str" cm="1">
        <f t="array" ref="I139">Common_InputFunctions.Utility_DisplayArrayInTable(Fertiliser_SourceData.Fertiliser_Products_Data2(), FertiliserProducts[[#Headers],[Company]],31)</f>
        <v>China</v>
      </c>
      <c r="J139" s="188" t="str" cm="1">
        <f t="array" ref="J139">Common_InputFunctions.Utility_DisplayArrayInTable(Fertiliser_SourceData.Fertiliser_Products_Data2(), FertiliserProducts[[#Headers],[Company]],31)</f>
        <v/>
      </c>
      <c r="K139" s="188" cm="1">
        <f t="array" ref="K139">Common_InputFunctions.Utility_DisplayArrayInTable(Fertiliser_SourceData.Fertiliser_Products_Data2(), FertiliserProducts[[#Headers],[Company]],31)</f>
        <v>46</v>
      </c>
      <c r="L139" s="188" t="str" cm="1">
        <f t="array" ref="L139">Common_InputFunctions.Utility_DisplayArrayInTable(Fertiliser_SourceData.Fertiliser_Products_Data2(), FertiliserProducts[[#Headers],[Company]],31)</f>
        <v/>
      </c>
      <c r="M139" s="188" t="str" cm="1">
        <f t="array" ref="M139">Common_InputFunctions.Utility_DisplayArrayInTable(Fertiliser_SourceData.Fertiliser_Products_Data2(), FertiliserProducts[[#Headers],[Company]],31)</f>
        <v/>
      </c>
      <c r="N139" s="188" t="str" cm="1">
        <f t="array" ref="N139">Common_InputFunctions.Utility_DisplayArrayInTable(Fertiliser_SourceData.Fertiliser_Products_Data2(), FertiliserProducts[[#Headers],[Company]],31)</f>
        <v/>
      </c>
      <c r="O139" s="188" t="str" cm="1">
        <f t="array" ref="O139">Common_InputFunctions.Utility_DisplayArrayInTable(Fertiliser_SourceData.Fertiliser_Products_Data2(), FertiliserProducts[[#Headers],[Company]],31)</f>
        <v>Urea</v>
      </c>
      <c r="P139" s="188" cm="1">
        <f t="array" ref="P139">Common_InputFunctions.Utility_DisplayArrayInTable(Fertiliser_SourceData.Fertiliser_Products_Data2(), FertiliserProducts[[#Headers],[Company]],31)</f>
        <v>1</v>
      </c>
      <c r="Q139" s="188" t="str" cm="1">
        <f t="array" ref="Q139">Common_InputFunctions.Utility_DisplayArrayInTable(Fertiliser_SourceData.Fertiliser_Products_Data2(), FertiliserProducts[[#Headers],[Company]],31)</f>
        <v>Polypeptide (amino acids)</v>
      </c>
      <c r="R139" s="188" cm="1">
        <f t="array" ref="R139">Common_InputFunctions.Utility_DisplayArrayInTable(Fertiliser_SourceData.Fertiliser_Products_Data2(), FertiliserProducts[[#Headers],[Company]],31)</f>
        <v>0</v>
      </c>
      <c r="S139" s="188" t="str" cm="1">
        <f t="array" ref="S139">Common_InputFunctions.Utility_DisplayArrayInTable(Fertiliser_SourceData.Fertiliser_Products_Data2(), FertiliserProducts[[#Headers],[Company]],31)</f>
        <v/>
      </c>
      <c r="T139" s="188" t="str" cm="1">
        <f t="array" ref="T139">Common_InputFunctions.Utility_DisplayArrayInTable(Fertiliser_SourceData.Fertiliser_Products_Data2(), FertiliserProducts[[#Headers],[Company]],31)</f>
        <v/>
      </c>
      <c r="U139" s="188" t="str" cm="1">
        <f t="array" ref="U139">Common_InputFunctions.Utility_DisplayArrayInTable(Fertiliser_SourceData.Fertiliser_Products_Data2(), FertiliserProducts[[#Headers],[Company]],31)</f>
        <v/>
      </c>
      <c r="V139" s="188" t="str" cm="1">
        <f t="array" ref="V139">Common_InputFunctions.Utility_DisplayArrayInTable(Fertiliser_SourceData.Fertiliser_Products_Data2(), FertiliserProducts[[#Headers],[Company]],31)</f>
        <v/>
      </c>
      <c r="W139" s="188" t="str" cm="1">
        <f t="array" ref="W139">Common_InputFunctions.Utility_DisplayArrayInTable(Fertiliser_SourceData.Fertiliser_Products_Data2(), FertiliserProducts[[#Headers],[Company]],31)</f>
        <v/>
      </c>
      <c r="X139" s="188" t="str" cm="1">
        <f t="array" ref="X139">Common_InputFunctions.Utility_DisplayArrayInTable(Fertiliser_SourceData.Fertiliser_Products_Data2(), FertiliserProducts[[#Headers],[Company]],31)</f>
        <v/>
      </c>
      <c r="Y139" s="188" t="str" cm="1">
        <f t="array" ref="Y139">Common_InputFunctions.Utility_DisplayArrayInTable(Fertiliser_SourceData.Fertiliser_Products_Data2(), FertiliserProducts[[#Headers],[Company]],31)</f>
        <v/>
      </c>
      <c r="Z139" s="188" t="str" cm="1">
        <f t="array" ref="Z139">Common_InputFunctions.Utility_DisplayArrayInTable(Fertiliser_SourceData.Fertiliser_Products_Data2(), FertiliserProducts[[#Headers],[Company]],31)</f>
        <v/>
      </c>
      <c r="AA139" s="188" t="str" cm="1">
        <f t="array" ref="AA139">Common_InputFunctions.Utility_DisplayArrayInTable(Fertiliser_SourceData.Fertiliser_Products_Data2(), FertiliserProducts[[#Headers],[Company]],31)</f>
        <v/>
      </c>
      <c r="AB139" s="188" t="str" cm="1">
        <f t="array" ref="AB139">Common_InputFunctions.Utility_DisplayArrayInTable(Fertiliser_SourceData.Fertiliser_Products_Data2(), FertiliserProducts[[#Headers],[Company]],31)</f>
        <v/>
      </c>
      <c r="AC139" s="188" t="str" cm="1">
        <f t="array" ref="AC139">Common_InputFunctions.Utility_DisplayArrayInTable(Fertiliser_SourceData.Fertiliser_Products_Data2(), FertiliserProducts[[#Headers],[Company]],31)</f>
        <v/>
      </c>
      <c r="AD139" s="188" t="str" cm="1">
        <f t="array" ref="AD139">Common_InputFunctions.Utility_DisplayArrayInTable(Fertiliser_SourceData.Fertiliser_Products_Data2(), FertiliserProducts[[#Headers],[Company]],31)</f>
        <v/>
      </c>
      <c r="AE139" s="188" t="str" cm="1">
        <f t="array" ref="AE139">Common_InputFunctions.Utility_DisplayArrayInTable(Fertiliser_SourceData.Fertiliser_Products_Data2(), FertiliserProducts[[#Headers],[Company]],31)</f>
        <v/>
      </c>
      <c r="AF139" s="188" t="str" cm="1">
        <f t="array" ref="AF139">Common_InputFunctions.Utility_DisplayArrayInTable(Fertiliser_SourceData.Fertiliser_Products_Data2(), FertiliserProducts[[#Headers],[Company]],31)</f>
        <v/>
      </c>
      <c r="AG139" s="188" t="str" cm="1">
        <f t="array" ref="AG139">Common_InputFunctions.Utility_DisplayArrayInTable(Fertiliser_SourceData.Fertiliser_Products_Data2(), FertiliserProducts[[#Headers],[Company]],31)</f>
        <v/>
      </c>
      <c r="AH139" s="188"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88" t="str" cm="1">
        <f t="array" ref="D140">Common_InputFunctions.Utility_DisplayArrayInTable(Fertiliser_SourceData.Fertiliser_Products_Data2(), FertiliserProducts[[#Headers],[Company]],31)</f>
        <v>Yara Australia</v>
      </c>
      <c r="E140" s="188" t="str" cm="1">
        <f t="array" ref="E140">Common_InputFunctions.Utility_DisplayArrayInTable(Fertiliser_SourceData.Fertiliser_Products_Data2(), FertiliserProducts[[#Headers],[Company]],31)</f>
        <v>YaraTera CALCINIT</v>
      </c>
      <c r="F140" s="188" t="str" cm="1">
        <f t="array" ref="F140">Common_InputFunctions.Utility_DisplayArrayInTable(Fertiliser_SourceData.Fertiliser_Products_Data2(), FertiliserProducts[[#Headers],[Company]],31)</f>
        <v>kg</v>
      </c>
      <c r="G140" s="188" cm="1">
        <f t="array" ref="G140">Common_InputFunctions.Utility_DisplayArrayInTable(Fertiliser_SourceData.Fertiliser_Products_Data2(), FertiliserProducts[[#Headers],[Company]],31)</f>
        <v>1</v>
      </c>
      <c r="H140" s="188" t="str" cm="1">
        <f t="array" ref="H140">Common_InputFunctions.Utility_DisplayArrayInTable(Fertiliser_SourceData.Fertiliser_Products_Data2(), FertiliserProducts[[#Headers],[Company]],31)</f>
        <v/>
      </c>
      <c r="I140" s="188" t="str" cm="1">
        <f t="array" ref="I140">Common_InputFunctions.Utility_DisplayArrayInTable(Fertiliser_SourceData.Fertiliser_Products_Data2(), FertiliserProducts[[#Headers],[Company]],31)</f>
        <v/>
      </c>
      <c r="J140" s="188" t="str" cm="1">
        <f t="array" ref="J140">Common_InputFunctions.Utility_DisplayArrayInTable(Fertiliser_SourceData.Fertiliser_Products_Data2(), FertiliserProducts[[#Headers],[Company]],31)</f>
        <v/>
      </c>
      <c r="K140" s="188" cm="1">
        <f t="array" ref="K140">Common_InputFunctions.Utility_DisplayArrayInTable(Fertiliser_SourceData.Fertiliser_Products_Data2(), FertiliserProducts[[#Headers],[Company]],31)</f>
        <v>15.5</v>
      </c>
      <c r="L140" s="188" t="str" cm="1">
        <f t="array" ref="L140">Common_InputFunctions.Utility_DisplayArrayInTable(Fertiliser_SourceData.Fertiliser_Products_Data2(), FertiliserProducts[[#Headers],[Company]],31)</f>
        <v/>
      </c>
      <c r="M140" s="188" t="str" cm="1">
        <f t="array" ref="M140">Common_InputFunctions.Utility_DisplayArrayInTable(Fertiliser_SourceData.Fertiliser_Products_Data2(), FertiliserProducts[[#Headers],[Company]],31)</f>
        <v/>
      </c>
      <c r="N140" s="188" t="str" cm="1">
        <f t="array" ref="N140">Common_InputFunctions.Utility_DisplayArrayInTable(Fertiliser_SourceData.Fertiliser_Products_Data2(), FertiliserProducts[[#Headers],[Company]],31)</f>
        <v/>
      </c>
      <c r="O140" s="188" t="str" cm="1">
        <f t="array" ref="O140">Common_InputFunctions.Utility_DisplayArrayInTable(Fertiliser_SourceData.Fertiliser_Products_Data2(), FertiliserProducts[[#Headers],[Company]],31)</f>
        <v>Calcium nitrate</v>
      </c>
      <c r="P140" s="188" cm="1">
        <f t="array" ref="P140">Common_InputFunctions.Utility_DisplayArrayInTable(Fertiliser_SourceData.Fertiliser_Products_Data2(), FertiliserProducts[[#Headers],[Company]],31)</f>
        <v>1</v>
      </c>
      <c r="Q140" s="188" t="str" cm="1">
        <f t="array" ref="Q140">Common_InputFunctions.Utility_DisplayArrayInTable(Fertiliser_SourceData.Fertiliser_Products_Data2(), FertiliserProducts[[#Headers],[Company]],31)</f>
        <v/>
      </c>
      <c r="R140" s="188" t="str" cm="1">
        <f t="array" ref="R140">Common_InputFunctions.Utility_DisplayArrayInTable(Fertiliser_SourceData.Fertiliser_Products_Data2(), FertiliserProducts[[#Headers],[Company]],31)</f>
        <v/>
      </c>
      <c r="S140" s="188" t="str" cm="1">
        <f t="array" ref="S140">Common_InputFunctions.Utility_DisplayArrayInTable(Fertiliser_SourceData.Fertiliser_Products_Data2(), FertiliserProducts[[#Headers],[Company]],31)</f>
        <v/>
      </c>
      <c r="T140" s="188" t="str" cm="1">
        <f t="array" ref="T140">Common_InputFunctions.Utility_DisplayArrayInTable(Fertiliser_SourceData.Fertiliser_Products_Data2(), FertiliserProducts[[#Headers],[Company]],31)</f>
        <v/>
      </c>
      <c r="U140" s="188" t="str" cm="1">
        <f t="array" ref="U140">Common_InputFunctions.Utility_DisplayArrayInTable(Fertiliser_SourceData.Fertiliser_Products_Data2(), FertiliserProducts[[#Headers],[Company]],31)</f>
        <v/>
      </c>
      <c r="V140" s="188" t="str" cm="1">
        <f t="array" ref="V140">Common_InputFunctions.Utility_DisplayArrayInTable(Fertiliser_SourceData.Fertiliser_Products_Data2(), FertiliserProducts[[#Headers],[Company]],31)</f>
        <v/>
      </c>
      <c r="W140" s="188" t="str" cm="1">
        <f t="array" ref="W140">Common_InputFunctions.Utility_DisplayArrayInTable(Fertiliser_SourceData.Fertiliser_Products_Data2(), FertiliserProducts[[#Headers],[Company]],31)</f>
        <v/>
      </c>
      <c r="X140" s="188" t="str" cm="1">
        <f t="array" ref="X140">Common_InputFunctions.Utility_DisplayArrayInTable(Fertiliser_SourceData.Fertiliser_Products_Data2(), FertiliserProducts[[#Headers],[Company]],31)</f>
        <v/>
      </c>
      <c r="Y140" s="188" t="str" cm="1">
        <f t="array" ref="Y140">Common_InputFunctions.Utility_DisplayArrayInTable(Fertiliser_SourceData.Fertiliser_Products_Data2(), FertiliserProducts[[#Headers],[Company]],31)</f>
        <v/>
      </c>
      <c r="Z140" s="188" t="str" cm="1">
        <f t="array" ref="Z140">Common_InputFunctions.Utility_DisplayArrayInTable(Fertiliser_SourceData.Fertiliser_Products_Data2(), FertiliserProducts[[#Headers],[Company]],31)</f>
        <v/>
      </c>
      <c r="AA140" s="188" t="str" cm="1">
        <f t="array" ref="AA140">Common_InputFunctions.Utility_DisplayArrayInTable(Fertiliser_SourceData.Fertiliser_Products_Data2(), FertiliserProducts[[#Headers],[Company]],31)</f>
        <v/>
      </c>
      <c r="AB140" s="188" t="str" cm="1">
        <f t="array" ref="AB140">Common_InputFunctions.Utility_DisplayArrayInTable(Fertiliser_SourceData.Fertiliser_Products_Data2(), FertiliserProducts[[#Headers],[Company]],31)</f>
        <v/>
      </c>
      <c r="AC140" s="188" t="str" cm="1">
        <f t="array" ref="AC140">Common_InputFunctions.Utility_DisplayArrayInTable(Fertiliser_SourceData.Fertiliser_Products_Data2(), FertiliserProducts[[#Headers],[Company]],31)</f>
        <v/>
      </c>
      <c r="AD140" s="188" t="str" cm="1">
        <f t="array" ref="AD140">Common_InputFunctions.Utility_DisplayArrayInTable(Fertiliser_SourceData.Fertiliser_Products_Data2(), FertiliserProducts[[#Headers],[Company]],31)</f>
        <v/>
      </c>
      <c r="AE140" s="188" t="str" cm="1">
        <f t="array" ref="AE140">Common_InputFunctions.Utility_DisplayArrayInTable(Fertiliser_SourceData.Fertiliser_Products_Data2(), FertiliserProducts[[#Headers],[Company]],31)</f>
        <v/>
      </c>
      <c r="AF140" s="188" t="str" cm="1">
        <f t="array" ref="AF140">Common_InputFunctions.Utility_DisplayArrayInTable(Fertiliser_SourceData.Fertiliser_Products_Data2(), FertiliserProducts[[#Headers],[Company]],31)</f>
        <v/>
      </c>
      <c r="AG140" s="188" t="str" cm="1">
        <f t="array" ref="AG140">Common_InputFunctions.Utility_DisplayArrayInTable(Fertiliser_SourceData.Fertiliser_Products_Data2(), FertiliserProducts[[#Headers],[Company]],31)</f>
        <v/>
      </c>
      <c r="AH140" s="188"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88" t="str" cm="1">
        <f t="array" ref="D141">Common_InputFunctions.Utility_DisplayArrayInTable(Fertiliser_SourceData.Fertiliser_Products_Data2(), FertiliserProducts[[#Headers],[Company]],31)</f>
        <v>Yara Australia</v>
      </c>
      <c r="E141" s="188" t="str" cm="1">
        <f t="array" ref="E141">Common_InputFunctions.Utility_DisplayArrayInTable(Fertiliser_SourceData.Fertiliser_Products_Data2(), FertiliserProducts[[#Headers],[Company]],31)</f>
        <v>YaraLiva NITRABOR</v>
      </c>
      <c r="F141" s="188" t="str" cm="1">
        <f t="array" ref="F141">Common_InputFunctions.Utility_DisplayArrayInTable(Fertiliser_SourceData.Fertiliser_Products_Data2(), FertiliserProducts[[#Headers],[Company]],31)</f>
        <v>kg</v>
      </c>
      <c r="G141" s="188" cm="1">
        <f t="array" ref="G141">Common_InputFunctions.Utility_DisplayArrayInTable(Fertiliser_SourceData.Fertiliser_Products_Data2(), FertiliserProducts[[#Headers],[Company]],31)</f>
        <v>1</v>
      </c>
      <c r="H141" s="188" t="str" cm="1">
        <f t="array" ref="H141">Common_InputFunctions.Utility_DisplayArrayInTable(Fertiliser_SourceData.Fertiliser_Products_Data2(), FertiliserProducts[[#Headers],[Company]],31)</f>
        <v/>
      </c>
      <c r="I141" s="188" t="str" cm="1">
        <f t="array" ref="I141">Common_InputFunctions.Utility_DisplayArrayInTable(Fertiliser_SourceData.Fertiliser_Products_Data2(), FertiliserProducts[[#Headers],[Company]],31)</f>
        <v/>
      </c>
      <c r="J141" s="188" t="str" cm="1">
        <f t="array" ref="J141">Common_InputFunctions.Utility_DisplayArrayInTable(Fertiliser_SourceData.Fertiliser_Products_Data2(), FertiliserProducts[[#Headers],[Company]],31)</f>
        <v/>
      </c>
      <c r="K141" s="188" cm="1">
        <f t="array" ref="K141">Common_InputFunctions.Utility_DisplayArrayInTable(Fertiliser_SourceData.Fertiliser_Products_Data2(), FertiliserProducts[[#Headers],[Company]],31)</f>
        <v>15.4</v>
      </c>
      <c r="L141" s="188" t="str" cm="1">
        <f t="array" ref="L141">Common_InputFunctions.Utility_DisplayArrayInTable(Fertiliser_SourceData.Fertiliser_Products_Data2(), FertiliserProducts[[#Headers],[Company]],31)</f>
        <v/>
      </c>
      <c r="M141" s="188" t="str" cm="1">
        <f t="array" ref="M141">Common_InputFunctions.Utility_DisplayArrayInTable(Fertiliser_SourceData.Fertiliser_Products_Data2(), FertiliserProducts[[#Headers],[Company]],31)</f>
        <v/>
      </c>
      <c r="N141" s="188" t="str" cm="1">
        <f t="array" ref="N141">Common_InputFunctions.Utility_DisplayArrayInTable(Fertiliser_SourceData.Fertiliser_Products_Data2(), FertiliserProducts[[#Headers],[Company]],31)</f>
        <v/>
      </c>
      <c r="O141" s="188" t="str" cm="1">
        <f t="array" ref="O141">Common_InputFunctions.Utility_DisplayArrayInTable(Fertiliser_SourceData.Fertiliser_Products_Data2(), FertiliserProducts[[#Headers],[Company]],31)</f>
        <v>Calcium nitrate</v>
      </c>
      <c r="P141" s="188" cm="1">
        <f t="array" ref="P141">Common_InputFunctions.Utility_DisplayArrayInTable(Fertiliser_SourceData.Fertiliser_Products_Data2(), FertiliserProducts[[#Headers],[Company]],31)</f>
        <v>0.99354799999999999</v>
      </c>
      <c r="Q141" s="188" t="str" cm="1">
        <f t="array" ref="Q141">Common_InputFunctions.Utility_DisplayArrayInTable(Fertiliser_SourceData.Fertiliser_Products_Data2(), FertiliserProducts[[#Headers],[Company]],31)</f>
        <v>Boron</v>
      </c>
      <c r="R141" s="188" cm="1">
        <f t="array" ref="R141">Common_InputFunctions.Utility_DisplayArrayInTable(Fertiliser_SourceData.Fertiliser_Products_Data2(), FertiliserProducts[[#Headers],[Company]],31)</f>
        <v>3.0000000000000001E-3</v>
      </c>
      <c r="S141" s="188" t="str" cm="1">
        <f t="array" ref="S141">Common_InputFunctions.Utility_DisplayArrayInTable(Fertiliser_SourceData.Fertiliser_Products_Data2(), FertiliserProducts[[#Headers],[Company]],31)</f>
        <v/>
      </c>
      <c r="T141" s="188" t="str" cm="1">
        <f t="array" ref="T141">Common_InputFunctions.Utility_DisplayArrayInTable(Fertiliser_SourceData.Fertiliser_Products_Data2(), FertiliserProducts[[#Headers],[Company]],31)</f>
        <v/>
      </c>
      <c r="U141" s="188" t="str" cm="1">
        <f t="array" ref="U141">Common_InputFunctions.Utility_DisplayArrayInTable(Fertiliser_SourceData.Fertiliser_Products_Data2(), FertiliserProducts[[#Headers],[Company]],31)</f>
        <v/>
      </c>
      <c r="V141" s="188" t="str" cm="1">
        <f t="array" ref="V141">Common_InputFunctions.Utility_DisplayArrayInTable(Fertiliser_SourceData.Fertiliser_Products_Data2(), FertiliserProducts[[#Headers],[Company]],31)</f>
        <v/>
      </c>
      <c r="W141" s="188" t="str" cm="1">
        <f t="array" ref="W141">Common_InputFunctions.Utility_DisplayArrayInTable(Fertiliser_SourceData.Fertiliser_Products_Data2(), FertiliserProducts[[#Headers],[Company]],31)</f>
        <v/>
      </c>
      <c r="X141" s="188" t="str" cm="1">
        <f t="array" ref="X141">Common_InputFunctions.Utility_DisplayArrayInTable(Fertiliser_SourceData.Fertiliser_Products_Data2(), FertiliserProducts[[#Headers],[Company]],31)</f>
        <v/>
      </c>
      <c r="Y141" s="188" t="str" cm="1">
        <f t="array" ref="Y141">Common_InputFunctions.Utility_DisplayArrayInTable(Fertiliser_SourceData.Fertiliser_Products_Data2(), FertiliserProducts[[#Headers],[Company]],31)</f>
        <v/>
      </c>
      <c r="Z141" s="188" t="str" cm="1">
        <f t="array" ref="Z141">Common_InputFunctions.Utility_DisplayArrayInTable(Fertiliser_SourceData.Fertiliser_Products_Data2(), FertiliserProducts[[#Headers],[Company]],31)</f>
        <v/>
      </c>
      <c r="AA141" s="188" t="str" cm="1">
        <f t="array" ref="AA141">Common_InputFunctions.Utility_DisplayArrayInTable(Fertiliser_SourceData.Fertiliser_Products_Data2(), FertiliserProducts[[#Headers],[Company]],31)</f>
        <v/>
      </c>
      <c r="AB141" s="188" t="str" cm="1">
        <f t="array" ref="AB141">Common_InputFunctions.Utility_DisplayArrayInTable(Fertiliser_SourceData.Fertiliser_Products_Data2(), FertiliserProducts[[#Headers],[Company]],31)</f>
        <v/>
      </c>
      <c r="AC141" s="188" t="str" cm="1">
        <f t="array" ref="AC141">Common_InputFunctions.Utility_DisplayArrayInTable(Fertiliser_SourceData.Fertiliser_Products_Data2(), FertiliserProducts[[#Headers],[Company]],31)</f>
        <v/>
      </c>
      <c r="AD141" s="188" t="str" cm="1">
        <f t="array" ref="AD141">Common_InputFunctions.Utility_DisplayArrayInTable(Fertiliser_SourceData.Fertiliser_Products_Data2(), FertiliserProducts[[#Headers],[Company]],31)</f>
        <v/>
      </c>
      <c r="AE141" s="188" t="str" cm="1">
        <f t="array" ref="AE141">Common_InputFunctions.Utility_DisplayArrayInTable(Fertiliser_SourceData.Fertiliser_Products_Data2(), FertiliserProducts[[#Headers],[Company]],31)</f>
        <v/>
      </c>
      <c r="AF141" s="188" t="str" cm="1">
        <f t="array" ref="AF141">Common_InputFunctions.Utility_DisplayArrayInTable(Fertiliser_SourceData.Fertiliser_Products_Data2(), FertiliserProducts[[#Headers],[Company]],31)</f>
        <v/>
      </c>
      <c r="AG141" s="188" t="str" cm="1">
        <f t="array" ref="AG141">Common_InputFunctions.Utility_DisplayArrayInTable(Fertiliser_SourceData.Fertiliser_Products_Data2(), FertiliserProducts[[#Headers],[Company]],31)</f>
        <v/>
      </c>
      <c r="AH141" s="188"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88" t="str" cm="1">
        <f t="array" ref="D142">Common_InputFunctions.Utility_DisplayArrayInTable(Fertiliser_SourceData.Fertiliser_Products_Data2(), FertiliserProducts[[#Headers],[Company]],31)</f>
        <v>Yara Australia</v>
      </c>
      <c r="E142" s="188" t="str" cm="1">
        <f t="array" ref="E142">Common_InputFunctions.Utility_DisplayArrayInTable(Fertiliser_SourceData.Fertiliser_Products_Data2(), FertiliserProducts[[#Headers],[Company]],31)</f>
        <v>YaraMila COMPLEX</v>
      </c>
      <c r="F142" s="188" t="str" cm="1">
        <f t="array" ref="F142">Common_InputFunctions.Utility_DisplayArrayInTable(Fertiliser_SourceData.Fertiliser_Products_Data2(), FertiliserProducts[[#Headers],[Company]],31)</f>
        <v>kg</v>
      </c>
      <c r="G142" s="188" cm="1">
        <f t="array" ref="G142">Common_InputFunctions.Utility_DisplayArrayInTable(Fertiliser_SourceData.Fertiliser_Products_Data2(), FertiliserProducts[[#Headers],[Company]],31)</f>
        <v>1</v>
      </c>
      <c r="H142" s="188" t="str" cm="1">
        <f t="array" ref="H142">Common_InputFunctions.Utility_DisplayArrayInTable(Fertiliser_SourceData.Fertiliser_Products_Data2(), FertiliserProducts[[#Headers],[Company]],31)</f>
        <v/>
      </c>
      <c r="I142" s="188" t="str" cm="1">
        <f t="array" ref="I142">Common_InputFunctions.Utility_DisplayArrayInTable(Fertiliser_SourceData.Fertiliser_Products_Data2(), FertiliserProducts[[#Headers],[Company]],31)</f>
        <v/>
      </c>
      <c r="J142" s="188" t="str" cm="1">
        <f t="array" ref="J142">Common_InputFunctions.Utility_DisplayArrayInTable(Fertiliser_SourceData.Fertiliser_Products_Data2(), FertiliserProducts[[#Headers],[Company]],31)</f>
        <v/>
      </c>
      <c r="K142" s="188" cm="1">
        <f t="array" ref="K142">Common_InputFunctions.Utility_DisplayArrayInTable(Fertiliser_SourceData.Fertiliser_Products_Data2(), FertiliserProducts[[#Headers],[Company]],31)</f>
        <v>12</v>
      </c>
      <c r="L142" s="188" cm="1">
        <f t="array" ref="L142">Common_InputFunctions.Utility_DisplayArrayInTable(Fertiliser_SourceData.Fertiliser_Products_Data2(), FertiliserProducts[[#Headers],[Company]],31)</f>
        <v>5</v>
      </c>
      <c r="M142" s="188" cm="1">
        <f t="array" ref="M142">Common_InputFunctions.Utility_DisplayArrayInTable(Fertiliser_SourceData.Fertiliser_Products_Data2(), FertiliserProducts[[#Headers],[Company]],31)</f>
        <v>15</v>
      </c>
      <c r="N142" s="188" cm="1">
        <f t="array" ref="N142">Common_InputFunctions.Utility_DisplayArrayInTable(Fertiliser_SourceData.Fertiliser_Products_Data2(), FertiliserProducts[[#Headers],[Company]],31)</f>
        <v>8</v>
      </c>
      <c r="O142" s="188" t="str" cm="1">
        <f t="array" ref="O142">Common_InputFunctions.Utility_DisplayArrayInTable(Fertiliser_SourceData.Fertiliser_Products_Data2(), FertiliserProducts[[#Headers],[Company]],31)</f>
        <v>Nitrogen - Nitrate</v>
      </c>
      <c r="P142" s="188" cm="1">
        <f t="array" ref="P142">Common_InputFunctions.Utility_DisplayArrayInTable(Fertiliser_SourceData.Fertiliser_Products_Data2(), FertiliserProducts[[#Headers],[Company]],31)</f>
        <v>0.05</v>
      </c>
      <c r="Q142" s="188" t="str" cm="1">
        <f t="array" ref="Q142">Common_InputFunctions.Utility_DisplayArrayInTable(Fertiliser_SourceData.Fertiliser_Products_Data2(), FertiliserProducts[[#Headers],[Company]],31)</f>
        <v>Nitrogen - Ammoniacal</v>
      </c>
      <c r="R142" s="188" cm="1">
        <f t="array" ref="R142">Common_InputFunctions.Utility_DisplayArrayInTable(Fertiliser_SourceData.Fertiliser_Products_Data2(), FertiliserProducts[[#Headers],[Company]],31)</f>
        <v>7.0000000000000007E-2</v>
      </c>
      <c r="S142" s="188" t="str" cm="1">
        <f t="array" ref="S142">Common_InputFunctions.Utility_DisplayArrayInTable(Fertiliser_SourceData.Fertiliser_Products_Data2(), FertiliserProducts[[#Headers],[Company]],31)</f>
        <v>Phosphorus - Generic</v>
      </c>
      <c r="T142" s="188" cm="1">
        <f t="array" ref="T142">Common_InputFunctions.Utility_DisplayArrayInTable(Fertiliser_SourceData.Fertiliser_Products_Data2(), FertiliserProducts[[#Headers],[Company]],31)</f>
        <v>0.05</v>
      </c>
      <c r="U142" s="188" t="str" cm="1">
        <f t="array" ref="U142">Common_InputFunctions.Utility_DisplayArrayInTable(Fertiliser_SourceData.Fertiliser_Products_Data2(), FertiliserProducts[[#Headers],[Company]],31)</f>
        <v>Potassium - Generic</v>
      </c>
      <c r="V142" s="188" cm="1">
        <f t="array" ref="V142">Common_InputFunctions.Utility_DisplayArrayInTable(Fertiliser_SourceData.Fertiliser_Products_Data2(), FertiliserProducts[[#Headers],[Company]],31)</f>
        <v>0.15</v>
      </c>
      <c r="W142" s="188" t="str" cm="1">
        <f t="array" ref="W142">Common_InputFunctions.Utility_DisplayArrayInTable(Fertiliser_SourceData.Fertiliser_Products_Data2(), FertiliserProducts[[#Headers],[Company]],31)</f>
        <v>Sulfur - Generic</v>
      </c>
      <c r="X142" s="188" cm="1">
        <f t="array" ref="X142">Common_InputFunctions.Utility_DisplayArrayInTable(Fertiliser_SourceData.Fertiliser_Products_Data2(), FertiliserProducts[[#Headers],[Company]],31)</f>
        <v>0.08</v>
      </c>
      <c r="Y142" s="188" t="str" cm="1">
        <f t="array" ref="Y142">Common_InputFunctions.Utility_DisplayArrayInTable(Fertiliser_SourceData.Fertiliser_Products_Data2(), FertiliserProducts[[#Headers],[Company]],31)</f>
        <v>Magnesium</v>
      </c>
      <c r="Z142" s="188" cm="1">
        <f t="array" ref="Z142">Common_InputFunctions.Utility_DisplayArrayInTable(Fertiliser_SourceData.Fertiliser_Products_Data2(), FertiliserProducts[[#Headers],[Company]],31)</f>
        <v>1.6E-2</v>
      </c>
      <c r="AA142" s="188" t="str" cm="1">
        <f t="array" ref="AA142">Common_InputFunctions.Utility_DisplayArrayInTable(Fertiliser_SourceData.Fertiliser_Products_Data2(), FertiliserProducts[[#Headers],[Company]],31)</f>
        <v>Zinc</v>
      </c>
      <c r="AB142" s="188" cm="1">
        <f t="array" ref="AB142">Common_InputFunctions.Utility_DisplayArrayInTable(Fertiliser_SourceData.Fertiliser_Products_Data2(), FertiliserProducts[[#Headers],[Company]],31)</f>
        <v>2.0000000000000001E-4</v>
      </c>
      <c r="AC142" s="188" t="str" cm="1">
        <f t="array" ref="AC142">Common_InputFunctions.Utility_DisplayArrayInTable(Fertiliser_SourceData.Fertiliser_Products_Data2(), FertiliserProducts[[#Headers],[Company]],31)</f>
        <v>Boron</v>
      </c>
      <c r="AD142" s="188" cm="1">
        <f t="array" ref="AD142">Common_InputFunctions.Utility_DisplayArrayInTable(Fertiliser_SourceData.Fertiliser_Products_Data2(), FertiliserProducts[[#Headers],[Company]],31)</f>
        <v>1.4999999999999999E-4</v>
      </c>
      <c r="AE142" s="188" t="str" cm="1">
        <f t="array" ref="AE142">Common_InputFunctions.Utility_DisplayArrayInTable(Fertiliser_SourceData.Fertiliser_Products_Data2(), FertiliserProducts[[#Headers],[Company]],31)</f>
        <v/>
      </c>
      <c r="AF142" s="188" t="str" cm="1">
        <f t="array" ref="AF142">Common_InputFunctions.Utility_DisplayArrayInTable(Fertiliser_SourceData.Fertiliser_Products_Data2(), FertiliserProducts[[#Headers],[Company]],31)</f>
        <v/>
      </c>
      <c r="AG142" s="188" t="str" cm="1">
        <f t="array" ref="AG142">Common_InputFunctions.Utility_DisplayArrayInTable(Fertiliser_SourceData.Fertiliser_Products_Data2(), FertiliserProducts[[#Headers],[Company]],31)</f>
        <v/>
      </c>
      <c r="AH142" s="188"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88" t="str" cm="1">
        <f t="array" ref="D143">Common_InputFunctions.Utility_DisplayArrayInTable(Fertiliser_SourceData.Fertiliser_Products_Data2(), FertiliserProducts[[#Headers],[Company]],31)</f>
        <v>Yara Australia</v>
      </c>
      <c r="E143" s="188" t="str" cm="1">
        <f t="array" ref="E143">Common_InputFunctions.Utility_DisplayArrayInTable(Fertiliser_SourceData.Fertiliser_Products_Data2(), FertiliserProducts[[#Headers],[Company]],31)</f>
        <v>YaraRega 9-0-30 (14)</v>
      </c>
      <c r="F143" s="188" t="str" cm="1">
        <f t="array" ref="F143">Common_InputFunctions.Utility_DisplayArrayInTable(Fertiliser_SourceData.Fertiliser_Products_Data2(), FertiliserProducts[[#Headers],[Company]],31)</f>
        <v>kg</v>
      </c>
      <c r="G143" s="188" cm="1">
        <f t="array" ref="G143">Common_InputFunctions.Utility_DisplayArrayInTable(Fertiliser_SourceData.Fertiliser_Products_Data2(), FertiliserProducts[[#Headers],[Company]],31)</f>
        <v>1</v>
      </c>
      <c r="H143" s="188" t="str" cm="1">
        <f t="array" ref="H143">Common_InputFunctions.Utility_DisplayArrayInTable(Fertiliser_SourceData.Fertiliser_Products_Data2(), FertiliserProducts[[#Headers],[Company]],31)</f>
        <v/>
      </c>
      <c r="I143" s="188" t="str" cm="1">
        <f t="array" ref="I143">Common_InputFunctions.Utility_DisplayArrayInTable(Fertiliser_SourceData.Fertiliser_Products_Data2(), FertiliserProducts[[#Headers],[Company]],31)</f>
        <v/>
      </c>
      <c r="J143" s="188" t="str" cm="1">
        <f t="array" ref="J143">Common_InputFunctions.Utility_DisplayArrayInTable(Fertiliser_SourceData.Fertiliser_Products_Data2(), FertiliserProducts[[#Headers],[Company]],31)</f>
        <v/>
      </c>
      <c r="K143" s="188" cm="1">
        <f t="array" ref="K143">Common_InputFunctions.Utility_DisplayArrayInTable(Fertiliser_SourceData.Fertiliser_Products_Data2(), FertiliserProducts[[#Headers],[Company]],31)</f>
        <v>9</v>
      </c>
      <c r="L143" s="188" t="str" cm="1">
        <f t="array" ref="L143">Common_InputFunctions.Utility_DisplayArrayInTable(Fertiliser_SourceData.Fertiliser_Products_Data2(), FertiliserProducts[[#Headers],[Company]],31)</f>
        <v/>
      </c>
      <c r="M143" s="188" cm="1">
        <f t="array" ref="M143">Common_InputFunctions.Utility_DisplayArrayInTable(Fertiliser_SourceData.Fertiliser_Products_Data2(), FertiliserProducts[[#Headers],[Company]],31)</f>
        <v>30</v>
      </c>
      <c r="N143" s="188" cm="1">
        <f t="array" ref="N143">Common_InputFunctions.Utility_DisplayArrayInTable(Fertiliser_SourceData.Fertiliser_Products_Data2(), FertiliserProducts[[#Headers],[Company]],31)</f>
        <v>14</v>
      </c>
      <c r="O143" s="188" t="str" cm="1">
        <f t="array" ref="O143">Common_InputFunctions.Utility_DisplayArrayInTable(Fertiliser_SourceData.Fertiliser_Products_Data2(), FertiliserProducts[[#Headers],[Company]],31)</f>
        <v>Potassium - Generic</v>
      </c>
      <c r="P143" s="188" cm="1">
        <f t="array" ref="P143">Common_InputFunctions.Utility_DisplayArrayInTable(Fertiliser_SourceData.Fertiliser_Products_Data2(), FertiliserProducts[[#Headers],[Company]],31)</f>
        <v>0.3</v>
      </c>
      <c r="Q143" s="188" t="str" cm="1">
        <f t="array" ref="Q143">Common_InputFunctions.Utility_DisplayArrayInTable(Fertiliser_SourceData.Fertiliser_Products_Data2(), FertiliserProducts[[#Headers],[Company]],31)</f>
        <v>Sulfur - Generic</v>
      </c>
      <c r="R143" s="188" cm="1">
        <f t="array" ref="R143">Common_InputFunctions.Utility_DisplayArrayInTable(Fertiliser_SourceData.Fertiliser_Products_Data2(), FertiliserProducts[[#Headers],[Company]],31)</f>
        <v>0.14000000000000001</v>
      </c>
      <c r="S143" s="188" t="str" cm="1">
        <f t="array" ref="S143">Common_InputFunctions.Utility_DisplayArrayInTable(Fertiliser_SourceData.Fertiliser_Products_Data2(), FertiliserProducts[[#Headers],[Company]],31)</f>
        <v>Nitrogen - Nitrate</v>
      </c>
      <c r="T143" s="188" cm="1">
        <f t="array" ref="T143">Common_InputFunctions.Utility_DisplayArrayInTable(Fertiliser_SourceData.Fertiliser_Products_Data2(), FertiliserProducts[[#Headers],[Company]],31)</f>
        <v>4.4999999999999998E-2</v>
      </c>
      <c r="U143" s="188" t="str" cm="1">
        <f t="array" ref="U143">Common_InputFunctions.Utility_DisplayArrayInTable(Fertiliser_SourceData.Fertiliser_Products_Data2(), FertiliserProducts[[#Headers],[Company]],31)</f>
        <v>Nitrogen - Ammoniacal</v>
      </c>
      <c r="V143" s="188" cm="1">
        <f t="array" ref="V143">Common_InputFunctions.Utility_DisplayArrayInTable(Fertiliser_SourceData.Fertiliser_Products_Data2(), FertiliserProducts[[#Headers],[Company]],31)</f>
        <v>4.4999999999999998E-2</v>
      </c>
      <c r="W143" s="188" t="str" cm="1">
        <f t="array" ref="W143">Common_InputFunctions.Utility_DisplayArrayInTable(Fertiliser_SourceData.Fertiliser_Products_Data2(), FertiliserProducts[[#Headers],[Company]],31)</f>
        <v/>
      </c>
      <c r="X143" s="188" t="str" cm="1">
        <f t="array" ref="X143">Common_InputFunctions.Utility_DisplayArrayInTable(Fertiliser_SourceData.Fertiliser_Products_Data2(), FertiliserProducts[[#Headers],[Company]],31)</f>
        <v/>
      </c>
      <c r="Y143" s="188" t="str" cm="1">
        <f t="array" ref="Y143">Common_InputFunctions.Utility_DisplayArrayInTable(Fertiliser_SourceData.Fertiliser_Products_Data2(), FertiliserProducts[[#Headers],[Company]],31)</f>
        <v/>
      </c>
      <c r="Z143" s="188" t="str" cm="1">
        <f t="array" ref="Z143">Common_InputFunctions.Utility_DisplayArrayInTable(Fertiliser_SourceData.Fertiliser_Products_Data2(), FertiliserProducts[[#Headers],[Company]],31)</f>
        <v/>
      </c>
      <c r="AA143" s="188" t="str" cm="1">
        <f t="array" ref="AA143">Common_InputFunctions.Utility_DisplayArrayInTable(Fertiliser_SourceData.Fertiliser_Products_Data2(), FertiliserProducts[[#Headers],[Company]],31)</f>
        <v/>
      </c>
      <c r="AB143" s="188" t="str" cm="1">
        <f t="array" ref="AB143">Common_InputFunctions.Utility_DisplayArrayInTable(Fertiliser_SourceData.Fertiliser_Products_Data2(), FertiliserProducts[[#Headers],[Company]],31)</f>
        <v/>
      </c>
      <c r="AC143" s="188" t="str" cm="1">
        <f t="array" ref="AC143">Common_InputFunctions.Utility_DisplayArrayInTable(Fertiliser_SourceData.Fertiliser_Products_Data2(), FertiliserProducts[[#Headers],[Company]],31)</f>
        <v/>
      </c>
      <c r="AD143" s="188" t="str" cm="1">
        <f t="array" ref="AD143">Common_InputFunctions.Utility_DisplayArrayInTable(Fertiliser_SourceData.Fertiliser_Products_Data2(), FertiliserProducts[[#Headers],[Company]],31)</f>
        <v/>
      </c>
      <c r="AE143" s="188" t="str" cm="1">
        <f t="array" ref="AE143">Common_InputFunctions.Utility_DisplayArrayInTable(Fertiliser_SourceData.Fertiliser_Products_Data2(), FertiliserProducts[[#Headers],[Company]],31)</f>
        <v/>
      </c>
      <c r="AF143" s="188" t="str" cm="1">
        <f t="array" ref="AF143">Common_InputFunctions.Utility_DisplayArrayInTable(Fertiliser_SourceData.Fertiliser_Products_Data2(), FertiliserProducts[[#Headers],[Company]],31)</f>
        <v/>
      </c>
      <c r="AG143" s="188" t="str" cm="1">
        <f t="array" ref="AG143">Common_InputFunctions.Utility_DisplayArrayInTable(Fertiliser_SourceData.Fertiliser_Products_Data2(), FertiliserProducts[[#Headers],[Company]],31)</f>
        <v/>
      </c>
      <c r="AH143" s="188"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88" t="str" cm="1">
        <f t="array" ref="D144">Common_InputFunctions.Utility_DisplayArrayInTable(Fertiliser_SourceData.Fertiliser_Products_Data2(), FertiliserProducts[[#Headers],[Company]],31)</f>
        <v>Yara Australia</v>
      </c>
      <c r="E144" s="188" t="str" cm="1">
        <f t="array" ref="E144">Common_InputFunctions.Utility_DisplayArrayInTable(Fertiliser_SourceData.Fertiliser_Products_Data2(), FertiliserProducts[[#Headers],[Company]],31)</f>
        <v>YaraRega 13-2-21</v>
      </c>
      <c r="F144" s="188" t="str" cm="1">
        <f t="array" ref="F144">Common_InputFunctions.Utility_DisplayArrayInTable(Fertiliser_SourceData.Fertiliser_Products_Data2(), FertiliserProducts[[#Headers],[Company]],31)</f>
        <v>kg</v>
      </c>
      <c r="G144" s="188" cm="1">
        <f t="array" ref="G144">Common_InputFunctions.Utility_DisplayArrayInTable(Fertiliser_SourceData.Fertiliser_Products_Data2(), FertiliserProducts[[#Headers],[Company]],31)</f>
        <v>1</v>
      </c>
      <c r="H144" s="188" t="str" cm="1">
        <f t="array" ref="H144">Common_InputFunctions.Utility_DisplayArrayInTable(Fertiliser_SourceData.Fertiliser_Products_Data2(), FertiliserProducts[[#Headers],[Company]],31)</f>
        <v/>
      </c>
      <c r="I144" s="188" t="str" cm="1">
        <f t="array" ref="I144">Common_InputFunctions.Utility_DisplayArrayInTable(Fertiliser_SourceData.Fertiliser_Products_Data2(), FertiliserProducts[[#Headers],[Company]],31)</f>
        <v/>
      </c>
      <c r="J144" s="188" t="str" cm="1">
        <f t="array" ref="J144">Common_InputFunctions.Utility_DisplayArrayInTable(Fertiliser_SourceData.Fertiliser_Products_Data2(), FertiliserProducts[[#Headers],[Company]],31)</f>
        <v/>
      </c>
      <c r="K144" s="188" cm="1">
        <f t="array" ref="K144">Common_InputFunctions.Utility_DisplayArrayInTable(Fertiliser_SourceData.Fertiliser_Products_Data2(), FertiliserProducts[[#Headers],[Company]],31)</f>
        <v>13</v>
      </c>
      <c r="L144" s="188" cm="1">
        <f t="array" ref="L144">Common_InputFunctions.Utility_DisplayArrayInTable(Fertiliser_SourceData.Fertiliser_Products_Data2(), FertiliserProducts[[#Headers],[Company]],31)</f>
        <v>1.75</v>
      </c>
      <c r="M144" s="188" cm="1">
        <f t="array" ref="M144">Common_InputFunctions.Utility_DisplayArrayInTable(Fertiliser_SourceData.Fertiliser_Products_Data2(), FertiliserProducts[[#Headers],[Company]],31)</f>
        <v>21</v>
      </c>
      <c r="N144" s="188" cm="1">
        <f t="array" ref="N144">Common_InputFunctions.Utility_DisplayArrayInTable(Fertiliser_SourceData.Fertiliser_Products_Data2(), FertiliserProducts[[#Headers],[Company]],31)</f>
        <v>10.8</v>
      </c>
      <c r="O144" s="188" t="str" cm="1">
        <f t="array" ref="O144">Common_InputFunctions.Utility_DisplayArrayInTable(Fertiliser_SourceData.Fertiliser_Products_Data2(), FertiliserProducts[[#Headers],[Company]],31)</f>
        <v>Potassium - Generic</v>
      </c>
      <c r="P144" s="188" cm="1">
        <f t="array" ref="P144">Common_InputFunctions.Utility_DisplayArrayInTable(Fertiliser_SourceData.Fertiliser_Products_Data2(), FertiliserProducts[[#Headers],[Company]],31)</f>
        <v>0.21</v>
      </c>
      <c r="Q144" s="188" t="str" cm="1">
        <f t="array" ref="Q144">Common_InputFunctions.Utility_DisplayArrayInTable(Fertiliser_SourceData.Fertiliser_Products_Data2(), FertiliserProducts[[#Headers],[Company]],31)</f>
        <v>Sulfur - Generic</v>
      </c>
      <c r="R144" s="188" cm="1">
        <f t="array" ref="R144">Common_InputFunctions.Utility_DisplayArrayInTable(Fertiliser_SourceData.Fertiliser_Products_Data2(), FertiliserProducts[[#Headers],[Company]],31)</f>
        <v>0.108</v>
      </c>
      <c r="S144" s="188" t="str" cm="1">
        <f t="array" ref="S144">Common_InputFunctions.Utility_DisplayArrayInTable(Fertiliser_SourceData.Fertiliser_Products_Data2(), FertiliserProducts[[#Headers],[Company]],31)</f>
        <v>Nitrogen - Ammoniacal</v>
      </c>
      <c r="T144" s="188" cm="1">
        <f t="array" ref="T144">Common_InputFunctions.Utility_DisplayArrayInTable(Fertiliser_SourceData.Fertiliser_Products_Data2(), FertiliserProducts[[#Headers],[Company]],31)</f>
        <v>7.6999999999999999E-2</v>
      </c>
      <c r="U144" s="188" t="str" cm="1">
        <f t="array" ref="U144">Common_InputFunctions.Utility_DisplayArrayInTable(Fertiliser_SourceData.Fertiliser_Products_Data2(), FertiliserProducts[[#Headers],[Company]],31)</f>
        <v>Nitrogen - Nitrate</v>
      </c>
      <c r="V144" s="188" cm="1">
        <f t="array" ref="V144">Common_InputFunctions.Utility_DisplayArrayInTable(Fertiliser_SourceData.Fertiliser_Products_Data2(), FertiliserProducts[[#Headers],[Company]],31)</f>
        <v>5.2999999999999999E-2</v>
      </c>
      <c r="W144" s="188" t="str" cm="1">
        <f t="array" ref="W144">Common_InputFunctions.Utility_DisplayArrayInTable(Fertiliser_SourceData.Fertiliser_Products_Data2(), FertiliserProducts[[#Headers],[Company]],31)</f>
        <v>Phosphorus - Generic</v>
      </c>
      <c r="X144" s="188" cm="1">
        <f t="array" ref="X144">Common_InputFunctions.Utility_DisplayArrayInTable(Fertiliser_SourceData.Fertiliser_Products_Data2(), FertiliserProducts[[#Headers],[Company]],31)</f>
        <v>1.7500000000000002E-2</v>
      </c>
      <c r="Y144" s="188" t="str" cm="1">
        <f t="array" ref="Y144">Common_InputFunctions.Utility_DisplayArrayInTable(Fertiliser_SourceData.Fertiliser_Products_Data2(), FertiliserProducts[[#Headers],[Company]],31)</f>
        <v>Magnesium</v>
      </c>
      <c r="Z144" s="188" cm="1">
        <f t="array" ref="Z144">Common_InputFunctions.Utility_DisplayArrayInTable(Fertiliser_SourceData.Fertiliser_Products_Data2(), FertiliserProducts[[#Headers],[Company]],31)</f>
        <v>4.0000000000000001E-3</v>
      </c>
      <c r="AA144" s="188" t="str" cm="1">
        <f t="array" ref="AA144">Common_InputFunctions.Utility_DisplayArrayInTable(Fertiliser_SourceData.Fertiliser_Products_Data2(), FertiliserProducts[[#Headers],[Company]],31)</f>
        <v>Zinc</v>
      </c>
      <c r="AB144" s="188" cm="1">
        <f t="array" ref="AB144">Common_InputFunctions.Utility_DisplayArrayInTable(Fertiliser_SourceData.Fertiliser_Products_Data2(), FertiliserProducts[[#Headers],[Company]],31)</f>
        <v>8.0000000000000004E-4</v>
      </c>
      <c r="AC144" s="188" t="str" cm="1">
        <f t="array" ref="AC144">Common_InputFunctions.Utility_DisplayArrayInTable(Fertiliser_SourceData.Fertiliser_Products_Data2(), FertiliserProducts[[#Headers],[Company]],31)</f>
        <v>Boron</v>
      </c>
      <c r="AD144" s="188" cm="1">
        <f t="array" ref="AD144">Common_InputFunctions.Utility_DisplayArrayInTable(Fertiliser_SourceData.Fertiliser_Products_Data2(), FertiliserProducts[[#Headers],[Company]],31)</f>
        <v>8.0000000000000004E-4</v>
      </c>
      <c r="AE144" s="188" t="str" cm="1">
        <f t="array" ref="AE144">Common_InputFunctions.Utility_DisplayArrayInTable(Fertiliser_SourceData.Fertiliser_Products_Data2(), FertiliserProducts[[#Headers],[Company]],31)</f>
        <v/>
      </c>
      <c r="AF144" s="188" t="str" cm="1">
        <f t="array" ref="AF144">Common_InputFunctions.Utility_DisplayArrayInTable(Fertiliser_SourceData.Fertiliser_Products_Data2(), FertiliserProducts[[#Headers],[Company]],31)</f>
        <v/>
      </c>
      <c r="AG144" s="188" t="str" cm="1">
        <f t="array" ref="AG144">Common_InputFunctions.Utility_DisplayArrayInTable(Fertiliser_SourceData.Fertiliser_Products_Data2(), FertiliserProducts[[#Headers],[Company]],31)</f>
        <v/>
      </c>
      <c r="AH144" s="188"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88" t="str" cm="1">
        <f t="array" ref="D145">Common_InputFunctions.Utility_DisplayArrayInTable(Fertiliser_SourceData.Fertiliser_Products_Data2(), FertiliserProducts[[#Headers],[Company]],31)</f>
        <v>Yara Australia</v>
      </c>
      <c r="E145" s="188" t="str" cm="1">
        <f t="array" ref="E145">Common_InputFunctions.Utility_DisplayArrayInTable(Fertiliser_SourceData.Fertiliser_Products_Data2(), FertiliserProducts[[#Headers],[Company]],31)</f>
        <v>YaraRega 15-7-13 (7S)</v>
      </c>
      <c r="F145" s="188" t="str" cm="1">
        <f t="array" ref="F145">Common_InputFunctions.Utility_DisplayArrayInTable(Fertiliser_SourceData.Fertiliser_Products_Data2(), FertiliserProducts[[#Headers],[Company]],31)</f>
        <v>kg</v>
      </c>
      <c r="G145" s="188" cm="1">
        <f t="array" ref="G145">Common_InputFunctions.Utility_DisplayArrayInTable(Fertiliser_SourceData.Fertiliser_Products_Data2(), FertiliserProducts[[#Headers],[Company]],31)</f>
        <v>1</v>
      </c>
      <c r="H145" s="188" t="str" cm="1">
        <f t="array" ref="H145">Common_InputFunctions.Utility_DisplayArrayInTable(Fertiliser_SourceData.Fertiliser_Products_Data2(), FertiliserProducts[[#Headers],[Company]],31)</f>
        <v/>
      </c>
      <c r="I145" s="188" t="str" cm="1">
        <f t="array" ref="I145">Common_InputFunctions.Utility_DisplayArrayInTable(Fertiliser_SourceData.Fertiliser_Products_Data2(), FertiliserProducts[[#Headers],[Company]],31)</f>
        <v/>
      </c>
      <c r="J145" s="188" t="str" cm="1">
        <f t="array" ref="J145">Common_InputFunctions.Utility_DisplayArrayInTable(Fertiliser_SourceData.Fertiliser_Products_Data2(), FertiliserProducts[[#Headers],[Company]],31)</f>
        <v/>
      </c>
      <c r="K145" s="188" cm="1">
        <f t="array" ref="K145">Common_InputFunctions.Utility_DisplayArrayInTable(Fertiliser_SourceData.Fertiliser_Products_Data2(), FertiliserProducts[[#Headers],[Company]],31)</f>
        <v>15</v>
      </c>
      <c r="L145" s="188" cm="1">
        <f t="array" ref="L145">Common_InputFunctions.Utility_DisplayArrayInTable(Fertiliser_SourceData.Fertiliser_Products_Data2(), FertiliserProducts[[#Headers],[Company]],31)</f>
        <v>6.5</v>
      </c>
      <c r="M145" s="188" cm="1">
        <f t="array" ref="M145">Common_InputFunctions.Utility_DisplayArrayInTable(Fertiliser_SourceData.Fertiliser_Products_Data2(), FertiliserProducts[[#Headers],[Company]],31)</f>
        <v>12.5</v>
      </c>
      <c r="N145" s="188" cm="1">
        <f t="array" ref="N145">Common_InputFunctions.Utility_DisplayArrayInTable(Fertiliser_SourceData.Fertiliser_Products_Data2(), FertiliserProducts[[#Headers],[Company]],31)</f>
        <v>7.2</v>
      </c>
      <c r="O145" s="188" t="str" cm="1">
        <f t="array" ref="O145">Common_InputFunctions.Utility_DisplayArrayInTable(Fertiliser_SourceData.Fertiliser_Products_Data2(), FertiliserProducts[[#Headers],[Company]],31)</f>
        <v>Nitrogen - Nitrate</v>
      </c>
      <c r="P145" s="188" cm="1">
        <f t="array" ref="P145">Common_InputFunctions.Utility_DisplayArrayInTable(Fertiliser_SourceData.Fertiliser_Products_Data2(), FertiliserProducts[[#Headers],[Company]],31)</f>
        <v>9.5000000000000001E-2</v>
      </c>
      <c r="Q145" s="188" t="str" cm="1">
        <f t="array" ref="Q145">Common_InputFunctions.Utility_DisplayArrayInTable(Fertiliser_SourceData.Fertiliser_Products_Data2(), FertiliserProducts[[#Headers],[Company]],31)</f>
        <v>Potassium - Generic</v>
      </c>
      <c r="R145" s="188" cm="1">
        <f t="array" ref="R145">Common_InputFunctions.Utility_DisplayArrayInTable(Fertiliser_SourceData.Fertiliser_Products_Data2(), FertiliserProducts[[#Headers],[Company]],31)</f>
        <v>0.125</v>
      </c>
      <c r="S145" s="188" t="str" cm="1">
        <f t="array" ref="S145">Common_InputFunctions.Utility_DisplayArrayInTable(Fertiliser_SourceData.Fertiliser_Products_Data2(), FertiliserProducts[[#Headers],[Company]],31)</f>
        <v>Sulfur - Generic</v>
      </c>
      <c r="T145" s="188" cm="1">
        <f t="array" ref="T145">Common_InputFunctions.Utility_DisplayArrayInTable(Fertiliser_SourceData.Fertiliser_Products_Data2(), FertiliserProducts[[#Headers],[Company]],31)</f>
        <v>7.1999999999999995E-2</v>
      </c>
      <c r="U145" s="188" t="str" cm="1">
        <f t="array" ref="U145">Common_InputFunctions.Utility_DisplayArrayInTable(Fertiliser_SourceData.Fertiliser_Products_Data2(), FertiliserProducts[[#Headers],[Company]],31)</f>
        <v>Phosphorus - Generic</v>
      </c>
      <c r="V145" s="188" cm="1">
        <f t="array" ref="V145">Common_InputFunctions.Utility_DisplayArrayInTable(Fertiliser_SourceData.Fertiliser_Products_Data2(), FertiliserProducts[[#Headers],[Company]],31)</f>
        <v>6.5000000000000002E-2</v>
      </c>
      <c r="W145" s="188" t="str" cm="1">
        <f t="array" ref="W145">Common_InputFunctions.Utility_DisplayArrayInTable(Fertiliser_SourceData.Fertiliser_Products_Data2(), FertiliserProducts[[#Headers],[Company]],31)</f>
        <v>Nitrogen - Ammoniacal</v>
      </c>
      <c r="X145" s="188" cm="1">
        <f t="array" ref="X145">Common_InputFunctions.Utility_DisplayArrayInTable(Fertiliser_SourceData.Fertiliser_Products_Data2(), FertiliserProducts[[#Headers],[Company]],31)</f>
        <v>5.5E-2</v>
      </c>
      <c r="Y145" s="188" t="str" cm="1">
        <f t="array" ref="Y145">Common_InputFunctions.Utility_DisplayArrayInTable(Fertiliser_SourceData.Fertiliser_Products_Data2(), FertiliserProducts[[#Headers],[Company]],31)</f>
        <v>Magnesium</v>
      </c>
      <c r="Z145" s="188" cm="1">
        <f t="array" ref="Z145">Common_InputFunctions.Utility_DisplayArrayInTable(Fertiliser_SourceData.Fertiliser_Products_Data2(), FertiliserProducts[[#Headers],[Company]],31)</f>
        <v>6.6E-3</v>
      </c>
      <c r="AA145" s="188" t="str" cm="1">
        <f t="array" ref="AA145">Common_InputFunctions.Utility_DisplayArrayInTable(Fertiliser_SourceData.Fertiliser_Products_Data2(), FertiliserProducts[[#Headers],[Company]],31)</f>
        <v>Boron</v>
      </c>
      <c r="AB145" s="188" cm="1">
        <f t="array" ref="AB145">Common_InputFunctions.Utility_DisplayArrayInTable(Fertiliser_SourceData.Fertiliser_Products_Data2(), FertiliserProducts[[#Headers],[Company]],31)</f>
        <v>1E-3</v>
      </c>
      <c r="AC145" s="188" t="str" cm="1">
        <f t="array" ref="AC145">Common_InputFunctions.Utility_DisplayArrayInTable(Fertiliser_SourceData.Fertiliser_Products_Data2(), FertiliserProducts[[#Headers],[Company]],31)</f>
        <v>Zinc</v>
      </c>
      <c r="AD145" s="188" cm="1">
        <f t="array" ref="AD145">Common_InputFunctions.Utility_DisplayArrayInTable(Fertiliser_SourceData.Fertiliser_Products_Data2(), FertiliserProducts[[#Headers],[Company]],31)</f>
        <v>5.9999999999999995E-4</v>
      </c>
      <c r="AE145" s="188" t="str" cm="1">
        <f t="array" ref="AE145">Common_InputFunctions.Utility_DisplayArrayInTable(Fertiliser_SourceData.Fertiliser_Products_Data2(), FertiliserProducts[[#Headers],[Company]],31)</f>
        <v/>
      </c>
      <c r="AF145" s="188" t="str" cm="1">
        <f t="array" ref="AF145">Common_InputFunctions.Utility_DisplayArrayInTable(Fertiliser_SourceData.Fertiliser_Products_Data2(), FertiliserProducts[[#Headers],[Company]],31)</f>
        <v/>
      </c>
      <c r="AG145" s="188" t="str" cm="1">
        <f t="array" ref="AG145">Common_InputFunctions.Utility_DisplayArrayInTable(Fertiliser_SourceData.Fertiliser_Products_Data2(), FertiliserProducts[[#Headers],[Company]],31)</f>
        <v/>
      </c>
      <c r="AH145" s="188"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88" t="str" cm="1">
        <f t="array" ref="D146">Common_InputFunctions.Utility_DisplayArrayInTable(Fertiliser_SourceData.Fertiliser_Products_Data2(), FertiliserProducts[[#Headers],[Company]],31)</f>
        <v>Yara Australia</v>
      </c>
      <c r="E146" s="188" t="str" cm="1">
        <f t="array" ref="E146">Common_InputFunctions.Utility_DisplayArrayInTable(Fertiliser_SourceData.Fertiliser_Products_Data2(), FertiliserProducts[[#Headers],[Company]],31)</f>
        <v>YaraTera CALCINIT B</v>
      </c>
      <c r="F146" s="188" t="str" cm="1">
        <f t="array" ref="F146">Common_InputFunctions.Utility_DisplayArrayInTable(Fertiliser_SourceData.Fertiliser_Products_Data2(), FertiliserProducts[[#Headers],[Company]],31)</f>
        <v>kg</v>
      </c>
      <c r="G146" s="188" cm="1">
        <f t="array" ref="G146">Common_InputFunctions.Utility_DisplayArrayInTable(Fertiliser_SourceData.Fertiliser_Products_Data2(), FertiliserProducts[[#Headers],[Company]],31)</f>
        <v>1</v>
      </c>
      <c r="H146" s="188" t="str" cm="1">
        <f t="array" ref="H146">Common_InputFunctions.Utility_DisplayArrayInTable(Fertiliser_SourceData.Fertiliser_Products_Data2(), FertiliserProducts[[#Headers],[Company]],31)</f>
        <v/>
      </c>
      <c r="I146" s="188" t="str" cm="1">
        <f t="array" ref="I146">Common_InputFunctions.Utility_DisplayArrayInTable(Fertiliser_SourceData.Fertiliser_Products_Data2(), FertiliserProducts[[#Headers],[Company]],31)</f>
        <v/>
      </c>
      <c r="J146" s="188" t="str" cm="1">
        <f t="array" ref="J146">Common_InputFunctions.Utility_DisplayArrayInTable(Fertiliser_SourceData.Fertiliser_Products_Data2(), FertiliserProducts[[#Headers],[Company]],31)</f>
        <v/>
      </c>
      <c r="K146" s="188" cm="1">
        <f t="array" ref="K146">Common_InputFunctions.Utility_DisplayArrayInTable(Fertiliser_SourceData.Fertiliser_Products_Data2(), FertiliserProducts[[#Headers],[Company]],31)</f>
        <v>15.5</v>
      </c>
      <c r="L146" s="188" t="str" cm="1">
        <f t="array" ref="L146">Common_InputFunctions.Utility_DisplayArrayInTable(Fertiliser_SourceData.Fertiliser_Products_Data2(), FertiliserProducts[[#Headers],[Company]],31)</f>
        <v/>
      </c>
      <c r="M146" s="188" t="str" cm="1">
        <f t="array" ref="M146">Common_InputFunctions.Utility_DisplayArrayInTable(Fertiliser_SourceData.Fertiliser_Products_Data2(), FertiliserProducts[[#Headers],[Company]],31)</f>
        <v/>
      </c>
      <c r="N146" s="188" t="str" cm="1">
        <f t="array" ref="N146">Common_InputFunctions.Utility_DisplayArrayInTable(Fertiliser_SourceData.Fertiliser_Products_Data2(), FertiliserProducts[[#Headers],[Company]],31)</f>
        <v/>
      </c>
      <c r="O146" s="188" t="str" cm="1">
        <f t="array" ref="O146">Common_InputFunctions.Utility_DisplayArrayInTable(Fertiliser_SourceData.Fertiliser_Products_Data2(), FertiliserProducts[[#Headers],[Company]],31)</f>
        <v>Calcium nitrate</v>
      </c>
      <c r="P146" s="188" cm="1">
        <f t="array" ref="P146">Common_InputFunctions.Utility_DisplayArrayInTable(Fertiliser_SourceData.Fertiliser_Products_Data2(), FertiliserProducts[[#Headers],[Company]],31)</f>
        <v>1</v>
      </c>
      <c r="Q146" s="188" t="str" cm="1">
        <f t="array" ref="Q146">Common_InputFunctions.Utility_DisplayArrayInTable(Fertiliser_SourceData.Fertiliser_Products_Data2(), FertiliserProducts[[#Headers],[Company]],31)</f>
        <v>Boron</v>
      </c>
      <c r="R146" s="188" cm="1">
        <f t="array" ref="R146">Common_InputFunctions.Utility_DisplayArrayInTable(Fertiliser_SourceData.Fertiliser_Products_Data2(), FertiliserProducts[[#Headers],[Company]],31)</f>
        <v>1E-3</v>
      </c>
      <c r="S146" s="188" t="str" cm="1">
        <f t="array" ref="S146">Common_InputFunctions.Utility_DisplayArrayInTable(Fertiliser_SourceData.Fertiliser_Products_Data2(), FertiliserProducts[[#Headers],[Company]],31)</f>
        <v/>
      </c>
      <c r="T146" s="188" t="str" cm="1">
        <f t="array" ref="T146">Common_InputFunctions.Utility_DisplayArrayInTable(Fertiliser_SourceData.Fertiliser_Products_Data2(), FertiliserProducts[[#Headers],[Company]],31)</f>
        <v/>
      </c>
      <c r="U146" s="188" t="str" cm="1">
        <f t="array" ref="U146">Common_InputFunctions.Utility_DisplayArrayInTable(Fertiliser_SourceData.Fertiliser_Products_Data2(), FertiliserProducts[[#Headers],[Company]],31)</f>
        <v/>
      </c>
      <c r="V146" s="188" t="str" cm="1">
        <f t="array" ref="V146">Common_InputFunctions.Utility_DisplayArrayInTable(Fertiliser_SourceData.Fertiliser_Products_Data2(), FertiliserProducts[[#Headers],[Company]],31)</f>
        <v/>
      </c>
      <c r="W146" s="188" t="str" cm="1">
        <f t="array" ref="W146">Common_InputFunctions.Utility_DisplayArrayInTable(Fertiliser_SourceData.Fertiliser_Products_Data2(), FertiliserProducts[[#Headers],[Company]],31)</f>
        <v/>
      </c>
      <c r="X146" s="188" t="str" cm="1">
        <f t="array" ref="X146">Common_InputFunctions.Utility_DisplayArrayInTable(Fertiliser_SourceData.Fertiliser_Products_Data2(), FertiliserProducts[[#Headers],[Company]],31)</f>
        <v/>
      </c>
      <c r="Y146" s="188" t="str" cm="1">
        <f t="array" ref="Y146">Common_InputFunctions.Utility_DisplayArrayInTable(Fertiliser_SourceData.Fertiliser_Products_Data2(), FertiliserProducts[[#Headers],[Company]],31)</f>
        <v/>
      </c>
      <c r="Z146" s="188" t="str" cm="1">
        <f t="array" ref="Z146">Common_InputFunctions.Utility_DisplayArrayInTable(Fertiliser_SourceData.Fertiliser_Products_Data2(), FertiliserProducts[[#Headers],[Company]],31)</f>
        <v/>
      </c>
      <c r="AA146" s="188" t="str" cm="1">
        <f t="array" ref="AA146">Common_InputFunctions.Utility_DisplayArrayInTable(Fertiliser_SourceData.Fertiliser_Products_Data2(), FertiliserProducts[[#Headers],[Company]],31)</f>
        <v/>
      </c>
      <c r="AB146" s="188" t="str" cm="1">
        <f t="array" ref="AB146">Common_InputFunctions.Utility_DisplayArrayInTable(Fertiliser_SourceData.Fertiliser_Products_Data2(), FertiliserProducts[[#Headers],[Company]],31)</f>
        <v/>
      </c>
      <c r="AC146" s="188" t="str" cm="1">
        <f t="array" ref="AC146">Common_InputFunctions.Utility_DisplayArrayInTable(Fertiliser_SourceData.Fertiliser_Products_Data2(), FertiliserProducts[[#Headers],[Company]],31)</f>
        <v/>
      </c>
      <c r="AD146" s="188" t="str" cm="1">
        <f t="array" ref="AD146">Common_InputFunctions.Utility_DisplayArrayInTable(Fertiliser_SourceData.Fertiliser_Products_Data2(), FertiliserProducts[[#Headers],[Company]],31)</f>
        <v/>
      </c>
      <c r="AE146" s="188" t="str" cm="1">
        <f t="array" ref="AE146">Common_InputFunctions.Utility_DisplayArrayInTable(Fertiliser_SourceData.Fertiliser_Products_Data2(), FertiliserProducts[[#Headers],[Company]],31)</f>
        <v/>
      </c>
      <c r="AF146" s="188" t="str" cm="1">
        <f t="array" ref="AF146">Common_InputFunctions.Utility_DisplayArrayInTable(Fertiliser_SourceData.Fertiliser_Products_Data2(), FertiliserProducts[[#Headers],[Company]],31)</f>
        <v/>
      </c>
      <c r="AG146" s="188" t="str" cm="1">
        <f t="array" ref="AG146">Common_InputFunctions.Utility_DisplayArrayInTable(Fertiliser_SourceData.Fertiliser_Products_Data2(), FertiliserProducts[[#Headers],[Company]],31)</f>
        <v/>
      </c>
      <c r="AH146" s="188"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88" t="str" cm="1">
        <f t="array" ref="D147">Common_InputFunctions.Utility_DisplayArrayInTable(Fertiliser_SourceData.Fertiliser_Products_Data2(), FertiliserProducts[[#Headers],[Company]],31)</f>
        <v>Yara Australia</v>
      </c>
      <c r="E147" s="188" t="str" cm="1">
        <f t="array" ref="E147">Common_InputFunctions.Utility_DisplayArrayInTable(Fertiliser_SourceData.Fertiliser_Products_Data2(), FertiliserProducts[[#Headers],[Company]],31)</f>
        <v>YaraTera KRISTA MAP</v>
      </c>
      <c r="F147" s="188" t="str" cm="1">
        <f t="array" ref="F147">Common_InputFunctions.Utility_DisplayArrayInTable(Fertiliser_SourceData.Fertiliser_Products_Data2(), FertiliserProducts[[#Headers],[Company]],31)</f>
        <v>kg</v>
      </c>
      <c r="G147" s="188" cm="1">
        <f t="array" ref="G147">Common_InputFunctions.Utility_DisplayArrayInTable(Fertiliser_SourceData.Fertiliser_Products_Data2(), FertiliserProducts[[#Headers],[Company]],31)</f>
        <v>1</v>
      </c>
      <c r="H147" s="188" t="str" cm="1">
        <f t="array" ref="H147">Common_InputFunctions.Utility_DisplayArrayInTable(Fertiliser_SourceData.Fertiliser_Products_Data2(), FertiliserProducts[[#Headers],[Company]],31)</f>
        <v/>
      </c>
      <c r="I147" s="188" t="str" cm="1">
        <f t="array" ref="I147">Common_InputFunctions.Utility_DisplayArrayInTable(Fertiliser_SourceData.Fertiliser_Products_Data2(), FertiliserProducts[[#Headers],[Company]],31)</f>
        <v/>
      </c>
      <c r="J147" s="188" t="str" cm="1">
        <f t="array" ref="J147">Common_InputFunctions.Utility_DisplayArrayInTable(Fertiliser_SourceData.Fertiliser_Products_Data2(), FertiliserProducts[[#Headers],[Company]],31)</f>
        <v/>
      </c>
      <c r="K147" s="188" cm="1">
        <f t="array" ref="K147">Common_InputFunctions.Utility_DisplayArrayInTable(Fertiliser_SourceData.Fertiliser_Products_Data2(), FertiliserProducts[[#Headers],[Company]],31)</f>
        <v>10</v>
      </c>
      <c r="L147" s="188" cm="1">
        <f t="array" ref="L147">Common_InputFunctions.Utility_DisplayArrayInTable(Fertiliser_SourceData.Fertiliser_Products_Data2(), FertiliserProducts[[#Headers],[Company]],31)</f>
        <v>21.9</v>
      </c>
      <c r="M147" s="188" t="str" cm="1">
        <f t="array" ref="M147">Common_InputFunctions.Utility_DisplayArrayInTable(Fertiliser_SourceData.Fertiliser_Products_Data2(), FertiliserProducts[[#Headers],[Company]],31)</f>
        <v/>
      </c>
      <c r="N147" s="188" t="str" cm="1">
        <f t="array" ref="N147">Common_InputFunctions.Utility_DisplayArrayInTable(Fertiliser_SourceData.Fertiliser_Products_Data2(), FertiliserProducts[[#Headers],[Company]],31)</f>
        <v/>
      </c>
      <c r="O147" s="188" t="str" cm="1">
        <f t="array" ref="O147">Common_InputFunctions.Utility_DisplayArrayInTable(Fertiliser_SourceData.Fertiliser_Products_Data2(), FertiliserProducts[[#Headers],[Company]],31)</f>
        <v>Monoammonium phosphate (MAP)</v>
      </c>
      <c r="P147" s="188" cm="1">
        <f t="array" ref="P147">Common_InputFunctions.Utility_DisplayArrayInTable(Fertiliser_SourceData.Fertiliser_Products_Data2(), FertiliserProducts[[#Headers],[Company]],31)</f>
        <v>1</v>
      </c>
      <c r="Q147" s="188" t="str" cm="1">
        <f t="array" ref="Q147">Common_InputFunctions.Utility_DisplayArrayInTable(Fertiliser_SourceData.Fertiliser_Products_Data2(), FertiliserProducts[[#Headers],[Company]],31)</f>
        <v/>
      </c>
      <c r="R147" s="188" t="str" cm="1">
        <f t="array" ref="R147">Common_InputFunctions.Utility_DisplayArrayInTable(Fertiliser_SourceData.Fertiliser_Products_Data2(), FertiliserProducts[[#Headers],[Company]],31)</f>
        <v/>
      </c>
      <c r="S147" s="188" t="str" cm="1">
        <f t="array" ref="S147">Common_InputFunctions.Utility_DisplayArrayInTable(Fertiliser_SourceData.Fertiliser_Products_Data2(), FertiliserProducts[[#Headers],[Company]],31)</f>
        <v/>
      </c>
      <c r="T147" s="188" t="str" cm="1">
        <f t="array" ref="T147">Common_InputFunctions.Utility_DisplayArrayInTable(Fertiliser_SourceData.Fertiliser_Products_Data2(), FertiliserProducts[[#Headers],[Company]],31)</f>
        <v/>
      </c>
      <c r="U147" s="188" t="str" cm="1">
        <f t="array" ref="U147">Common_InputFunctions.Utility_DisplayArrayInTable(Fertiliser_SourceData.Fertiliser_Products_Data2(), FertiliserProducts[[#Headers],[Company]],31)</f>
        <v/>
      </c>
      <c r="V147" s="188" t="str" cm="1">
        <f t="array" ref="V147">Common_InputFunctions.Utility_DisplayArrayInTable(Fertiliser_SourceData.Fertiliser_Products_Data2(), FertiliserProducts[[#Headers],[Company]],31)</f>
        <v/>
      </c>
      <c r="W147" s="188" t="str" cm="1">
        <f t="array" ref="W147">Common_InputFunctions.Utility_DisplayArrayInTable(Fertiliser_SourceData.Fertiliser_Products_Data2(), FertiliserProducts[[#Headers],[Company]],31)</f>
        <v/>
      </c>
      <c r="X147" s="188" t="str" cm="1">
        <f t="array" ref="X147">Common_InputFunctions.Utility_DisplayArrayInTable(Fertiliser_SourceData.Fertiliser_Products_Data2(), FertiliserProducts[[#Headers],[Company]],31)</f>
        <v/>
      </c>
      <c r="Y147" s="188" t="str" cm="1">
        <f t="array" ref="Y147">Common_InputFunctions.Utility_DisplayArrayInTable(Fertiliser_SourceData.Fertiliser_Products_Data2(), FertiliserProducts[[#Headers],[Company]],31)</f>
        <v/>
      </c>
      <c r="Z147" s="188" t="str" cm="1">
        <f t="array" ref="Z147">Common_InputFunctions.Utility_DisplayArrayInTable(Fertiliser_SourceData.Fertiliser_Products_Data2(), FertiliserProducts[[#Headers],[Company]],31)</f>
        <v/>
      </c>
      <c r="AA147" s="188" t="str" cm="1">
        <f t="array" ref="AA147">Common_InputFunctions.Utility_DisplayArrayInTable(Fertiliser_SourceData.Fertiliser_Products_Data2(), FertiliserProducts[[#Headers],[Company]],31)</f>
        <v/>
      </c>
      <c r="AB147" s="188" t="str" cm="1">
        <f t="array" ref="AB147">Common_InputFunctions.Utility_DisplayArrayInTable(Fertiliser_SourceData.Fertiliser_Products_Data2(), FertiliserProducts[[#Headers],[Company]],31)</f>
        <v/>
      </c>
      <c r="AC147" s="188" t="str" cm="1">
        <f t="array" ref="AC147">Common_InputFunctions.Utility_DisplayArrayInTable(Fertiliser_SourceData.Fertiliser_Products_Data2(), FertiliserProducts[[#Headers],[Company]],31)</f>
        <v/>
      </c>
      <c r="AD147" s="188" t="str" cm="1">
        <f t="array" ref="AD147">Common_InputFunctions.Utility_DisplayArrayInTable(Fertiliser_SourceData.Fertiliser_Products_Data2(), FertiliserProducts[[#Headers],[Company]],31)</f>
        <v/>
      </c>
      <c r="AE147" s="188" t="str" cm="1">
        <f t="array" ref="AE147">Common_InputFunctions.Utility_DisplayArrayInTable(Fertiliser_SourceData.Fertiliser_Products_Data2(), FertiliserProducts[[#Headers],[Company]],31)</f>
        <v/>
      </c>
      <c r="AF147" s="188" t="str" cm="1">
        <f t="array" ref="AF147">Common_InputFunctions.Utility_DisplayArrayInTable(Fertiliser_SourceData.Fertiliser_Products_Data2(), FertiliserProducts[[#Headers],[Company]],31)</f>
        <v/>
      </c>
      <c r="AG147" s="188" t="str" cm="1">
        <f t="array" ref="AG147">Common_InputFunctions.Utility_DisplayArrayInTable(Fertiliser_SourceData.Fertiliser_Products_Data2(), FertiliserProducts[[#Headers],[Company]],31)</f>
        <v/>
      </c>
      <c r="AH147" s="188"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88" t="str" cm="1">
        <f t="array" ref="D148">Common_InputFunctions.Utility_DisplayArrayInTable(Fertiliser_SourceData.Fertiliser_Products_Data2(), FertiliserProducts[[#Headers],[Company]],31)</f>
        <v>Yara Australia</v>
      </c>
      <c r="E148" s="188" t="str" cm="1">
        <f t="array" ref="E148">Common_InputFunctions.Utility_DisplayArrayInTable(Fertiliser_SourceData.Fertiliser_Products_Data2(), FertiliserProducts[[#Headers],[Company]],31)</f>
        <v>YaraTera KRISTALON RED</v>
      </c>
      <c r="F148" s="188" t="str" cm="1">
        <f t="array" ref="F148">Common_InputFunctions.Utility_DisplayArrayInTable(Fertiliser_SourceData.Fertiliser_Products_Data2(), FertiliserProducts[[#Headers],[Company]],31)</f>
        <v>kg</v>
      </c>
      <c r="G148" s="188" cm="1">
        <f t="array" ref="G148">Common_InputFunctions.Utility_DisplayArrayInTable(Fertiliser_SourceData.Fertiliser_Products_Data2(), FertiliserProducts[[#Headers],[Company]],31)</f>
        <v>1</v>
      </c>
      <c r="H148" s="188" t="str" cm="1">
        <f t="array" ref="H148">Common_InputFunctions.Utility_DisplayArrayInTable(Fertiliser_SourceData.Fertiliser_Products_Data2(), FertiliserProducts[[#Headers],[Company]],31)</f>
        <v/>
      </c>
      <c r="I148" s="188" t="str" cm="1">
        <f t="array" ref="I148">Common_InputFunctions.Utility_DisplayArrayInTable(Fertiliser_SourceData.Fertiliser_Products_Data2(), FertiliserProducts[[#Headers],[Company]],31)</f>
        <v/>
      </c>
      <c r="J148" s="188" t="str" cm="1">
        <f t="array" ref="J148">Common_InputFunctions.Utility_DisplayArrayInTable(Fertiliser_SourceData.Fertiliser_Products_Data2(), FertiliserProducts[[#Headers],[Company]],31)</f>
        <v/>
      </c>
      <c r="K148" s="188" cm="1">
        <f t="array" ref="K148">Common_InputFunctions.Utility_DisplayArrayInTable(Fertiliser_SourceData.Fertiliser_Products_Data2(), FertiliserProducts[[#Headers],[Company]],31)</f>
        <v>12</v>
      </c>
      <c r="L148" s="188" cm="1">
        <f t="array" ref="L148">Common_InputFunctions.Utility_DisplayArrayInTable(Fertiliser_SourceData.Fertiliser_Products_Data2(), FertiliserProducts[[#Headers],[Company]],31)</f>
        <v>5.2</v>
      </c>
      <c r="M148" s="188" cm="1">
        <f t="array" ref="M148">Common_InputFunctions.Utility_DisplayArrayInTable(Fertiliser_SourceData.Fertiliser_Products_Data2(), FertiliserProducts[[#Headers],[Company]],31)</f>
        <v>29.9</v>
      </c>
      <c r="N148" s="188" cm="1">
        <f t="array" ref="N148">Common_InputFunctions.Utility_DisplayArrayInTable(Fertiliser_SourceData.Fertiliser_Products_Data2(), FertiliserProducts[[#Headers],[Company]],31)</f>
        <v>1</v>
      </c>
      <c r="O148" s="188" t="str" cm="1">
        <f t="array" ref="O148">Common_InputFunctions.Utility_DisplayArrayInTable(Fertiliser_SourceData.Fertiliser_Products_Data2(), FertiliserProducts[[#Headers],[Company]],31)</f>
        <v>Potassium - Generic</v>
      </c>
      <c r="P148" s="188" cm="1">
        <f t="array" ref="P148">Common_InputFunctions.Utility_DisplayArrayInTable(Fertiliser_SourceData.Fertiliser_Products_Data2(), FertiliserProducts[[#Headers],[Company]],31)</f>
        <v>0.29899999999999999</v>
      </c>
      <c r="Q148" s="188" t="str" cm="1">
        <f t="array" ref="Q148">Common_InputFunctions.Utility_DisplayArrayInTable(Fertiliser_SourceData.Fertiliser_Products_Data2(), FertiliserProducts[[#Headers],[Company]],31)</f>
        <v>Nitrogen - Nitrate</v>
      </c>
      <c r="R148" s="188" cm="1">
        <f t="array" ref="R148">Common_InputFunctions.Utility_DisplayArrayInTable(Fertiliser_SourceData.Fertiliser_Products_Data2(), FertiliserProducts[[#Headers],[Company]],31)</f>
        <v>0.10100000000000001</v>
      </c>
      <c r="S148" s="188" t="str" cm="1">
        <f t="array" ref="S148">Common_InputFunctions.Utility_DisplayArrayInTable(Fertiliser_SourceData.Fertiliser_Products_Data2(), FertiliserProducts[[#Headers],[Company]],31)</f>
        <v>Phosphorus - Generic</v>
      </c>
      <c r="T148" s="188" cm="1">
        <f t="array" ref="T148">Common_InputFunctions.Utility_DisplayArrayInTable(Fertiliser_SourceData.Fertiliser_Products_Data2(), FertiliserProducts[[#Headers],[Company]],31)</f>
        <v>5.1999999999999998E-2</v>
      </c>
      <c r="U148" s="188" t="str" cm="1">
        <f t="array" ref="U148">Common_InputFunctions.Utility_DisplayArrayInTable(Fertiliser_SourceData.Fertiliser_Products_Data2(), FertiliserProducts[[#Headers],[Company]],31)</f>
        <v>Nitrogen - Ammoniacal</v>
      </c>
      <c r="V148" s="188" cm="1">
        <f t="array" ref="V148">Common_InputFunctions.Utility_DisplayArrayInTable(Fertiliser_SourceData.Fertiliser_Products_Data2(), FertiliserProducts[[#Headers],[Company]],31)</f>
        <v>1.9E-2</v>
      </c>
      <c r="W148" s="188" t="str" cm="1">
        <f t="array" ref="W148">Common_InputFunctions.Utility_DisplayArrayInTable(Fertiliser_SourceData.Fertiliser_Products_Data2(), FertiliserProducts[[#Headers],[Company]],31)</f>
        <v>Sulfur - Generic</v>
      </c>
      <c r="X148" s="188" cm="1">
        <f t="array" ref="X148">Common_InputFunctions.Utility_DisplayArrayInTable(Fertiliser_SourceData.Fertiliser_Products_Data2(), FertiliserProducts[[#Headers],[Company]],31)</f>
        <v>0.01</v>
      </c>
      <c r="Y148" s="188" t="str" cm="1">
        <f t="array" ref="Y148">Common_InputFunctions.Utility_DisplayArrayInTable(Fertiliser_SourceData.Fertiliser_Products_Data2(), FertiliserProducts[[#Headers],[Company]],31)</f>
        <v>Magnesium</v>
      </c>
      <c r="Z148" s="188" cm="1">
        <f t="array" ref="Z148">Common_InputFunctions.Utility_DisplayArrayInTable(Fertiliser_SourceData.Fertiliser_Products_Data2(), FertiliserProducts[[#Headers],[Company]],31)</f>
        <v>6.0000000000000001E-3</v>
      </c>
      <c r="AA148" s="188" t="str" cm="1">
        <f t="array" ref="AA148">Common_InputFunctions.Utility_DisplayArrayInTable(Fertiliser_SourceData.Fertiliser_Products_Data2(), FertiliserProducts[[#Headers],[Company]],31)</f>
        <v>Iron</v>
      </c>
      <c r="AB148" s="188" cm="1">
        <f t="array" ref="AB148">Common_InputFunctions.Utility_DisplayArrayInTable(Fertiliser_SourceData.Fertiliser_Products_Data2(), FertiliserProducts[[#Headers],[Company]],31)</f>
        <v>6.9999999999999999E-4</v>
      </c>
      <c r="AC148" s="188" t="str" cm="1">
        <f t="array" ref="AC148">Common_InputFunctions.Utility_DisplayArrayInTable(Fertiliser_SourceData.Fertiliser_Products_Data2(), FertiliserProducts[[#Headers],[Company]],31)</f>
        <v>Manganese</v>
      </c>
      <c r="AD148" s="188" cm="1">
        <f t="array" ref="AD148">Common_InputFunctions.Utility_DisplayArrayInTable(Fertiliser_SourceData.Fertiliser_Products_Data2(), FertiliserProducts[[#Headers],[Company]],31)</f>
        <v>4.0000000000000002E-4</v>
      </c>
      <c r="AE148" s="188" t="str" cm="1">
        <f t="array" ref="AE148">Common_InputFunctions.Utility_DisplayArrayInTable(Fertiliser_SourceData.Fertiliser_Products_Data2(), FertiliserProducts[[#Headers],[Company]],31)</f>
        <v>Zinc</v>
      </c>
      <c r="AF148" s="188" cm="1">
        <f t="array" ref="AF148">Common_InputFunctions.Utility_DisplayArrayInTable(Fertiliser_SourceData.Fertiliser_Products_Data2(), FertiliserProducts[[#Headers],[Company]],31)</f>
        <v>2.5000000000000001E-4</v>
      </c>
      <c r="AG148" s="188" t="str" cm="1">
        <f t="array" ref="AG148">Common_InputFunctions.Utility_DisplayArrayInTable(Fertiliser_SourceData.Fertiliser_Products_Data2(), FertiliserProducts[[#Headers],[Company]],31)</f>
        <v>Boron</v>
      </c>
      <c r="AH148" s="188"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88" t="str" cm="1">
        <f t="array" ref="D149">Common_InputFunctions.Utility_DisplayArrayInTable(Fertiliser_SourceData.Fertiliser_Products_Data2(), FertiliserProducts[[#Headers],[Company]],31)</f>
        <v>Yara Australia</v>
      </c>
      <c r="E149" s="188" t="str" cm="1">
        <f t="array" ref="E149">Common_InputFunctions.Utility_DisplayArrayInTable(Fertiliser_SourceData.Fertiliser_Products_Data2(), FertiliserProducts[[#Headers],[Company]],31)</f>
        <v>YaraTera KRISTALON SPECIAL</v>
      </c>
      <c r="F149" s="188" t="str" cm="1">
        <f t="array" ref="F149">Common_InputFunctions.Utility_DisplayArrayInTable(Fertiliser_SourceData.Fertiliser_Products_Data2(), FertiliserProducts[[#Headers],[Company]],31)</f>
        <v>kg</v>
      </c>
      <c r="G149" s="188" cm="1">
        <f t="array" ref="G149">Common_InputFunctions.Utility_DisplayArrayInTable(Fertiliser_SourceData.Fertiliser_Products_Data2(), FertiliserProducts[[#Headers],[Company]],31)</f>
        <v>1</v>
      </c>
      <c r="H149" s="188" t="str" cm="1">
        <f t="array" ref="H149">Common_InputFunctions.Utility_DisplayArrayInTable(Fertiliser_SourceData.Fertiliser_Products_Data2(), FertiliserProducts[[#Headers],[Company]],31)</f>
        <v/>
      </c>
      <c r="I149" s="188" t="str" cm="1">
        <f t="array" ref="I149">Common_InputFunctions.Utility_DisplayArrayInTable(Fertiliser_SourceData.Fertiliser_Products_Data2(), FertiliserProducts[[#Headers],[Company]],31)</f>
        <v/>
      </c>
      <c r="J149" s="188" t="str" cm="1">
        <f t="array" ref="J149">Common_InputFunctions.Utility_DisplayArrayInTable(Fertiliser_SourceData.Fertiliser_Products_Data2(), FertiliserProducts[[#Headers],[Company]],31)</f>
        <v/>
      </c>
      <c r="K149" s="188" cm="1">
        <f t="array" ref="K149">Common_InputFunctions.Utility_DisplayArrayInTable(Fertiliser_SourceData.Fertiliser_Products_Data2(), FertiliserProducts[[#Headers],[Company]],31)</f>
        <v>18</v>
      </c>
      <c r="L149" s="188" cm="1">
        <f t="array" ref="L149">Common_InputFunctions.Utility_DisplayArrayInTable(Fertiliser_SourceData.Fertiliser_Products_Data2(), FertiliserProducts[[#Headers],[Company]],31)</f>
        <v>7.9</v>
      </c>
      <c r="M149" s="188" cm="1">
        <f t="array" ref="M149">Common_InputFunctions.Utility_DisplayArrayInTable(Fertiliser_SourceData.Fertiliser_Products_Data2(), FertiliserProducts[[#Headers],[Company]],31)</f>
        <v>14.9</v>
      </c>
      <c r="N149" s="188" cm="1">
        <f t="array" ref="N149">Common_InputFunctions.Utility_DisplayArrayInTable(Fertiliser_SourceData.Fertiliser_Products_Data2(), FertiliserProducts[[#Headers],[Company]],31)</f>
        <v>2</v>
      </c>
      <c r="O149" s="188" t="str" cm="1">
        <f t="array" ref="O149">Common_InputFunctions.Utility_DisplayArrayInTable(Fertiliser_SourceData.Fertiliser_Products_Data2(), FertiliserProducts[[#Headers],[Company]],31)</f>
        <v>Potassium - Generic</v>
      </c>
      <c r="P149" s="188" cm="1">
        <f t="array" ref="P149">Common_InputFunctions.Utility_DisplayArrayInTable(Fertiliser_SourceData.Fertiliser_Products_Data2(), FertiliserProducts[[#Headers],[Company]],31)</f>
        <v>0.14899999999999999</v>
      </c>
      <c r="Q149" s="188" t="str" cm="1">
        <f t="array" ref="Q149">Common_InputFunctions.Utility_DisplayArrayInTable(Fertiliser_SourceData.Fertiliser_Products_Data2(), FertiliserProducts[[#Headers],[Company]],31)</f>
        <v>Urea</v>
      </c>
      <c r="R149" s="188" cm="1">
        <f t="array" ref="R149">Common_InputFunctions.Utility_DisplayArrayInTable(Fertiliser_SourceData.Fertiliser_Products_Data2(), FertiliserProducts[[#Headers],[Company]],31)</f>
        <v>0.21304300000000001</v>
      </c>
      <c r="S149" s="188" t="str" cm="1">
        <f t="array" ref="S149">Common_InputFunctions.Utility_DisplayArrayInTable(Fertiliser_SourceData.Fertiliser_Products_Data2(), FertiliserProducts[[#Headers],[Company]],31)</f>
        <v>Phosphorus - Generic</v>
      </c>
      <c r="T149" s="188" cm="1">
        <f t="array" ref="T149">Common_InputFunctions.Utility_DisplayArrayInTable(Fertiliser_SourceData.Fertiliser_Products_Data2(), FertiliserProducts[[#Headers],[Company]],31)</f>
        <v>7.9000000000000001E-2</v>
      </c>
      <c r="U149" s="188" t="str" cm="1">
        <f t="array" ref="U149">Common_InputFunctions.Utility_DisplayArrayInTable(Fertiliser_SourceData.Fertiliser_Products_Data2(), FertiliserProducts[[#Headers],[Company]],31)</f>
        <v>Nitrogen - Nitrate</v>
      </c>
      <c r="V149" s="188" cm="1">
        <f t="array" ref="V149">Common_InputFunctions.Utility_DisplayArrayInTable(Fertiliser_SourceData.Fertiliser_Products_Data2(), FertiliserProducts[[#Headers],[Company]],31)</f>
        <v>4.9000000000000002E-2</v>
      </c>
      <c r="W149" s="188" t="str" cm="1">
        <f t="array" ref="W149">Common_InputFunctions.Utility_DisplayArrayInTable(Fertiliser_SourceData.Fertiliser_Products_Data2(), FertiliserProducts[[#Headers],[Company]],31)</f>
        <v>Nitrogen - Ammoniacal</v>
      </c>
      <c r="X149" s="188" cm="1">
        <f t="array" ref="X149">Common_InputFunctions.Utility_DisplayArrayInTable(Fertiliser_SourceData.Fertiliser_Products_Data2(), FertiliserProducts[[#Headers],[Company]],31)</f>
        <v>3.3000000000000002E-2</v>
      </c>
      <c r="Y149" s="188" t="str" cm="1">
        <f t="array" ref="Y149">Common_InputFunctions.Utility_DisplayArrayInTable(Fertiliser_SourceData.Fertiliser_Products_Data2(), FertiliserProducts[[#Headers],[Company]],31)</f>
        <v>Sulfur - Generic</v>
      </c>
      <c r="Z149" s="188" cm="1">
        <f t="array" ref="Z149">Common_InputFunctions.Utility_DisplayArrayInTable(Fertiliser_SourceData.Fertiliser_Products_Data2(), FertiliserProducts[[#Headers],[Company]],31)</f>
        <v>0.02</v>
      </c>
      <c r="AA149" s="188" t="str" cm="1">
        <f t="array" ref="AA149">Common_InputFunctions.Utility_DisplayArrayInTable(Fertiliser_SourceData.Fertiliser_Products_Data2(), FertiliserProducts[[#Headers],[Company]],31)</f>
        <v>Magnesium</v>
      </c>
      <c r="AB149" s="188" cm="1">
        <f t="array" ref="AB149">Common_InputFunctions.Utility_DisplayArrayInTable(Fertiliser_SourceData.Fertiliser_Products_Data2(), FertiliserProducts[[#Headers],[Company]],31)</f>
        <v>1.7999999999999999E-2</v>
      </c>
      <c r="AC149" s="188" t="str" cm="1">
        <f t="array" ref="AC149">Common_InputFunctions.Utility_DisplayArrayInTable(Fertiliser_SourceData.Fertiliser_Products_Data2(), FertiliserProducts[[#Headers],[Company]],31)</f>
        <v>Iron</v>
      </c>
      <c r="AD149" s="188" cm="1">
        <f t="array" ref="AD149">Common_InputFunctions.Utility_DisplayArrayInTable(Fertiliser_SourceData.Fertiliser_Products_Data2(), FertiliserProducts[[#Headers],[Company]],31)</f>
        <v>6.9999999999999999E-4</v>
      </c>
      <c r="AE149" s="188" t="str" cm="1">
        <f t="array" ref="AE149">Common_InputFunctions.Utility_DisplayArrayInTable(Fertiliser_SourceData.Fertiliser_Products_Data2(), FertiliserProducts[[#Headers],[Company]],31)</f>
        <v>Manganese</v>
      </c>
      <c r="AF149" s="188" cm="1">
        <f t="array" ref="AF149">Common_InputFunctions.Utility_DisplayArrayInTable(Fertiliser_SourceData.Fertiliser_Products_Data2(), FertiliserProducts[[#Headers],[Company]],31)</f>
        <v>4.0000000000000002E-4</v>
      </c>
      <c r="AG149" s="188" t="str" cm="1">
        <f t="array" ref="AG149">Common_InputFunctions.Utility_DisplayArrayInTable(Fertiliser_SourceData.Fertiliser_Products_Data2(), FertiliserProducts[[#Headers],[Company]],31)</f>
        <v>Zinc</v>
      </c>
      <c r="AH149" s="188"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88" t="str" cm="1">
        <f t="array" ref="D150">Common_InputFunctions.Utility_DisplayArrayInTable(Fertiliser_SourceData.Fertiliser_Products_Data3(), FertiliserProducts[[#Headers],[Company]],61)</f>
        <v>Yara Australia</v>
      </c>
      <c r="E150" s="188" t="str" cm="1">
        <f t="array" ref="E150">Common_InputFunctions.Utility_DisplayArrayInTable(Fertiliser_SourceData.Fertiliser_Products_Data3(), FertiliserProducts[[#Headers],[Company]],61)</f>
        <v>YaraMila 21-7-3(4)</v>
      </c>
      <c r="F150" s="188" t="str" cm="1">
        <f t="array" ref="F150">Common_InputFunctions.Utility_DisplayArrayInTable(Fertiliser_SourceData.Fertiliser_Products_Data3(), FertiliserProducts[[#Headers],[Company]],61)</f>
        <v>kg</v>
      </c>
      <c r="G150" s="188" cm="1">
        <f t="array" ref="G150">Common_InputFunctions.Utility_DisplayArrayInTable(Fertiliser_SourceData.Fertiliser_Products_Data3(), FertiliserProducts[[#Headers],[Company]],61)</f>
        <v>1</v>
      </c>
      <c r="H150" s="188" t="str" cm="1">
        <f t="array" ref="H150">Common_InputFunctions.Utility_DisplayArrayInTable(Fertiliser_SourceData.Fertiliser_Products_Data3(), FertiliserProducts[[#Headers],[Company]],61)</f>
        <v/>
      </c>
      <c r="I150" s="188" t="str" cm="1">
        <f t="array" ref="I150">Common_InputFunctions.Utility_DisplayArrayInTable(Fertiliser_SourceData.Fertiliser_Products_Data3(), FertiliserProducts[[#Headers],[Company]],61)</f>
        <v/>
      </c>
      <c r="J150" s="188" t="str" cm="1">
        <f t="array" ref="J150">Common_InputFunctions.Utility_DisplayArrayInTable(Fertiliser_SourceData.Fertiliser_Products_Data3(), FertiliserProducts[[#Headers],[Company]],61)</f>
        <v/>
      </c>
      <c r="K150" s="188" cm="1">
        <f t="array" ref="K150">Common_InputFunctions.Utility_DisplayArrayInTable(Fertiliser_SourceData.Fertiliser_Products_Data3(), FertiliserProducts[[#Headers],[Company]],61)</f>
        <v>21</v>
      </c>
      <c r="L150" s="188" cm="1">
        <f t="array" ref="L150">Common_InputFunctions.Utility_DisplayArrayInTable(Fertiliser_SourceData.Fertiliser_Products_Data3(), FertiliserProducts[[#Headers],[Company]],61)</f>
        <v>7.4</v>
      </c>
      <c r="M150" s="188" cm="1">
        <f t="array" ref="M150">Common_InputFunctions.Utility_DisplayArrayInTable(Fertiliser_SourceData.Fertiliser_Products_Data3(), FertiliserProducts[[#Headers],[Company]],61)</f>
        <v>2.5</v>
      </c>
      <c r="N150" s="188" cm="1">
        <f t="array" ref="N150">Common_InputFunctions.Utility_DisplayArrayInTable(Fertiliser_SourceData.Fertiliser_Products_Data3(), FertiliserProducts[[#Headers],[Company]],61)</f>
        <v>4</v>
      </c>
      <c r="O150" s="188" t="str" cm="1">
        <f t="array" ref="O150">Common_InputFunctions.Utility_DisplayArrayInTable(Fertiliser_SourceData.Fertiliser_Products_Data3(), FertiliserProducts[[#Headers],[Company]],61)</f>
        <v>Nitrogen - Nitrate</v>
      </c>
      <c r="P150" s="188" cm="1">
        <f t="array" ref="P150">Common_InputFunctions.Utility_DisplayArrayInTable(Fertiliser_SourceData.Fertiliser_Products_Data3(), FertiliserProducts[[#Headers],[Company]],61)</f>
        <v>0.105</v>
      </c>
      <c r="Q150" s="188" t="str" cm="1">
        <f t="array" ref="Q150">Common_InputFunctions.Utility_DisplayArrayInTable(Fertiliser_SourceData.Fertiliser_Products_Data3(), FertiliserProducts[[#Headers],[Company]],61)</f>
        <v>Nitrogen - Ammoniacal</v>
      </c>
      <c r="R150" s="188" cm="1">
        <f t="array" ref="R150">Common_InputFunctions.Utility_DisplayArrayInTable(Fertiliser_SourceData.Fertiliser_Products_Data3(), FertiliserProducts[[#Headers],[Company]],61)</f>
        <v>0.105</v>
      </c>
      <c r="S150" s="188" t="str" cm="1">
        <f t="array" ref="S150">Common_InputFunctions.Utility_DisplayArrayInTable(Fertiliser_SourceData.Fertiliser_Products_Data3(), FertiliserProducts[[#Headers],[Company]],61)</f>
        <v>Phosphorus - Generic</v>
      </c>
      <c r="T150" s="188" cm="1">
        <f t="array" ref="T150">Common_InputFunctions.Utility_DisplayArrayInTable(Fertiliser_SourceData.Fertiliser_Products_Data3(), FertiliserProducts[[#Headers],[Company]],61)</f>
        <v>7.3999999999999996E-2</v>
      </c>
      <c r="U150" s="188" t="str" cm="1">
        <f t="array" ref="U150">Common_InputFunctions.Utility_DisplayArrayInTable(Fertiliser_SourceData.Fertiliser_Products_Data3(), FertiliserProducts[[#Headers],[Company]],61)</f>
        <v>Sulfur - Generic</v>
      </c>
      <c r="V150" s="188" cm="1">
        <f t="array" ref="V150">Common_InputFunctions.Utility_DisplayArrayInTable(Fertiliser_SourceData.Fertiliser_Products_Data3(), FertiliserProducts[[#Headers],[Company]],61)</f>
        <v>0.04</v>
      </c>
      <c r="W150" s="188" t="str" cm="1">
        <f t="array" ref="W150">Common_InputFunctions.Utility_DisplayArrayInTable(Fertiliser_SourceData.Fertiliser_Products_Data3(), FertiliserProducts[[#Headers],[Company]],61)</f>
        <v>Potassium - Generic</v>
      </c>
      <c r="X150" s="188" cm="1">
        <f t="array" ref="X150">Common_InputFunctions.Utility_DisplayArrayInTable(Fertiliser_SourceData.Fertiliser_Products_Data3(), FertiliserProducts[[#Headers],[Company]],61)</f>
        <v>2.5000000000000001E-2</v>
      </c>
      <c r="Y150" s="188" t="str" cm="1">
        <f t="array" ref="Y150">Common_InputFunctions.Utility_DisplayArrayInTable(Fertiliser_SourceData.Fertiliser_Products_Data3(), FertiliserProducts[[#Headers],[Company]],61)</f>
        <v>Magnesium</v>
      </c>
      <c r="Z150" s="188" cm="1">
        <f t="array" ref="Z150">Common_InputFunctions.Utility_DisplayArrayInTable(Fertiliser_SourceData.Fertiliser_Products_Data3(), FertiliserProducts[[#Headers],[Company]],61)</f>
        <v>4.0000000000000001E-3</v>
      </c>
      <c r="AA150" s="188" t="str" cm="1">
        <f t="array" ref="AA150">Common_InputFunctions.Utility_DisplayArrayInTable(Fertiliser_SourceData.Fertiliser_Products_Data3(), FertiliserProducts[[#Headers],[Company]],61)</f>
        <v>Zinc</v>
      </c>
      <c r="AB150" s="188" cm="1">
        <f t="array" ref="AB150">Common_InputFunctions.Utility_DisplayArrayInTable(Fertiliser_SourceData.Fertiliser_Products_Data3(), FertiliserProducts[[#Headers],[Company]],61)</f>
        <v>1.5E-3</v>
      </c>
      <c r="AC150" s="188" t="str" cm="1">
        <f t="array" ref="AC150">Common_InputFunctions.Utility_DisplayArrayInTable(Fertiliser_SourceData.Fertiliser_Products_Data3(), FertiliserProducts[[#Headers],[Company]],61)</f>
        <v/>
      </c>
      <c r="AD150" s="188" t="str" cm="1">
        <f t="array" ref="AD150">Common_InputFunctions.Utility_DisplayArrayInTable(Fertiliser_SourceData.Fertiliser_Products_Data3(), FertiliserProducts[[#Headers],[Company]],61)</f>
        <v/>
      </c>
      <c r="AE150" s="188" t="str" cm="1">
        <f t="array" ref="AE150">Common_InputFunctions.Utility_DisplayArrayInTable(Fertiliser_SourceData.Fertiliser_Products_Data3(), FertiliserProducts[[#Headers],[Company]],61)</f>
        <v/>
      </c>
      <c r="AF150" s="188" t="str" cm="1">
        <f t="array" ref="AF150">Common_InputFunctions.Utility_DisplayArrayInTable(Fertiliser_SourceData.Fertiliser_Products_Data3(), FertiliserProducts[[#Headers],[Company]],61)</f>
        <v/>
      </c>
      <c r="AG150" s="188" t="str" cm="1">
        <f t="array" ref="AG150">Common_InputFunctions.Utility_DisplayArrayInTable(Fertiliser_SourceData.Fertiliser_Products_Data3(), FertiliserProducts[[#Headers],[Company]],61)</f>
        <v/>
      </c>
      <c r="AH150" s="188"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88" t="str" cm="1">
        <f t="array" ref="D151">Common_InputFunctions.Utility_DisplayArrayInTable(Fertiliser_SourceData.Fertiliser_Products_Data3(), FertiliserProducts[[#Headers],[Company]],61)</f>
        <v>Yara Australia</v>
      </c>
      <c r="E151" s="188" t="str" cm="1">
        <f t="array" ref="E151">Common_InputFunctions.Utility_DisplayArrayInTable(Fertiliser_SourceData.Fertiliser_Products_Data3(), FertiliserProducts[[#Headers],[Company]],61)</f>
        <v>YaraTera KRISTALON SCARLET</v>
      </c>
      <c r="F151" s="188" t="str" cm="1">
        <f t="array" ref="F151">Common_InputFunctions.Utility_DisplayArrayInTable(Fertiliser_SourceData.Fertiliser_Products_Data3(), FertiliserProducts[[#Headers],[Company]],61)</f>
        <v>kg</v>
      </c>
      <c r="G151" s="188" cm="1">
        <f t="array" ref="G151">Common_InputFunctions.Utility_DisplayArrayInTable(Fertiliser_SourceData.Fertiliser_Products_Data3(), FertiliserProducts[[#Headers],[Company]],61)</f>
        <v>1</v>
      </c>
      <c r="H151" s="188" t="str" cm="1">
        <f t="array" ref="H151">Common_InputFunctions.Utility_DisplayArrayInTable(Fertiliser_SourceData.Fertiliser_Products_Data3(), FertiliserProducts[[#Headers],[Company]],61)</f>
        <v/>
      </c>
      <c r="I151" s="188" t="str" cm="1">
        <f t="array" ref="I151">Common_InputFunctions.Utility_DisplayArrayInTable(Fertiliser_SourceData.Fertiliser_Products_Data3(), FertiliserProducts[[#Headers],[Company]],61)</f>
        <v/>
      </c>
      <c r="J151" s="188" t="str" cm="1">
        <f t="array" ref="J151">Common_InputFunctions.Utility_DisplayArrayInTable(Fertiliser_SourceData.Fertiliser_Products_Data3(), FertiliserProducts[[#Headers],[Company]],61)</f>
        <v/>
      </c>
      <c r="K151" s="188" cm="1">
        <f t="array" ref="K151">Common_InputFunctions.Utility_DisplayArrayInTable(Fertiliser_SourceData.Fertiliser_Products_Data3(), FertiliserProducts[[#Headers],[Company]],61)</f>
        <v>7.5</v>
      </c>
      <c r="L151" s="188" t="str" cm="1">
        <f t="array" ref="L151">Common_InputFunctions.Utility_DisplayArrayInTable(Fertiliser_SourceData.Fertiliser_Products_Data3(), FertiliserProducts[[#Headers],[Company]],61)</f>
        <v/>
      </c>
      <c r="M151" s="188" cm="1">
        <f t="array" ref="M151">Common_InputFunctions.Utility_DisplayArrayInTable(Fertiliser_SourceData.Fertiliser_Products_Data3(), FertiliserProducts[[#Headers],[Company]],61)</f>
        <v>29.9</v>
      </c>
      <c r="N151" s="188" cm="1">
        <f t="array" ref="N151">Common_InputFunctions.Utility_DisplayArrayInTable(Fertiliser_SourceData.Fertiliser_Products_Data3(), FertiliserProducts[[#Headers],[Company]],61)</f>
        <v>4</v>
      </c>
      <c r="O151" s="188" t="str" cm="1">
        <f t="array" ref="O151">Common_InputFunctions.Utility_DisplayArrayInTable(Fertiliser_SourceData.Fertiliser_Products_Data3(), FertiliserProducts[[#Headers],[Company]],61)</f>
        <v>Potassium - Generic</v>
      </c>
      <c r="P151" s="188" cm="1">
        <f t="array" ref="P151">Common_InputFunctions.Utility_DisplayArrayInTable(Fertiliser_SourceData.Fertiliser_Products_Data3(), FertiliserProducts[[#Headers],[Company]],61)</f>
        <v>0.29899999999999999</v>
      </c>
      <c r="Q151" s="188" t="str" cm="1">
        <f t="array" ref="Q151">Common_InputFunctions.Utility_DisplayArrayInTable(Fertiliser_SourceData.Fertiliser_Products_Data3(), FertiliserProducts[[#Headers],[Company]],61)</f>
        <v>Nitrogen - Nitrate</v>
      </c>
      <c r="R151" s="188" cm="1">
        <f t="array" ref="R151">Common_InputFunctions.Utility_DisplayArrayInTable(Fertiliser_SourceData.Fertiliser_Products_Data3(), FertiliserProducts[[#Headers],[Company]],61)</f>
        <v>5.1999999999999998E-2</v>
      </c>
      <c r="S151" s="188" t="str" cm="1">
        <f t="array" ref="S151">Common_InputFunctions.Utility_DisplayArrayInTable(Fertiliser_SourceData.Fertiliser_Products_Data3(), FertiliserProducts[[#Headers],[Company]],61)</f>
        <v>Sulfur - Generic</v>
      </c>
      <c r="T151" s="188" cm="1">
        <f t="array" ref="T151">Common_InputFunctions.Utility_DisplayArrayInTable(Fertiliser_SourceData.Fertiliser_Products_Data3(), FertiliserProducts[[#Headers],[Company]],61)</f>
        <v>0.04</v>
      </c>
      <c r="U151" s="188" t="str" cm="1">
        <f t="array" ref="U151">Common_InputFunctions.Utility_DisplayArrayInTable(Fertiliser_SourceData.Fertiliser_Products_Data3(), FertiliserProducts[[#Headers],[Company]],61)</f>
        <v>Magnesium</v>
      </c>
      <c r="V151" s="188" cm="1">
        <f t="array" ref="V151">Common_InputFunctions.Utility_DisplayArrayInTable(Fertiliser_SourceData.Fertiliser_Products_Data3(), FertiliserProducts[[#Headers],[Company]],61)</f>
        <v>2.7E-2</v>
      </c>
      <c r="W151" s="188" t="str" cm="1">
        <f t="array" ref="W151">Common_InputFunctions.Utility_DisplayArrayInTable(Fertiliser_SourceData.Fertiliser_Products_Data3(), FertiliserProducts[[#Headers],[Company]],61)</f>
        <v>Nitrogen - Ammoniacal</v>
      </c>
      <c r="X151" s="188" cm="1">
        <f t="array" ref="X151">Common_InputFunctions.Utility_DisplayArrayInTable(Fertiliser_SourceData.Fertiliser_Products_Data3(), FertiliserProducts[[#Headers],[Company]],61)</f>
        <v>2.3E-2</v>
      </c>
      <c r="Y151" s="188" t="str" cm="1">
        <f t="array" ref="Y151">Common_InputFunctions.Utility_DisplayArrayInTable(Fertiliser_SourceData.Fertiliser_Products_Data3(), FertiliserProducts[[#Headers],[Company]],61)</f>
        <v/>
      </c>
      <c r="Z151" s="188" t="str" cm="1">
        <f t="array" ref="Z151">Common_InputFunctions.Utility_DisplayArrayInTable(Fertiliser_SourceData.Fertiliser_Products_Data3(), FertiliserProducts[[#Headers],[Company]],61)</f>
        <v/>
      </c>
      <c r="AA151" s="188" t="str" cm="1">
        <f t="array" ref="AA151">Common_InputFunctions.Utility_DisplayArrayInTable(Fertiliser_SourceData.Fertiliser_Products_Data3(), FertiliserProducts[[#Headers],[Company]],61)</f>
        <v/>
      </c>
      <c r="AB151" s="188" t="str" cm="1">
        <f t="array" ref="AB151">Common_InputFunctions.Utility_DisplayArrayInTable(Fertiliser_SourceData.Fertiliser_Products_Data3(), FertiliserProducts[[#Headers],[Company]],61)</f>
        <v/>
      </c>
      <c r="AC151" s="188" t="str" cm="1">
        <f t="array" ref="AC151">Common_InputFunctions.Utility_DisplayArrayInTable(Fertiliser_SourceData.Fertiliser_Products_Data3(), FertiliserProducts[[#Headers],[Company]],61)</f>
        <v/>
      </c>
      <c r="AD151" s="188" t="str" cm="1">
        <f t="array" ref="AD151">Common_InputFunctions.Utility_DisplayArrayInTable(Fertiliser_SourceData.Fertiliser_Products_Data3(), FertiliserProducts[[#Headers],[Company]],61)</f>
        <v/>
      </c>
      <c r="AE151" s="188" t="str" cm="1">
        <f t="array" ref="AE151">Common_InputFunctions.Utility_DisplayArrayInTable(Fertiliser_SourceData.Fertiliser_Products_Data3(), FertiliserProducts[[#Headers],[Company]],61)</f>
        <v/>
      </c>
      <c r="AF151" s="188" t="str" cm="1">
        <f t="array" ref="AF151">Common_InputFunctions.Utility_DisplayArrayInTable(Fertiliser_SourceData.Fertiliser_Products_Data3(), FertiliserProducts[[#Headers],[Company]],61)</f>
        <v/>
      </c>
      <c r="AG151" s="188" t="str" cm="1">
        <f t="array" ref="AG151">Common_InputFunctions.Utility_DisplayArrayInTable(Fertiliser_SourceData.Fertiliser_Products_Data3(), FertiliserProducts[[#Headers],[Company]],61)</f>
        <v/>
      </c>
      <c r="AH151" s="188"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88" t="str" cm="1">
        <f t="array" ref="D152">Common_InputFunctions.Utility_DisplayArrayInTable(Fertiliser_SourceData.Fertiliser_Products_Data3(), FertiliserProducts[[#Headers],[Company]],61)</f>
        <v>Campbells fertilisers Australia</v>
      </c>
      <c r="E152" s="188" t="str" cm="1">
        <f t="array" ref="E152">Common_InputFunctions.Utility_DisplayArrayInTable(Fertiliser_SourceData.Fertiliser_Products_Data3(), FertiliserProducts[[#Headers],[Company]],61)</f>
        <v>Solu-MAP</v>
      </c>
      <c r="F152" s="188" t="str" cm="1">
        <f t="array" ref="F152">Common_InputFunctions.Utility_DisplayArrayInTable(Fertiliser_SourceData.Fertiliser_Products_Data3(), FertiliserProducts[[#Headers],[Company]],61)</f>
        <v>kg</v>
      </c>
      <c r="G152" s="188" cm="1">
        <f t="array" ref="G152">Common_InputFunctions.Utility_DisplayArrayInTable(Fertiliser_SourceData.Fertiliser_Products_Data3(), FertiliserProducts[[#Headers],[Company]],61)</f>
        <v>1</v>
      </c>
      <c r="H152" s="188" t="str" cm="1">
        <f t="array" ref="H152">Common_InputFunctions.Utility_DisplayArrayInTable(Fertiliser_SourceData.Fertiliser_Products_Data3(), FertiliserProducts[[#Headers],[Company]],61)</f>
        <v/>
      </c>
      <c r="I152" s="188" t="str" cm="1">
        <f t="array" ref="I152">Common_InputFunctions.Utility_DisplayArrayInTable(Fertiliser_SourceData.Fertiliser_Products_Data3(), FertiliserProducts[[#Headers],[Company]],61)</f>
        <v/>
      </c>
      <c r="J152" s="188" t="str" cm="1">
        <f t="array" ref="J152">Common_InputFunctions.Utility_DisplayArrayInTable(Fertiliser_SourceData.Fertiliser_Products_Data3(), FertiliserProducts[[#Headers],[Company]],61)</f>
        <v/>
      </c>
      <c r="K152" s="188" cm="1">
        <f t="array" ref="K152">Common_InputFunctions.Utility_DisplayArrayInTable(Fertiliser_SourceData.Fertiliser_Products_Data3(), FertiliserProducts[[#Headers],[Company]],61)</f>
        <v>10</v>
      </c>
      <c r="L152" s="188" cm="1">
        <f t="array" ref="L152">Common_InputFunctions.Utility_DisplayArrayInTable(Fertiliser_SourceData.Fertiliser_Products_Data3(), FertiliserProducts[[#Headers],[Company]],61)</f>
        <v>21.9</v>
      </c>
      <c r="M152" s="188" t="str" cm="1">
        <f t="array" ref="M152">Common_InputFunctions.Utility_DisplayArrayInTable(Fertiliser_SourceData.Fertiliser_Products_Data3(), FertiliserProducts[[#Headers],[Company]],61)</f>
        <v/>
      </c>
      <c r="N152" s="188" t="str" cm="1">
        <f t="array" ref="N152">Common_InputFunctions.Utility_DisplayArrayInTable(Fertiliser_SourceData.Fertiliser_Products_Data3(), FertiliserProducts[[#Headers],[Company]],61)</f>
        <v/>
      </c>
      <c r="O152" s="188" t="str" cm="1">
        <f t="array" ref="O152">Common_InputFunctions.Utility_DisplayArrayInTable(Fertiliser_SourceData.Fertiliser_Products_Data3(), FertiliserProducts[[#Headers],[Company]],61)</f>
        <v>Monoammonium phosphate (MAP)</v>
      </c>
      <c r="P152" s="188" cm="1">
        <f t="array" ref="P152">Common_InputFunctions.Utility_DisplayArrayInTable(Fertiliser_SourceData.Fertiliser_Products_Data3(), FertiliserProducts[[#Headers],[Company]],61)</f>
        <v>1</v>
      </c>
      <c r="Q152" s="188" t="str" cm="1">
        <f t="array" ref="Q152">Common_InputFunctions.Utility_DisplayArrayInTable(Fertiliser_SourceData.Fertiliser_Products_Data3(), FertiliserProducts[[#Headers],[Company]],61)</f>
        <v/>
      </c>
      <c r="R152" s="188" t="str" cm="1">
        <f t="array" ref="R152">Common_InputFunctions.Utility_DisplayArrayInTable(Fertiliser_SourceData.Fertiliser_Products_Data3(), FertiliserProducts[[#Headers],[Company]],61)</f>
        <v/>
      </c>
      <c r="S152" s="188" t="str" cm="1">
        <f t="array" ref="S152">Common_InputFunctions.Utility_DisplayArrayInTable(Fertiliser_SourceData.Fertiliser_Products_Data3(), FertiliserProducts[[#Headers],[Company]],61)</f>
        <v/>
      </c>
      <c r="T152" s="188" t="str" cm="1">
        <f t="array" ref="T152">Common_InputFunctions.Utility_DisplayArrayInTable(Fertiliser_SourceData.Fertiliser_Products_Data3(), FertiliserProducts[[#Headers],[Company]],61)</f>
        <v/>
      </c>
      <c r="U152" s="188" t="str" cm="1">
        <f t="array" ref="U152">Common_InputFunctions.Utility_DisplayArrayInTable(Fertiliser_SourceData.Fertiliser_Products_Data3(), FertiliserProducts[[#Headers],[Company]],61)</f>
        <v/>
      </c>
      <c r="V152" s="188" t="str" cm="1">
        <f t="array" ref="V152">Common_InputFunctions.Utility_DisplayArrayInTable(Fertiliser_SourceData.Fertiliser_Products_Data3(), FertiliserProducts[[#Headers],[Company]],61)</f>
        <v/>
      </c>
      <c r="W152" s="188" t="str" cm="1">
        <f t="array" ref="W152">Common_InputFunctions.Utility_DisplayArrayInTable(Fertiliser_SourceData.Fertiliser_Products_Data3(), FertiliserProducts[[#Headers],[Company]],61)</f>
        <v/>
      </c>
      <c r="X152" s="188" t="str" cm="1">
        <f t="array" ref="X152">Common_InputFunctions.Utility_DisplayArrayInTable(Fertiliser_SourceData.Fertiliser_Products_Data3(), FertiliserProducts[[#Headers],[Company]],61)</f>
        <v/>
      </c>
      <c r="Y152" s="188" t="str" cm="1">
        <f t="array" ref="Y152">Common_InputFunctions.Utility_DisplayArrayInTable(Fertiliser_SourceData.Fertiliser_Products_Data3(), FertiliserProducts[[#Headers],[Company]],61)</f>
        <v/>
      </c>
      <c r="Z152" s="188" t="str" cm="1">
        <f t="array" ref="Z152">Common_InputFunctions.Utility_DisplayArrayInTable(Fertiliser_SourceData.Fertiliser_Products_Data3(), FertiliserProducts[[#Headers],[Company]],61)</f>
        <v/>
      </c>
      <c r="AA152" s="188" t="str" cm="1">
        <f t="array" ref="AA152">Common_InputFunctions.Utility_DisplayArrayInTable(Fertiliser_SourceData.Fertiliser_Products_Data3(), FertiliserProducts[[#Headers],[Company]],61)</f>
        <v/>
      </c>
      <c r="AB152" s="188" t="str" cm="1">
        <f t="array" ref="AB152">Common_InputFunctions.Utility_DisplayArrayInTable(Fertiliser_SourceData.Fertiliser_Products_Data3(), FertiliserProducts[[#Headers],[Company]],61)</f>
        <v/>
      </c>
      <c r="AC152" s="188" t="str" cm="1">
        <f t="array" ref="AC152">Common_InputFunctions.Utility_DisplayArrayInTable(Fertiliser_SourceData.Fertiliser_Products_Data3(), FertiliserProducts[[#Headers],[Company]],61)</f>
        <v/>
      </c>
      <c r="AD152" s="188" t="str" cm="1">
        <f t="array" ref="AD152">Common_InputFunctions.Utility_DisplayArrayInTable(Fertiliser_SourceData.Fertiliser_Products_Data3(), FertiliserProducts[[#Headers],[Company]],61)</f>
        <v/>
      </c>
      <c r="AE152" s="188" t="str" cm="1">
        <f t="array" ref="AE152">Common_InputFunctions.Utility_DisplayArrayInTable(Fertiliser_SourceData.Fertiliser_Products_Data3(), FertiliserProducts[[#Headers],[Company]],61)</f>
        <v/>
      </c>
      <c r="AF152" s="188" t="str" cm="1">
        <f t="array" ref="AF152">Common_InputFunctions.Utility_DisplayArrayInTable(Fertiliser_SourceData.Fertiliser_Products_Data3(), FertiliserProducts[[#Headers],[Company]],61)</f>
        <v/>
      </c>
      <c r="AG152" s="188" t="str" cm="1">
        <f t="array" ref="AG152">Common_InputFunctions.Utility_DisplayArrayInTable(Fertiliser_SourceData.Fertiliser_Products_Data3(), FertiliserProducts[[#Headers],[Company]],61)</f>
        <v/>
      </c>
      <c r="AH152" s="188"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88" t="str" cm="1">
        <f t="array" ref="D153">Common_InputFunctions.Utility_DisplayArrayInTable(Fertiliser_SourceData.Fertiliser_Products_Data3(), FertiliserProducts[[#Headers],[Company]],61)</f>
        <v>Campbells fertilisers Australia</v>
      </c>
      <c r="E153" s="188" t="str" cm="1">
        <f t="array" ref="E153">Common_InputFunctions.Utility_DisplayArrayInTable(Fertiliser_SourceData.Fertiliser_Products_Data3(), FertiliserProducts[[#Headers],[Company]],61)</f>
        <v>Solu-Sam</v>
      </c>
      <c r="F153" s="188" t="str" cm="1">
        <f t="array" ref="F153">Common_InputFunctions.Utility_DisplayArrayInTable(Fertiliser_SourceData.Fertiliser_Products_Data3(), FertiliserProducts[[#Headers],[Company]],61)</f>
        <v>kg</v>
      </c>
      <c r="G153" s="188" cm="1">
        <f t="array" ref="G153">Common_InputFunctions.Utility_DisplayArrayInTable(Fertiliser_SourceData.Fertiliser_Products_Data3(), FertiliserProducts[[#Headers],[Company]],61)</f>
        <v>1</v>
      </c>
      <c r="H153" s="188" t="str" cm="1">
        <f t="array" ref="H153">Common_InputFunctions.Utility_DisplayArrayInTable(Fertiliser_SourceData.Fertiliser_Products_Data3(), FertiliserProducts[[#Headers],[Company]],61)</f>
        <v/>
      </c>
      <c r="I153" s="188" t="str" cm="1">
        <f t="array" ref="I153">Common_InputFunctions.Utility_DisplayArrayInTable(Fertiliser_SourceData.Fertiliser_Products_Data3(), FertiliserProducts[[#Headers],[Company]],61)</f>
        <v/>
      </c>
      <c r="J153" s="188" t="str" cm="1">
        <f t="array" ref="J153">Common_InputFunctions.Utility_DisplayArrayInTable(Fertiliser_SourceData.Fertiliser_Products_Data3(), FertiliserProducts[[#Headers],[Company]],61)</f>
        <v/>
      </c>
      <c r="K153" s="188" cm="1">
        <f t="array" ref="K153">Common_InputFunctions.Utility_DisplayArrayInTable(Fertiliser_SourceData.Fertiliser_Products_Data3(), FertiliserProducts[[#Headers],[Company]],61)</f>
        <v>21</v>
      </c>
      <c r="L153" s="188" t="str" cm="1">
        <f t="array" ref="L153">Common_InputFunctions.Utility_DisplayArrayInTable(Fertiliser_SourceData.Fertiliser_Products_Data3(), FertiliserProducts[[#Headers],[Company]],61)</f>
        <v/>
      </c>
      <c r="M153" s="188" t="str" cm="1">
        <f t="array" ref="M153">Common_InputFunctions.Utility_DisplayArrayInTable(Fertiliser_SourceData.Fertiliser_Products_Data3(), FertiliserProducts[[#Headers],[Company]],61)</f>
        <v/>
      </c>
      <c r="N153" s="188" cm="1">
        <f t="array" ref="N153">Common_InputFunctions.Utility_DisplayArrayInTable(Fertiliser_SourceData.Fertiliser_Products_Data3(), FertiliserProducts[[#Headers],[Company]],61)</f>
        <v>24</v>
      </c>
      <c r="O153" s="188" t="str" cm="1">
        <f t="array" ref="O153">Common_InputFunctions.Utility_DisplayArrayInTable(Fertiliser_SourceData.Fertiliser_Products_Data3(), FertiliserProducts[[#Headers],[Company]],61)</f>
        <v>Sulphate of ammonia (SOA)</v>
      </c>
      <c r="P153" s="188" cm="1">
        <f t="array" ref="P153">Common_InputFunctions.Utility_DisplayArrayInTable(Fertiliser_SourceData.Fertiliser_Products_Data3(), FertiliserProducts[[#Headers],[Company]],61)</f>
        <v>1</v>
      </c>
      <c r="Q153" s="188" t="str" cm="1">
        <f t="array" ref="Q153">Common_InputFunctions.Utility_DisplayArrayInTable(Fertiliser_SourceData.Fertiliser_Products_Data3(), FertiliserProducts[[#Headers],[Company]],61)</f>
        <v/>
      </c>
      <c r="R153" s="188" t="str" cm="1">
        <f t="array" ref="R153">Common_InputFunctions.Utility_DisplayArrayInTable(Fertiliser_SourceData.Fertiliser_Products_Data3(), FertiliserProducts[[#Headers],[Company]],61)</f>
        <v/>
      </c>
      <c r="S153" s="188" t="str" cm="1">
        <f t="array" ref="S153">Common_InputFunctions.Utility_DisplayArrayInTable(Fertiliser_SourceData.Fertiliser_Products_Data3(), FertiliserProducts[[#Headers],[Company]],61)</f>
        <v/>
      </c>
      <c r="T153" s="188" t="str" cm="1">
        <f t="array" ref="T153">Common_InputFunctions.Utility_DisplayArrayInTable(Fertiliser_SourceData.Fertiliser_Products_Data3(), FertiliserProducts[[#Headers],[Company]],61)</f>
        <v/>
      </c>
      <c r="U153" s="188" t="str" cm="1">
        <f t="array" ref="U153">Common_InputFunctions.Utility_DisplayArrayInTable(Fertiliser_SourceData.Fertiliser_Products_Data3(), FertiliserProducts[[#Headers],[Company]],61)</f>
        <v/>
      </c>
      <c r="V153" s="188" t="str" cm="1">
        <f t="array" ref="V153">Common_InputFunctions.Utility_DisplayArrayInTable(Fertiliser_SourceData.Fertiliser_Products_Data3(), FertiliserProducts[[#Headers],[Company]],61)</f>
        <v/>
      </c>
      <c r="W153" s="188" t="str" cm="1">
        <f t="array" ref="W153">Common_InputFunctions.Utility_DisplayArrayInTable(Fertiliser_SourceData.Fertiliser_Products_Data3(), FertiliserProducts[[#Headers],[Company]],61)</f>
        <v/>
      </c>
      <c r="X153" s="188" t="str" cm="1">
        <f t="array" ref="X153">Common_InputFunctions.Utility_DisplayArrayInTable(Fertiliser_SourceData.Fertiliser_Products_Data3(), FertiliserProducts[[#Headers],[Company]],61)</f>
        <v/>
      </c>
      <c r="Y153" s="188" t="str" cm="1">
        <f t="array" ref="Y153">Common_InputFunctions.Utility_DisplayArrayInTable(Fertiliser_SourceData.Fertiliser_Products_Data3(), FertiliserProducts[[#Headers],[Company]],61)</f>
        <v/>
      </c>
      <c r="Z153" s="188" t="str" cm="1">
        <f t="array" ref="Z153">Common_InputFunctions.Utility_DisplayArrayInTable(Fertiliser_SourceData.Fertiliser_Products_Data3(), FertiliserProducts[[#Headers],[Company]],61)</f>
        <v/>
      </c>
      <c r="AA153" s="188" t="str" cm="1">
        <f t="array" ref="AA153">Common_InputFunctions.Utility_DisplayArrayInTable(Fertiliser_SourceData.Fertiliser_Products_Data3(), FertiliserProducts[[#Headers],[Company]],61)</f>
        <v/>
      </c>
      <c r="AB153" s="188" t="str" cm="1">
        <f t="array" ref="AB153">Common_InputFunctions.Utility_DisplayArrayInTable(Fertiliser_SourceData.Fertiliser_Products_Data3(), FertiliserProducts[[#Headers],[Company]],61)</f>
        <v/>
      </c>
      <c r="AC153" s="188" t="str" cm="1">
        <f t="array" ref="AC153">Common_InputFunctions.Utility_DisplayArrayInTable(Fertiliser_SourceData.Fertiliser_Products_Data3(), FertiliserProducts[[#Headers],[Company]],61)</f>
        <v/>
      </c>
      <c r="AD153" s="188" t="str" cm="1">
        <f t="array" ref="AD153">Common_InputFunctions.Utility_DisplayArrayInTable(Fertiliser_SourceData.Fertiliser_Products_Data3(), FertiliserProducts[[#Headers],[Company]],61)</f>
        <v/>
      </c>
      <c r="AE153" s="188" t="str" cm="1">
        <f t="array" ref="AE153">Common_InputFunctions.Utility_DisplayArrayInTable(Fertiliser_SourceData.Fertiliser_Products_Data3(), FertiliserProducts[[#Headers],[Company]],61)</f>
        <v/>
      </c>
      <c r="AF153" s="188" t="str" cm="1">
        <f t="array" ref="AF153">Common_InputFunctions.Utility_DisplayArrayInTable(Fertiliser_SourceData.Fertiliser_Products_Data3(), FertiliserProducts[[#Headers],[Company]],61)</f>
        <v/>
      </c>
      <c r="AG153" s="188" t="str" cm="1">
        <f t="array" ref="AG153">Common_InputFunctions.Utility_DisplayArrayInTable(Fertiliser_SourceData.Fertiliser_Products_Data3(), FertiliserProducts[[#Headers],[Company]],61)</f>
        <v/>
      </c>
      <c r="AH153" s="188"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88" t="str" cm="1">
        <f t="array" ref="D154">Common_InputFunctions.Utility_DisplayArrayInTable(Fertiliser_SourceData.Fertiliser_Products_Data3(), FertiliserProducts[[#Headers],[Company]],61)</f>
        <v>Campbells fertilisers Australia</v>
      </c>
      <c r="E154" s="188" t="str" cm="1">
        <f t="array" ref="E154">Common_InputFunctions.Utility_DisplayArrayInTable(Fertiliser_SourceData.Fertiliser_Products_Data3(), FertiliserProducts[[#Headers],[Company]],61)</f>
        <v>Rustica Plus</v>
      </c>
      <c r="F154" s="188" t="str" cm="1">
        <f t="array" ref="F154">Common_InputFunctions.Utility_DisplayArrayInTable(Fertiliser_SourceData.Fertiliser_Products_Data3(), FertiliserProducts[[#Headers],[Company]],61)</f>
        <v>kg</v>
      </c>
      <c r="G154" s="188" cm="1">
        <f t="array" ref="G154">Common_InputFunctions.Utility_DisplayArrayInTable(Fertiliser_SourceData.Fertiliser_Products_Data3(), FertiliserProducts[[#Headers],[Company]],61)</f>
        <v>1</v>
      </c>
      <c r="H154" s="188" t="str" cm="1">
        <f t="array" ref="H154">Common_InputFunctions.Utility_DisplayArrayInTable(Fertiliser_SourceData.Fertiliser_Products_Data3(), FertiliserProducts[[#Headers],[Company]],61)</f>
        <v/>
      </c>
      <c r="I154" s="188" t="str" cm="1">
        <f t="array" ref="I154">Common_InputFunctions.Utility_DisplayArrayInTable(Fertiliser_SourceData.Fertiliser_Products_Data3(), FertiliserProducts[[#Headers],[Company]],61)</f>
        <v/>
      </c>
      <c r="J154" s="188" t="str" cm="1">
        <f t="array" ref="J154">Common_InputFunctions.Utility_DisplayArrayInTable(Fertiliser_SourceData.Fertiliser_Products_Data3(), FertiliserProducts[[#Headers],[Company]],61)</f>
        <v/>
      </c>
      <c r="K154" s="188" cm="1">
        <f t="array" ref="K154">Common_InputFunctions.Utility_DisplayArrayInTable(Fertiliser_SourceData.Fertiliser_Products_Data3(), FertiliserProducts[[#Headers],[Company]],61)</f>
        <v>12</v>
      </c>
      <c r="L154" s="188" cm="1">
        <f t="array" ref="L154">Common_InputFunctions.Utility_DisplayArrayInTable(Fertiliser_SourceData.Fertiliser_Products_Data3(), FertiliserProducts[[#Headers],[Company]],61)</f>
        <v>5</v>
      </c>
      <c r="M154" s="188" cm="1">
        <f t="array" ref="M154">Common_InputFunctions.Utility_DisplayArrayInTable(Fertiliser_SourceData.Fertiliser_Products_Data3(), FertiliserProducts[[#Headers],[Company]],61)</f>
        <v>14</v>
      </c>
      <c r="N154" s="188" cm="1">
        <f t="array" ref="N154">Common_InputFunctions.Utility_DisplayArrayInTable(Fertiliser_SourceData.Fertiliser_Products_Data3(), FertiliserProducts[[#Headers],[Company]],61)</f>
        <v>9.6999999999999993</v>
      </c>
      <c r="O154" s="188" t="str" cm="1">
        <f t="array" ref="O154">Common_InputFunctions.Utility_DisplayArrayInTable(Fertiliser_SourceData.Fertiliser_Products_Data3(), FertiliserProducts[[#Headers],[Company]],61)</f>
        <v>Potassium - Generic</v>
      </c>
      <c r="P154" s="188" cm="1">
        <f t="array" ref="P154">Common_InputFunctions.Utility_DisplayArrayInTable(Fertiliser_SourceData.Fertiliser_Products_Data3(), FertiliserProducts[[#Headers],[Company]],61)</f>
        <v>0.14000000000000001</v>
      </c>
      <c r="Q154" s="188" t="str" cm="1">
        <f t="array" ref="Q154">Common_InputFunctions.Utility_DisplayArrayInTable(Fertiliser_SourceData.Fertiliser_Products_Data3(), FertiliserProducts[[#Headers],[Company]],61)</f>
        <v>Sulfur - Generic</v>
      </c>
      <c r="R154" s="188" cm="1">
        <f t="array" ref="R154">Common_InputFunctions.Utility_DisplayArrayInTable(Fertiliser_SourceData.Fertiliser_Products_Data3(), FertiliserProducts[[#Headers],[Company]],61)</f>
        <v>9.7000000000000003E-2</v>
      </c>
      <c r="S154" s="188" t="str" cm="1">
        <f t="array" ref="S154">Common_InputFunctions.Utility_DisplayArrayInTable(Fertiliser_SourceData.Fertiliser_Products_Data3(), FertiliserProducts[[#Headers],[Company]],61)</f>
        <v>Nitrogen - Nitrate</v>
      </c>
      <c r="T154" s="188" cm="1">
        <f t="array" ref="T154">Common_InputFunctions.Utility_DisplayArrayInTable(Fertiliser_SourceData.Fertiliser_Products_Data3(), FertiliserProducts[[#Headers],[Company]],61)</f>
        <v>0.06</v>
      </c>
      <c r="U154" s="188" t="str" cm="1">
        <f t="array" ref="U154">Common_InputFunctions.Utility_DisplayArrayInTable(Fertiliser_SourceData.Fertiliser_Products_Data3(), FertiliserProducts[[#Headers],[Company]],61)</f>
        <v>Nitrogen - Ammoniacal</v>
      </c>
      <c r="V154" s="188" cm="1">
        <f t="array" ref="V154">Common_InputFunctions.Utility_DisplayArrayInTable(Fertiliser_SourceData.Fertiliser_Products_Data3(), FertiliserProducts[[#Headers],[Company]],61)</f>
        <v>0.06</v>
      </c>
      <c r="W154" s="188" t="str" cm="1">
        <f t="array" ref="W154">Common_InputFunctions.Utility_DisplayArrayInTable(Fertiliser_SourceData.Fertiliser_Products_Data3(), FertiliserProducts[[#Headers],[Company]],61)</f>
        <v>Phosphorus - Generic</v>
      </c>
      <c r="X154" s="188" cm="1">
        <f t="array" ref="X154">Common_InputFunctions.Utility_DisplayArrayInTable(Fertiliser_SourceData.Fertiliser_Products_Data3(), FertiliserProducts[[#Headers],[Company]],61)</f>
        <v>0.05</v>
      </c>
      <c r="Y154" s="188" t="str" cm="1">
        <f t="array" ref="Y154">Common_InputFunctions.Utility_DisplayArrayInTable(Fertiliser_SourceData.Fertiliser_Products_Data3(), FertiliserProducts[[#Headers],[Company]],61)</f>
        <v>Calcium</v>
      </c>
      <c r="Z154" s="188" cm="1">
        <f t="array" ref="Z154">Common_InputFunctions.Utility_DisplayArrayInTable(Fertiliser_SourceData.Fertiliser_Products_Data3(), FertiliserProducts[[#Headers],[Company]],61)</f>
        <v>3.1E-2</v>
      </c>
      <c r="AA154" s="188" t="str" cm="1">
        <f t="array" ref="AA154">Common_InputFunctions.Utility_DisplayArrayInTable(Fertiliser_SourceData.Fertiliser_Products_Data3(), FertiliserProducts[[#Headers],[Company]],61)</f>
        <v>Magnesium</v>
      </c>
      <c r="AB154" s="188" cm="1">
        <f t="array" ref="AB154">Common_InputFunctions.Utility_DisplayArrayInTable(Fertiliser_SourceData.Fertiliser_Products_Data3(), FertiliserProducts[[#Headers],[Company]],61)</f>
        <v>1.2E-2</v>
      </c>
      <c r="AC154" s="188" t="str" cm="1">
        <f t="array" ref="AC154">Common_InputFunctions.Utility_DisplayArrayInTable(Fertiliser_SourceData.Fertiliser_Products_Data3(), FertiliserProducts[[#Headers],[Company]],61)</f>
        <v>Zinc</v>
      </c>
      <c r="AD154" s="188" cm="1">
        <f t="array" ref="AD154">Common_InputFunctions.Utility_DisplayArrayInTable(Fertiliser_SourceData.Fertiliser_Products_Data3(), FertiliserProducts[[#Headers],[Company]],61)</f>
        <v>1E-3</v>
      </c>
      <c r="AE154" s="188" t="str" cm="1">
        <f t="array" ref="AE154">Common_InputFunctions.Utility_DisplayArrayInTable(Fertiliser_SourceData.Fertiliser_Products_Data3(), FertiliserProducts[[#Headers],[Company]],61)</f>
        <v>Boron</v>
      </c>
      <c r="AF154" s="188" cm="1">
        <f t="array" ref="AF154">Common_InputFunctions.Utility_DisplayArrayInTable(Fertiliser_SourceData.Fertiliser_Products_Data3(), FertiliserProducts[[#Headers],[Company]],61)</f>
        <v>2.0000000000000001E-4</v>
      </c>
      <c r="AG154" s="188" t="str" cm="1">
        <f t="array" ref="AG154">Common_InputFunctions.Utility_DisplayArrayInTable(Fertiliser_SourceData.Fertiliser_Products_Data3(), FertiliserProducts[[#Headers],[Company]],61)</f>
        <v/>
      </c>
      <c r="AH154" s="188" t="str" cm="1">
        <f t="array" ref="AH154">Common_InputFunctions.Utility_DisplayArrayInTable(Fertiliser_SourceData.Fertiliser_Products_Data3(), FertiliserProducts[[#Headers],[Company]],61)</f>
        <v/>
      </c>
      <c r="AK154" s="1"/>
    </row>
    <row r="155" spans="4:39" ht="20.100000000000001" customHeight="1" x14ac:dyDescent="0.25">
      <c r="D155" s="188" t="str" cm="1">
        <f t="array" ref="D155">Common_InputFunctions.Utility_DisplayArrayInTable(Fertiliser_SourceData.Fertiliser_Products_Data3(), FertiliserProducts[[#Headers],[Company]],61)</f>
        <v>Campbells fertilisers Australia</v>
      </c>
      <c r="E155" s="188" t="str" cm="1">
        <f t="array" ref="E155">Common_InputFunctions.Utility_DisplayArrayInTable(Fertiliser_SourceData.Fertiliser_Products_Data3(), FertiliserProducts[[#Headers],[Company]],61)</f>
        <v>Platinum Plus</v>
      </c>
      <c r="F155" s="188" t="str" cm="1">
        <f t="array" ref="F155">Common_InputFunctions.Utility_DisplayArrayInTable(Fertiliser_SourceData.Fertiliser_Products_Data3(), FertiliserProducts[[#Headers],[Company]],61)</f>
        <v>kg</v>
      </c>
      <c r="G155" s="188" cm="1">
        <f t="array" ref="G155">Common_InputFunctions.Utility_DisplayArrayInTable(Fertiliser_SourceData.Fertiliser_Products_Data3(), FertiliserProducts[[#Headers],[Company]],61)</f>
        <v>1</v>
      </c>
      <c r="H155" s="188" t="str" cm="1">
        <f t="array" ref="H155">Common_InputFunctions.Utility_DisplayArrayInTable(Fertiliser_SourceData.Fertiliser_Products_Data3(), FertiliserProducts[[#Headers],[Company]],61)</f>
        <v/>
      </c>
      <c r="I155" s="188" t="str" cm="1">
        <f t="array" ref="I155">Common_InputFunctions.Utility_DisplayArrayInTable(Fertiliser_SourceData.Fertiliser_Products_Data3(), FertiliserProducts[[#Headers],[Company]],61)</f>
        <v/>
      </c>
      <c r="J155" s="188" t="str" cm="1">
        <f t="array" ref="J155">Common_InputFunctions.Utility_DisplayArrayInTable(Fertiliser_SourceData.Fertiliser_Products_Data3(), FertiliserProducts[[#Headers],[Company]],61)</f>
        <v/>
      </c>
      <c r="K155" s="188" cm="1">
        <f t="array" ref="K155">Common_InputFunctions.Utility_DisplayArrayInTable(Fertiliser_SourceData.Fertiliser_Products_Data3(), FertiliserProducts[[#Headers],[Company]],61)</f>
        <v>10</v>
      </c>
      <c r="L155" s="188" cm="1">
        <f t="array" ref="L155">Common_InputFunctions.Utility_DisplayArrayInTable(Fertiliser_SourceData.Fertiliser_Products_Data3(), FertiliserProducts[[#Headers],[Company]],61)</f>
        <v>11</v>
      </c>
      <c r="M155" s="188" cm="1">
        <f t="array" ref="M155">Common_InputFunctions.Utility_DisplayArrayInTable(Fertiliser_SourceData.Fertiliser_Products_Data3(), FertiliserProducts[[#Headers],[Company]],61)</f>
        <v>10</v>
      </c>
      <c r="N155" s="188" cm="1">
        <f t="array" ref="N155">Common_InputFunctions.Utility_DisplayArrayInTable(Fertiliser_SourceData.Fertiliser_Products_Data3(), FertiliserProducts[[#Headers],[Company]],61)</f>
        <v>6</v>
      </c>
      <c r="O155" s="188" t="str" cm="1">
        <f t="array" ref="O155">Common_InputFunctions.Utility_DisplayArrayInTable(Fertiliser_SourceData.Fertiliser_Products_Data3(), FertiliserProducts[[#Headers],[Company]],61)</f>
        <v>Phosphorus - Generic</v>
      </c>
      <c r="P155" s="188" cm="1">
        <f t="array" ref="P155">Common_InputFunctions.Utility_DisplayArrayInTable(Fertiliser_SourceData.Fertiliser_Products_Data3(), FertiliserProducts[[#Headers],[Company]],61)</f>
        <v>0.11</v>
      </c>
      <c r="Q155" s="188" t="str" cm="1">
        <f t="array" ref="Q155">Common_InputFunctions.Utility_DisplayArrayInTable(Fertiliser_SourceData.Fertiliser_Products_Data3(), FertiliserProducts[[#Headers],[Company]],61)</f>
        <v>Potassium - Generic</v>
      </c>
      <c r="R155" s="188" cm="1">
        <f t="array" ref="R155">Common_InputFunctions.Utility_DisplayArrayInTable(Fertiliser_SourceData.Fertiliser_Products_Data3(), FertiliserProducts[[#Headers],[Company]],61)</f>
        <v>0.1</v>
      </c>
      <c r="S155" s="188" t="str" cm="1">
        <f t="array" ref="S155">Common_InputFunctions.Utility_DisplayArrayInTable(Fertiliser_SourceData.Fertiliser_Products_Data3(), FertiliserProducts[[#Headers],[Company]],61)</f>
        <v>Sulfur - Generic</v>
      </c>
      <c r="T155" s="188" cm="1">
        <f t="array" ref="T155">Common_InputFunctions.Utility_DisplayArrayInTable(Fertiliser_SourceData.Fertiliser_Products_Data3(), FertiliserProducts[[#Headers],[Company]],61)</f>
        <v>0.06</v>
      </c>
      <c r="U155" s="188" t="str" cm="1">
        <f t="array" ref="U155">Common_InputFunctions.Utility_DisplayArrayInTable(Fertiliser_SourceData.Fertiliser_Products_Data3(), FertiliserProducts[[#Headers],[Company]],61)</f>
        <v>Nitrogen - Nitrate</v>
      </c>
      <c r="V155" s="188" cm="1">
        <f t="array" ref="V155">Common_InputFunctions.Utility_DisplayArrayInTable(Fertiliser_SourceData.Fertiliser_Products_Data3(), FertiliserProducts[[#Headers],[Company]],61)</f>
        <v>0.05</v>
      </c>
      <c r="W155" s="188" t="str" cm="1">
        <f t="array" ref="W155">Common_InputFunctions.Utility_DisplayArrayInTable(Fertiliser_SourceData.Fertiliser_Products_Data3(), FertiliserProducts[[#Headers],[Company]],61)</f>
        <v>Nitrogen - Ammoniacal</v>
      </c>
      <c r="X155" s="188" cm="1">
        <f t="array" ref="X155">Common_InputFunctions.Utility_DisplayArrayInTable(Fertiliser_SourceData.Fertiliser_Products_Data3(), FertiliserProducts[[#Headers],[Company]],61)</f>
        <v>0.05</v>
      </c>
      <c r="Y155" s="188" t="str" cm="1">
        <f t="array" ref="Y155">Common_InputFunctions.Utility_DisplayArrayInTable(Fertiliser_SourceData.Fertiliser_Products_Data3(), FertiliserProducts[[#Headers],[Company]],61)</f>
        <v>Calcium</v>
      </c>
      <c r="Z155" s="188" cm="1">
        <f t="array" ref="Z155">Common_InputFunctions.Utility_DisplayArrayInTable(Fertiliser_SourceData.Fertiliser_Products_Data3(), FertiliserProducts[[#Headers],[Company]],61)</f>
        <v>4.2999999999999997E-2</v>
      </c>
      <c r="AA155" s="188" t="str" cm="1">
        <f t="array" ref="AA155">Common_InputFunctions.Utility_DisplayArrayInTable(Fertiliser_SourceData.Fertiliser_Products_Data3(), FertiliserProducts[[#Headers],[Company]],61)</f>
        <v>Magnesium</v>
      </c>
      <c r="AB155" s="188" cm="1">
        <f t="array" ref="AB155">Common_InputFunctions.Utility_DisplayArrayInTable(Fertiliser_SourceData.Fertiliser_Products_Data3(), FertiliserProducts[[#Headers],[Company]],61)</f>
        <v>1.2E-2</v>
      </c>
      <c r="AC155" s="188" t="str" cm="1">
        <f t="array" ref="AC155">Common_InputFunctions.Utility_DisplayArrayInTable(Fertiliser_SourceData.Fertiliser_Products_Data3(), FertiliserProducts[[#Headers],[Company]],61)</f>
        <v>Zinc</v>
      </c>
      <c r="AD155" s="188" cm="1">
        <f t="array" ref="AD155">Common_InputFunctions.Utility_DisplayArrayInTable(Fertiliser_SourceData.Fertiliser_Products_Data3(), FertiliserProducts[[#Headers],[Company]],61)</f>
        <v>3.5999999999999999E-3</v>
      </c>
      <c r="AE155" s="188" t="str" cm="1">
        <f t="array" ref="AE155">Common_InputFunctions.Utility_DisplayArrayInTable(Fertiliser_SourceData.Fertiliser_Products_Data3(), FertiliserProducts[[#Headers],[Company]],61)</f>
        <v>Boron</v>
      </c>
      <c r="AF155" s="188" cm="1">
        <f t="array" ref="AF155">Common_InputFunctions.Utility_DisplayArrayInTable(Fertiliser_SourceData.Fertiliser_Products_Data3(), FertiliserProducts[[#Headers],[Company]],61)</f>
        <v>1E-3</v>
      </c>
      <c r="AG155" s="188" t="str" cm="1">
        <f t="array" ref="AG155">Common_InputFunctions.Utility_DisplayArrayInTable(Fertiliser_SourceData.Fertiliser_Products_Data3(), FertiliserProducts[[#Headers],[Company]],61)</f>
        <v/>
      </c>
      <c r="AH155" s="188" t="str" cm="1">
        <f t="array" ref="AH155">Common_InputFunctions.Utility_DisplayArrayInTable(Fertiliser_SourceData.Fertiliser_Products_Data3(), FertiliserProducts[[#Headers],[Company]],61)</f>
        <v/>
      </c>
      <c r="AK155" s="1"/>
    </row>
    <row r="156" spans="4:39" ht="20.100000000000001" customHeight="1" x14ac:dyDescent="0.25">
      <c r="D156" s="188" t="str" cm="1">
        <f t="array" ref="D156">Common_InputFunctions.Utility_DisplayArrayInTable(Fertiliser_SourceData.Fertiliser_Products_Data3(), FertiliserProducts[[#Headers],[Company]],61)</f>
        <v>Campbells fertilisers Australia</v>
      </c>
      <c r="E156" s="188" t="str" cm="1">
        <f t="array" ref="E156">Common_InputFunctions.Utility_DisplayArrayInTable(Fertiliser_SourceData.Fertiliser_Products_Data3(), FertiliserProducts[[#Headers],[Company]],61)</f>
        <v>Tropika</v>
      </c>
      <c r="F156" s="188" t="str" cm="1">
        <f t="array" ref="F156">Common_InputFunctions.Utility_DisplayArrayInTable(Fertiliser_SourceData.Fertiliser_Products_Data3(), FertiliserProducts[[#Headers],[Company]],61)</f>
        <v>kg</v>
      </c>
      <c r="G156" s="188" cm="1">
        <f t="array" ref="G156">Common_InputFunctions.Utility_DisplayArrayInTable(Fertiliser_SourceData.Fertiliser_Products_Data3(), FertiliserProducts[[#Headers],[Company]],61)</f>
        <v>1</v>
      </c>
      <c r="H156" s="188" t="str" cm="1">
        <f t="array" ref="H156">Common_InputFunctions.Utility_DisplayArrayInTable(Fertiliser_SourceData.Fertiliser_Products_Data3(), FertiliserProducts[[#Headers],[Company]],61)</f>
        <v/>
      </c>
      <c r="I156" s="188" t="str" cm="1">
        <f t="array" ref="I156">Common_InputFunctions.Utility_DisplayArrayInTable(Fertiliser_SourceData.Fertiliser_Products_Data3(), FertiliserProducts[[#Headers],[Company]],61)</f>
        <v/>
      </c>
      <c r="J156" s="188" t="str" cm="1">
        <f t="array" ref="J156">Common_InputFunctions.Utility_DisplayArrayInTable(Fertiliser_SourceData.Fertiliser_Products_Data3(), FertiliserProducts[[#Headers],[Company]],61)</f>
        <v/>
      </c>
      <c r="K156" s="188" cm="1">
        <f t="array" ref="K156">Common_InputFunctions.Utility_DisplayArrayInTable(Fertiliser_SourceData.Fertiliser_Products_Data3(), FertiliserProducts[[#Headers],[Company]],61)</f>
        <v>11</v>
      </c>
      <c r="L156" s="188" cm="1">
        <f t="array" ref="L156">Common_InputFunctions.Utility_DisplayArrayInTable(Fertiliser_SourceData.Fertiliser_Products_Data3(), FertiliserProducts[[#Headers],[Company]],61)</f>
        <v>2.6</v>
      </c>
      <c r="M156" s="188" cm="1">
        <f t="array" ref="M156">Common_InputFunctions.Utility_DisplayArrayInTable(Fertiliser_SourceData.Fertiliser_Products_Data3(), FertiliserProducts[[#Headers],[Company]],61)</f>
        <v>20.8</v>
      </c>
      <c r="N156" s="188" cm="1">
        <f t="array" ref="N156">Common_InputFunctions.Utility_DisplayArrayInTable(Fertiliser_SourceData.Fertiliser_Products_Data3(), FertiliserProducts[[#Headers],[Company]],61)</f>
        <v>4</v>
      </c>
      <c r="O156" s="188" t="str" cm="1">
        <f t="array" ref="O156">Common_InputFunctions.Utility_DisplayArrayInTable(Fertiliser_SourceData.Fertiliser_Products_Data3(), FertiliserProducts[[#Headers],[Company]],61)</f>
        <v>Nitrogen - Nitrate</v>
      </c>
      <c r="P156" s="188" cm="1">
        <f t="array" ref="P156">Common_InputFunctions.Utility_DisplayArrayInTable(Fertiliser_SourceData.Fertiliser_Products_Data3(), FertiliserProducts[[#Headers],[Company]],61)</f>
        <v>5.5E-2</v>
      </c>
      <c r="Q156" s="188" t="str" cm="1">
        <f t="array" ref="Q156">Common_InputFunctions.Utility_DisplayArrayInTable(Fertiliser_SourceData.Fertiliser_Products_Data3(), FertiliserProducts[[#Headers],[Company]],61)</f>
        <v>Nitrogen - Ammoniacal</v>
      </c>
      <c r="R156" s="188" cm="1">
        <f t="array" ref="R156">Common_InputFunctions.Utility_DisplayArrayInTable(Fertiliser_SourceData.Fertiliser_Products_Data3(), FertiliserProducts[[#Headers],[Company]],61)</f>
        <v>5.5E-2</v>
      </c>
      <c r="S156" s="188" t="str" cm="1">
        <f t="array" ref="S156">Common_InputFunctions.Utility_DisplayArrayInTable(Fertiliser_SourceData.Fertiliser_Products_Data3(), FertiliserProducts[[#Headers],[Company]],61)</f>
        <v>Phosphorus - Generic</v>
      </c>
      <c r="T156" s="188" cm="1">
        <f t="array" ref="T156">Common_InputFunctions.Utility_DisplayArrayInTable(Fertiliser_SourceData.Fertiliser_Products_Data3(), FertiliserProducts[[#Headers],[Company]],61)</f>
        <v>2.5999999999999999E-2</v>
      </c>
      <c r="U156" s="188" t="str" cm="1">
        <f t="array" ref="U156">Common_InputFunctions.Utility_DisplayArrayInTable(Fertiliser_SourceData.Fertiliser_Products_Data3(), FertiliserProducts[[#Headers],[Company]],61)</f>
        <v>Potassium - Generic</v>
      </c>
      <c r="V156" s="188" cm="1">
        <f t="array" ref="V156">Common_InputFunctions.Utility_DisplayArrayInTable(Fertiliser_SourceData.Fertiliser_Products_Data3(), FertiliserProducts[[#Headers],[Company]],61)</f>
        <v>0.20799999999999999</v>
      </c>
      <c r="W156" s="188" t="str" cm="1">
        <f t="array" ref="W156">Common_InputFunctions.Utility_DisplayArrayInTable(Fertiliser_SourceData.Fertiliser_Products_Data3(), FertiliserProducts[[#Headers],[Company]],61)</f>
        <v>Sulfur - Generic</v>
      </c>
      <c r="X156" s="188" cm="1">
        <f t="array" ref="X156">Common_InputFunctions.Utility_DisplayArrayInTable(Fertiliser_SourceData.Fertiliser_Products_Data3(), FertiliserProducts[[#Headers],[Company]],61)</f>
        <v>0.04</v>
      </c>
      <c r="Y156" s="188" t="str" cm="1">
        <f t="array" ref="Y156">Common_InputFunctions.Utility_DisplayArrayInTable(Fertiliser_SourceData.Fertiliser_Products_Data3(), FertiliserProducts[[#Headers],[Company]],61)</f>
        <v>Magnesium</v>
      </c>
      <c r="Z156" s="188" cm="1">
        <f t="array" ref="Z156">Common_InputFunctions.Utility_DisplayArrayInTable(Fertiliser_SourceData.Fertiliser_Products_Data3(), FertiliserProducts[[#Headers],[Company]],61)</f>
        <v>2.4E-2</v>
      </c>
      <c r="AA156" s="188" t="str" cm="1">
        <f t="array" ref="AA156">Common_InputFunctions.Utility_DisplayArrayInTable(Fertiliser_SourceData.Fertiliser_Products_Data3(), FertiliserProducts[[#Headers],[Company]],61)</f>
        <v/>
      </c>
      <c r="AB156" s="188" t="str" cm="1">
        <f t="array" ref="AB156">Common_InputFunctions.Utility_DisplayArrayInTable(Fertiliser_SourceData.Fertiliser_Products_Data3(), FertiliserProducts[[#Headers],[Company]],61)</f>
        <v/>
      </c>
      <c r="AC156" s="188" t="str" cm="1">
        <f t="array" ref="AC156">Common_InputFunctions.Utility_DisplayArrayInTable(Fertiliser_SourceData.Fertiliser_Products_Data3(), FertiliserProducts[[#Headers],[Company]],61)</f>
        <v/>
      </c>
      <c r="AD156" s="188" t="str" cm="1">
        <f t="array" ref="AD156">Common_InputFunctions.Utility_DisplayArrayInTable(Fertiliser_SourceData.Fertiliser_Products_Data3(), FertiliserProducts[[#Headers],[Company]],61)</f>
        <v/>
      </c>
      <c r="AE156" s="188" t="str" cm="1">
        <f t="array" ref="AE156">Common_InputFunctions.Utility_DisplayArrayInTable(Fertiliser_SourceData.Fertiliser_Products_Data3(), FertiliserProducts[[#Headers],[Company]],61)</f>
        <v/>
      </c>
      <c r="AF156" s="188" t="str" cm="1">
        <f t="array" ref="AF156">Common_InputFunctions.Utility_DisplayArrayInTable(Fertiliser_SourceData.Fertiliser_Products_Data3(), FertiliserProducts[[#Headers],[Company]],61)</f>
        <v/>
      </c>
      <c r="AG156" s="188" t="str" cm="1">
        <f t="array" ref="AG156">Common_InputFunctions.Utility_DisplayArrayInTable(Fertiliser_SourceData.Fertiliser_Products_Data3(), FertiliserProducts[[#Headers],[Company]],61)</f>
        <v/>
      </c>
      <c r="AH156" s="188" t="str" cm="1">
        <f t="array" ref="AH156">Common_InputFunctions.Utility_DisplayArrayInTable(Fertiliser_SourceData.Fertiliser_Products_Data3(), FertiliserProducts[[#Headers],[Company]],61)</f>
        <v/>
      </c>
      <c r="AK156" s="1"/>
    </row>
    <row r="157" spans="4:39" ht="20.100000000000001" customHeight="1" x14ac:dyDescent="0.25">
      <c r="D157" s="188" t="str" cm="1">
        <f t="array" ref="D157">Common_InputFunctions.Utility_DisplayArrayInTable(Fertiliser_SourceData.Fertiliser_Products_Data3(), FertiliserProducts[[#Headers],[Company]],61)</f>
        <v>Campbells fertilisers Australia</v>
      </c>
      <c r="E157" s="188" t="str" cm="1">
        <f t="array" ref="E157">Common_InputFunctions.Utility_DisplayArrayInTable(Fertiliser_SourceData.Fertiliser_Products_Data3(), FertiliserProducts[[#Headers],[Company]],61)</f>
        <v>Rustica Nergetic</v>
      </c>
      <c r="F157" s="188" t="str" cm="1">
        <f t="array" ref="F157">Common_InputFunctions.Utility_DisplayArrayInTable(Fertiliser_SourceData.Fertiliser_Products_Data3(), FertiliserProducts[[#Headers],[Company]],61)</f>
        <v>kg</v>
      </c>
      <c r="G157" s="188" cm="1">
        <f t="array" ref="G157">Common_InputFunctions.Utility_DisplayArrayInTable(Fertiliser_SourceData.Fertiliser_Products_Data3(), FertiliserProducts[[#Headers],[Company]],61)</f>
        <v>1</v>
      </c>
      <c r="H157" s="188" t="str" cm="1">
        <f t="array" ref="H157">Common_InputFunctions.Utility_DisplayArrayInTable(Fertiliser_SourceData.Fertiliser_Products_Data3(), FertiliserProducts[[#Headers],[Company]],61)</f>
        <v/>
      </c>
      <c r="I157" s="188" t="str" cm="1">
        <f t="array" ref="I157">Common_InputFunctions.Utility_DisplayArrayInTable(Fertiliser_SourceData.Fertiliser_Products_Data3(), FertiliserProducts[[#Headers],[Company]],61)</f>
        <v/>
      </c>
      <c r="J157" s="188" t="str" cm="1">
        <f t="array" ref="J157">Common_InputFunctions.Utility_DisplayArrayInTable(Fertiliser_SourceData.Fertiliser_Products_Data3(), FertiliserProducts[[#Headers],[Company]],61)</f>
        <v/>
      </c>
      <c r="K157" s="188" cm="1">
        <f t="array" ref="K157">Common_InputFunctions.Utility_DisplayArrayInTable(Fertiliser_SourceData.Fertiliser_Products_Data3(), FertiliserProducts[[#Headers],[Company]],61)</f>
        <v>12</v>
      </c>
      <c r="L157" s="188" cm="1">
        <f t="array" ref="L157">Common_InputFunctions.Utility_DisplayArrayInTable(Fertiliser_SourceData.Fertiliser_Products_Data3(), FertiliserProducts[[#Headers],[Company]],61)</f>
        <v>5.2</v>
      </c>
      <c r="M157" s="188" cm="1">
        <f t="array" ref="M157">Common_InputFunctions.Utility_DisplayArrayInTable(Fertiliser_SourceData.Fertiliser_Products_Data3(), FertiliserProducts[[#Headers],[Company]],61)</f>
        <v>14.1</v>
      </c>
      <c r="N157" s="188" cm="1">
        <f t="array" ref="N157">Common_InputFunctions.Utility_DisplayArrayInTable(Fertiliser_SourceData.Fertiliser_Products_Data3(), FertiliserProducts[[#Headers],[Company]],61)</f>
        <v>9.6</v>
      </c>
      <c r="O157" s="188" t="str" cm="1">
        <f t="array" ref="O157">Common_InputFunctions.Utility_DisplayArrayInTable(Fertiliser_SourceData.Fertiliser_Products_Data3(), FertiliserProducts[[#Headers],[Company]],61)</f>
        <v>Potassium - Generic</v>
      </c>
      <c r="P157" s="188" cm="1">
        <f t="array" ref="P157">Common_InputFunctions.Utility_DisplayArrayInTable(Fertiliser_SourceData.Fertiliser_Products_Data3(), FertiliserProducts[[#Headers],[Company]],61)</f>
        <v>0.14099999999999999</v>
      </c>
      <c r="Q157" s="188" t="str" cm="1">
        <f t="array" ref="Q157">Common_InputFunctions.Utility_DisplayArrayInTable(Fertiliser_SourceData.Fertiliser_Products_Data3(), FertiliserProducts[[#Headers],[Company]],61)</f>
        <v>Sulfur - Generic</v>
      </c>
      <c r="R157" s="188" cm="1">
        <f t="array" ref="R157">Common_InputFunctions.Utility_DisplayArrayInTable(Fertiliser_SourceData.Fertiliser_Products_Data3(), FertiliserProducts[[#Headers],[Company]],61)</f>
        <v>9.6000000000000002E-2</v>
      </c>
      <c r="S157" s="188" t="str" cm="1">
        <f t="array" ref="S157">Common_InputFunctions.Utility_DisplayArrayInTable(Fertiliser_SourceData.Fertiliser_Products_Data3(), FertiliserProducts[[#Headers],[Company]],61)</f>
        <v>Nitrogen - Nitrate</v>
      </c>
      <c r="T157" s="188" cm="1">
        <f t="array" ref="T157">Common_InputFunctions.Utility_DisplayArrayInTable(Fertiliser_SourceData.Fertiliser_Products_Data3(), FertiliserProducts[[#Headers],[Company]],61)</f>
        <v>0.06</v>
      </c>
      <c r="U157" s="188" t="str" cm="1">
        <f t="array" ref="U157">Common_InputFunctions.Utility_DisplayArrayInTable(Fertiliser_SourceData.Fertiliser_Products_Data3(), FertiliserProducts[[#Headers],[Company]],61)</f>
        <v>Nitrogen - Ammoniacal</v>
      </c>
      <c r="V157" s="188" cm="1">
        <f t="array" ref="V157">Common_InputFunctions.Utility_DisplayArrayInTable(Fertiliser_SourceData.Fertiliser_Products_Data3(), FertiliserProducts[[#Headers],[Company]],61)</f>
        <v>0.06</v>
      </c>
      <c r="W157" s="188" t="str" cm="1">
        <f t="array" ref="W157">Common_InputFunctions.Utility_DisplayArrayInTable(Fertiliser_SourceData.Fertiliser_Products_Data3(), FertiliserProducts[[#Headers],[Company]],61)</f>
        <v>Phosphorus - Generic</v>
      </c>
      <c r="X157" s="188" cm="1">
        <f t="array" ref="X157">Common_InputFunctions.Utility_DisplayArrayInTable(Fertiliser_SourceData.Fertiliser_Products_Data3(), FertiliserProducts[[#Headers],[Company]],61)</f>
        <v>5.1999999999999998E-2</v>
      </c>
      <c r="Y157" s="188" t="str" cm="1">
        <f t="array" ref="Y157">Common_InputFunctions.Utility_DisplayArrayInTable(Fertiliser_SourceData.Fertiliser_Products_Data3(), FertiliserProducts[[#Headers],[Company]],61)</f>
        <v>Magnesium</v>
      </c>
      <c r="Z157" s="188" cm="1">
        <f t="array" ref="Z157">Common_InputFunctions.Utility_DisplayArrayInTable(Fertiliser_SourceData.Fertiliser_Products_Data3(), FertiliserProducts[[#Headers],[Company]],61)</f>
        <v>1.2E-2</v>
      </c>
      <c r="AA157" s="188" t="str" cm="1">
        <f t="array" ref="AA157">Common_InputFunctions.Utility_DisplayArrayInTable(Fertiliser_SourceData.Fertiliser_Products_Data3(), FertiliserProducts[[#Headers],[Company]],61)</f>
        <v>Zinc</v>
      </c>
      <c r="AB157" s="188" cm="1">
        <f t="array" ref="AB157">Common_InputFunctions.Utility_DisplayArrayInTable(Fertiliser_SourceData.Fertiliser_Products_Data3(), FertiliserProducts[[#Headers],[Company]],61)</f>
        <v>8.0000000000000004E-4</v>
      </c>
      <c r="AC157" s="188" t="str" cm="1">
        <f t="array" ref="AC157">Common_InputFunctions.Utility_DisplayArrayInTable(Fertiliser_SourceData.Fertiliser_Products_Data3(), FertiliserProducts[[#Headers],[Company]],61)</f>
        <v>Iron</v>
      </c>
      <c r="AD157" s="188" cm="1">
        <f t="array" ref="AD157">Common_InputFunctions.Utility_DisplayArrayInTable(Fertiliser_SourceData.Fertiliser_Products_Data3(), FertiliserProducts[[#Headers],[Company]],61)</f>
        <v>6.9999999999999999E-4</v>
      </c>
      <c r="AE157" s="188" t="str" cm="1">
        <f t="array" ref="AE157">Common_InputFunctions.Utility_DisplayArrayInTable(Fertiliser_SourceData.Fertiliser_Products_Data3(), FertiliserProducts[[#Headers],[Company]],61)</f>
        <v>Manganese</v>
      </c>
      <c r="AF157" s="188" cm="1">
        <f t="array" ref="AF157">Common_InputFunctions.Utility_DisplayArrayInTable(Fertiliser_SourceData.Fertiliser_Products_Data3(), FertiliserProducts[[#Headers],[Company]],61)</f>
        <v>5.9999999999999995E-4</v>
      </c>
      <c r="AG157" s="188" t="str" cm="1">
        <f t="array" ref="AG157">Common_InputFunctions.Utility_DisplayArrayInTable(Fertiliser_SourceData.Fertiliser_Products_Data3(), FertiliserProducts[[#Headers],[Company]],61)</f>
        <v>Boron</v>
      </c>
      <c r="AH157" s="188" cm="1">
        <f t="array" ref="AH157">Common_InputFunctions.Utility_DisplayArrayInTable(Fertiliser_SourceData.Fertiliser_Products_Data3(), FertiliserProducts[[#Headers],[Company]],61)</f>
        <v>2.0000000000000001E-4</v>
      </c>
      <c r="AK157" s="1"/>
    </row>
    <row r="158" spans="4:39" ht="20.100000000000001" customHeight="1" x14ac:dyDescent="0.25">
      <c r="D158" s="188" t="str" cm="1">
        <f t="array" ref="D158">Common_InputFunctions.Utility_DisplayArrayInTable(Fertiliser_SourceData.Fertiliser_Products_Data3(), FertiliserProducts[[#Headers],[Company]],61)</f>
        <v>Campbells fertilisers Australia</v>
      </c>
      <c r="E158" s="188" t="str" cm="1">
        <f t="array" ref="E158">Common_InputFunctions.Utility_DisplayArrayInTable(Fertiliser_SourceData.Fertiliser_Products_Data3(), FertiliserProducts[[#Headers],[Company]],61)</f>
        <v>Quick-N Nergetic</v>
      </c>
      <c r="F158" s="188" t="str" cm="1">
        <f t="array" ref="F158">Common_InputFunctions.Utility_DisplayArrayInTable(Fertiliser_SourceData.Fertiliser_Products_Data3(), FertiliserProducts[[#Headers],[Company]],61)</f>
        <v>kg</v>
      </c>
      <c r="G158" s="188" cm="1">
        <f t="array" ref="G158">Common_InputFunctions.Utility_DisplayArrayInTable(Fertiliser_SourceData.Fertiliser_Products_Data3(), FertiliserProducts[[#Headers],[Company]],61)</f>
        <v>1</v>
      </c>
      <c r="H158" s="188" t="str" cm="1">
        <f t="array" ref="H158">Common_InputFunctions.Utility_DisplayArrayInTable(Fertiliser_SourceData.Fertiliser_Products_Data3(), FertiliserProducts[[#Headers],[Company]],61)</f>
        <v/>
      </c>
      <c r="I158" s="188" t="str" cm="1">
        <f t="array" ref="I158">Common_InputFunctions.Utility_DisplayArrayInTable(Fertiliser_SourceData.Fertiliser_Products_Data3(), FertiliserProducts[[#Headers],[Company]],61)</f>
        <v/>
      </c>
      <c r="J158" s="188" t="str" cm="1">
        <f t="array" ref="J158">Common_InputFunctions.Utility_DisplayArrayInTable(Fertiliser_SourceData.Fertiliser_Products_Data3(), FertiliserProducts[[#Headers],[Company]],61)</f>
        <v/>
      </c>
      <c r="K158" s="188" cm="1">
        <f t="array" ref="K158">Common_InputFunctions.Utility_DisplayArrayInTable(Fertiliser_SourceData.Fertiliser_Products_Data3(), FertiliserProducts[[#Headers],[Company]],61)</f>
        <v>25</v>
      </c>
      <c r="L158" s="188" t="str" cm="1">
        <f t="array" ref="L158">Common_InputFunctions.Utility_DisplayArrayInTable(Fertiliser_SourceData.Fertiliser_Products_Data3(), FertiliserProducts[[#Headers],[Company]],61)</f>
        <v/>
      </c>
      <c r="M158" s="188" t="str" cm="1">
        <f t="array" ref="M158">Common_InputFunctions.Utility_DisplayArrayInTable(Fertiliser_SourceData.Fertiliser_Products_Data3(), FertiliserProducts[[#Headers],[Company]],61)</f>
        <v/>
      </c>
      <c r="N158" s="188" cm="1">
        <f t="array" ref="N158">Common_InputFunctions.Utility_DisplayArrayInTable(Fertiliser_SourceData.Fertiliser_Products_Data3(), FertiliserProducts[[#Headers],[Company]],61)</f>
        <v>12.8</v>
      </c>
      <c r="O158" s="188" t="str" cm="1">
        <f t="array" ref="O158">Common_InputFunctions.Utility_DisplayArrayInTable(Fertiliser_SourceData.Fertiliser_Products_Data3(), FertiliserProducts[[#Headers],[Company]],61)</f>
        <v>Sulphate of ammonia (SOA)</v>
      </c>
      <c r="P158" s="188" cm="1">
        <f t="array" ref="P158">Common_InputFunctions.Utility_DisplayArrayInTable(Fertiliser_SourceData.Fertiliser_Products_Data3(), FertiliserProducts[[#Headers],[Company]],61)</f>
        <v>0.53333299999999995</v>
      </c>
      <c r="Q158" s="188" t="str" cm="1">
        <f t="array" ref="Q158">Common_InputFunctions.Utility_DisplayArrayInTable(Fertiliser_SourceData.Fertiliser_Products_Data3(), FertiliserProducts[[#Headers],[Company]],61)</f>
        <v>Ammonium nitrate (AN)</v>
      </c>
      <c r="R158" s="188" cm="1">
        <f t="array" ref="R158">Common_InputFunctions.Utility_DisplayArrayInTable(Fertiliser_SourceData.Fertiliser_Products_Data3(), FertiliserProducts[[#Headers],[Company]],61)</f>
        <v>0.40949600000000003</v>
      </c>
      <c r="S158" s="188" t="str" cm="1">
        <f t="array" ref="S158">Common_InputFunctions.Utility_DisplayArrayInTable(Fertiliser_SourceData.Fertiliser_Products_Data3(), FertiliserProducts[[#Headers],[Company]],61)</f>
        <v>Zinc</v>
      </c>
      <c r="T158" s="188" cm="1">
        <f t="array" ref="T158">Common_InputFunctions.Utility_DisplayArrayInTable(Fertiliser_SourceData.Fertiliser_Products_Data3(), FertiliserProducts[[#Headers],[Company]],61)</f>
        <v>1E-3</v>
      </c>
      <c r="U158" s="188" t="str" cm="1">
        <f t="array" ref="U158">Common_InputFunctions.Utility_DisplayArrayInTable(Fertiliser_SourceData.Fertiliser_Products_Data3(), FertiliserProducts[[#Headers],[Company]],61)</f>
        <v>Manganese</v>
      </c>
      <c r="V158" s="188" cm="1">
        <f t="array" ref="V158">Common_InputFunctions.Utility_DisplayArrayInTable(Fertiliser_SourceData.Fertiliser_Products_Data3(), FertiliserProducts[[#Headers],[Company]],61)</f>
        <v>1E-3</v>
      </c>
      <c r="W158" s="188" t="str" cm="1">
        <f t="array" ref="W158">Common_InputFunctions.Utility_DisplayArrayInTable(Fertiliser_SourceData.Fertiliser_Products_Data3(), FertiliserProducts[[#Headers],[Company]],61)</f>
        <v>Boron</v>
      </c>
      <c r="X158" s="188" cm="1">
        <f t="array" ref="X158">Common_InputFunctions.Utility_DisplayArrayInTable(Fertiliser_SourceData.Fertiliser_Products_Data3(), FertiliserProducts[[#Headers],[Company]],61)</f>
        <v>1E-4</v>
      </c>
      <c r="Y158" s="188" t="str" cm="1">
        <f t="array" ref="Y158">Common_InputFunctions.Utility_DisplayArrayInTable(Fertiliser_SourceData.Fertiliser_Products_Data3(), FertiliserProducts[[#Headers],[Company]],61)</f>
        <v>Molybdenum</v>
      </c>
      <c r="Z158" s="188" cm="1">
        <f t="array" ref="Z158">Common_InputFunctions.Utility_DisplayArrayInTable(Fertiliser_SourceData.Fertiliser_Products_Data3(), FertiliserProducts[[#Headers],[Company]],61)</f>
        <v>1.0000000000000001E-5</v>
      </c>
      <c r="AA158" s="188" t="str" cm="1">
        <f t="array" ref="AA158">Common_InputFunctions.Utility_DisplayArrayInTable(Fertiliser_SourceData.Fertiliser_Products_Data3(), FertiliserProducts[[#Headers],[Company]],61)</f>
        <v/>
      </c>
      <c r="AB158" s="188" t="str" cm="1">
        <f t="array" ref="AB158">Common_InputFunctions.Utility_DisplayArrayInTable(Fertiliser_SourceData.Fertiliser_Products_Data3(), FertiliserProducts[[#Headers],[Company]],61)</f>
        <v/>
      </c>
      <c r="AC158" s="188" t="str" cm="1">
        <f t="array" ref="AC158">Common_InputFunctions.Utility_DisplayArrayInTable(Fertiliser_SourceData.Fertiliser_Products_Data3(), FertiliserProducts[[#Headers],[Company]],61)</f>
        <v/>
      </c>
      <c r="AD158" s="188" t="str" cm="1">
        <f t="array" ref="AD158">Common_InputFunctions.Utility_DisplayArrayInTable(Fertiliser_SourceData.Fertiliser_Products_Data3(), FertiliserProducts[[#Headers],[Company]],61)</f>
        <v/>
      </c>
      <c r="AE158" s="188" t="str" cm="1">
        <f t="array" ref="AE158">Common_InputFunctions.Utility_DisplayArrayInTable(Fertiliser_SourceData.Fertiliser_Products_Data3(), FertiliserProducts[[#Headers],[Company]],61)</f>
        <v/>
      </c>
      <c r="AF158" s="188" t="str" cm="1">
        <f t="array" ref="AF158">Common_InputFunctions.Utility_DisplayArrayInTable(Fertiliser_SourceData.Fertiliser_Products_Data3(), FertiliserProducts[[#Headers],[Company]],61)</f>
        <v/>
      </c>
      <c r="AG158" s="188" t="str" cm="1">
        <f t="array" ref="AG158">Common_InputFunctions.Utility_DisplayArrayInTable(Fertiliser_SourceData.Fertiliser_Products_Data3(), FertiliserProducts[[#Headers],[Company]],61)</f>
        <v/>
      </c>
      <c r="AH158" s="188" t="str" cm="1">
        <f t="array" ref="AH158">Common_InputFunctions.Utility_DisplayArrayInTable(Fertiliser_SourceData.Fertiliser_Products_Data3(), FertiliserProducts[[#Headers],[Company]],61)</f>
        <v/>
      </c>
      <c r="AK158" s="1"/>
    </row>
    <row r="159" spans="4:39" ht="20.100000000000001" customHeight="1" x14ac:dyDescent="0.25">
      <c r="D159" s="188" t="str" cm="1">
        <f t="array" ref="D159">Common_InputFunctions.Utility_DisplayArrayInTable(Fertiliser_SourceData.Fertiliser_Products_Data3(), FertiliserProducts[[#Headers],[Company]],61)</f>
        <v>FertPro Manufacturing Pty. Ltd.</v>
      </c>
      <c r="E159" s="188" t="str" cm="1">
        <f t="array" ref="E159">Common_InputFunctions.Utility_DisplayArrayInTable(Fertiliser_SourceData.Fertiliser_Products_Data3(), FertiliserProducts[[#Headers],[Company]],61)</f>
        <v>(SSP) Single Super Fertiliser</v>
      </c>
      <c r="F159" s="188" t="str" cm="1">
        <f t="array" ref="F159">Common_InputFunctions.Utility_DisplayArrayInTable(Fertiliser_SourceData.Fertiliser_Products_Data3(), FertiliserProducts[[#Headers],[Company]],61)</f>
        <v>kg</v>
      </c>
      <c r="G159" s="188" cm="1">
        <f t="array" ref="G159">Common_InputFunctions.Utility_DisplayArrayInTable(Fertiliser_SourceData.Fertiliser_Products_Data3(), FertiliserProducts[[#Headers],[Company]],61)</f>
        <v>1</v>
      </c>
      <c r="H159" s="188" t="str" cm="1">
        <f t="array" ref="H159">Common_InputFunctions.Utility_DisplayArrayInTable(Fertiliser_SourceData.Fertiliser_Products_Data3(), FertiliserProducts[[#Headers],[Company]],61)</f>
        <v/>
      </c>
      <c r="I159" s="188" t="str" cm="1">
        <f t="array" ref="I159">Common_InputFunctions.Utility_DisplayArrayInTable(Fertiliser_SourceData.Fertiliser_Products_Data3(), FertiliserProducts[[#Headers],[Company]],61)</f>
        <v/>
      </c>
      <c r="J159" s="188" t="str" cm="1">
        <f t="array" ref="J159">Common_InputFunctions.Utility_DisplayArrayInTable(Fertiliser_SourceData.Fertiliser_Products_Data3(), FertiliserProducts[[#Headers],[Company]],61)</f>
        <v/>
      </c>
      <c r="K159" s="188" t="str" cm="1">
        <f t="array" ref="K159">Common_InputFunctions.Utility_DisplayArrayInTable(Fertiliser_SourceData.Fertiliser_Products_Data3(), FertiliserProducts[[#Headers],[Company]],61)</f>
        <v/>
      </c>
      <c r="L159" s="188" cm="1">
        <f t="array" ref="L159">Common_InputFunctions.Utility_DisplayArrayInTable(Fertiliser_SourceData.Fertiliser_Products_Data3(), FertiliserProducts[[#Headers],[Company]],61)</f>
        <v>8.8000000000000007</v>
      </c>
      <c r="M159" s="188" t="str" cm="1">
        <f t="array" ref="M159">Common_InputFunctions.Utility_DisplayArrayInTable(Fertiliser_SourceData.Fertiliser_Products_Data3(), FertiliserProducts[[#Headers],[Company]],61)</f>
        <v/>
      </c>
      <c r="N159" s="188" cm="1">
        <f t="array" ref="N159">Common_InputFunctions.Utility_DisplayArrayInTable(Fertiliser_SourceData.Fertiliser_Products_Data3(), FertiliserProducts[[#Headers],[Company]],61)</f>
        <v>11</v>
      </c>
      <c r="O159" s="188" t="str" cm="1">
        <f t="array" ref="O159">Common_InputFunctions.Utility_DisplayArrayInTable(Fertiliser_SourceData.Fertiliser_Products_Data3(), FertiliserProducts[[#Headers],[Company]],61)</f>
        <v>Single superphosphate (SSP)</v>
      </c>
      <c r="P159" s="188" cm="1">
        <f t="array" ref="P159">Common_InputFunctions.Utility_DisplayArrayInTable(Fertiliser_SourceData.Fertiliser_Products_Data3(), FertiliserProducts[[#Headers],[Company]],61)</f>
        <v>1</v>
      </c>
      <c r="Q159" s="188" t="str" cm="1">
        <f t="array" ref="Q159">Common_InputFunctions.Utility_DisplayArrayInTable(Fertiliser_SourceData.Fertiliser_Products_Data3(), FertiliserProducts[[#Headers],[Company]],61)</f>
        <v/>
      </c>
      <c r="R159" s="188" t="str" cm="1">
        <f t="array" ref="R159">Common_InputFunctions.Utility_DisplayArrayInTable(Fertiliser_SourceData.Fertiliser_Products_Data3(), FertiliserProducts[[#Headers],[Company]],61)</f>
        <v/>
      </c>
      <c r="S159" s="188" t="str" cm="1">
        <f t="array" ref="S159">Common_InputFunctions.Utility_DisplayArrayInTable(Fertiliser_SourceData.Fertiliser_Products_Data3(), FertiliserProducts[[#Headers],[Company]],61)</f>
        <v/>
      </c>
      <c r="T159" s="188" t="str" cm="1">
        <f t="array" ref="T159">Common_InputFunctions.Utility_DisplayArrayInTable(Fertiliser_SourceData.Fertiliser_Products_Data3(), FertiliserProducts[[#Headers],[Company]],61)</f>
        <v/>
      </c>
      <c r="U159" s="188" t="str" cm="1">
        <f t="array" ref="U159">Common_InputFunctions.Utility_DisplayArrayInTable(Fertiliser_SourceData.Fertiliser_Products_Data3(), FertiliserProducts[[#Headers],[Company]],61)</f>
        <v/>
      </c>
      <c r="V159" s="188" t="str" cm="1">
        <f t="array" ref="V159">Common_InputFunctions.Utility_DisplayArrayInTable(Fertiliser_SourceData.Fertiliser_Products_Data3(), FertiliserProducts[[#Headers],[Company]],61)</f>
        <v/>
      </c>
      <c r="W159" s="188" t="str" cm="1">
        <f t="array" ref="W159">Common_InputFunctions.Utility_DisplayArrayInTable(Fertiliser_SourceData.Fertiliser_Products_Data3(), FertiliserProducts[[#Headers],[Company]],61)</f>
        <v/>
      </c>
      <c r="X159" s="188" t="str" cm="1">
        <f t="array" ref="X159">Common_InputFunctions.Utility_DisplayArrayInTable(Fertiliser_SourceData.Fertiliser_Products_Data3(), FertiliserProducts[[#Headers],[Company]],61)</f>
        <v/>
      </c>
      <c r="Y159" s="188" t="str" cm="1">
        <f t="array" ref="Y159">Common_InputFunctions.Utility_DisplayArrayInTable(Fertiliser_SourceData.Fertiliser_Products_Data3(), FertiliserProducts[[#Headers],[Company]],61)</f>
        <v/>
      </c>
      <c r="Z159" s="188" t="str" cm="1">
        <f t="array" ref="Z159">Common_InputFunctions.Utility_DisplayArrayInTable(Fertiliser_SourceData.Fertiliser_Products_Data3(), FertiliserProducts[[#Headers],[Company]],61)</f>
        <v/>
      </c>
      <c r="AA159" s="188" t="str" cm="1">
        <f t="array" ref="AA159">Common_InputFunctions.Utility_DisplayArrayInTable(Fertiliser_SourceData.Fertiliser_Products_Data3(), FertiliserProducts[[#Headers],[Company]],61)</f>
        <v/>
      </c>
      <c r="AB159" s="188" t="str" cm="1">
        <f t="array" ref="AB159">Common_InputFunctions.Utility_DisplayArrayInTable(Fertiliser_SourceData.Fertiliser_Products_Data3(), FertiliserProducts[[#Headers],[Company]],61)</f>
        <v/>
      </c>
      <c r="AC159" s="188" t="str" cm="1">
        <f t="array" ref="AC159">Common_InputFunctions.Utility_DisplayArrayInTable(Fertiliser_SourceData.Fertiliser_Products_Data3(), FertiliserProducts[[#Headers],[Company]],61)</f>
        <v/>
      </c>
      <c r="AD159" s="188" t="str" cm="1">
        <f t="array" ref="AD159">Common_InputFunctions.Utility_DisplayArrayInTable(Fertiliser_SourceData.Fertiliser_Products_Data3(), FertiliserProducts[[#Headers],[Company]],61)</f>
        <v/>
      </c>
      <c r="AE159" s="188" t="str" cm="1">
        <f t="array" ref="AE159">Common_InputFunctions.Utility_DisplayArrayInTable(Fertiliser_SourceData.Fertiliser_Products_Data3(), FertiliserProducts[[#Headers],[Company]],61)</f>
        <v/>
      </c>
      <c r="AF159" s="188" t="str" cm="1">
        <f t="array" ref="AF159">Common_InputFunctions.Utility_DisplayArrayInTable(Fertiliser_SourceData.Fertiliser_Products_Data3(), FertiliserProducts[[#Headers],[Company]],61)</f>
        <v/>
      </c>
      <c r="AG159" s="188" t="str" cm="1">
        <f t="array" ref="AG159">Common_InputFunctions.Utility_DisplayArrayInTable(Fertiliser_SourceData.Fertiliser_Products_Data3(), FertiliserProducts[[#Headers],[Company]],61)</f>
        <v/>
      </c>
      <c r="AH159" s="188" t="str" cm="1">
        <f t="array" ref="AH159">Common_InputFunctions.Utility_DisplayArrayInTable(Fertiliser_SourceData.Fertiliser_Products_Data3(), FertiliserProducts[[#Headers],[Company]],61)</f>
        <v/>
      </c>
      <c r="AK159" s="1"/>
    </row>
    <row r="160" spans="4:39" ht="20.100000000000001" customHeight="1" x14ac:dyDescent="0.25">
      <c r="D160" s="188" t="str" cm="1">
        <f t="array" ref="D160">Common_InputFunctions.Utility_DisplayArrayInTable(Fertiliser_SourceData.Fertiliser_Products_Data3(), FertiliserProducts[[#Headers],[Company]],61)</f>
        <v>Impact Fertilisers</v>
      </c>
      <c r="E160" s="188" t="str" cm="1">
        <f t="array" ref="E160">Common_InputFunctions.Utility_DisplayArrayInTable(Fertiliser_SourceData.Fertiliser_Products_Data3(), FertiliserProducts[[#Headers],[Company]],61)</f>
        <v>ZincStar</v>
      </c>
      <c r="F160" s="188" t="str" cm="1">
        <f t="array" ref="F160">Common_InputFunctions.Utility_DisplayArrayInTable(Fertiliser_SourceData.Fertiliser_Products_Data3(), FertiliserProducts[[#Headers],[Company]],61)</f>
        <v>kg</v>
      </c>
      <c r="G160" s="188" cm="1">
        <f t="array" ref="G160">Common_InputFunctions.Utility_DisplayArrayInTable(Fertiliser_SourceData.Fertiliser_Products_Data3(), FertiliserProducts[[#Headers],[Company]],61)</f>
        <v>1</v>
      </c>
      <c r="H160" s="188" t="str" cm="1">
        <f t="array" ref="H160">Common_InputFunctions.Utility_DisplayArrayInTable(Fertiliser_SourceData.Fertiliser_Products_Data3(), FertiliserProducts[[#Headers],[Company]],61)</f>
        <v/>
      </c>
      <c r="I160" s="188" t="str" cm="1">
        <f t="array" ref="I160">Common_InputFunctions.Utility_DisplayArrayInTable(Fertiliser_SourceData.Fertiliser_Products_Data3(), FertiliserProducts[[#Headers],[Company]],61)</f>
        <v/>
      </c>
      <c r="J160" s="188" t="str" cm="1">
        <f t="array" ref="J160">Common_InputFunctions.Utility_DisplayArrayInTable(Fertiliser_SourceData.Fertiliser_Products_Data3(), FertiliserProducts[[#Headers],[Company]],61)</f>
        <v/>
      </c>
      <c r="K160" s="188" cm="1">
        <f t="array" ref="K160">Common_InputFunctions.Utility_DisplayArrayInTable(Fertiliser_SourceData.Fertiliser_Products_Data3(), FertiliserProducts[[#Headers],[Company]],61)</f>
        <v>10</v>
      </c>
      <c r="L160" s="188" cm="1">
        <f t="array" ref="L160">Common_InputFunctions.Utility_DisplayArrayInTable(Fertiliser_SourceData.Fertiliser_Products_Data3(), FertiliserProducts[[#Headers],[Company]],61)</f>
        <v>21.9</v>
      </c>
      <c r="M160" s="188" cm="1">
        <f t="array" ref="M160">Common_InputFunctions.Utility_DisplayArrayInTable(Fertiliser_SourceData.Fertiliser_Products_Data3(), FertiliserProducts[[#Headers],[Company]],61)</f>
        <v>0</v>
      </c>
      <c r="N160" s="188" cm="1">
        <f t="array" ref="N160">Common_InputFunctions.Utility_DisplayArrayInTable(Fertiliser_SourceData.Fertiliser_Products_Data3(), FertiliserProducts[[#Headers],[Company]],61)</f>
        <v>2</v>
      </c>
      <c r="O160" s="188" t="str" cm="1">
        <f t="array" ref="O160">Common_InputFunctions.Utility_DisplayArrayInTable(Fertiliser_SourceData.Fertiliser_Products_Data3(), FertiliserProducts[[#Headers],[Company]],61)</f>
        <v>Monoammonium phosphate (MAP)</v>
      </c>
      <c r="P160" s="188" cm="1">
        <f t="array" ref="P160">Common_InputFunctions.Utility_DisplayArrayInTable(Fertiliser_SourceData.Fertiliser_Products_Data3(), FertiliserProducts[[#Headers],[Company]],61)</f>
        <v>1</v>
      </c>
      <c r="Q160" s="188" t="str" cm="1">
        <f t="array" ref="Q160">Common_InputFunctions.Utility_DisplayArrayInTable(Fertiliser_SourceData.Fertiliser_Products_Data3(), FertiliserProducts[[#Headers],[Company]],61)</f>
        <v>Zinc</v>
      </c>
      <c r="R160" s="188" cm="1">
        <f t="array" ref="R160">Common_InputFunctions.Utility_DisplayArrayInTable(Fertiliser_SourceData.Fertiliser_Products_Data3(), FertiliserProducts[[#Headers],[Company]],61)</f>
        <v>0.01</v>
      </c>
      <c r="S160" s="188" t="str" cm="1">
        <f t="array" ref="S160">Common_InputFunctions.Utility_DisplayArrayInTable(Fertiliser_SourceData.Fertiliser_Products_Data3(), FertiliserProducts[[#Headers],[Company]],61)</f>
        <v/>
      </c>
      <c r="T160" s="188" t="str" cm="1">
        <f t="array" ref="T160">Common_InputFunctions.Utility_DisplayArrayInTable(Fertiliser_SourceData.Fertiliser_Products_Data3(), FertiliserProducts[[#Headers],[Company]],61)</f>
        <v/>
      </c>
      <c r="U160" s="188" t="str" cm="1">
        <f t="array" ref="U160">Common_InputFunctions.Utility_DisplayArrayInTable(Fertiliser_SourceData.Fertiliser_Products_Data3(), FertiliserProducts[[#Headers],[Company]],61)</f>
        <v/>
      </c>
      <c r="V160" s="188" t="str" cm="1">
        <f t="array" ref="V160">Common_InputFunctions.Utility_DisplayArrayInTable(Fertiliser_SourceData.Fertiliser_Products_Data3(), FertiliserProducts[[#Headers],[Company]],61)</f>
        <v/>
      </c>
      <c r="W160" s="188" t="str" cm="1">
        <f t="array" ref="W160">Common_InputFunctions.Utility_DisplayArrayInTable(Fertiliser_SourceData.Fertiliser_Products_Data3(), FertiliserProducts[[#Headers],[Company]],61)</f>
        <v/>
      </c>
      <c r="X160" s="188" t="str" cm="1">
        <f t="array" ref="X160">Common_InputFunctions.Utility_DisplayArrayInTable(Fertiliser_SourceData.Fertiliser_Products_Data3(), FertiliserProducts[[#Headers],[Company]],61)</f>
        <v/>
      </c>
      <c r="Y160" s="188" t="str" cm="1">
        <f t="array" ref="Y160">Common_InputFunctions.Utility_DisplayArrayInTable(Fertiliser_SourceData.Fertiliser_Products_Data3(), FertiliserProducts[[#Headers],[Company]],61)</f>
        <v/>
      </c>
      <c r="Z160" s="188" t="str" cm="1">
        <f t="array" ref="Z160">Common_InputFunctions.Utility_DisplayArrayInTable(Fertiliser_SourceData.Fertiliser_Products_Data3(), FertiliserProducts[[#Headers],[Company]],61)</f>
        <v/>
      </c>
      <c r="AA160" s="188" t="str" cm="1">
        <f t="array" ref="AA160">Common_InputFunctions.Utility_DisplayArrayInTable(Fertiliser_SourceData.Fertiliser_Products_Data3(), FertiliserProducts[[#Headers],[Company]],61)</f>
        <v/>
      </c>
      <c r="AB160" s="188" t="str" cm="1">
        <f t="array" ref="AB160">Common_InputFunctions.Utility_DisplayArrayInTable(Fertiliser_SourceData.Fertiliser_Products_Data3(), FertiliserProducts[[#Headers],[Company]],61)</f>
        <v/>
      </c>
      <c r="AC160" s="188" t="str" cm="1">
        <f t="array" ref="AC160">Common_InputFunctions.Utility_DisplayArrayInTable(Fertiliser_SourceData.Fertiliser_Products_Data3(), FertiliserProducts[[#Headers],[Company]],61)</f>
        <v/>
      </c>
      <c r="AD160" s="188" t="str" cm="1">
        <f t="array" ref="AD160">Common_InputFunctions.Utility_DisplayArrayInTable(Fertiliser_SourceData.Fertiliser_Products_Data3(), FertiliserProducts[[#Headers],[Company]],61)</f>
        <v/>
      </c>
      <c r="AE160" s="188" t="str" cm="1">
        <f t="array" ref="AE160">Common_InputFunctions.Utility_DisplayArrayInTable(Fertiliser_SourceData.Fertiliser_Products_Data3(), FertiliserProducts[[#Headers],[Company]],61)</f>
        <v/>
      </c>
      <c r="AF160" s="188" t="str" cm="1">
        <f t="array" ref="AF160">Common_InputFunctions.Utility_DisplayArrayInTable(Fertiliser_SourceData.Fertiliser_Products_Data3(), FertiliserProducts[[#Headers],[Company]],61)</f>
        <v/>
      </c>
      <c r="AG160" s="188" t="str" cm="1">
        <f t="array" ref="AG160">Common_InputFunctions.Utility_DisplayArrayInTable(Fertiliser_SourceData.Fertiliser_Products_Data3(), FertiliserProducts[[#Headers],[Company]],61)</f>
        <v/>
      </c>
      <c r="AH160" s="188" t="str" cm="1">
        <f t="array" ref="AH160">Common_InputFunctions.Utility_DisplayArrayInTable(Fertiliser_SourceData.Fertiliser_Products_Data3(), FertiliserProducts[[#Headers],[Company]],61)</f>
        <v/>
      </c>
      <c r="AK160" s="1"/>
    </row>
    <row r="161" spans="4:37" ht="20.100000000000001" customHeight="1" x14ac:dyDescent="0.25">
      <c r="D161" s="188" t="str" cm="1">
        <f t="array" ref="D161">Common_InputFunctions.Utility_DisplayArrayInTable(Fertiliser_SourceData.Fertiliser_Products_Data3(), FertiliserProducts[[#Headers],[Company]],61)</f>
        <v>Baileys (Simplot) [listed as Impact]</v>
      </c>
      <c r="E161" s="188" t="str" cm="1">
        <f t="array" ref="E161">Common_InputFunctions.Utility_DisplayArrayInTable(Fertiliser_SourceData.Fertiliser_Products_Data3(), FertiliserProducts[[#Headers],[Company]],61)</f>
        <v>Apex GaIXe Low P 21-1-6</v>
      </c>
      <c r="F161" s="188" t="str" cm="1">
        <f t="array" ref="F161">Common_InputFunctions.Utility_DisplayArrayInTable(Fertiliser_SourceData.Fertiliser_Products_Data3(), FertiliserProducts[[#Headers],[Company]],61)</f>
        <v>kg</v>
      </c>
      <c r="G161" s="188" cm="1">
        <f t="array" ref="G161">Common_InputFunctions.Utility_DisplayArrayInTable(Fertiliser_SourceData.Fertiliser_Products_Data3(), FertiliserProducts[[#Headers],[Company]],61)</f>
        <v>1</v>
      </c>
      <c r="H161" s="188" t="str" cm="1">
        <f t="array" ref="H161">Common_InputFunctions.Utility_DisplayArrayInTable(Fertiliser_SourceData.Fertiliser_Products_Data3(), FertiliserProducts[[#Headers],[Company]],61)</f>
        <v/>
      </c>
      <c r="I161" s="188" t="str" cm="1">
        <f t="array" ref="I161">Common_InputFunctions.Utility_DisplayArrayInTable(Fertiliser_SourceData.Fertiliser_Products_Data3(), FertiliserProducts[[#Headers],[Company]],61)</f>
        <v/>
      </c>
      <c r="J161" s="188" t="str" cm="1">
        <f t="array" ref="J161">Common_InputFunctions.Utility_DisplayArrayInTable(Fertiliser_SourceData.Fertiliser_Products_Data3(), FertiliserProducts[[#Headers],[Company]],61)</f>
        <v/>
      </c>
      <c r="K161" s="188" cm="1">
        <f t="array" ref="K161">Common_InputFunctions.Utility_DisplayArrayInTable(Fertiliser_SourceData.Fertiliser_Products_Data3(), FertiliserProducts[[#Headers],[Company]],61)</f>
        <v>21</v>
      </c>
      <c r="L161" s="188" cm="1">
        <f t="array" ref="L161">Common_InputFunctions.Utility_DisplayArrayInTable(Fertiliser_SourceData.Fertiliser_Products_Data3(), FertiliserProducts[[#Headers],[Company]],61)</f>
        <v>0.86</v>
      </c>
      <c r="M161" s="188" cm="1">
        <f t="array" ref="M161">Common_InputFunctions.Utility_DisplayArrayInTable(Fertiliser_SourceData.Fertiliser_Products_Data3(), FertiliserProducts[[#Headers],[Company]],61)</f>
        <v>5.8</v>
      </c>
      <c r="N161" s="188" cm="1">
        <f t="array" ref="N161">Common_InputFunctions.Utility_DisplayArrayInTable(Fertiliser_SourceData.Fertiliser_Products_Data3(), FertiliserProducts[[#Headers],[Company]],61)</f>
        <v>4.2</v>
      </c>
      <c r="O161" s="188" t="str" cm="1">
        <f t="array" ref="O161">Common_InputFunctions.Utility_DisplayArrayInTable(Fertiliser_SourceData.Fertiliser_Products_Data3(), FertiliserProducts[[#Headers],[Company]],61)</f>
        <v>Nitrogen - Generic</v>
      </c>
      <c r="P161" s="188" cm="1">
        <f t="array" ref="P161">Common_InputFunctions.Utility_DisplayArrayInTable(Fertiliser_SourceData.Fertiliser_Products_Data3(), FertiliserProducts[[#Headers],[Company]],61)</f>
        <v>0.21</v>
      </c>
      <c r="Q161" s="188" t="str" cm="1">
        <f t="array" ref="Q161">Common_InputFunctions.Utility_DisplayArrayInTable(Fertiliser_SourceData.Fertiliser_Products_Data3(), FertiliserProducts[[#Headers],[Company]],61)</f>
        <v>Potassium - Generic</v>
      </c>
      <c r="R161" s="188" cm="1">
        <f t="array" ref="R161">Common_InputFunctions.Utility_DisplayArrayInTable(Fertiliser_SourceData.Fertiliser_Products_Data3(), FertiliserProducts[[#Headers],[Company]],61)</f>
        <v>5.8000000000000003E-2</v>
      </c>
      <c r="S161" s="188" t="str" cm="1">
        <f t="array" ref="S161">Common_InputFunctions.Utility_DisplayArrayInTable(Fertiliser_SourceData.Fertiliser_Products_Data3(), FertiliserProducts[[#Headers],[Company]],61)</f>
        <v>Sulfur - Generic</v>
      </c>
      <c r="T161" s="188" cm="1">
        <f t="array" ref="T161">Common_InputFunctions.Utility_DisplayArrayInTable(Fertiliser_SourceData.Fertiliser_Products_Data3(), FertiliserProducts[[#Headers],[Company]],61)</f>
        <v>4.2000000000000003E-2</v>
      </c>
      <c r="U161" s="188" t="str" cm="1">
        <f t="array" ref="U161">Common_InputFunctions.Utility_DisplayArrayInTable(Fertiliser_SourceData.Fertiliser_Products_Data3(), FertiliserProducts[[#Headers],[Company]],61)</f>
        <v>Phosphorus - Generic</v>
      </c>
      <c r="V161" s="188" cm="1">
        <f t="array" ref="V161">Common_InputFunctions.Utility_DisplayArrayInTable(Fertiliser_SourceData.Fertiliser_Products_Data3(), FertiliserProducts[[#Headers],[Company]],61)</f>
        <v>8.6E-3</v>
      </c>
      <c r="W161" s="188" t="str" cm="1">
        <f t="array" ref="W161">Common_InputFunctions.Utility_DisplayArrayInTable(Fertiliser_SourceData.Fertiliser_Products_Data3(), FertiliserProducts[[#Headers],[Company]],61)</f>
        <v/>
      </c>
      <c r="X161" s="188" t="str" cm="1">
        <f t="array" ref="X161">Common_InputFunctions.Utility_DisplayArrayInTable(Fertiliser_SourceData.Fertiliser_Products_Data3(), FertiliserProducts[[#Headers],[Company]],61)</f>
        <v/>
      </c>
      <c r="Y161" s="188" t="str" cm="1">
        <f t="array" ref="Y161">Common_InputFunctions.Utility_DisplayArrayInTable(Fertiliser_SourceData.Fertiliser_Products_Data3(), FertiliserProducts[[#Headers],[Company]],61)</f>
        <v/>
      </c>
      <c r="Z161" s="188" t="str" cm="1">
        <f t="array" ref="Z161">Common_InputFunctions.Utility_DisplayArrayInTable(Fertiliser_SourceData.Fertiliser_Products_Data3(), FertiliserProducts[[#Headers],[Company]],61)</f>
        <v/>
      </c>
      <c r="AA161" s="188" t="str" cm="1">
        <f t="array" ref="AA161">Common_InputFunctions.Utility_DisplayArrayInTable(Fertiliser_SourceData.Fertiliser_Products_Data3(), FertiliserProducts[[#Headers],[Company]],61)</f>
        <v/>
      </c>
      <c r="AB161" s="188" t="str" cm="1">
        <f t="array" ref="AB161">Common_InputFunctions.Utility_DisplayArrayInTable(Fertiliser_SourceData.Fertiliser_Products_Data3(), FertiliserProducts[[#Headers],[Company]],61)</f>
        <v/>
      </c>
      <c r="AC161" s="188" t="str" cm="1">
        <f t="array" ref="AC161">Common_InputFunctions.Utility_DisplayArrayInTable(Fertiliser_SourceData.Fertiliser_Products_Data3(), FertiliserProducts[[#Headers],[Company]],61)</f>
        <v/>
      </c>
      <c r="AD161" s="188" t="str" cm="1">
        <f t="array" ref="AD161">Common_InputFunctions.Utility_DisplayArrayInTable(Fertiliser_SourceData.Fertiliser_Products_Data3(), FertiliserProducts[[#Headers],[Company]],61)</f>
        <v/>
      </c>
      <c r="AE161" s="188" t="str" cm="1">
        <f t="array" ref="AE161">Common_InputFunctions.Utility_DisplayArrayInTable(Fertiliser_SourceData.Fertiliser_Products_Data3(), FertiliserProducts[[#Headers],[Company]],61)</f>
        <v/>
      </c>
      <c r="AF161" s="188" t="str" cm="1">
        <f t="array" ref="AF161">Common_InputFunctions.Utility_DisplayArrayInTable(Fertiliser_SourceData.Fertiliser_Products_Data3(), FertiliserProducts[[#Headers],[Company]],61)</f>
        <v/>
      </c>
      <c r="AG161" s="188" t="str" cm="1">
        <f t="array" ref="AG161">Common_InputFunctions.Utility_DisplayArrayInTable(Fertiliser_SourceData.Fertiliser_Products_Data3(), FertiliserProducts[[#Headers],[Company]],61)</f>
        <v/>
      </c>
      <c r="AH161" s="188" t="str" cm="1">
        <f t="array" ref="AH161">Common_InputFunctions.Utility_DisplayArrayInTable(Fertiliser_SourceData.Fertiliser_Products_Data3(), FertiliserProducts[[#Headers],[Company]],61)</f>
        <v/>
      </c>
      <c r="AK161" s="1"/>
    </row>
    <row r="162" spans="4:37" ht="20.100000000000001" customHeight="1" x14ac:dyDescent="0.25">
      <c r="D162" s="188" t="str" cm="1">
        <f t="array" ref="D162">Common_InputFunctions.Utility_DisplayArrayInTable(Fertiliser_SourceData.Fertiliser_Products_Data3(), FertiliserProducts[[#Headers],[Company]],61)</f>
        <v>Incitec Pivot Fertilisers</v>
      </c>
      <c r="E162" s="188" t="str" cm="1">
        <f t="array" ref="E162">Common_InputFunctions.Utility_DisplayArrayInTable(Fertiliser_SourceData.Fertiliser_Products_Data3(), FertiliserProducts[[#Headers],[Company]],61)</f>
        <v>SuPerfect</v>
      </c>
      <c r="F162" s="188" t="str" cm="1">
        <f t="array" ref="F162">Common_InputFunctions.Utility_DisplayArrayInTable(Fertiliser_SourceData.Fertiliser_Products_Data3(), FertiliserProducts[[#Headers],[Company]],61)</f>
        <v>kg</v>
      </c>
      <c r="G162" s="188" cm="1">
        <f t="array" ref="G162">Common_InputFunctions.Utility_DisplayArrayInTable(Fertiliser_SourceData.Fertiliser_Products_Data3(), FertiliserProducts[[#Headers],[Company]],61)</f>
        <v>1</v>
      </c>
      <c r="H162" s="188" t="str" cm="1">
        <f t="array" ref="H162">Common_InputFunctions.Utility_DisplayArrayInTable(Fertiliser_SourceData.Fertiliser_Products_Data3(), FertiliserProducts[[#Headers],[Company]],61)</f>
        <v/>
      </c>
      <c r="I162" s="188" t="str" cm="1">
        <f t="array" ref="I162">Common_InputFunctions.Utility_DisplayArrayInTable(Fertiliser_SourceData.Fertiliser_Products_Data3(), FertiliserProducts[[#Headers],[Company]],61)</f>
        <v/>
      </c>
      <c r="J162" s="188" t="str" cm="1">
        <f t="array" ref="J162">Common_InputFunctions.Utility_DisplayArrayInTable(Fertiliser_SourceData.Fertiliser_Products_Data3(), FertiliserProducts[[#Headers],[Company]],61)</f>
        <v/>
      </c>
      <c r="K162" s="188" t="str" cm="1">
        <f t="array" ref="K162">Common_InputFunctions.Utility_DisplayArrayInTable(Fertiliser_SourceData.Fertiliser_Products_Data3(), FertiliserProducts[[#Headers],[Company]],61)</f>
        <v/>
      </c>
      <c r="L162" s="188" cm="1">
        <f t="array" ref="L162">Common_InputFunctions.Utility_DisplayArrayInTable(Fertiliser_SourceData.Fertiliser_Products_Data3(), FertiliserProducts[[#Headers],[Company]],61)</f>
        <v>8.8000000000000007</v>
      </c>
      <c r="M162" s="188" t="str" cm="1">
        <f t="array" ref="M162">Common_InputFunctions.Utility_DisplayArrayInTable(Fertiliser_SourceData.Fertiliser_Products_Data3(), FertiliserProducts[[#Headers],[Company]],61)</f>
        <v/>
      </c>
      <c r="N162" s="188" cm="1">
        <f t="array" ref="N162">Common_InputFunctions.Utility_DisplayArrayInTable(Fertiliser_SourceData.Fertiliser_Products_Data3(), FertiliserProducts[[#Headers],[Company]],61)</f>
        <v>11</v>
      </c>
      <c r="O162" s="188" t="str" cm="1">
        <f t="array" ref="O162">Common_InputFunctions.Utility_DisplayArrayInTable(Fertiliser_SourceData.Fertiliser_Products_Data3(), FertiliserProducts[[#Headers],[Company]],61)</f>
        <v>Single superphosphate (SSP)</v>
      </c>
      <c r="P162" s="188" cm="1">
        <f t="array" ref="P162">Common_InputFunctions.Utility_DisplayArrayInTable(Fertiliser_SourceData.Fertiliser_Products_Data3(), FertiliserProducts[[#Headers],[Company]],61)</f>
        <v>1</v>
      </c>
      <c r="Q162" s="188" t="str" cm="1">
        <f t="array" ref="Q162">Common_InputFunctions.Utility_DisplayArrayInTable(Fertiliser_SourceData.Fertiliser_Products_Data3(), FertiliserProducts[[#Headers],[Company]],61)</f>
        <v/>
      </c>
      <c r="R162" s="188" t="str" cm="1">
        <f t="array" ref="R162">Common_InputFunctions.Utility_DisplayArrayInTable(Fertiliser_SourceData.Fertiliser_Products_Data3(), FertiliserProducts[[#Headers],[Company]],61)</f>
        <v/>
      </c>
      <c r="S162" s="188" t="str" cm="1">
        <f t="array" ref="S162">Common_InputFunctions.Utility_DisplayArrayInTable(Fertiliser_SourceData.Fertiliser_Products_Data3(), FertiliserProducts[[#Headers],[Company]],61)</f>
        <v/>
      </c>
      <c r="T162" s="188" t="str" cm="1">
        <f t="array" ref="T162">Common_InputFunctions.Utility_DisplayArrayInTable(Fertiliser_SourceData.Fertiliser_Products_Data3(), FertiliserProducts[[#Headers],[Company]],61)</f>
        <v/>
      </c>
      <c r="U162" s="188" t="str" cm="1">
        <f t="array" ref="U162">Common_InputFunctions.Utility_DisplayArrayInTable(Fertiliser_SourceData.Fertiliser_Products_Data3(), FertiliserProducts[[#Headers],[Company]],61)</f>
        <v/>
      </c>
      <c r="V162" s="188" t="str" cm="1">
        <f t="array" ref="V162">Common_InputFunctions.Utility_DisplayArrayInTable(Fertiliser_SourceData.Fertiliser_Products_Data3(), FertiliserProducts[[#Headers],[Company]],61)</f>
        <v/>
      </c>
      <c r="W162" s="188" t="str" cm="1">
        <f t="array" ref="W162">Common_InputFunctions.Utility_DisplayArrayInTable(Fertiliser_SourceData.Fertiliser_Products_Data3(), FertiliserProducts[[#Headers],[Company]],61)</f>
        <v/>
      </c>
      <c r="X162" s="188" t="str" cm="1">
        <f t="array" ref="X162">Common_InputFunctions.Utility_DisplayArrayInTable(Fertiliser_SourceData.Fertiliser_Products_Data3(), FertiliserProducts[[#Headers],[Company]],61)</f>
        <v/>
      </c>
      <c r="Y162" s="188" t="str" cm="1">
        <f t="array" ref="Y162">Common_InputFunctions.Utility_DisplayArrayInTable(Fertiliser_SourceData.Fertiliser_Products_Data3(), FertiliserProducts[[#Headers],[Company]],61)</f>
        <v/>
      </c>
      <c r="Z162" s="188" t="str" cm="1">
        <f t="array" ref="Z162">Common_InputFunctions.Utility_DisplayArrayInTable(Fertiliser_SourceData.Fertiliser_Products_Data3(), FertiliserProducts[[#Headers],[Company]],61)</f>
        <v/>
      </c>
      <c r="AA162" s="188" t="str" cm="1">
        <f t="array" ref="AA162">Common_InputFunctions.Utility_DisplayArrayInTable(Fertiliser_SourceData.Fertiliser_Products_Data3(), FertiliserProducts[[#Headers],[Company]],61)</f>
        <v/>
      </c>
      <c r="AB162" s="188" t="str" cm="1">
        <f t="array" ref="AB162">Common_InputFunctions.Utility_DisplayArrayInTable(Fertiliser_SourceData.Fertiliser_Products_Data3(), FertiliserProducts[[#Headers],[Company]],61)</f>
        <v/>
      </c>
      <c r="AC162" s="188" t="str" cm="1">
        <f t="array" ref="AC162">Common_InputFunctions.Utility_DisplayArrayInTable(Fertiliser_SourceData.Fertiliser_Products_Data3(), FertiliserProducts[[#Headers],[Company]],61)</f>
        <v/>
      </c>
      <c r="AD162" s="188" t="str" cm="1">
        <f t="array" ref="AD162">Common_InputFunctions.Utility_DisplayArrayInTable(Fertiliser_SourceData.Fertiliser_Products_Data3(), FertiliserProducts[[#Headers],[Company]],61)</f>
        <v/>
      </c>
      <c r="AE162" s="188" t="str" cm="1">
        <f t="array" ref="AE162">Common_InputFunctions.Utility_DisplayArrayInTable(Fertiliser_SourceData.Fertiliser_Products_Data3(), FertiliserProducts[[#Headers],[Company]],61)</f>
        <v/>
      </c>
      <c r="AF162" s="188" t="str" cm="1">
        <f t="array" ref="AF162">Common_InputFunctions.Utility_DisplayArrayInTable(Fertiliser_SourceData.Fertiliser_Products_Data3(), FertiliserProducts[[#Headers],[Company]],61)</f>
        <v/>
      </c>
      <c r="AG162" s="188" t="str" cm="1">
        <f t="array" ref="AG162">Common_InputFunctions.Utility_DisplayArrayInTable(Fertiliser_SourceData.Fertiliser_Products_Data3(), FertiliserProducts[[#Headers],[Company]],61)</f>
        <v/>
      </c>
      <c r="AH162" s="188" t="str" cm="1">
        <f t="array" ref="AH162">Common_InputFunctions.Utility_DisplayArrayInTable(Fertiliser_SourceData.Fertiliser_Products_Data3(), FertiliserProducts[[#Headers],[Company]],61)</f>
        <v/>
      </c>
      <c r="AK162" s="1"/>
    </row>
    <row r="163" spans="4:37" ht="20.100000000000001" customHeight="1" x14ac:dyDescent="0.25">
      <c r="D163" s="188" t="str" cm="1">
        <f t="array" ref="D163">Common_InputFunctions.Utility_DisplayArrayInTable(Fertiliser_SourceData.Fertiliser_Products_Data3(), FertiliserProducts[[#Headers],[Company]],61)</f>
        <v>Incitec Pivot Fertilisers [listed as Summit]</v>
      </c>
      <c r="E163" s="188" t="str" cm="1">
        <f t="array" ref="E163">Common_InputFunctions.Utility_DisplayArrayInTable(Fertiliser_SourceData.Fertiliser_Products_Data3(), FertiliserProducts[[#Headers],[Company]],61)</f>
        <v>Big N</v>
      </c>
      <c r="F163" s="188" t="str" cm="1">
        <f t="array" ref="F163">Common_InputFunctions.Utility_DisplayArrayInTable(Fertiliser_SourceData.Fertiliser_Products_Data3(), FertiliserProducts[[#Headers],[Company]],61)</f>
        <v>kg</v>
      </c>
      <c r="G163" s="188" cm="1">
        <f t="array" ref="G163">Common_InputFunctions.Utility_DisplayArrayInTable(Fertiliser_SourceData.Fertiliser_Products_Data3(), FertiliserProducts[[#Headers],[Company]],61)</f>
        <v>1</v>
      </c>
      <c r="H163" s="188" t="str" cm="1">
        <f t="array" ref="H163">Common_InputFunctions.Utility_DisplayArrayInTable(Fertiliser_SourceData.Fertiliser_Products_Data3(), FertiliserProducts[[#Headers],[Company]],61)</f>
        <v/>
      </c>
      <c r="I163" s="188" t="str" cm="1">
        <f t="array" ref="I163">Common_InputFunctions.Utility_DisplayArrayInTable(Fertiliser_SourceData.Fertiliser_Products_Data3(), FertiliserProducts[[#Headers],[Company]],61)</f>
        <v/>
      </c>
      <c r="J163" s="188" t="str" cm="1">
        <f t="array" ref="J163">Common_InputFunctions.Utility_DisplayArrayInTable(Fertiliser_SourceData.Fertiliser_Products_Data3(), FertiliserProducts[[#Headers],[Company]],61)</f>
        <v/>
      </c>
      <c r="K163" s="188" cm="1">
        <f t="array" ref="K163">Common_InputFunctions.Utility_DisplayArrayInTable(Fertiliser_SourceData.Fertiliser_Products_Data3(), FertiliserProducts[[#Headers],[Company]],61)</f>
        <v>82.35</v>
      </c>
      <c r="L163" s="188" t="str" cm="1">
        <f t="array" ref="L163">Common_InputFunctions.Utility_DisplayArrayInTable(Fertiliser_SourceData.Fertiliser_Products_Data3(), FertiliserProducts[[#Headers],[Company]],61)</f>
        <v/>
      </c>
      <c r="M163" s="188" t="str" cm="1">
        <f t="array" ref="M163">Common_InputFunctions.Utility_DisplayArrayInTable(Fertiliser_SourceData.Fertiliser_Products_Data3(), FertiliserProducts[[#Headers],[Company]],61)</f>
        <v/>
      </c>
      <c r="N163" s="188" t="str" cm="1">
        <f t="array" ref="N163">Common_InputFunctions.Utility_DisplayArrayInTable(Fertiliser_SourceData.Fertiliser_Products_Data3(), FertiliserProducts[[#Headers],[Company]],61)</f>
        <v/>
      </c>
      <c r="O163" s="188" t="str" cm="1">
        <f t="array" ref="O163">Common_InputFunctions.Utility_DisplayArrayInTable(Fertiliser_SourceData.Fertiliser_Products_Data3(), FertiliserProducts[[#Headers],[Company]],61)</f>
        <v>Ammonia</v>
      </c>
      <c r="P163" s="188" cm="1">
        <f t="array" ref="P163">Common_InputFunctions.Utility_DisplayArrayInTable(Fertiliser_SourceData.Fertiliser_Products_Data3(), FertiliserProducts[[#Headers],[Company]],61)</f>
        <v>1</v>
      </c>
      <c r="Q163" s="188" t="str" cm="1">
        <f t="array" ref="Q163">Common_InputFunctions.Utility_DisplayArrayInTable(Fertiliser_SourceData.Fertiliser_Products_Data3(), FertiliserProducts[[#Headers],[Company]],61)</f>
        <v/>
      </c>
      <c r="R163" s="188" t="str" cm="1">
        <f t="array" ref="R163">Common_InputFunctions.Utility_DisplayArrayInTable(Fertiliser_SourceData.Fertiliser_Products_Data3(), FertiliserProducts[[#Headers],[Company]],61)</f>
        <v/>
      </c>
      <c r="S163" s="188" t="str" cm="1">
        <f t="array" ref="S163">Common_InputFunctions.Utility_DisplayArrayInTable(Fertiliser_SourceData.Fertiliser_Products_Data3(), FertiliserProducts[[#Headers],[Company]],61)</f>
        <v/>
      </c>
      <c r="T163" s="188" t="str" cm="1">
        <f t="array" ref="T163">Common_InputFunctions.Utility_DisplayArrayInTable(Fertiliser_SourceData.Fertiliser_Products_Data3(), FertiliserProducts[[#Headers],[Company]],61)</f>
        <v/>
      </c>
      <c r="U163" s="188" t="str" cm="1">
        <f t="array" ref="U163">Common_InputFunctions.Utility_DisplayArrayInTable(Fertiliser_SourceData.Fertiliser_Products_Data3(), FertiliserProducts[[#Headers],[Company]],61)</f>
        <v/>
      </c>
      <c r="V163" s="188" t="str" cm="1">
        <f t="array" ref="V163">Common_InputFunctions.Utility_DisplayArrayInTable(Fertiliser_SourceData.Fertiliser_Products_Data3(), FertiliserProducts[[#Headers],[Company]],61)</f>
        <v/>
      </c>
      <c r="W163" s="188" t="str" cm="1">
        <f t="array" ref="W163">Common_InputFunctions.Utility_DisplayArrayInTable(Fertiliser_SourceData.Fertiliser_Products_Data3(), FertiliserProducts[[#Headers],[Company]],61)</f>
        <v/>
      </c>
      <c r="X163" s="188" t="str" cm="1">
        <f t="array" ref="X163">Common_InputFunctions.Utility_DisplayArrayInTable(Fertiliser_SourceData.Fertiliser_Products_Data3(), FertiliserProducts[[#Headers],[Company]],61)</f>
        <v/>
      </c>
      <c r="Y163" s="188" t="str" cm="1">
        <f t="array" ref="Y163">Common_InputFunctions.Utility_DisplayArrayInTable(Fertiliser_SourceData.Fertiliser_Products_Data3(), FertiliserProducts[[#Headers],[Company]],61)</f>
        <v/>
      </c>
      <c r="Z163" s="188" t="str" cm="1">
        <f t="array" ref="Z163">Common_InputFunctions.Utility_DisplayArrayInTable(Fertiliser_SourceData.Fertiliser_Products_Data3(), FertiliserProducts[[#Headers],[Company]],61)</f>
        <v/>
      </c>
      <c r="AA163" s="188" t="str" cm="1">
        <f t="array" ref="AA163">Common_InputFunctions.Utility_DisplayArrayInTable(Fertiliser_SourceData.Fertiliser_Products_Data3(), FertiliserProducts[[#Headers],[Company]],61)</f>
        <v/>
      </c>
      <c r="AB163" s="188" t="str" cm="1">
        <f t="array" ref="AB163">Common_InputFunctions.Utility_DisplayArrayInTable(Fertiliser_SourceData.Fertiliser_Products_Data3(), FertiliserProducts[[#Headers],[Company]],61)</f>
        <v/>
      </c>
      <c r="AC163" s="188" t="str" cm="1">
        <f t="array" ref="AC163">Common_InputFunctions.Utility_DisplayArrayInTable(Fertiliser_SourceData.Fertiliser_Products_Data3(), FertiliserProducts[[#Headers],[Company]],61)</f>
        <v/>
      </c>
      <c r="AD163" s="188" t="str" cm="1">
        <f t="array" ref="AD163">Common_InputFunctions.Utility_DisplayArrayInTable(Fertiliser_SourceData.Fertiliser_Products_Data3(), FertiliserProducts[[#Headers],[Company]],61)</f>
        <v/>
      </c>
      <c r="AE163" s="188" t="str" cm="1">
        <f t="array" ref="AE163">Common_InputFunctions.Utility_DisplayArrayInTable(Fertiliser_SourceData.Fertiliser_Products_Data3(), FertiliserProducts[[#Headers],[Company]],61)</f>
        <v/>
      </c>
      <c r="AF163" s="188" t="str" cm="1">
        <f t="array" ref="AF163">Common_InputFunctions.Utility_DisplayArrayInTable(Fertiliser_SourceData.Fertiliser_Products_Data3(), FertiliserProducts[[#Headers],[Company]],61)</f>
        <v/>
      </c>
      <c r="AG163" s="188" t="str" cm="1">
        <f t="array" ref="AG163">Common_InputFunctions.Utility_DisplayArrayInTable(Fertiliser_SourceData.Fertiliser_Products_Data3(), FertiliserProducts[[#Headers],[Company]],61)</f>
        <v/>
      </c>
      <c r="AH163" s="188" t="str" cm="1">
        <f t="array" ref="AH163">Common_InputFunctions.Utility_DisplayArrayInTable(Fertiliser_SourceData.Fertiliser_Products_Data3(), FertiliserProducts[[#Headers],[Company]],61)</f>
        <v/>
      </c>
      <c r="AK163" s="1"/>
    </row>
    <row r="164" spans="4:37" ht="20.100000000000001" customHeight="1" x14ac:dyDescent="0.25">
      <c r="D164" s="188" t="str" cm="1">
        <f t="array" ref="D164">Common_InputFunctions.Utility_DisplayArrayInTable(Fertiliser_SourceData.Fertiliser_Products_Data3(), FertiliserProducts[[#Headers],[Company]],61)</f>
        <v>Incitec Pivot Fertilisers</v>
      </c>
      <c r="E164" s="188" t="str" cm="1">
        <f t="array" ref="E164">Common_InputFunctions.Utility_DisplayArrayInTable(Fertiliser_SourceData.Fertiliser_Products_Data3(), FertiliserProducts[[#Headers],[Company]],61)</f>
        <v>Entec Urea</v>
      </c>
      <c r="F164" s="188" t="str" cm="1">
        <f t="array" ref="F164">Common_InputFunctions.Utility_DisplayArrayInTable(Fertiliser_SourceData.Fertiliser_Products_Data3(), FertiliserProducts[[#Headers],[Company]],61)</f>
        <v>kg</v>
      </c>
      <c r="G164" s="188" cm="1">
        <f t="array" ref="G164">Common_InputFunctions.Utility_DisplayArrayInTable(Fertiliser_SourceData.Fertiliser_Products_Data3(), FertiliserProducts[[#Headers],[Company]],61)</f>
        <v>1</v>
      </c>
      <c r="H164" s="188" t="str" cm="1">
        <f t="array" ref="H164">Common_InputFunctions.Utility_DisplayArrayInTable(Fertiliser_SourceData.Fertiliser_Products_Data3(), FertiliserProducts[[#Headers],[Company]],61)</f>
        <v>Yes</v>
      </c>
      <c r="I164" s="188" t="str" cm="1">
        <f t="array" ref="I164">Common_InputFunctions.Utility_DisplayArrayInTable(Fertiliser_SourceData.Fertiliser_Products_Data3(), FertiliserProducts[[#Headers],[Company]],61)</f>
        <v/>
      </c>
      <c r="J164" s="188" t="str" cm="1">
        <f t="array" ref="J164">Common_InputFunctions.Utility_DisplayArrayInTable(Fertiliser_SourceData.Fertiliser_Products_Data3(), FertiliserProducts[[#Headers],[Company]],61)</f>
        <v/>
      </c>
      <c r="K164" s="188" cm="1">
        <f t="array" ref="K164">Common_InputFunctions.Utility_DisplayArrayInTable(Fertiliser_SourceData.Fertiliser_Products_Data3(), FertiliserProducts[[#Headers],[Company]],61)</f>
        <v>46</v>
      </c>
      <c r="L164" s="188" t="str" cm="1">
        <f t="array" ref="L164">Common_InputFunctions.Utility_DisplayArrayInTable(Fertiliser_SourceData.Fertiliser_Products_Data3(), FertiliserProducts[[#Headers],[Company]],61)</f>
        <v/>
      </c>
      <c r="M164" s="188" t="str" cm="1">
        <f t="array" ref="M164">Common_InputFunctions.Utility_DisplayArrayInTable(Fertiliser_SourceData.Fertiliser_Products_Data3(), FertiliserProducts[[#Headers],[Company]],61)</f>
        <v/>
      </c>
      <c r="N164" s="188" t="str" cm="1">
        <f t="array" ref="N164">Common_InputFunctions.Utility_DisplayArrayInTable(Fertiliser_SourceData.Fertiliser_Products_Data3(), FertiliserProducts[[#Headers],[Company]],61)</f>
        <v/>
      </c>
      <c r="O164" s="188" t="str" cm="1">
        <f t="array" ref="O164">Common_InputFunctions.Utility_DisplayArrayInTable(Fertiliser_SourceData.Fertiliser_Products_Data3(), FertiliserProducts[[#Headers],[Company]],61)</f>
        <v>Urea</v>
      </c>
      <c r="P164" s="188" cm="1">
        <f t="array" ref="P164">Common_InputFunctions.Utility_DisplayArrayInTable(Fertiliser_SourceData.Fertiliser_Products_Data3(), FertiliserProducts[[#Headers],[Company]],61)</f>
        <v>1</v>
      </c>
      <c r="Q164" s="188" t="str" cm="1">
        <f t="array" ref="Q164">Common_InputFunctions.Utility_DisplayArrayInTable(Fertiliser_SourceData.Fertiliser_Products_Data3(), FertiliserProducts[[#Headers],[Company]],61)</f>
        <v/>
      </c>
      <c r="R164" s="188" t="str" cm="1">
        <f t="array" ref="R164">Common_InputFunctions.Utility_DisplayArrayInTable(Fertiliser_SourceData.Fertiliser_Products_Data3(), FertiliserProducts[[#Headers],[Company]],61)</f>
        <v/>
      </c>
      <c r="S164" s="188" t="str" cm="1">
        <f t="array" ref="S164">Common_InputFunctions.Utility_DisplayArrayInTable(Fertiliser_SourceData.Fertiliser_Products_Data3(), FertiliserProducts[[#Headers],[Company]],61)</f>
        <v/>
      </c>
      <c r="T164" s="188" t="str" cm="1">
        <f t="array" ref="T164">Common_InputFunctions.Utility_DisplayArrayInTable(Fertiliser_SourceData.Fertiliser_Products_Data3(), FertiliserProducts[[#Headers],[Company]],61)</f>
        <v/>
      </c>
      <c r="U164" s="188" t="str" cm="1">
        <f t="array" ref="U164">Common_InputFunctions.Utility_DisplayArrayInTable(Fertiliser_SourceData.Fertiliser_Products_Data3(), FertiliserProducts[[#Headers],[Company]],61)</f>
        <v/>
      </c>
      <c r="V164" s="188" t="str" cm="1">
        <f t="array" ref="V164">Common_InputFunctions.Utility_DisplayArrayInTable(Fertiliser_SourceData.Fertiliser_Products_Data3(), FertiliserProducts[[#Headers],[Company]],61)</f>
        <v/>
      </c>
      <c r="W164" s="188" t="str" cm="1">
        <f t="array" ref="W164">Common_InputFunctions.Utility_DisplayArrayInTable(Fertiliser_SourceData.Fertiliser_Products_Data3(), FertiliserProducts[[#Headers],[Company]],61)</f>
        <v/>
      </c>
      <c r="X164" s="188" t="str" cm="1">
        <f t="array" ref="X164">Common_InputFunctions.Utility_DisplayArrayInTable(Fertiliser_SourceData.Fertiliser_Products_Data3(), FertiliserProducts[[#Headers],[Company]],61)</f>
        <v/>
      </c>
      <c r="Y164" s="188" t="str" cm="1">
        <f t="array" ref="Y164">Common_InputFunctions.Utility_DisplayArrayInTable(Fertiliser_SourceData.Fertiliser_Products_Data3(), FertiliserProducts[[#Headers],[Company]],61)</f>
        <v/>
      </c>
      <c r="Z164" s="188" t="str" cm="1">
        <f t="array" ref="Z164">Common_InputFunctions.Utility_DisplayArrayInTable(Fertiliser_SourceData.Fertiliser_Products_Data3(), FertiliserProducts[[#Headers],[Company]],61)</f>
        <v/>
      </c>
      <c r="AA164" s="188" t="str" cm="1">
        <f t="array" ref="AA164">Common_InputFunctions.Utility_DisplayArrayInTable(Fertiliser_SourceData.Fertiliser_Products_Data3(), FertiliserProducts[[#Headers],[Company]],61)</f>
        <v/>
      </c>
      <c r="AB164" s="188" t="str" cm="1">
        <f t="array" ref="AB164">Common_InputFunctions.Utility_DisplayArrayInTable(Fertiliser_SourceData.Fertiliser_Products_Data3(), FertiliserProducts[[#Headers],[Company]],61)</f>
        <v/>
      </c>
      <c r="AC164" s="188" t="str" cm="1">
        <f t="array" ref="AC164">Common_InputFunctions.Utility_DisplayArrayInTable(Fertiliser_SourceData.Fertiliser_Products_Data3(), FertiliserProducts[[#Headers],[Company]],61)</f>
        <v/>
      </c>
      <c r="AD164" s="188" t="str" cm="1">
        <f t="array" ref="AD164">Common_InputFunctions.Utility_DisplayArrayInTable(Fertiliser_SourceData.Fertiliser_Products_Data3(), FertiliserProducts[[#Headers],[Company]],61)</f>
        <v/>
      </c>
      <c r="AE164" s="188" t="str" cm="1">
        <f t="array" ref="AE164">Common_InputFunctions.Utility_DisplayArrayInTable(Fertiliser_SourceData.Fertiliser_Products_Data3(), FertiliserProducts[[#Headers],[Company]],61)</f>
        <v/>
      </c>
      <c r="AF164" s="188" t="str" cm="1">
        <f t="array" ref="AF164">Common_InputFunctions.Utility_DisplayArrayInTable(Fertiliser_SourceData.Fertiliser_Products_Data3(), FertiliserProducts[[#Headers],[Company]],61)</f>
        <v/>
      </c>
      <c r="AG164" s="188" t="str" cm="1">
        <f t="array" ref="AG164">Common_InputFunctions.Utility_DisplayArrayInTable(Fertiliser_SourceData.Fertiliser_Products_Data3(), FertiliserProducts[[#Headers],[Company]],61)</f>
        <v/>
      </c>
      <c r="AH164" s="188" t="str" cm="1">
        <f t="array" ref="AH164">Common_InputFunctions.Utility_DisplayArrayInTable(Fertiliser_SourceData.Fertiliser_Products_Data3(), FertiliserProducts[[#Headers],[Company]],61)</f>
        <v/>
      </c>
      <c r="AK164" s="1"/>
    </row>
    <row r="165" spans="4:37" ht="20.100000000000001" customHeight="1" x14ac:dyDescent="0.25">
      <c r="D165" s="188" t="str" cm="1">
        <f t="array" ref="D165">Common_InputFunctions.Utility_DisplayArrayInTable(Fertiliser_SourceData.Fertiliser_Products_Data3(), FertiliserProducts[[#Headers],[Company]],61)</f>
        <v>Incitec Pivot Fertilisers (or Ravensdown - see note)</v>
      </c>
      <c r="E165" s="188" t="str" cm="1">
        <f t="array" ref="E165">Common_InputFunctions.Utility_DisplayArrayInTable(Fertiliser_SourceData.Fertiliser_Products_Data3(), FertiliserProducts[[#Headers],[Company]],61)</f>
        <v>Flexi-N NI only</v>
      </c>
      <c r="F165" s="188" t="str" cm="1">
        <f t="array" ref="F165">Common_InputFunctions.Utility_DisplayArrayInTable(Fertiliser_SourceData.Fertiliser_Products_Data3(), FertiliserProducts[[#Headers],[Company]],61)</f>
        <v>kg</v>
      </c>
      <c r="G165" s="188" cm="1">
        <f t="array" ref="G165">Common_InputFunctions.Utility_DisplayArrayInTable(Fertiliser_SourceData.Fertiliser_Products_Data3(), FertiliserProducts[[#Headers],[Company]],61)</f>
        <v>1</v>
      </c>
      <c r="H165" s="188" t="str" cm="1">
        <f t="array" ref="H165">Common_InputFunctions.Utility_DisplayArrayInTable(Fertiliser_SourceData.Fertiliser_Products_Data3(), FertiliserProducts[[#Headers],[Company]],61)</f>
        <v>Yes</v>
      </c>
      <c r="I165" s="188" t="str" cm="1">
        <f t="array" ref="I165">Common_InputFunctions.Utility_DisplayArrayInTable(Fertiliser_SourceData.Fertiliser_Products_Data3(), FertiliserProducts[[#Headers],[Company]],61)</f>
        <v/>
      </c>
      <c r="J165" s="188" t="str" cm="1">
        <f t="array" ref="J165">Common_InputFunctions.Utility_DisplayArrayInTable(Fertiliser_SourceData.Fertiliser_Products_Data3(), FertiliserProducts[[#Headers],[Company]],61)</f>
        <v/>
      </c>
      <c r="K165" s="188" cm="1">
        <f t="array" ref="K165">Common_InputFunctions.Utility_DisplayArrayInTable(Fertiliser_SourceData.Fertiliser_Products_Data3(), FertiliserProducts[[#Headers],[Company]],61)</f>
        <v>45.54</v>
      </c>
      <c r="L165" s="188" t="str" cm="1">
        <f t="array" ref="L165">Common_InputFunctions.Utility_DisplayArrayInTable(Fertiliser_SourceData.Fertiliser_Products_Data3(), FertiliserProducts[[#Headers],[Company]],61)</f>
        <v/>
      </c>
      <c r="M165" s="188" t="str" cm="1">
        <f t="array" ref="M165">Common_InputFunctions.Utility_DisplayArrayInTable(Fertiliser_SourceData.Fertiliser_Products_Data3(), FertiliserProducts[[#Headers],[Company]],61)</f>
        <v/>
      </c>
      <c r="N165" s="188" t="str" cm="1">
        <f t="array" ref="N165">Common_InputFunctions.Utility_DisplayArrayInTable(Fertiliser_SourceData.Fertiliser_Products_Data3(), FertiliserProducts[[#Headers],[Company]],61)</f>
        <v/>
      </c>
      <c r="O165" s="188" t="str" cm="1">
        <f t="array" ref="O165">Common_InputFunctions.Utility_DisplayArrayInTable(Fertiliser_SourceData.Fertiliser_Products_Data3(), FertiliserProducts[[#Headers],[Company]],61)</f>
        <v>Urea</v>
      </c>
      <c r="P165" s="188" cm="1">
        <f t="array" ref="P165">Common_InputFunctions.Utility_DisplayArrayInTable(Fertiliser_SourceData.Fertiliser_Products_Data3(), FertiliserProducts[[#Headers],[Company]],61)</f>
        <v>0.99</v>
      </c>
      <c r="Q165" s="188" t="str" cm="1">
        <f t="array" ref="Q165">Common_InputFunctions.Utility_DisplayArrayInTable(Fertiliser_SourceData.Fertiliser_Products_Data3(), FertiliserProducts[[#Headers],[Company]],61)</f>
        <v>Urease/nitrification inhibitor</v>
      </c>
      <c r="R165" s="188" cm="1">
        <f t="array" ref="R165">Common_InputFunctions.Utility_DisplayArrayInTable(Fertiliser_SourceData.Fertiliser_Products_Data3(), FertiliserProducts[[#Headers],[Company]],61)</f>
        <v>0.01</v>
      </c>
      <c r="S165" s="188" t="str" cm="1">
        <f t="array" ref="S165">Common_InputFunctions.Utility_DisplayArrayInTable(Fertiliser_SourceData.Fertiliser_Products_Data3(), FertiliserProducts[[#Headers],[Company]],61)</f>
        <v/>
      </c>
      <c r="T165" s="188" t="str" cm="1">
        <f t="array" ref="T165">Common_InputFunctions.Utility_DisplayArrayInTable(Fertiliser_SourceData.Fertiliser_Products_Data3(), FertiliserProducts[[#Headers],[Company]],61)</f>
        <v/>
      </c>
      <c r="U165" s="188" t="str" cm="1">
        <f t="array" ref="U165">Common_InputFunctions.Utility_DisplayArrayInTable(Fertiliser_SourceData.Fertiliser_Products_Data3(), FertiliserProducts[[#Headers],[Company]],61)</f>
        <v/>
      </c>
      <c r="V165" s="188" t="str" cm="1">
        <f t="array" ref="V165">Common_InputFunctions.Utility_DisplayArrayInTable(Fertiliser_SourceData.Fertiliser_Products_Data3(), FertiliserProducts[[#Headers],[Company]],61)</f>
        <v/>
      </c>
      <c r="W165" s="188" t="str" cm="1">
        <f t="array" ref="W165">Common_InputFunctions.Utility_DisplayArrayInTable(Fertiliser_SourceData.Fertiliser_Products_Data3(), FertiliserProducts[[#Headers],[Company]],61)</f>
        <v/>
      </c>
      <c r="X165" s="188" t="str" cm="1">
        <f t="array" ref="X165">Common_InputFunctions.Utility_DisplayArrayInTable(Fertiliser_SourceData.Fertiliser_Products_Data3(), FertiliserProducts[[#Headers],[Company]],61)</f>
        <v/>
      </c>
      <c r="Y165" s="188" t="str" cm="1">
        <f t="array" ref="Y165">Common_InputFunctions.Utility_DisplayArrayInTable(Fertiliser_SourceData.Fertiliser_Products_Data3(), FertiliserProducts[[#Headers],[Company]],61)</f>
        <v/>
      </c>
      <c r="Z165" s="188" t="str" cm="1">
        <f t="array" ref="Z165">Common_InputFunctions.Utility_DisplayArrayInTable(Fertiliser_SourceData.Fertiliser_Products_Data3(), FertiliserProducts[[#Headers],[Company]],61)</f>
        <v/>
      </c>
      <c r="AA165" s="188" t="str" cm="1">
        <f t="array" ref="AA165">Common_InputFunctions.Utility_DisplayArrayInTable(Fertiliser_SourceData.Fertiliser_Products_Data3(), FertiliserProducts[[#Headers],[Company]],61)</f>
        <v/>
      </c>
      <c r="AB165" s="188" t="str" cm="1">
        <f t="array" ref="AB165">Common_InputFunctions.Utility_DisplayArrayInTable(Fertiliser_SourceData.Fertiliser_Products_Data3(), FertiliserProducts[[#Headers],[Company]],61)</f>
        <v/>
      </c>
      <c r="AC165" s="188" t="str" cm="1">
        <f t="array" ref="AC165">Common_InputFunctions.Utility_DisplayArrayInTable(Fertiliser_SourceData.Fertiliser_Products_Data3(), FertiliserProducts[[#Headers],[Company]],61)</f>
        <v/>
      </c>
      <c r="AD165" s="188" t="str" cm="1">
        <f t="array" ref="AD165">Common_InputFunctions.Utility_DisplayArrayInTable(Fertiliser_SourceData.Fertiliser_Products_Data3(), FertiliserProducts[[#Headers],[Company]],61)</f>
        <v/>
      </c>
      <c r="AE165" s="188" t="str" cm="1">
        <f t="array" ref="AE165">Common_InputFunctions.Utility_DisplayArrayInTable(Fertiliser_SourceData.Fertiliser_Products_Data3(), FertiliserProducts[[#Headers],[Company]],61)</f>
        <v/>
      </c>
      <c r="AF165" s="188" t="str" cm="1">
        <f t="array" ref="AF165">Common_InputFunctions.Utility_DisplayArrayInTable(Fertiliser_SourceData.Fertiliser_Products_Data3(), FertiliserProducts[[#Headers],[Company]],61)</f>
        <v/>
      </c>
      <c r="AG165" s="188" t="str" cm="1">
        <f t="array" ref="AG165">Common_InputFunctions.Utility_DisplayArrayInTable(Fertiliser_SourceData.Fertiliser_Products_Data3(), FertiliserProducts[[#Headers],[Company]],61)</f>
        <v/>
      </c>
      <c r="AH165" s="188" t="str" cm="1">
        <f t="array" ref="AH165">Common_InputFunctions.Utility_DisplayArrayInTable(Fertiliser_SourceData.Fertiliser_Products_Data3(), FertiliserProducts[[#Headers],[Company]],61)</f>
        <v/>
      </c>
      <c r="AK165" s="1"/>
    </row>
    <row r="166" spans="4:37" x14ac:dyDescent="0.25">
      <c r="D166" s="188" t="str" cm="1">
        <f t="array" ref="D166">Common_InputFunctions.Utility_DisplayArrayInTable(Fertiliser_SourceData.Fertiliser_Products_Data3(), FertiliserProducts[[#Headers],[Company]],61)</f>
        <v>Nutri-Tech Solutions (NTS)</v>
      </c>
      <c r="E166" s="188" t="str" cm="1">
        <f t="array" ref="E166">Common_InputFunctions.Utility_DisplayArrayInTable(Fertiliser_SourceData.Fertiliser_Products_Data3(), FertiliserProducts[[#Headers],[Company]],61)</f>
        <v>Muriate Of Potash MOP</v>
      </c>
      <c r="F166" s="188" t="str" cm="1">
        <f t="array" ref="F166">Common_InputFunctions.Utility_DisplayArrayInTable(Fertiliser_SourceData.Fertiliser_Products_Data3(), FertiliserProducts[[#Headers],[Company]],61)</f>
        <v>kg</v>
      </c>
      <c r="G166" s="188" cm="1">
        <f t="array" ref="G166">Common_InputFunctions.Utility_DisplayArrayInTable(Fertiliser_SourceData.Fertiliser_Products_Data3(), FertiliserProducts[[#Headers],[Company]],61)</f>
        <v>1</v>
      </c>
      <c r="H166" s="188" t="str" cm="1">
        <f t="array" ref="H166">Common_InputFunctions.Utility_DisplayArrayInTable(Fertiliser_SourceData.Fertiliser_Products_Data3(), FertiliserProducts[[#Headers],[Company]],61)</f>
        <v/>
      </c>
      <c r="I166" s="188" t="str" cm="1">
        <f t="array" ref="I166">Common_InputFunctions.Utility_DisplayArrayInTable(Fertiliser_SourceData.Fertiliser_Products_Data3(), FertiliserProducts[[#Headers],[Company]],61)</f>
        <v/>
      </c>
      <c r="J166" s="188" t="str" cm="1">
        <f t="array" ref="J166">Common_InputFunctions.Utility_DisplayArrayInTable(Fertiliser_SourceData.Fertiliser_Products_Data3(), FertiliserProducts[[#Headers],[Company]],61)</f>
        <v/>
      </c>
      <c r="K166" s="188" t="str" cm="1">
        <f t="array" ref="K166">Common_InputFunctions.Utility_DisplayArrayInTable(Fertiliser_SourceData.Fertiliser_Products_Data3(), FertiliserProducts[[#Headers],[Company]],61)</f>
        <v/>
      </c>
      <c r="L166" s="188" t="str" cm="1">
        <f t="array" ref="L166">Common_InputFunctions.Utility_DisplayArrayInTable(Fertiliser_SourceData.Fertiliser_Products_Data3(), FertiliserProducts[[#Headers],[Company]],61)</f>
        <v/>
      </c>
      <c r="M166" s="188" cm="1">
        <f t="array" ref="M166">Common_InputFunctions.Utility_DisplayArrayInTable(Fertiliser_SourceData.Fertiliser_Products_Data3(), FertiliserProducts[[#Headers],[Company]],61)</f>
        <v>50</v>
      </c>
      <c r="N166" s="188" t="str" cm="1">
        <f t="array" ref="N166">Common_InputFunctions.Utility_DisplayArrayInTable(Fertiliser_SourceData.Fertiliser_Products_Data3(), FertiliserProducts[[#Headers],[Company]],61)</f>
        <v/>
      </c>
      <c r="O166" s="188" t="str" cm="1">
        <f t="array" ref="O166">Common_InputFunctions.Utility_DisplayArrayInTable(Fertiliser_SourceData.Fertiliser_Products_Data3(), FertiliserProducts[[#Headers],[Company]],61)</f>
        <v>Muriate of potash (MOP)</v>
      </c>
      <c r="P166" s="188" cm="1">
        <f t="array" ref="P166">Common_InputFunctions.Utility_DisplayArrayInTable(Fertiliser_SourceData.Fertiliser_Products_Data3(), FertiliserProducts[[#Headers],[Company]],61)</f>
        <v>1</v>
      </c>
      <c r="Q166" s="188" t="str" cm="1">
        <f t="array" ref="Q166">Common_InputFunctions.Utility_DisplayArrayInTable(Fertiliser_SourceData.Fertiliser_Products_Data3(), FertiliserProducts[[#Headers],[Company]],61)</f>
        <v/>
      </c>
      <c r="R166" s="188" t="str" cm="1">
        <f t="array" ref="R166">Common_InputFunctions.Utility_DisplayArrayInTable(Fertiliser_SourceData.Fertiliser_Products_Data3(), FertiliserProducts[[#Headers],[Company]],61)</f>
        <v/>
      </c>
      <c r="S166" s="188" t="str" cm="1">
        <f t="array" ref="S166">Common_InputFunctions.Utility_DisplayArrayInTable(Fertiliser_SourceData.Fertiliser_Products_Data3(), FertiliserProducts[[#Headers],[Company]],61)</f>
        <v/>
      </c>
      <c r="T166" s="188" t="str" cm="1">
        <f t="array" ref="T166">Common_InputFunctions.Utility_DisplayArrayInTable(Fertiliser_SourceData.Fertiliser_Products_Data3(), FertiliserProducts[[#Headers],[Company]],61)</f>
        <v/>
      </c>
      <c r="U166" s="188" t="str" cm="1">
        <f t="array" ref="U166">Common_InputFunctions.Utility_DisplayArrayInTable(Fertiliser_SourceData.Fertiliser_Products_Data3(), FertiliserProducts[[#Headers],[Company]],61)</f>
        <v/>
      </c>
      <c r="V166" s="188" t="str" cm="1">
        <f t="array" ref="V166">Common_InputFunctions.Utility_DisplayArrayInTable(Fertiliser_SourceData.Fertiliser_Products_Data3(), FertiliserProducts[[#Headers],[Company]],61)</f>
        <v/>
      </c>
      <c r="W166" s="188" t="str" cm="1">
        <f t="array" ref="W166">Common_InputFunctions.Utility_DisplayArrayInTable(Fertiliser_SourceData.Fertiliser_Products_Data3(), FertiliserProducts[[#Headers],[Company]],61)</f>
        <v/>
      </c>
      <c r="X166" s="188" t="str" cm="1">
        <f t="array" ref="X166">Common_InputFunctions.Utility_DisplayArrayInTable(Fertiliser_SourceData.Fertiliser_Products_Data3(), FertiliserProducts[[#Headers],[Company]],61)</f>
        <v/>
      </c>
      <c r="Y166" s="188" t="str" cm="1">
        <f t="array" ref="Y166">Common_InputFunctions.Utility_DisplayArrayInTable(Fertiliser_SourceData.Fertiliser_Products_Data3(), FertiliserProducts[[#Headers],[Company]],61)</f>
        <v/>
      </c>
      <c r="Z166" s="188" t="str" cm="1">
        <f t="array" ref="Z166">Common_InputFunctions.Utility_DisplayArrayInTable(Fertiliser_SourceData.Fertiliser_Products_Data3(), FertiliserProducts[[#Headers],[Company]],61)</f>
        <v/>
      </c>
      <c r="AA166" s="188" t="str" cm="1">
        <f t="array" ref="AA166">Common_InputFunctions.Utility_DisplayArrayInTable(Fertiliser_SourceData.Fertiliser_Products_Data3(), FertiliserProducts[[#Headers],[Company]],61)</f>
        <v/>
      </c>
      <c r="AB166" s="188" t="str" cm="1">
        <f t="array" ref="AB166">Common_InputFunctions.Utility_DisplayArrayInTable(Fertiliser_SourceData.Fertiliser_Products_Data3(), FertiliserProducts[[#Headers],[Company]],61)</f>
        <v/>
      </c>
      <c r="AC166" s="188" t="str" cm="1">
        <f t="array" ref="AC166">Common_InputFunctions.Utility_DisplayArrayInTable(Fertiliser_SourceData.Fertiliser_Products_Data3(), FertiliserProducts[[#Headers],[Company]],61)</f>
        <v/>
      </c>
      <c r="AD166" s="188" t="str" cm="1">
        <f t="array" ref="AD166">Common_InputFunctions.Utility_DisplayArrayInTable(Fertiliser_SourceData.Fertiliser_Products_Data3(), FertiliserProducts[[#Headers],[Company]],61)</f>
        <v/>
      </c>
      <c r="AE166" s="188" t="str" cm="1">
        <f t="array" ref="AE166">Common_InputFunctions.Utility_DisplayArrayInTable(Fertiliser_SourceData.Fertiliser_Products_Data3(), FertiliserProducts[[#Headers],[Company]],61)</f>
        <v/>
      </c>
      <c r="AF166" s="188" t="str" cm="1">
        <f t="array" ref="AF166">Common_InputFunctions.Utility_DisplayArrayInTable(Fertiliser_SourceData.Fertiliser_Products_Data3(), FertiliserProducts[[#Headers],[Company]],61)</f>
        <v/>
      </c>
      <c r="AG166" s="188" t="str" cm="1">
        <f t="array" ref="AG166">Common_InputFunctions.Utility_DisplayArrayInTable(Fertiliser_SourceData.Fertiliser_Products_Data3(), FertiliserProducts[[#Headers],[Company]],61)</f>
        <v/>
      </c>
      <c r="AH166" s="188" t="str" cm="1">
        <f t="array" ref="AH166">Common_InputFunctions.Utility_DisplayArrayInTable(Fertiliser_SourceData.Fertiliser_Products_Data3(), FertiliserProducts[[#Headers],[Company]],61)</f>
        <v/>
      </c>
      <c r="AK166" s="1"/>
    </row>
    <row r="167" spans="4:37" x14ac:dyDescent="0.25">
      <c r="D167" s="188" t="str" cm="1">
        <f t="array" ref="D167">Common_InputFunctions.Utility_DisplayArrayInTable(Fertiliser_SourceData.Fertiliser_Products_Data3(), FertiliserProducts[[#Headers],[Company]],61)</f>
        <v>Nuturf</v>
      </c>
      <c r="E167" s="188" t="str" cm="1">
        <f t="array" ref="E167">Common_InputFunctions.Utility_DisplayArrayInTable(Fertiliser_SourceData.Fertiliser_Products_Data3(), FertiliserProducts[[#Headers],[Company]],61)</f>
        <v>MAP NUTURF</v>
      </c>
      <c r="F167" s="188" t="str" cm="1">
        <f t="array" ref="F167">Common_InputFunctions.Utility_DisplayArrayInTable(Fertiliser_SourceData.Fertiliser_Products_Data3(), FertiliserProducts[[#Headers],[Company]],61)</f>
        <v>kg</v>
      </c>
      <c r="G167" s="188" cm="1">
        <f t="array" ref="G167">Common_InputFunctions.Utility_DisplayArrayInTable(Fertiliser_SourceData.Fertiliser_Products_Data3(), FertiliserProducts[[#Headers],[Company]],61)</f>
        <v>1</v>
      </c>
      <c r="H167" s="188" t="str" cm="1">
        <f t="array" ref="H167">Common_InputFunctions.Utility_DisplayArrayInTable(Fertiliser_SourceData.Fertiliser_Products_Data3(), FertiliserProducts[[#Headers],[Company]],61)</f>
        <v/>
      </c>
      <c r="I167" s="188" t="str" cm="1">
        <f t="array" ref="I167">Common_InputFunctions.Utility_DisplayArrayInTable(Fertiliser_SourceData.Fertiliser_Products_Data3(), FertiliserProducts[[#Headers],[Company]],61)</f>
        <v/>
      </c>
      <c r="J167" s="188" t="str" cm="1">
        <f t="array" ref="J167">Common_InputFunctions.Utility_DisplayArrayInTable(Fertiliser_SourceData.Fertiliser_Products_Data3(), FertiliserProducts[[#Headers],[Company]],61)</f>
        <v/>
      </c>
      <c r="K167" s="188" cm="1">
        <f t="array" ref="K167">Common_InputFunctions.Utility_DisplayArrayInTable(Fertiliser_SourceData.Fertiliser_Products_Data3(), FertiliserProducts[[#Headers],[Company]],61)</f>
        <v>10</v>
      </c>
      <c r="L167" s="188" cm="1">
        <f t="array" ref="L167">Common_InputFunctions.Utility_DisplayArrayInTable(Fertiliser_SourceData.Fertiliser_Products_Data3(), FertiliserProducts[[#Headers],[Company]],61)</f>
        <v>21.9</v>
      </c>
      <c r="M167" s="188" t="str" cm="1">
        <f t="array" ref="M167">Common_InputFunctions.Utility_DisplayArrayInTable(Fertiliser_SourceData.Fertiliser_Products_Data3(), FertiliserProducts[[#Headers],[Company]],61)</f>
        <v/>
      </c>
      <c r="N167" s="188" t="str" cm="1">
        <f t="array" ref="N167">Common_InputFunctions.Utility_DisplayArrayInTable(Fertiliser_SourceData.Fertiliser_Products_Data3(), FertiliserProducts[[#Headers],[Company]],61)</f>
        <v/>
      </c>
      <c r="O167" s="188" t="str" cm="1">
        <f t="array" ref="O167">Common_InputFunctions.Utility_DisplayArrayInTable(Fertiliser_SourceData.Fertiliser_Products_Data3(), FertiliserProducts[[#Headers],[Company]],61)</f>
        <v>Monoammonium phosphate (MAP)</v>
      </c>
      <c r="P167" s="188" cm="1">
        <f t="array" ref="P167">Common_InputFunctions.Utility_DisplayArrayInTable(Fertiliser_SourceData.Fertiliser_Products_Data3(), FertiliserProducts[[#Headers],[Company]],61)</f>
        <v>1</v>
      </c>
      <c r="Q167" s="188" t="str" cm="1">
        <f t="array" ref="Q167">Common_InputFunctions.Utility_DisplayArrayInTable(Fertiliser_SourceData.Fertiliser_Products_Data3(), FertiliserProducts[[#Headers],[Company]],61)</f>
        <v/>
      </c>
      <c r="R167" s="188" t="str" cm="1">
        <f t="array" ref="R167">Common_InputFunctions.Utility_DisplayArrayInTable(Fertiliser_SourceData.Fertiliser_Products_Data3(), FertiliserProducts[[#Headers],[Company]],61)</f>
        <v/>
      </c>
      <c r="S167" s="188" t="str" cm="1">
        <f t="array" ref="S167">Common_InputFunctions.Utility_DisplayArrayInTable(Fertiliser_SourceData.Fertiliser_Products_Data3(), FertiliserProducts[[#Headers],[Company]],61)</f>
        <v/>
      </c>
      <c r="T167" s="188" t="str" cm="1">
        <f t="array" ref="T167">Common_InputFunctions.Utility_DisplayArrayInTable(Fertiliser_SourceData.Fertiliser_Products_Data3(), FertiliserProducts[[#Headers],[Company]],61)</f>
        <v/>
      </c>
      <c r="U167" s="188" t="str" cm="1">
        <f t="array" ref="U167">Common_InputFunctions.Utility_DisplayArrayInTable(Fertiliser_SourceData.Fertiliser_Products_Data3(), FertiliserProducts[[#Headers],[Company]],61)</f>
        <v/>
      </c>
      <c r="V167" s="188" t="str" cm="1">
        <f t="array" ref="V167">Common_InputFunctions.Utility_DisplayArrayInTable(Fertiliser_SourceData.Fertiliser_Products_Data3(), FertiliserProducts[[#Headers],[Company]],61)</f>
        <v/>
      </c>
      <c r="W167" s="188" t="str" cm="1">
        <f t="array" ref="W167">Common_InputFunctions.Utility_DisplayArrayInTable(Fertiliser_SourceData.Fertiliser_Products_Data3(), FertiliserProducts[[#Headers],[Company]],61)</f>
        <v/>
      </c>
      <c r="X167" s="188" t="str" cm="1">
        <f t="array" ref="X167">Common_InputFunctions.Utility_DisplayArrayInTable(Fertiliser_SourceData.Fertiliser_Products_Data3(), FertiliserProducts[[#Headers],[Company]],61)</f>
        <v/>
      </c>
      <c r="Y167" s="188" t="str" cm="1">
        <f t="array" ref="Y167">Common_InputFunctions.Utility_DisplayArrayInTable(Fertiliser_SourceData.Fertiliser_Products_Data3(), FertiliserProducts[[#Headers],[Company]],61)</f>
        <v/>
      </c>
      <c r="Z167" s="188" t="str" cm="1">
        <f t="array" ref="Z167">Common_InputFunctions.Utility_DisplayArrayInTable(Fertiliser_SourceData.Fertiliser_Products_Data3(), FertiliserProducts[[#Headers],[Company]],61)</f>
        <v/>
      </c>
      <c r="AA167" s="188" t="str" cm="1">
        <f t="array" ref="AA167">Common_InputFunctions.Utility_DisplayArrayInTable(Fertiliser_SourceData.Fertiliser_Products_Data3(), FertiliserProducts[[#Headers],[Company]],61)</f>
        <v/>
      </c>
      <c r="AB167" s="188" t="str" cm="1">
        <f t="array" ref="AB167">Common_InputFunctions.Utility_DisplayArrayInTable(Fertiliser_SourceData.Fertiliser_Products_Data3(), FertiliserProducts[[#Headers],[Company]],61)</f>
        <v/>
      </c>
      <c r="AC167" s="188" t="str" cm="1">
        <f t="array" ref="AC167">Common_InputFunctions.Utility_DisplayArrayInTable(Fertiliser_SourceData.Fertiliser_Products_Data3(), FertiliserProducts[[#Headers],[Company]],61)</f>
        <v/>
      </c>
      <c r="AD167" s="188" t="str" cm="1">
        <f t="array" ref="AD167">Common_InputFunctions.Utility_DisplayArrayInTable(Fertiliser_SourceData.Fertiliser_Products_Data3(), FertiliserProducts[[#Headers],[Company]],61)</f>
        <v/>
      </c>
      <c r="AE167" s="188" t="str" cm="1">
        <f t="array" ref="AE167">Common_InputFunctions.Utility_DisplayArrayInTable(Fertiliser_SourceData.Fertiliser_Products_Data3(), FertiliserProducts[[#Headers],[Company]],61)</f>
        <v/>
      </c>
      <c r="AF167" s="188" t="str" cm="1">
        <f t="array" ref="AF167">Common_InputFunctions.Utility_DisplayArrayInTable(Fertiliser_SourceData.Fertiliser_Products_Data3(), FertiliserProducts[[#Headers],[Company]],61)</f>
        <v/>
      </c>
      <c r="AG167" s="188" t="str" cm="1">
        <f t="array" ref="AG167">Common_InputFunctions.Utility_DisplayArrayInTable(Fertiliser_SourceData.Fertiliser_Products_Data3(), FertiliserProducts[[#Headers],[Company]],61)</f>
        <v/>
      </c>
      <c r="AH167" s="188" t="str" cm="1">
        <f t="array" ref="AH167">Common_InputFunctions.Utility_DisplayArrayInTable(Fertiliser_SourceData.Fertiliser_Products_Data3(), FertiliserProducts[[#Headers],[Company]],61)</f>
        <v/>
      </c>
      <c r="AK167" s="1"/>
    </row>
    <row r="168" spans="4:37" x14ac:dyDescent="0.25">
      <c r="D168" s="188" t="str" cm="1">
        <f t="array" ref="D168">Common_InputFunctions.Utility_DisplayArrayInTable(Fertiliser_SourceData.Fertiliser_Products_Data3(), FertiliserProducts[[#Headers],[Company]],61)</f>
        <v>Campbells fertilisers Australia</v>
      </c>
      <c r="E168" s="188" t="str" cm="1">
        <f t="array" ref="E168">Common_InputFunctions.Utility_DisplayArrayInTable(Fertiliser_SourceData.Fertiliser_Products_Data3(), FertiliserProducts[[#Headers],[Company]],61)</f>
        <v>Quick-N</v>
      </c>
      <c r="F168" s="188" t="str" cm="1">
        <f t="array" ref="F168">Common_InputFunctions.Utility_DisplayArrayInTable(Fertiliser_SourceData.Fertiliser_Products_Data3(), FertiliserProducts[[#Headers],[Company]],61)</f>
        <v>kg</v>
      </c>
      <c r="G168" s="188" cm="1">
        <f t="array" ref="G168">Common_InputFunctions.Utility_DisplayArrayInTable(Fertiliser_SourceData.Fertiliser_Products_Data3(), FertiliserProducts[[#Headers],[Company]],61)</f>
        <v>1</v>
      </c>
      <c r="H168" s="188" t="str" cm="1">
        <f t="array" ref="H168">Common_InputFunctions.Utility_DisplayArrayInTable(Fertiliser_SourceData.Fertiliser_Products_Data3(), FertiliserProducts[[#Headers],[Company]],61)</f>
        <v/>
      </c>
      <c r="I168" s="188" t="str" cm="1">
        <f t="array" ref="I168">Common_InputFunctions.Utility_DisplayArrayInTable(Fertiliser_SourceData.Fertiliser_Products_Data3(), FertiliserProducts[[#Headers],[Company]],61)</f>
        <v/>
      </c>
      <c r="J168" s="188" t="str" cm="1">
        <f t="array" ref="J168">Common_InputFunctions.Utility_DisplayArrayInTable(Fertiliser_SourceData.Fertiliser_Products_Data3(), FertiliserProducts[[#Headers],[Company]],61)</f>
        <v/>
      </c>
      <c r="K168" s="188" cm="1">
        <f t="array" ref="K168">Common_InputFunctions.Utility_DisplayArrayInTable(Fertiliser_SourceData.Fertiliser_Products_Data3(), FertiliserProducts[[#Headers],[Company]],61)</f>
        <v>26</v>
      </c>
      <c r="L168" s="188" t="str" cm="1">
        <f t="array" ref="L168">Common_InputFunctions.Utility_DisplayArrayInTable(Fertiliser_SourceData.Fertiliser_Products_Data3(), FertiliserProducts[[#Headers],[Company]],61)</f>
        <v/>
      </c>
      <c r="M168" s="188" t="str" cm="1">
        <f t="array" ref="M168">Common_InputFunctions.Utility_DisplayArrayInTable(Fertiliser_SourceData.Fertiliser_Products_Data3(), FertiliserProducts[[#Headers],[Company]],61)</f>
        <v/>
      </c>
      <c r="N168" s="188" cm="1">
        <f t="array" ref="N168">Common_InputFunctions.Utility_DisplayArrayInTable(Fertiliser_SourceData.Fertiliser_Products_Data3(), FertiliserProducts[[#Headers],[Company]],61)</f>
        <v>13</v>
      </c>
      <c r="O168" s="188" t="str" cm="1">
        <f t="array" ref="O168">Common_InputFunctions.Utility_DisplayArrayInTable(Fertiliser_SourceData.Fertiliser_Products_Data3(), FertiliserProducts[[#Headers],[Company]],61)</f>
        <v>Sulphate of ammonia (SOA)</v>
      </c>
      <c r="P168" s="188" cm="1">
        <f t="array" ref="P168">Common_InputFunctions.Utility_DisplayArrayInTable(Fertiliser_SourceData.Fertiliser_Products_Data3(), FertiliserProducts[[#Headers],[Company]],61)</f>
        <v>0.54166700000000001</v>
      </c>
      <c r="Q168" s="188" t="str" cm="1">
        <f t="array" ref="Q168">Common_InputFunctions.Utility_DisplayArrayInTable(Fertiliser_SourceData.Fertiliser_Products_Data3(), FertiliserProducts[[#Headers],[Company]],61)</f>
        <v>Ammonium nitrate (AN)</v>
      </c>
      <c r="R168" s="188" cm="1">
        <f t="array" ref="R168">Common_InputFunctions.Utility_DisplayArrayInTable(Fertiliser_SourceData.Fertiliser_Products_Data3(), FertiliserProducts[[#Headers],[Company]],61)</f>
        <v>0.43397599999999997</v>
      </c>
      <c r="S168" s="188" t="str" cm="1">
        <f t="array" ref="S168">Common_InputFunctions.Utility_DisplayArrayInTable(Fertiliser_SourceData.Fertiliser_Products_Data3(), FertiliserProducts[[#Headers],[Company]],61)</f>
        <v/>
      </c>
      <c r="T168" s="188" t="str" cm="1">
        <f t="array" ref="T168">Common_InputFunctions.Utility_DisplayArrayInTable(Fertiliser_SourceData.Fertiliser_Products_Data3(), FertiliserProducts[[#Headers],[Company]],61)</f>
        <v/>
      </c>
      <c r="U168" s="188" t="str" cm="1">
        <f t="array" ref="U168">Common_InputFunctions.Utility_DisplayArrayInTable(Fertiliser_SourceData.Fertiliser_Products_Data3(), FertiliserProducts[[#Headers],[Company]],61)</f>
        <v/>
      </c>
      <c r="V168" s="188" t="str" cm="1">
        <f t="array" ref="V168">Common_InputFunctions.Utility_DisplayArrayInTable(Fertiliser_SourceData.Fertiliser_Products_Data3(), FertiliserProducts[[#Headers],[Company]],61)</f>
        <v/>
      </c>
      <c r="W168" s="188" t="str" cm="1">
        <f t="array" ref="W168">Common_InputFunctions.Utility_DisplayArrayInTable(Fertiliser_SourceData.Fertiliser_Products_Data3(), FertiliserProducts[[#Headers],[Company]],61)</f>
        <v/>
      </c>
      <c r="X168" s="188" t="str" cm="1">
        <f t="array" ref="X168">Common_InputFunctions.Utility_DisplayArrayInTable(Fertiliser_SourceData.Fertiliser_Products_Data3(), FertiliserProducts[[#Headers],[Company]],61)</f>
        <v/>
      </c>
      <c r="Y168" s="188" t="str" cm="1">
        <f t="array" ref="Y168">Common_InputFunctions.Utility_DisplayArrayInTable(Fertiliser_SourceData.Fertiliser_Products_Data3(), FertiliserProducts[[#Headers],[Company]],61)</f>
        <v/>
      </c>
      <c r="Z168" s="188" t="str" cm="1">
        <f t="array" ref="Z168">Common_InputFunctions.Utility_DisplayArrayInTable(Fertiliser_SourceData.Fertiliser_Products_Data3(), FertiliserProducts[[#Headers],[Company]],61)</f>
        <v/>
      </c>
      <c r="AA168" s="188" t="str" cm="1">
        <f t="array" ref="AA168">Common_InputFunctions.Utility_DisplayArrayInTable(Fertiliser_SourceData.Fertiliser_Products_Data3(), FertiliserProducts[[#Headers],[Company]],61)</f>
        <v/>
      </c>
      <c r="AB168" s="188" t="str" cm="1">
        <f t="array" ref="AB168">Common_InputFunctions.Utility_DisplayArrayInTable(Fertiliser_SourceData.Fertiliser_Products_Data3(), FertiliserProducts[[#Headers],[Company]],61)</f>
        <v/>
      </c>
      <c r="AC168" s="188" t="str" cm="1">
        <f t="array" ref="AC168">Common_InputFunctions.Utility_DisplayArrayInTable(Fertiliser_SourceData.Fertiliser_Products_Data3(), FertiliserProducts[[#Headers],[Company]],61)</f>
        <v/>
      </c>
      <c r="AD168" s="188" t="str" cm="1">
        <f t="array" ref="AD168">Common_InputFunctions.Utility_DisplayArrayInTable(Fertiliser_SourceData.Fertiliser_Products_Data3(), FertiliserProducts[[#Headers],[Company]],61)</f>
        <v/>
      </c>
      <c r="AE168" s="188" t="str" cm="1">
        <f t="array" ref="AE168">Common_InputFunctions.Utility_DisplayArrayInTable(Fertiliser_SourceData.Fertiliser_Products_Data3(), FertiliserProducts[[#Headers],[Company]],61)</f>
        <v/>
      </c>
      <c r="AF168" s="188" t="str" cm="1">
        <f t="array" ref="AF168">Common_InputFunctions.Utility_DisplayArrayInTable(Fertiliser_SourceData.Fertiliser_Products_Data3(), FertiliserProducts[[#Headers],[Company]],61)</f>
        <v/>
      </c>
      <c r="AG168" s="188" t="str" cm="1">
        <f t="array" ref="AG168">Common_InputFunctions.Utility_DisplayArrayInTable(Fertiliser_SourceData.Fertiliser_Products_Data3(), FertiliserProducts[[#Headers],[Company]],61)</f>
        <v/>
      </c>
      <c r="AH168" s="188" t="str" cm="1">
        <f t="array" ref="AH168">Common_InputFunctions.Utility_DisplayArrayInTable(Fertiliser_SourceData.Fertiliser_Products_Data3(), FertiliserProducts[[#Headers],[Company]],61)</f>
        <v/>
      </c>
      <c r="AK168" s="1"/>
    </row>
    <row r="169" spans="4:37" x14ac:dyDescent="0.25">
      <c r="D169" s="188" t="str" cm="1">
        <f t="array" ref="D169">Common_InputFunctions.Utility_DisplayArrayInTable(Fertiliser_SourceData.Fertiliser_Products_Data3(), FertiliserProducts[[#Headers],[Company]],61)</f>
        <v>SLTEC Fertilizers</v>
      </c>
      <c r="E169" s="188" t="str" cm="1">
        <f t="array" ref="E169">Common_InputFunctions.Utility_DisplayArrayInTable(Fertiliser_SourceData.Fertiliser_Products_Data3(), FertiliserProducts[[#Headers],[Company]],61)</f>
        <v>UAS</v>
      </c>
      <c r="F169" s="188" t="str" cm="1">
        <f t="array" ref="F169">Common_InputFunctions.Utility_DisplayArrayInTable(Fertiliser_SourceData.Fertiliser_Products_Data3(), FertiliserProducts[[#Headers],[Company]],61)</f>
        <v>L</v>
      </c>
      <c r="G169" s="188" cm="1">
        <f t="array" ref="G169">Common_InputFunctions.Utility_DisplayArrayInTable(Fertiliser_SourceData.Fertiliser_Products_Data3(), FertiliserProducts[[#Headers],[Company]],61)</f>
        <v>1.2350000000000001</v>
      </c>
      <c r="H169" s="188" t="str" cm="1">
        <f t="array" ref="H169">Common_InputFunctions.Utility_DisplayArrayInTable(Fertiliser_SourceData.Fertiliser_Products_Data3(), FertiliserProducts[[#Headers],[Company]],61)</f>
        <v/>
      </c>
      <c r="I169" s="188" t="str" cm="1">
        <f t="array" ref="I169">Common_InputFunctions.Utility_DisplayArrayInTable(Fertiliser_SourceData.Fertiliser_Products_Data3(), FertiliserProducts[[#Headers],[Company]],61)</f>
        <v/>
      </c>
      <c r="J169" s="188" t="str" cm="1">
        <f t="array" ref="J169">Common_InputFunctions.Utility_DisplayArrayInTable(Fertiliser_SourceData.Fertiliser_Products_Data3(), FertiliserProducts[[#Headers],[Company]],61)</f>
        <v/>
      </c>
      <c r="K169" s="188" cm="1">
        <f t="array" ref="K169">Common_InputFunctions.Utility_DisplayArrayInTable(Fertiliser_SourceData.Fertiliser_Products_Data3(), FertiliserProducts[[#Headers],[Company]],61)</f>
        <v>26.6</v>
      </c>
      <c r="L169" s="188" t="str" cm="1">
        <f t="array" ref="L169">Common_InputFunctions.Utility_DisplayArrayInTable(Fertiliser_SourceData.Fertiliser_Products_Data3(), FertiliserProducts[[#Headers],[Company]],61)</f>
        <v/>
      </c>
      <c r="M169" s="188" t="str" cm="1">
        <f t="array" ref="M169">Common_InputFunctions.Utility_DisplayArrayInTable(Fertiliser_SourceData.Fertiliser_Products_Data3(), FertiliserProducts[[#Headers],[Company]],61)</f>
        <v/>
      </c>
      <c r="N169" s="188" cm="1">
        <f t="array" ref="N169">Common_InputFunctions.Utility_DisplayArrayInTable(Fertiliser_SourceData.Fertiliser_Products_Data3(), FertiliserProducts[[#Headers],[Company]],61)</f>
        <v>6.7</v>
      </c>
      <c r="O169" s="188" t="str" cm="1">
        <f t="array" ref="O169">Common_InputFunctions.Utility_DisplayArrayInTable(Fertiliser_SourceData.Fertiliser_Products_Data3(), FertiliserProducts[[#Headers],[Company]],61)</f>
        <v>Urea</v>
      </c>
      <c r="P169" s="188" cm="1">
        <f t="array" ref="P169">Common_InputFunctions.Utility_DisplayArrayInTable(Fertiliser_SourceData.Fertiliser_Products_Data3(), FertiliserProducts[[#Headers],[Company]],61)</f>
        <v>0.45081500000000002</v>
      </c>
      <c r="Q169" s="188" t="str" cm="1">
        <f t="array" ref="Q169">Common_InputFunctions.Utility_DisplayArrayInTable(Fertiliser_SourceData.Fertiliser_Products_Data3(), FertiliserProducts[[#Headers],[Company]],61)</f>
        <v>Sulphate of ammonia (SOA)</v>
      </c>
      <c r="R169" s="188" cm="1">
        <f t="array" ref="R169">Common_InputFunctions.Utility_DisplayArrayInTable(Fertiliser_SourceData.Fertiliser_Products_Data3(), FertiliserProducts[[#Headers],[Company]],61)</f>
        <v>0.279167</v>
      </c>
      <c r="S169" s="188" t="str" cm="1">
        <f t="array" ref="S169">Common_InputFunctions.Utility_DisplayArrayInTable(Fertiliser_SourceData.Fertiliser_Products_Data3(), FertiliserProducts[[#Headers],[Company]],61)</f>
        <v/>
      </c>
      <c r="T169" s="188" t="str" cm="1">
        <f t="array" ref="T169">Common_InputFunctions.Utility_DisplayArrayInTable(Fertiliser_SourceData.Fertiliser_Products_Data3(), FertiliserProducts[[#Headers],[Company]],61)</f>
        <v/>
      </c>
      <c r="U169" s="188" t="str" cm="1">
        <f t="array" ref="U169">Common_InputFunctions.Utility_DisplayArrayInTable(Fertiliser_SourceData.Fertiliser_Products_Data3(), FertiliserProducts[[#Headers],[Company]],61)</f>
        <v/>
      </c>
      <c r="V169" s="188" t="str" cm="1">
        <f t="array" ref="V169">Common_InputFunctions.Utility_DisplayArrayInTable(Fertiliser_SourceData.Fertiliser_Products_Data3(), FertiliserProducts[[#Headers],[Company]],61)</f>
        <v/>
      </c>
      <c r="W169" s="188" t="str" cm="1">
        <f t="array" ref="W169">Common_InputFunctions.Utility_DisplayArrayInTable(Fertiliser_SourceData.Fertiliser_Products_Data3(), FertiliserProducts[[#Headers],[Company]],61)</f>
        <v/>
      </c>
      <c r="X169" s="188" t="str" cm="1">
        <f t="array" ref="X169">Common_InputFunctions.Utility_DisplayArrayInTable(Fertiliser_SourceData.Fertiliser_Products_Data3(), FertiliserProducts[[#Headers],[Company]],61)</f>
        <v/>
      </c>
      <c r="Y169" s="188" t="str" cm="1">
        <f t="array" ref="Y169">Common_InputFunctions.Utility_DisplayArrayInTable(Fertiliser_SourceData.Fertiliser_Products_Data3(), FertiliserProducts[[#Headers],[Company]],61)</f>
        <v/>
      </c>
      <c r="Z169" s="188" t="str" cm="1">
        <f t="array" ref="Z169">Common_InputFunctions.Utility_DisplayArrayInTable(Fertiliser_SourceData.Fertiliser_Products_Data3(), FertiliserProducts[[#Headers],[Company]],61)</f>
        <v/>
      </c>
      <c r="AA169" s="188" t="str" cm="1">
        <f t="array" ref="AA169">Common_InputFunctions.Utility_DisplayArrayInTable(Fertiliser_SourceData.Fertiliser_Products_Data3(), FertiliserProducts[[#Headers],[Company]],61)</f>
        <v/>
      </c>
      <c r="AB169" s="188" t="str" cm="1">
        <f t="array" ref="AB169">Common_InputFunctions.Utility_DisplayArrayInTable(Fertiliser_SourceData.Fertiliser_Products_Data3(), FertiliserProducts[[#Headers],[Company]],61)</f>
        <v/>
      </c>
      <c r="AC169" s="188" t="str" cm="1">
        <f t="array" ref="AC169">Common_InputFunctions.Utility_DisplayArrayInTable(Fertiliser_SourceData.Fertiliser_Products_Data3(), FertiliserProducts[[#Headers],[Company]],61)</f>
        <v/>
      </c>
      <c r="AD169" s="188" t="str" cm="1">
        <f t="array" ref="AD169">Common_InputFunctions.Utility_DisplayArrayInTable(Fertiliser_SourceData.Fertiliser_Products_Data3(), FertiliserProducts[[#Headers],[Company]],61)</f>
        <v/>
      </c>
      <c r="AE169" s="188" t="str" cm="1">
        <f t="array" ref="AE169">Common_InputFunctions.Utility_DisplayArrayInTable(Fertiliser_SourceData.Fertiliser_Products_Data3(), FertiliserProducts[[#Headers],[Company]],61)</f>
        <v/>
      </c>
      <c r="AF169" s="188" t="str" cm="1">
        <f t="array" ref="AF169">Common_InputFunctions.Utility_DisplayArrayInTable(Fertiliser_SourceData.Fertiliser_Products_Data3(), FertiliserProducts[[#Headers],[Company]],61)</f>
        <v/>
      </c>
      <c r="AG169" s="188" t="str" cm="1">
        <f t="array" ref="AG169">Common_InputFunctions.Utility_DisplayArrayInTable(Fertiliser_SourceData.Fertiliser_Products_Data3(), FertiliserProducts[[#Headers],[Company]],61)</f>
        <v/>
      </c>
      <c r="AH169" s="188" t="str" cm="1">
        <f t="array" ref="AH169">Common_InputFunctions.Utility_DisplayArrayInTable(Fertiliser_SourceData.Fertiliser_Products_Data3(), FertiliserProducts[[#Headers],[Company]],61)</f>
        <v/>
      </c>
      <c r="AK169" s="1"/>
    </row>
    <row r="170" spans="4:37" x14ac:dyDescent="0.25">
      <c r="D170" s="188" t="str" cm="1">
        <f t="array" ref="D170">Common_InputFunctions.Utility_DisplayArrayInTable(Fertiliser_SourceData.Fertiliser_Products_Data3(), FertiliserProducts[[#Headers],[Company]],61)</f>
        <v>SLTEC Fertilizers</v>
      </c>
      <c r="E170" s="188" t="str" cm="1">
        <f t="array" ref="E170">Common_InputFunctions.Utility_DisplayArrayInTable(Fertiliser_SourceData.Fertiliser_Products_Data3(), FertiliserProducts[[#Headers],[Company]],61)</f>
        <v>Triazone Urea</v>
      </c>
      <c r="F170" s="188" t="str" cm="1">
        <f t="array" ref="F170">Common_InputFunctions.Utility_DisplayArrayInTable(Fertiliser_SourceData.Fertiliser_Products_Data3(), FertiliserProducts[[#Headers],[Company]],61)</f>
        <v>L</v>
      </c>
      <c r="G170" s="188" cm="1">
        <f t="array" ref="G170">Common_InputFunctions.Utility_DisplayArrayInTable(Fertiliser_SourceData.Fertiliser_Products_Data3(), FertiliserProducts[[#Headers],[Company]],61)</f>
        <v>1.28</v>
      </c>
      <c r="H170" s="188" t="str" cm="1">
        <f t="array" ref="H170">Common_InputFunctions.Utility_DisplayArrayInTable(Fertiliser_SourceData.Fertiliser_Products_Data3(), FertiliserProducts[[#Headers],[Company]],61)</f>
        <v/>
      </c>
      <c r="I170" s="188" t="str" cm="1">
        <f t="array" ref="I170">Common_InputFunctions.Utility_DisplayArrayInTable(Fertiliser_SourceData.Fertiliser_Products_Data3(), FertiliserProducts[[#Headers],[Company]],61)</f>
        <v/>
      </c>
      <c r="J170" s="188" t="str" cm="1">
        <f t="array" ref="J170">Common_InputFunctions.Utility_DisplayArrayInTable(Fertiliser_SourceData.Fertiliser_Products_Data3(), FertiliserProducts[[#Headers],[Company]],61)</f>
        <v/>
      </c>
      <c r="K170" s="188" cm="1">
        <f t="array" ref="K170">Common_InputFunctions.Utility_DisplayArrayInTable(Fertiliser_SourceData.Fertiliser_Products_Data3(), FertiliserProducts[[#Headers],[Company]],61)</f>
        <v>0</v>
      </c>
      <c r="L170" s="188" t="str" cm="1">
        <f t="array" ref="L170">Common_InputFunctions.Utility_DisplayArrayInTable(Fertiliser_SourceData.Fertiliser_Products_Data3(), FertiliserProducts[[#Headers],[Company]],61)</f>
        <v/>
      </c>
      <c r="M170" s="188" t="str" cm="1">
        <f t="array" ref="M170">Common_InputFunctions.Utility_DisplayArrayInTable(Fertiliser_SourceData.Fertiliser_Products_Data3(), FertiliserProducts[[#Headers],[Company]],61)</f>
        <v/>
      </c>
      <c r="N170" s="188" t="str" cm="1">
        <f t="array" ref="N170">Common_InputFunctions.Utility_DisplayArrayInTable(Fertiliser_SourceData.Fertiliser_Products_Data3(), FertiliserProducts[[#Headers],[Company]],61)</f>
        <v/>
      </c>
      <c r="O170" s="188" t="str" cm="1">
        <f t="array" ref="O170">Common_InputFunctions.Utility_DisplayArrayInTable(Fertiliser_SourceData.Fertiliser_Products_Data3(), FertiliserProducts[[#Headers],[Company]],61)</f>
        <v>Urea</v>
      </c>
      <c r="P170" s="188" cm="1">
        <f t="array" ref="P170">Common_InputFunctions.Utility_DisplayArrayInTable(Fertiliser_SourceData.Fertiliser_Products_Data3(), FertiliserProducts[[#Headers],[Company]],61)</f>
        <v>0.65217400000000003</v>
      </c>
      <c r="Q170" s="188" t="str" cm="1">
        <f t="array" ref="Q170">Common_InputFunctions.Utility_DisplayArrayInTable(Fertiliser_SourceData.Fertiliser_Products_Data3(), FertiliserProducts[[#Headers],[Company]],61)</f>
        <v/>
      </c>
      <c r="R170" s="188" t="str" cm="1">
        <f t="array" ref="R170">Common_InputFunctions.Utility_DisplayArrayInTable(Fertiliser_SourceData.Fertiliser_Products_Data3(), FertiliserProducts[[#Headers],[Company]],61)</f>
        <v/>
      </c>
      <c r="S170" s="188" t="str" cm="1">
        <f t="array" ref="S170">Common_InputFunctions.Utility_DisplayArrayInTable(Fertiliser_SourceData.Fertiliser_Products_Data3(), FertiliserProducts[[#Headers],[Company]],61)</f>
        <v/>
      </c>
      <c r="T170" s="188" t="str" cm="1">
        <f t="array" ref="T170">Common_InputFunctions.Utility_DisplayArrayInTable(Fertiliser_SourceData.Fertiliser_Products_Data3(), FertiliserProducts[[#Headers],[Company]],61)</f>
        <v/>
      </c>
      <c r="U170" s="188" t="str" cm="1">
        <f t="array" ref="U170">Common_InputFunctions.Utility_DisplayArrayInTable(Fertiliser_SourceData.Fertiliser_Products_Data3(), FertiliserProducts[[#Headers],[Company]],61)</f>
        <v/>
      </c>
      <c r="V170" s="188" t="str" cm="1">
        <f t="array" ref="V170">Common_InputFunctions.Utility_DisplayArrayInTable(Fertiliser_SourceData.Fertiliser_Products_Data3(), FertiliserProducts[[#Headers],[Company]],61)</f>
        <v/>
      </c>
      <c r="W170" s="188" t="str" cm="1">
        <f t="array" ref="W170">Common_InputFunctions.Utility_DisplayArrayInTable(Fertiliser_SourceData.Fertiliser_Products_Data3(), FertiliserProducts[[#Headers],[Company]],61)</f>
        <v/>
      </c>
      <c r="X170" s="188" t="str" cm="1">
        <f t="array" ref="X170">Common_InputFunctions.Utility_DisplayArrayInTable(Fertiliser_SourceData.Fertiliser_Products_Data3(), FertiliserProducts[[#Headers],[Company]],61)</f>
        <v/>
      </c>
      <c r="Y170" s="188" t="str" cm="1">
        <f t="array" ref="Y170">Common_InputFunctions.Utility_DisplayArrayInTable(Fertiliser_SourceData.Fertiliser_Products_Data3(), FertiliserProducts[[#Headers],[Company]],61)</f>
        <v/>
      </c>
      <c r="Z170" s="188" t="str" cm="1">
        <f t="array" ref="Z170">Common_InputFunctions.Utility_DisplayArrayInTable(Fertiliser_SourceData.Fertiliser_Products_Data3(), FertiliserProducts[[#Headers],[Company]],61)</f>
        <v/>
      </c>
      <c r="AA170" s="188" t="str" cm="1">
        <f t="array" ref="AA170">Common_InputFunctions.Utility_DisplayArrayInTable(Fertiliser_SourceData.Fertiliser_Products_Data3(), FertiliserProducts[[#Headers],[Company]],61)</f>
        <v/>
      </c>
      <c r="AB170" s="188" t="str" cm="1">
        <f t="array" ref="AB170">Common_InputFunctions.Utility_DisplayArrayInTable(Fertiliser_SourceData.Fertiliser_Products_Data3(), FertiliserProducts[[#Headers],[Company]],61)</f>
        <v/>
      </c>
      <c r="AC170" s="188" t="str" cm="1">
        <f t="array" ref="AC170">Common_InputFunctions.Utility_DisplayArrayInTable(Fertiliser_SourceData.Fertiliser_Products_Data3(), FertiliserProducts[[#Headers],[Company]],61)</f>
        <v/>
      </c>
      <c r="AD170" s="188" t="str" cm="1">
        <f t="array" ref="AD170">Common_InputFunctions.Utility_DisplayArrayInTable(Fertiliser_SourceData.Fertiliser_Products_Data3(), FertiliserProducts[[#Headers],[Company]],61)</f>
        <v/>
      </c>
      <c r="AE170" s="188" t="str" cm="1">
        <f t="array" ref="AE170">Common_InputFunctions.Utility_DisplayArrayInTable(Fertiliser_SourceData.Fertiliser_Products_Data3(), FertiliserProducts[[#Headers],[Company]],61)</f>
        <v/>
      </c>
      <c r="AF170" s="188" t="str" cm="1">
        <f t="array" ref="AF170">Common_InputFunctions.Utility_DisplayArrayInTable(Fertiliser_SourceData.Fertiliser_Products_Data3(), FertiliserProducts[[#Headers],[Company]],61)</f>
        <v/>
      </c>
      <c r="AG170" s="188" t="str" cm="1">
        <f t="array" ref="AG170">Common_InputFunctions.Utility_DisplayArrayInTable(Fertiliser_SourceData.Fertiliser_Products_Data3(), FertiliserProducts[[#Headers],[Company]],61)</f>
        <v/>
      </c>
      <c r="AH170" s="188" t="str" cm="1">
        <f t="array" ref="AH170">Common_InputFunctions.Utility_DisplayArrayInTable(Fertiliser_SourceData.Fertiliser_Products_Data3(), FertiliserProducts[[#Headers],[Company]],61)</f>
        <v/>
      </c>
      <c r="AK170" s="1"/>
    </row>
    <row r="171" spans="4:37" x14ac:dyDescent="0.25">
      <c r="D171" s="188" t="str" cm="1">
        <f t="array" ref="D171">Common_InputFunctions.Utility_DisplayArrayInTable(Fertiliser_SourceData.Fertiliser_Products_Data3(), FertiliserProducts[[#Headers],[Company]],61)</f>
        <v>Marnco [listed as SLTEC]</v>
      </c>
      <c r="E171" s="188" t="str" cm="1">
        <f t="array" ref="E171">Common_InputFunctions.Utility_DisplayArrayInTable(Fertiliser_SourceData.Fertiliser_Products_Data3(), FertiliserProducts[[#Headers],[Company]],61)</f>
        <v>Ammo 36N</v>
      </c>
      <c r="F171" s="188" t="str" cm="1">
        <f t="array" ref="F171">Common_InputFunctions.Utility_DisplayArrayInTable(Fertiliser_SourceData.Fertiliser_Products_Data3(), FertiliserProducts[[#Headers],[Company]],61)</f>
        <v>kg</v>
      </c>
      <c r="G171" s="188" cm="1">
        <f t="array" ref="G171">Common_InputFunctions.Utility_DisplayArrayInTable(Fertiliser_SourceData.Fertiliser_Products_Data3(), FertiliserProducts[[#Headers],[Company]],61)</f>
        <v>1</v>
      </c>
      <c r="H171" s="188" t="str" cm="1">
        <f t="array" ref="H171">Common_InputFunctions.Utility_DisplayArrayInTable(Fertiliser_SourceData.Fertiliser_Products_Data3(), FertiliserProducts[[#Headers],[Company]],61)</f>
        <v/>
      </c>
      <c r="I171" s="188" t="str" cm="1">
        <f t="array" ref="I171">Common_InputFunctions.Utility_DisplayArrayInTable(Fertiliser_SourceData.Fertiliser_Products_Data3(), FertiliserProducts[[#Headers],[Company]],61)</f>
        <v/>
      </c>
      <c r="J171" s="188" t="str" cm="1">
        <f t="array" ref="J171">Common_InputFunctions.Utility_DisplayArrayInTable(Fertiliser_SourceData.Fertiliser_Products_Data3(), FertiliserProducts[[#Headers],[Company]],61)</f>
        <v/>
      </c>
      <c r="K171" s="188" cm="1">
        <f t="array" ref="K171">Common_InputFunctions.Utility_DisplayArrayInTable(Fertiliser_SourceData.Fertiliser_Products_Data3(), FertiliserProducts[[#Headers],[Company]],61)</f>
        <v>36</v>
      </c>
      <c r="L171" s="188" t="str" cm="1">
        <f t="array" ref="L171">Common_InputFunctions.Utility_DisplayArrayInTable(Fertiliser_SourceData.Fertiliser_Products_Data3(), FertiliserProducts[[#Headers],[Company]],61)</f>
        <v/>
      </c>
      <c r="M171" s="188" t="str" cm="1">
        <f t="array" ref="M171">Common_InputFunctions.Utility_DisplayArrayInTable(Fertiliser_SourceData.Fertiliser_Products_Data3(), FertiliserProducts[[#Headers],[Company]],61)</f>
        <v/>
      </c>
      <c r="N171" s="188" cm="1">
        <f t="array" ref="N171">Common_InputFunctions.Utility_DisplayArrayInTable(Fertiliser_SourceData.Fertiliser_Products_Data3(), FertiliserProducts[[#Headers],[Company]],61)</f>
        <v>9.6</v>
      </c>
      <c r="O171" s="188" t="str" cm="1">
        <f t="array" ref="O171">Common_InputFunctions.Utility_DisplayArrayInTable(Fertiliser_SourceData.Fertiliser_Products_Data3(), FertiliserProducts[[#Headers],[Company]],61)</f>
        <v>Nitrogen - Generic</v>
      </c>
      <c r="P171" s="188" cm="1">
        <f t="array" ref="P171">Common_InputFunctions.Utility_DisplayArrayInTable(Fertiliser_SourceData.Fertiliser_Products_Data3(), FertiliserProducts[[#Headers],[Company]],61)</f>
        <v>0.36</v>
      </c>
      <c r="Q171" s="188" t="str" cm="1">
        <f t="array" ref="Q171">Common_InputFunctions.Utility_DisplayArrayInTable(Fertiliser_SourceData.Fertiliser_Products_Data3(), FertiliserProducts[[#Headers],[Company]],61)</f>
        <v>Sulfur - Generic</v>
      </c>
      <c r="R171" s="188" cm="1">
        <f t="array" ref="R171">Common_InputFunctions.Utility_DisplayArrayInTable(Fertiliser_SourceData.Fertiliser_Products_Data3(), FertiliserProducts[[#Headers],[Company]],61)</f>
        <v>9.6000000000000002E-2</v>
      </c>
      <c r="S171" s="188" t="str" cm="1">
        <f t="array" ref="S171">Common_InputFunctions.Utility_DisplayArrayInTable(Fertiliser_SourceData.Fertiliser_Products_Data3(), FertiliserProducts[[#Headers],[Company]],61)</f>
        <v/>
      </c>
      <c r="T171" s="188" t="str" cm="1">
        <f t="array" ref="T171">Common_InputFunctions.Utility_DisplayArrayInTable(Fertiliser_SourceData.Fertiliser_Products_Data3(), FertiliserProducts[[#Headers],[Company]],61)</f>
        <v/>
      </c>
      <c r="U171" s="188" t="str" cm="1">
        <f t="array" ref="U171">Common_InputFunctions.Utility_DisplayArrayInTable(Fertiliser_SourceData.Fertiliser_Products_Data3(), FertiliserProducts[[#Headers],[Company]],61)</f>
        <v/>
      </c>
      <c r="V171" s="188" t="str" cm="1">
        <f t="array" ref="V171">Common_InputFunctions.Utility_DisplayArrayInTable(Fertiliser_SourceData.Fertiliser_Products_Data3(), FertiliserProducts[[#Headers],[Company]],61)</f>
        <v/>
      </c>
      <c r="W171" s="188" t="str" cm="1">
        <f t="array" ref="W171">Common_InputFunctions.Utility_DisplayArrayInTable(Fertiliser_SourceData.Fertiliser_Products_Data3(), FertiliserProducts[[#Headers],[Company]],61)</f>
        <v/>
      </c>
      <c r="X171" s="188" t="str" cm="1">
        <f t="array" ref="X171">Common_InputFunctions.Utility_DisplayArrayInTable(Fertiliser_SourceData.Fertiliser_Products_Data3(), FertiliserProducts[[#Headers],[Company]],61)</f>
        <v/>
      </c>
      <c r="Y171" s="188" t="str" cm="1">
        <f t="array" ref="Y171">Common_InputFunctions.Utility_DisplayArrayInTable(Fertiliser_SourceData.Fertiliser_Products_Data3(), FertiliserProducts[[#Headers],[Company]],61)</f>
        <v/>
      </c>
      <c r="Z171" s="188" t="str" cm="1">
        <f t="array" ref="Z171">Common_InputFunctions.Utility_DisplayArrayInTable(Fertiliser_SourceData.Fertiliser_Products_Data3(), FertiliserProducts[[#Headers],[Company]],61)</f>
        <v/>
      </c>
      <c r="AA171" s="188" t="str" cm="1">
        <f t="array" ref="AA171">Common_InputFunctions.Utility_DisplayArrayInTable(Fertiliser_SourceData.Fertiliser_Products_Data3(), FertiliserProducts[[#Headers],[Company]],61)</f>
        <v/>
      </c>
      <c r="AB171" s="188" t="str" cm="1">
        <f t="array" ref="AB171">Common_InputFunctions.Utility_DisplayArrayInTable(Fertiliser_SourceData.Fertiliser_Products_Data3(), FertiliserProducts[[#Headers],[Company]],61)</f>
        <v/>
      </c>
      <c r="AC171" s="188" t="str" cm="1">
        <f t="array" ref="AC171">Common_InputFunctions.Utility_DisplayArrayInTable(Fertiliser_SourceData.Fertiliser_Products_Data3(), FertiliserProducts[[#Headers],[Company]],61)</f>
        <v/>
      </c>
      <c r="AD171" s="188" t="str" cm="1">
        <f t="array" ref="AD171">Common_InputFunctions.Utility_DisplayArrayInTable(Fertiliser_SourceData.Fertiliser_Products_Data3(), FertiliserProducts[[#Headers],[Company]],61)</f>
        <v/>
      </c>
      <c r="AE171" s="188" t="str" cm="1">
        <f t="array" ref="AE171">Common_InputFunctions.Utility_DisplayArrayInTable(Fertiliser_SourceData.Fertiliser_Products_Data3(), FertiliserProducts[[#Headers],[Company]],61)</f>
        <v/>
      </c>
      <c r="AF171" s="188" t="str" cm="1">
        <f t="array" ref="AF171">Common_InputFunctions.Utility_DisplayArrayInTable(Fertiliser_SourceData.Fertiliser_Products_Data3(), FertiliserProducts[[#Headers],[Company]],61)</f>
        <v/>
      </c>
      <c r="AG171" s="188" t="str" cm="1">
        <f t="array" ref="AG171">Common_InputFunctions.Utility_DisplayArrayInTable(Fertiliser_SourceData.Fertiliser_Products_Data3(), FertiliserProducts[[#Headers],[Company]],61)</f>
        <v/>
      </c>
      <c r="AH171" s="188" t="str" cm="1">
        <f t="array" ref="AH171">Common_InputFunctions.Utility_DisplayArrayInTable(Fertiliser_SourceData.Fertiliser_Products_Data3(), FertiliserProducts[[#Headers],[Company]],61)</f>
        <v/>
      </c>
      <c r="AK171" s="1"/>
    </row>
    <row r="172" spans="4:37" x14ac:dyDescent="0.25">
      <c r="D172" s="188" t="str" cm="1">
        <f t="array" ref="D172">Common_InputFunctions.Utility_DisplayArrayInTable(Fertiliser_SourceData.Fertiliser_Products_Data3(), FertiliserProducts[[#Headers],[Company]],61)</f>
        <v>Risso-Chemical</v>
      </c>
      <c r="E172" s="188" t="str" cm="1">
        <f t="array" ref="E172">Common_InputFunctions.Utility_DisplayArrayInTable(Fertiliser_SourceData.Fertiliser_Products_Data3(), FertiliserProducts[[#Headers],[Company]],61)</f>
        <v>Risso Liquid NPK (200-200-200)</v>
      </c>
      <c r="F172" s="188" t="str" cm="1">
        <f t="array" ref="F172">Common_InputFunctions.Utility_DisplayArrayInTable(Fertiliser_SourceData.Fertiliser_Products_Data3(), FertiliserProducts[[#Headers],[Company]],61)</f>
        <v>L</v>
      </c>
      <c r="G172" s="188" cm="1">
        <f t="array" ref="G172">Common_InputFunctions.Utility_DisplayArrayInTable(Fertiliser_SourceData.Fertiliser_Products_Data3(), FertiliserProducts[[#Headers],[Company]],61)</f>
        <v>1.3</v>
      </c>
      <c r="H172" s="188" t="str" cm="1">
        <f t="array" ref="H172">Common_InputFunctions.Utility_DisplayArrayInTable(Fertiliser_SourceData.Fertiliser_Products_Data3(), FertiliserProducts[[#Headers],[Company]],61)</f>
        <v/>
      </c>
      <c r="I172" s="188" t="str" cm="1">
        <f t="array" ref="I172">Common_InputFunctions.Utility_DisplayArrayInTable(Fertiliser_SourceData.Fertiliser_Products_Data3(), FertiliserProducts[[#Headers],[Company]],61)</f>
        <v/>
      </c>
      <c r="J172" s="188" t="str" cm="1">
        <f t="array" ref="J172">Common_InputFunctions.Utility_DisplayArrayInTable(Fertiliser_SourceData.Fertiliser_Products_Data3(), FertiliserProducts[[#Headers],[Company]],61)</f>
        <v/>
      </c>
      <c r="K172" s="188" cm="1">
        <f t="array" ref="K172">Common_InputFunctions.Utility_DisplayArrayInTable(Fertiliser_SourceData.Fertiliser_Products_Data3(), FertiliserProducts[[#Headers],[Company]],61)</f>
        <v>20</v>
      </c>
      <c r="L172" s="188" cm="1">
        <f t="array" ref="L172">Common_InputFunctions.Utility_DisplayArrayInTable(Fertiliser_SourceData.Fertiliser_Products_Data3(), FertiliserProducts[[#Headers],[Company]],61)</f>
        <v>8.73</v>
      </c>
      <c r="M172" s="188" cm="1">
        <f t="array" ref="M172">Common_InputFunctions.Utility_DisplayArrayInTable(Fertiliser_SourceData.Fertiliser_Products_Data3(), FertiliserProducts[[#Headers],[Company]],61)</f>
        <v>16.600000000000001</v>
      </c>
      <c r="N172" s="188" t="str" cm="1">
        <f t="array" ref="N172">Common_InputFunctions.Utility_DisplayArrayInTable(Fertiliser_SourceData.Fertiliser_Products_Data3(), FertiliserProducts[[#Headers],[Company]],61)</f>
        <v/>
      </c>
      <c r="O172" s="188" t="str" cm="1">
        <f t="array" ref="O172">Common_InputFunctions.Utility_DisplayArrayInTable(Fertiliser_SourceData.Fertiliser_Products_Data3(), FertiliserProducts[[#Headers],[Company]],61)</f>
        <v>Nitrogen - Generic</v>
      </c>
      <c r="P172" s="188" cm="1">
        <f t="array" ref="P172">Common_InputFunctions.Utility_DisplayArrayInTable(Fertiliser_SourceData.Fertiliser_Products_Data3(), FertiliserProducts[[#Headers],[Company]],61)</f>
        <v>0.2</v>
      </c>
      <c r="Q172" s="188" t="str" cm="1">
        <f t="array" ref="Q172">Common_InputFunctions.Utility_DisplayArrayInTable(Fertiliser_SourceData.Fertiliser_Products_Data3(), FertiliserProducts[[#Headers],[Company]],61)</f>
        <v>Phosphorus - Generic</v>
      </c>
      <c r="R172" s="188" cm="1">
        <f t="array" ref="R172">Common_InputFunctions.Utility_DisplayArrayInTable(Fertiliser_SourceData.Fertiliser_Products_Data3(), FertiliserProducts[[#Headers],[Company]],61)</f>
        <v>8.7279999999999996E-2</v>
      </c>
      <c r="S172" s="188" t="str" cm="1">
        <f t="array" ref="S172">Common_InputFunctions.Utility_DisplayArrayInTable(Fertiliser_SourceData.Fertiliser_Products_Data3(), FertiliserProducts[[#Headers],[Company]],61)</f>
        <v>Potassium - Generic</v>
      </c>
      <c r="T172" s="188" cm="1">
        <f t="array" ref="T172">Common_InputFunctions.Utility_DisplayArrayInTable(Fertiliser_SourceData.Fertiliser_Products_Data3(), FertiliserProducts[[#Headers],[Company]],61)</f>
        <v>0.16602</v>
      </c>
      <c r="U172" s="188" t="str" cm="1">
        <f t="array" ref="U172">Common_InputFunctions.Utility_DisplayArrayInTable(Fertiliser_SourceData.Fertiliser_Products_Data3(), FertiliserProducts[[#Headers],[Company]],61)</f>
        <v/>
      </c>
      <c r="V172" s="188" t="str" cm="1">
        <f t="array" ref="V172">Common_InputFunctions.Utility_DisplayArrayInTable(Fertiliser_SourceData.Fertiliser_Products_Data3(), FertiliserProducts[[#Headers],[Company]],61)</f>
        <v/>
      </c>
      <c r="W172" s="188" t="str" cm="1">
        <f t="array" ref="W172">Common_InputFunctions.Utility_DisplayArrayInTable(Fertiliser_SourceData.Fertiliser_Products_Data3(), FertiliserProducts[[#Headers],[Company]],61)</f>
        <v/>
      </c>
      <c r="X172" s="188" t="str" cm="1">
        <f t="array" ref="X172">Common_InputFunctions.Utility_DisplayArrayInTable(Fertiliser_SourceData.Fertiliser_Products_Data3(), FertiliserProducts[[#Headers],[Company]],61)</f>
        <v/>
      </c>
      <c r="Y172" s="188" t="str" cm="1">
        <f t="array" ref="Y172">Common_InputFunctions.Utility_DisplayArrayInTable(Fertiliser_SourceData.Fertiliser_Products_Data3(), FertiliserProducts[[#Headers],[Company]],61)</f>
        <v/>
      </c>
      <c r="Z172" s="188" t="str" cm="1">
        <f t="array" ref="Z172">Common_InputFunctions.Utility_DisplayArrayInTable(Fertiliser_SourceData.Fertiliser_Products_Data3(), FertiliserProducts[[#Headers],[Company]],61)</f>
        <v/>
      </c>
      <c r="AA172" s="188" t="str" cm="1">
        <f t="array" ref="AA172">Common_InputFunctions.Utility_DisplayArrayInTable(Fertiliser_SourceData.Fertiliser_Products_Data3(), FertiliserProducts[[#Headers],[Company]],61)</f>
        <v/>
      </c>
      <c r="AB172" s="188" t="str" cm="1">
        <f t="array" ref="AB172">Common_InputFunctions.Utility_DisplayArrayInTable(Fertiliser_SourceData.Fertiliser_Products_Data3(), FertiliserProducts[[#Headers],[Company]],61)</f>
        <v/>
      </c>
      <c r="AC172" s="188" t="str" cm="1">
        <f t="array" ref="AC172">Common_InputFunctions.Utility_DisplayArrayInTable(Fertiliser_SourceData.Fertiliser_Products_Data3(), FertiliserProducts[[#Headers],[Company]],61)</f>
        <v/>
      </c>
      <c r="AD172" s="188" t="str" cm="1">
        <f t="array" ref="AD172">Common_InputFunctions.Utility_DisplayArrayInTable(Fertiliser_SourceData.Fertiliser_Products_Data3(), FertiliserProducts[[#Headers],[Company]],61)</f>
        <v/>
      </c>
      <c r="AE172" s="188" t="str" cm="1">
        <f t="array" ref="AE172">Common_InputFunctions.Utility_DisplayArrayInTable(Fertiliser_SourceData.Fertiliser_Products_Data3(), FertiliserProducts[[#Headers],[Company]],61)</f>
        <v/>
      </c>
      <c r="AF172" s="188" t="str" cm="1">
        <f t="array" ref="AF172">Common_InputFunctions.Utility_DisplayArrayInTable(Fertiliser_SourceData.Fertiliser_Products_Data3(), FertiliserProducts[[#Headers],[Company]],61)</f>
        <v/>
      </c>
      <c r="AG172" s="188" t="str" cm="1">
        <f t="array" ref="AG172">Common_InputFunctions.Utility_DisplayArrayInTable(Fertiliser_SourceData.Fertiliser_Products_Data3(), FertiliserProducts[[#Headers],[Company]],61)</f>
        <v/>
      </c>
      <c r="AH172" s="188" t="str" cm="1">
        <f t="array" ref="AH172">Common_InputFunctions.Utility_DisplayArrayInTable(Fertiliser_SourceData.Fertiliser_Products_Data3(), FertiliserProducts[[#Headers],[Company]],61)</f>
        <v/>
      </c>
      <c r="AK172" s="1"/>
    </row>
    <row r="173" spans="4:37" x14ac:dyDescent="0.25">
      <c r="D173" s="188" t="str" cm="1">
        <f t="array" ref="D173">Common_InputFunctions.Utility_DisplayArrayInTable(Fertiliser_SourceData.Fertiliser_Products_Data3(), FertiliserProducts[[#Headers],[Company]],61)</f>
        <v>Turf Group Australia (Simplot)</v>
      </c>
      <c r="E173" s="188" t="str" cm="1">
        <f t="array" ref="E173">Common_InputFunctions.Utility_DisplayArrayInTable(Fertiliser_SourceData.Fertiliser_Products_Data3(), FertiliserProducts[[#Headers],[Company]],61)</f>
        <v>Super Cal 15-0-12</v>
      </c>
      <c r="F173" s="188" t="str" cm="1">
        <f t="array" ref="F173">Common_InputFunctions.Utility_DisplayArrayInTable(Fertiliser_SourceData.Fertiliser_Products_Data3(), FertiliserProducts[[#Headers],[Company]],61)</f>
        <v>kg</v>
      </c>
      <c r="G173" s="188" cm="1">
        <f t="array" ref="G173">Common_InputFunctions.Utility_DisplayArrayInTable(Fertiliser_SourceData.Fertiliser_Products_Data3(), FertiliserProducts[[#Headers],[Company]],61)</f>
        <v>1</v>
      </c>
      <c r="H173" s="188" t="str" cm="1">
        <f t="array" ref="H173">Common_InputFunctions.Utility_DisplayArrayInTable(Fertiliser_SourceData.Fertiliser_Products_Data3(), FertiliserProducts[[#Headers],[Company]],61)</f>
        <v/>
      </c>
      <c r="I173" s="188" t="str" cm="1">
        <f t="array" ref="I173">Common_InputFunctions.Utility_DisplayArrayInTable(Fertiliser_SourceData.Fertiliser_Products_Data3(), FertiliserProducts[[#Headers],[Company]],61)</f>
        <v/>
      </c>
      <c r="J173" s="188" t="str" cm="1">
        <f t="array" ref="J173">Common_InputFunctions.Utility_DisplayArrayInTable(Fertiliser_SourceData.Fertiliser_Products_Data3(), FertiliserProducts[[#Headers],[Company]],61)</f>
        <v/>
      </c>
      <c r="K173" s="188" cm="1">
        <f t="array" ref="K173">Common_InputFunctions.Utility_DisplayArrayInTable(Fertiliser_SourceData.Fertiliser_Products_Data3(), FertiliserProducts[[#Headers],[Company]],61)</f>
        <v>15</v>
      </c>
      <c r="L173" s="188" t="str" cm="1">
        <f t="array" ref="L173">Common_InputFunctions.Utility_DisplayArrayInTable(Fertiliser_SourceData.Fertiliser_Products_Data3(), FertiliserProducts[[#Headers],[Company]],61)</f>
        <v/>
      </c>
      <c r="M173" s="188" cm="1">
        <f t="array" ref="M173">Common_InputFunctions.Utility_DisplayArrayInTable(Fertiliser_SourceData.Fertiliser_Products_Data3(), FertiliserProducts[[#Headers],[Company]],61)</f>
        <v>9.9600000000000009</v>
      </c>
      <c r="N173" s="188" t="str" cm="1">
        <f t="array" ref="N173">Common_InputFunctions.Utility_DisplayArrayInTable(Fertiliser_SourceData.Fertiliser_Products_Data3(), FertiliserProducts[[#Headers],[Company]],61)</f>
        <v/>
      </c>
      <c r="O173" s="188" t="str" cm="1">
        <f t="array" ref="O173">Common_InputFunctions.Utility_DisplayArrayInTable(Fertiliser_SourceData.Fertiliser_Products_Data3(), FertiliserProducts[[#Headers],[Company]],61)</f>
        <v>Nitrogen - Nitrate</v>
      </c>
      <c r="P173" s="188" cm="1">
        <f t="array" ref="P173">Common_InputFunctions.Utility_DisplayArrayInTable(Fertiliser_SourceData.Fertiliser_Products_Data3(), FertiliserProducts[[#Headers],[Company]],61)</f>
        <v>8.4737000000000007E-2</v>
      </c>
      <c r="Q173" s="188" t="str" cm="1">
        <f t="array" ref="Q173">Common_InputFunctions.Utility_DisplayArrayInTable(Fertiliser_SourceData.Fertiliser_Products_Data3(), FertiliserProducts[[#Headers],[Company]],61)</f>
        <v>Potassium - Generic</v>
      </c>
      <c r="R173" s="188" cm="1">
        <f t="array" ref="R173">Common_InputFunctions.Utility_DisplayArrayInTable(Fertiliser_SourceData.Fertiliser_Products_Data3(), FertiliserProducts[[#Headers],[Company]],61)</f>
        <v>9.9612000000000006E-2</v>
      </c>
      <c r="S173" s="188" t="str" cm="1">
        <f t="array" ref="S173">Common_InputFunctions.Utility_DisplayArrayInTable(Fertiliser_SourceData.Fertiliser_Products_Data3(), FertiliserProducts[[#Headers],[Company]],61)</f>
        <v>Calcium nitrate</v>
      </c>
      <c r="T173" s="188" cm="1">
        <f t="array" ref="T173">Common_InputFunctions.Utility_DisplayArrayInTable(Fertiliser_SourceData.Fertiliser_Products_Data3(), FertiliserProducts[[#Headers],[Company]],61)</f>
        <v>0.42105300000000001</v>
      </c>
      <c r="U173" s="188" t="str" cm="1">
        <f t="array" ref="U173">Common_InputFunctions.Utility_DisplayArrayInTable(Fertiliser_SourceData.Fertiliser_Products_Data3(), FertiliserProducts[[#Headers],[Company]],61)</f>
        <v>Magnesium</v>
      </c>
      <c r="V173" s="188" cm="1">
        <f t="array" ref="V173">Common_InputFunctions.Utility_DisplayArrayInTable(Fertiliser_SourceData.Fertiliser_Products_Data3(), FertiliserProducts[[#Headers],[Company]],61)</f>
        <v>5.0000000000000001E-3</v>
      </c>
      <c r="W173" s="188" t="str" cm="1">
        <f t="array" ref="W173">Common_InputFunctions.Utility_DisplayArrayInTable(Fertiliser_SourceData.Fertiliser_Products_Data3(), FertiliserProducts[[#Headers],[Company]],61)</f>
        <v>Boron</v>
      </c>
      <c r="X173" s="188" cm="1">
        <f t="array" ref="X173">Common_InputFunctions.Utility_DisplayArrayInTable(Fertiliser_SourceData.Fertiliser_Products_Data3(), FertiliserProducts[[#Headers],[Company]],61)</f>
        <v>2.0000000000000001E-4</v>
      </c>
      <c r="Y173" s="188" t="str" cm="1">
        <f t="array" ref="Y173">Common_InputFunctions.Utility_DisplayArrayInTable(Fertiliser_SourceData.Fertiliser_Products_Data3(), FertiliserProducts[[#Headers],[Company]],61)</f>
        <v/>
      </c>
      <c r="Z173" s="188" t="str" cm="1">
        <f t="array" ref="Z173">Common_InputFunctions.Utility_DisplayArrayInTable(Fertiliser_SourceData.Fertiliser_Products_Data3(), FertiliserProducts[[#Headers],[Company]],61)</f>
        <v/>
      </c>
      <c r="AA173" s="188" t="str" cm="1">
        <f t="array" ref="AA173">Common_InputFunctions.Utility_DisplayArrayInTable(Fertiliser_SourceData.Fertiliser_Products_Data3(), FertiliserProducts[[#Headers],[Company]],61)</f>
        <v/>
      </c>
      <c r="AB173" s="188" t="str" cm="1">
        <f t="array" ref="AB173">Common_InputFunctions.Utility_DisplayArrayInTable(Fertiliser_SourceData.Fertiliser_Products_Data3(), FertiliserProducts[[#Headers],[Company]],61)</f>
        <v/>
      </c>
      <c r="AC173" s="188" t="str" cm="1">
        <f t="array" ref="AC173">Common_InputFunctions.Utility_DisplayArrayInTable(Fertiliser_SourceData.Fertiliser_Products_Data3(), FertiliserProducts[[#Headers],[Company]],61)</f>
        <v/>
      </c>
      <c r="AD173" s="188" t="str" cm="1">
        <f t="array" ref="AD173">Common_InputFunctions.Utility_DisplayArrayInTable(Fertiliser_SourceData.Fertiliser_Products_Data3(), FertiliserProducts[[#Headers],[Company]],61)</f>
        <v/>
      </c>
      <c r="AE173" s="188" t="str" cm="1">
        <f t="array" ref="AE173">Common_InputFunctions.Utility_DisplayArrayInTable(Fertiliser_SourceData.Fertiliser_Products_Data3(), FertiliserProducts[[#Headers],[Company]],61)</f>
        <v/>
      </c>
      <c r="AF173" s="188" t="str" cm="1">
        <f t="array" ref="AF173">Common_InputFunctions.Utility_DisplayArrayInTable(Fertiliser_SourceData.Fertiliser_Products_Data3(), FertiliserProducts[[#Headers],[Company]],61)</f>
        <v/>
      </c>
      <c r="AG173" s="188" t="str" cm="1">
        <f t="array" ref="AG173">Common_InputFunctions.Utility_DisplayArrayInTable(Fertiliser_SourceData.Fertiliser_Products_Data3(), FertiliserProducts[[#Headers],[Company]],61)</f>
        <v/>
      </c>
      <c r="AH173" s="188" t="str" cm="1">
        <f t="array" ref="AH173">Common_InputFunctions.Utility_DisplayArrayInTable(Fertiliser_SourceData.Fertiliser_Products_Data3(), FertiliserProducts[[#Headers],[Company]],61)</f>
        <v/>
      </c>
      <c r="AK173" s="1"/>
    </row>
    <row r="174" spans="4:37" x14ac:dyDescent="0.25">
      <c r="D174" s="188" t="str" cm="1">
        <f t="array" ref="D174">Common_InputFunctions.Utility_DisplayArrayInTable(Fertiliser_SourceData.Fertiliser_Products_Data3(), FertiliserProducts[[#Headers],[Company]],61)</f>
        <v>Incitec Pivot Fertilisers</v>
      </c>
      <c r="E174" s="188" t="str" cm="1">
        <f t="array" ref="E174">Common_InputFunctions.Utility_DisplayArrayInTable(Fertiliser_SourceData.Fertiliser_Products_Data3(), FertiliserProducts[[#Headers],[Company]],61)</f>
        <v>CK 88</v>
      </c>
      <c r="F174" s="188" t="str" cm="1">
        <f t="array" ref="F174">Common_InputFunctions.Utility_DisplayArrayInTable(Fertiliser_SourceData.Fertiliser_Products_Data3(), FertiliserProducts[[#Headers],[Company]],61)</f>
        <v>kg</v>
      </c>
      <c r="G174" s="188" cm="1">
        <f t="array" ref="G174">Common_InputFunctions.Utility_DisplayArrayInTable(Fertiliser_SourceData.Fertiliser_Products_Data3(), FertiliserProducts[[#Headers],[Company]],61)</f>
        <v>1</v>
      </c>
      <c r="H174" s="188" t="str" cm="1">
        <f t="array" ref="H174">Common_InputFunctions.Utility_DisplayArrayInTable(Fertiliser_SourceData.Fertiliser_Products_Data3(), FertiliserProducts[[#Headers],[Company]],61)</f>
        <v/>
      </c>
      <c r="I174" s="188" t="str" cm="1">
        <f t="array" ref="I174">Common_InputFunctions.Utility_DisplayArrayInTable(Fertiliser_SourceData.Fertiliser_Products_Data3(), FertiliserProducts[[#Headers],[Company]],61)</f>
        <v/>
      </c>
      <c r="J174" s="188" t="str" cm="1">
        <f t="array" ref="J174">Common_InputFunctions.Utility_DisplayArrayInTable(Fertiliser_SourceData.Fertiliser_Products_Data3(), FertiliserProducts[[#Headers],[Company]],61)</f>
        <v/>
      </c>
      <c r="K174" s="188" cm="1">
        <f t="array" ref="K174">Common_InputFunctions.Utility_DisplayArrayInTable(Fertiliser_SourceData.Fertiliser_Products_Data3(), FertiliserProducts[[#Headers],[Company]],61)</f>
        <v>15.1</v>
      </c>
      <c r="L174" s="188" cm="1">
        <f t="array" ref="L174">Common_InputFunctions.Utility_DisplayArrayInTable(Fertiliser_SourceData.Fertiliser_Products_Data3(), FertiliserProducts[[#Headers],[Company]],61)</f>
        <v>4.4000000000000004</v>
      </c>
      <c r="M174" s="188" cm="1">
        <f t="array" ref="M174">Common_InputFunctions.Utility_DisplayArrayInTable(Fertiliser_SourceData.Fertiliser_Products_Data3(), FertiliserProducts[[#Headers],[Company]],61)</f>
        <v>11.5</v>
      </c>
      <c r="N174" s="188" cm="1">
        <f t="array" ref="N174">Common_InputFunctions.Utility_DisplayArrayInTable(Fertiliser_SourceData.Fertiliser_Products_Data3(), FertiliserProducts[[#Headers],[Company]],61)</f>
        <v>13.6</v>
      </c>
      <c r="O174" s="188" t="str" cm="1">
        <f t="array" ref="O174">Common_InputFunctions.Utility_DisplayArrayInTable(Fertiliser_SourceData.Fertiliser_Products_Data3(), FertiliserProducts[[#Headers],[Company]],61)</f>
        <v>Nitrogen - Generic</v>
      </c>
      <c r="P174" s="188" cm="1">
        <f t="array" ref="P174">Common_InputFunctions.Utility_DisplayArrayInTable(Fertiliser_SourceData.Fertiliser_Products_Data3(), FertiliserProducts[[#Headers],[Company]],61)</f>
        <v>0.151</v>
      </c>
      <c r="Q174" s="188" t="str" cm="1">
        <f t="array" ref="Q174">Common_InputFunctions.Utility_DisplayArrayInTable(Fertiliser_SourceData.Fertiliser_Products_Data3(), FertiliserProducts[[#Headers],[Company]],61)</f>
        <v>Phosphorus - Generic</v>
      </c>
      <c r="R174" s="188" cm="1">
        <f t="array" ref="R174">Common_InputFunctions.Utility_DisplayArrayInTable(Fertiliser_SourceData.Fertiliser_Products_Data3(), FertiliserProducts[[#Headers],[Company]],61)</f>
        <v>4.3999999999999997E-2</v>
      </c>
      <c r="S174" s="188" t="str" cm="1">
        <f t="array" ref="S174">Common_InputFunctions.Utility_DisplayArrayInTable(Fertiliser_SourceData.Fertiliser_Products_Data3(), FertiliserProducts[[#Headers],[Company]],61)</f>
        <v>Potassium - Generic</v>
      </c>
      <c r="T174" s="188" cm="1">
        <f t="array" ref="T174">Common_InputFunctions.Utility_DisplayArrayInTable(Fertiliser_SourceData.Fertiliser_Products_Data3(), FertiliserProducts[[#Headers],[Company]],61)</f>
        <v>0.115</v>
      </c>
      <c r="U174" s="188" t="str" cm="1">
        <f t="array" ref="U174">Common_InputFunctions.Utility_DisplayArrayInTable(Fertiliser_SourceData.Fertiliser_Products_Data3(), FertiliserProducts[[#Headers],[Company]],61)</f>
        <v>Sulfur - Generic</v>
      </c>
      <c r="V174" s="188" cm="1">
        <f t="array" ref="V174">Common_InputFunctions.Utility_DisplayArrayInTable(Fertiliser_SourceData.Fertiliser_Products_Data3(), FertiliserProducts[[#Headers],[Company]],61)</f>
        <v>0.13600000000000001</v>
      </c>
      <c r="W174" s="188" t="str" cm="1">
        <f t="array" ref="W174">Common_InputFunctions.Utility_DisplayArrayInTable(Fertiliser_SourceData.Fertiliser_Products_Data3(), FertiliserProducts[[#Headers],[Company]],61)</f>
        <v/>
      </c>
      <c r="X174" s="188" t="str" cm="1">
        <f t="array" ref="X174">Common_InputFunctions.Utility_DisplayArrayInTable(Fertiliser_SourceData.Fertiliser_Products_Data3(), FertiliserProducts[[#Headers],[Company]],61)</f>
        <v/>
      </c>
      <c r="Y174" s="188" t="str" cm="1">
        <f t="array" ref="Y174">Common_InputFunctions.Utility_DisplayArrayInTable(Fertiliser_SourceData.Fertiliser_Products_Data3(), FertiliserProducts[[#Headers],[Company]],61)</f>
        <v/>
      </c>
      <c r="Z174" s="188" t="str" cm="1">
        <f t="array" ref="Z174">Common_InputFunctions.Utility_DisplayArrayInTable(Fertiliser_SourceData.Fertiliser_Products_Data3(), FertiliserProducts[[#Headers],[Company]],61)</f>
        <v/>
      </c>
      <c r="AA174" s="188" t="str" cm="1">
        <f t="array" ref="AA174">Common_InputFunctions.Utility_DisplayArrayInTable(Fertiliser_SourceData.Fertiliser_Products_Data3(), FertiliserProducts[[#Headers],[Company]],61)</f>
        <v/>
      </c>
      <c r="AB174" s="188" t="str" cm="1">
        <f t="array" ref="AB174">Common_InputFunctions.Utility_DisplayArrayInTable(Fertiliser_SourceData.Fertiliser_Products_Data3(), FertiliserProducts[[#Headers],[Company]],61)</f>
        <v/>
      </c>
      <c r="AC174" s="188" t="str" cm="1">
        <f t="array" ref="AC174">Common_InputFunctions.Utility_DisplayArrayInTable(Fertiliser_SourceData.Fertiliser_Products_Data3(), FertiliserProducts[[#Headers],[Company]],61)</f>
        <v/>
      </c>
      <c r="AD174" s="188" t="str" cm="1">
        <f t="array" ref="AD174">Common_InputFunctions.Utility_DisplayArrayInTable(Fertiliser_SourceData.Fertiliser_Products_Data3(), FertiliserProducts[[#Headers],[Company]],61)</f>
        <v/>
      </c>
      <c r="AE174" s="188" t="str" cm="1">
        <f t="array" ref="AE174">Common_InputFunctions.Utility_DisplayArrayInTable(Fertiliser_SourceData.Fertiliser_Products_Data3(), FertiliserProducts[[#Headers],[Company]],61)</f>
        <v/>
      </c>
      <c r="AF174" s="188" t="str" cm="1">
        <f t="array" ref="AF174">Common_InputFunctions.Utility_DisplayArrayInTable(Fertiliser_SourceData.Fertiliser_Products_Data3(), FertiliserProducts[[#Headers],[Company]],61)</f>
        <v/>
      </c>
      <c r="AG174" s="188" t="str" cm="1">
        <f t="array" ref="AG174">Common_InputFunctions.Utility_DisplayArrayInTable(Fertiliser_SourceData.Fertiliser_Products_Data3(), FertiliserProducts[[#Headers],[Company]],61)</f>
        <v/>
      </c>
      <c r="AH174" s="188" t="str" cm="1">
        <f t="array" ref="AH174">Common_InputFunctions.Utility_DisplayArrayInTable(Fertiliser_SourceData.Fertiliser_Products_Data3(), FertiliserProducts[[#Headers],[Company]],61)</f>
        <v/>
      </c>
      <c r="AK174" s="1"/>
    </row>
    <row r="175" spans="4:37" x14ac:dyDescent="0.25">
      <c r="D175" s="188" t="str" cm="1">
        <f t="array" ref="D175">Common_InputFunctions.Utility_DisplayArrayInTable(Fertiliser_SourceData.Fertiliser_Products_Data3(), FertiliserProducts[[#Headers],[Company]],61)</f>
        <v>Incitec Pivot Fertilisers</v>
      </c>
      <c r="E175" s="188" t="str" cm="1">
        <f t="array" ref="E175">Common_InputFunctions.Utility_DisplayArrayInTable(Fertiliser_SourceData.Fertiliser_Products_Data3(), FertiliserProducts[[#Headers],[Company]],61)</f>
        <v>CropLift 15</v>
      </c>
      <c r="F175" s="188" t="str" cm="1">
        <f t="array" ref="F175">Common_InputFunctions.Utility_DisplayArrayInTable(Fertiliser_SourceData.Fertiliser_Products_Data3(), FertiliserProducts[[#Headers],[Company]],61)</f>
        <v>kg</v>
      </c>
      <c r="G175" s="188" cm="1">
        <f t="array" ref="G175">Common_InputFunctions.Utility_DisplayArrayInTable(Fertiliser_SourceData.Fertiliser_Products_Data3(), FertiliserProducts[[#Headers],[Company]],61)</f>
        <v>1</v>
      </c>
      <c r="H175" s="188" t="str" cm="1">
        <f t="array" ref="H175">Common_InputFunctions.Utility_DisplayArrayInTable(Fertiliser_SourceData.Fertiliser_Products_Data3(), FertiliserProducts[[#Headers],[Company]],61)</f>
        <v/>
      </c>
      <c r="I175" s="188" t="str" cm="1">
        <f t="array" ref="I175">Common_InputFunctions.Utility_DisplayArrayInTable(Fertiliser_SourceData.Fertiliser_Products_Data3(), FertiliserProducts[[#Headers],[Company]],61)</f>
        <v/>
      </c>
      <c r="J175" s="188" t="str" cm="1">
        <f t="array" ref="J175">Common_InputFunctions.Utility_DisplayArrayInTable(Fertiliser_SourceData.Fertiliser_Products_Data3(), FertiliserProducts[[#Headers],[Company]],61)</f>
        <v/>
      </c>
      <c r="K175" s="188" cm="1">
        <f t="array" ref="K175">Common_InputFunctions.Utility_DisplayArrayInTable(Fertiliser_SourceData.Fertiliser_Products_Data3(), FertiliserProducts[[#Headers],[Company]],61)</f>
        <v>14.6</v>
      </c>
      <c r="L175" s="188" cm="1">
        <f t="array" ref="L175">Common_InputFunctions.Utility_DisplayArrayInTable(Fertiliser_SourceData.Fertiliser_Products_Data3(), FertiliserProducts[[#Headers],[Company]],61)</f>
        <v>12.1</v>
      </c>
      <c r="M175" s="188" t="str" cm="1">
        <f t="array" ref="M175">Common_InputFunctions.Utility_DisplayArrayInTable(Fertiliser_SourceData.Fertiliser_Products_Data3(), FertiliserProducts[[#Headers],[Company]],61)</f>
        <v/>
      </c>
      <c r="N175" s="188" cm="1">
        <f t="array" ref="N175">Common_InputFunctions.Utility_DisplayArrayInTable(Fertiliser_SourceData.Fertiliser_Products_Data3(), FertiliserProducts[[#Headers],[Company]],61)</f>
        <v>11.6</v>
      </c>
      <c r="O175" s="188" t="str" cm="1">
        <f t="array" ref="O175">Common_InputFunctions.Utility_DisplayArrayInTable(Fertiliser_SourceData.Fertiliser_Products_Data3(), FertiliserProducts[[#Headers],[Company]],61)</f>
        <v>Nitrogen - Generic</v>
      </c>
      <c r="P175" s="188" cm="1">
        <f t="array" ref="P175">Common_InputFunctions.Utility_DisplayArrayInTable(Fertiliser_SourceData.Fertiliser_Products_Data3(), FertiliserProducts[[#Headers],[Company]],61)</f>
        <v>0.14599999999999999</v>
      </c>
      <c r="Q175" s="188" t="str" cm="1">
        <f t="array" ref="Q175">Common_InputFunctions.Utility_DisplayArrayInTable(Fertiliser_SourceData.Fertiliser_Products_Data3(), FertiliserProducts[[#Headers],[Company]],61)</f>
        <v>Phosphorus - Generic</v>
      </c>
      <c r="R175" s="188" cm="1">
        <f t="array" ref="R175">Common_InputFunctions.Utility_DisplayArrayInTable(Fertiliser_SourceData.Fertiliser_Products_Data3(), FertiliserProducts[[#Headers],[Company]],61)</f>
        <v>0.121</v>
      </c>
      <c r="S175" s="188" t="str" cm="1">
        <f t="array" ref="S175">Common_InputFunctions.Utility_DisplayArrayInTable(Fertiliser_SourceData.Fertiliser_Products_Data3(), FertiliserProducts[[#Headers],[Company]],61)</f>
        <v>Sulfur - Generic</v>
      </c>
      <c r="T175" s="188" cm="1">
        <f t="array" ref="T175">Common_InputFunctions.Utility_DisplayArrayInTable(Fertiliser_SourceData.Fertiliser_Products_Data3(), FertiliserProducts[[#Headers],[Company]],61)</f>
        <v>0.11600000000000001</v>
      </c>
      <c r="U175" s="188" t="str" cm="1">
        <f t="array" ref="U175">Common_InputFunctions.Utility_DisplayArrayInTable(Fertiliser_SourceData.Fertiliser_Products_Data3(), FertiliserProducts[[#Headers],[Company]],61)</f>
        <v/>
      </c>
      <c r="V175" s="188" t="str" cm="1">
        <f t="array" ref="V175">Common_InputFunctions.Utility_DisplayArrayInTable(Fertiliser_SourceData.Fertiliser_Products_Data3(), FertiliserProducts[[#Headers],[Company]],61)</f>
        <v/>
      </c>
      <c r="W175" s="188" t="str" cm="1">
        <f t="array" ref="W175">Common_InputFunctions.Utility_DisplayArrayInTable(Fertiliser_SourceData.Fertiliser_Products_Data3(), FertiliserProducts[[#Headers],[Company]],61)</f>
        <v/>
      </c>
      <c r="X175" s="188" t="str" cm="1">
        <f t="array" ref="X175">Common_InputFunctions.Utility_DisplayArrayInTable(Fertiliser_SourceData.Fertiliser_Products_Data3(), FertiliserProducts[[#Headers],[Company]],61)</f>
        <v/>
      </c>
      <c r="Y175" s="188" t="str" cm="1">
        <f t="array" ref="Y175">Common_InputFunctions.Utility_DisplayArrayInTable(Fertiliser_SourceData.Fertiliser_Products_Data3(), FertiliserProducts[[#Headers],[Company]],61)</f>
        <v/>
      </c>
      <c r="Z175" s="188" t="str" cm="1">
        <f t="array" ref="Z175">Common_InputFunctions.Utility_DisplayArrayInTable(Fertiliser_SourceData.Fertiliser_Products_Data3(), FertiliserProducts[[#Headers],[Company]],61)</f>
        <v/>
      </c>
      <c r="AA175" s="188" t="str" cm="1">
        <f t="array" ref="AA175">Common_InputFunctions.Utility_DisplayArrayInTable(Fertiliser_SourceData.Fertiliser_Products_Data3(), FertiliserProducts[[#Headers],[Company]],61)</f>
        <v/>
      </c>
      <c r="AB175" s="188" t="str" cm="1">
        <f t="array" ref="AB175">Common_InputFunctions.Utility_DisplayArrayInTable(Fertiliser_SourceData.Fertiliser_Products_Data3(), FertiliserProducts[[#Headers],[Company]],61)</f>
        <v/>
      </c>
      <c r="AC175" s="188" t="str" cm="1">
        <f t="array" ref="AC175">Common_InputFunctions.Utility_DisplayArrayInTable(Fertiliser_SourceData.Fertiliser_Products_Data3(), FertiliserProducts[[#Headers],[Company]],61)</f>
        <v/>
      </c>
      <c r="AD175" s="188" t="str" cm="1">
        <f t="array" ref="AD175">Common_InputFunctions.Utility_DisplayArrayInTable(Fertiliser_SourceData.Fertiliser_Products_Data3(), FertiliserProducts[[#Headers],[Company]],61)</f>
        <v/>
      </c>
      <c r="AE175" s="188" t="str" cm="1">
        <f t="array" ref="AE175">Common_InputFunctions.Utility_DisplayArrayInTable(Fertiliser_SourceData.Fertiliser_Products_Data3(), FertiliserProducts[[#Headers],[Company]],61)</f>
        <v/>
      </c>
      <c r="AF175" s="188" t="str" cm="1">
        <f t="array" ref="AF175">Common_InputFunctions.Utility_DisplayArrayInTable(Fertiliser_SourceData.Fertiliser_Products_Data3(), FertiliserProducts[[#Headers],[Company]],61)</f>
        <v/>
      </c>
      <c r="AG175" s="188" t="str" cm="1">
        <f t="array" ref="AG175">Common_InputFunctions.Utility_DisplayArrayInTable(Fertiliser_SourceData.Fertiliser_Products_Data3(), FertiliserProducts[[#Headers],[Company]],61)</f>
        <v/>
      </c>
      <c r="AH175" s="188" t="str" cm="1">
        <f t="array" ref="AH175">Common_InputFunctions.Utility_DisplayArrayInTable(Fertiliser_SourceData.Fertiliser_Products_Data3(), FertiliserProducts[[#Headers],[Company]],61)</f>
        <v/>
      </c>
      <c r="AK175" s="1"/>
    </row>
    <row r="176" spans="4:37" x14ac:dyDescent="0.25">
      <c r="D176" s="188" t="str" cm="1">
        <f t="array" ref="D176">Common_InputFunctions.Utility_DisplayArrayInTable(Fertiliser_SourceData.Fertiliser_Products_Data3(), FertiliserProducts[[#Headers],[Company]],61)</f>
        <v>Incitec Pivot Fertilisers</v>
      </c>
      <c r="E176" s="188" t="str" cm="1">
        <f t="array" ref="E176">Common_InputFunctions.Utility_DisplayArrayInTable(Fertiliser_SourceData.Fertiliser_Products_Data3(), FertiliserProducts[[#Headers],[Company]],61)</f>
        <v>NPKS 19-13-0-9</v>
      </c>
      <c r="F176" s="188" t="str" cm="1">
        <f t="array" ref="F176">Common_InputFunctions.Utility_DisplayArrayInTable(Fertiliser_SourceData.Fertiliser_Products_Data3(), FertiliserProducts[[#Headers],[Company]],61)</f>
        <v>kg</v>
      </c>
      <c r="G176" s="188" cm="1">
        <f t="array" ref="G176">Common_InputFunctions.Utility_DisplayArrayInTable(Fertiliser_SourceData.Fertiliser_Products_Data3(), FertiliserProducts[[#Headers],[Company]],61)</f>
        <v>1</v>
      </c>
      <c r="H176" s="188" t="str" cm="1">
        <f t="array" ref="H176">Common_InputFunctions.Utility_DisplayArrayInTable(Fertiliser_SourceData.Fertiliser_Products_Data3(), FertiliserProducts[[#Headers],[Company]],61)</f>
        <v/>
      </c>
      <c r="I176" s="188" t="str" cm="1">
        <f t="array" ref="I176">Common_InputFunctions.Utility_DisplayArrayInTable(Fertiliser_SourceData.Fertiliser_Products_Data3(), FertiliserProducts[[#Headers],[Company]],61)</f>
        <v/>
      </c>
      <c r="J176" s="188" t="str" cm="1">
        <f t="array" ref="J176">Common_InputFunctions.Utility_DisplayArrayInTable(Fertiliser_SourceData.Fertiliser_Products_Data3(), FertiliserProducts[[#Headers],[Company]],61)</f>
        <v/>
      </c>
      <c r="K176" s="188" cm="1">
        <f t="array" ref="K176">Common_InputFunctions.Utility_DisplayArrayInTable(Fertiliser_SourceData.Fertiliser_Products_Data3(), FertiliserProducts[[#Headers],[Company]],61)</f>
        <v>19</v>
      </c>
      <c r="L176" s="188" cm="1">
        <f t="array" ref="L176">Common_InputFunctions.Utility_DisplayArrayInTable(Fertiliser_SourceData.Fertiliser_Products_Data3(), FertiliserProducts[[#Headers],[Company]],61)</f>
        <v>13</v>
      </c>
      <c r="M176" s="188" cm="1">
        <f t="array" ref="M176">Common_InputFunctions.Utility_DisplayArrayInTable(Fertiliser_SourceData.Fertiliser_Products_Data3(), FertiliserProducts[[#Headers],[Company]],61)</f>
        <v>0</v>
      </c>
      <c r="N176" s="188" cm="1">
        <f t="array" ref="N176">Common_InputFunctions.Utility_DisplayArrayInTable(Fertiliser_SourceData.Fertiliser_Products_Data3(), FertiliserProducts[[#Headers],[Company]],61)</f>
        <v>9</v>
      </c>
      <c r="O176" s="188" t="str" cm="1">
        <f t="array" ref="O176">Common_InputFunctions.Utility_DisplayArrayInTable(Fertiliser_SourceData.Fertiliser_Products_Data3(), FertiliserProducts[[#Headers],[Company]],61)</f>
        <v>Nitrogen - Generic</v>
      </c>
      <c r="P176" s="188" cm="1">
        <f t="array" ref="P176">Common_InputFunctions.Utility_DisplayArrayInTable(Fertiliser_SourceData.Fertiliser_Products_Data3(), FertiliserProducts[[#Headers],[Company]],61)</f>
        <v>0.19</v>
      </c>
      <c r="Q176" s="188" t="str" cm="1">
        <f t="array" ref="Q176">Common_InputFunctions.Utility_DisplayArrayInTable(Fertiliser_SourceData.Fertiliser_Products_Data3(), FertiliserProducts[[#Headers],[Company]],61)</f>
        <v>Phosphorus - Generic</v>
      </c>
      <c r="R176" s="188" cm="1">
        <f t="array" ref="R176">Common_InputFunctions.Utility_DisplayArrayInTable(Fertiliser_SourceData.Fertiliser_Products_Data3(), FertiliserProducts[[#Headers],[Company]],61)</f>
        <v>0.13</v>
      </c>
      <c r="S176" s="188" t="str" cm="1">
        <f t="array" ref="S176">Common_InputFunctions.Utility_DisplayArrayInTable(Fertiliser_SourceData.Fertiliser_Products_Data3(), FertiliserProducts[[#Headers],[Company]],61)</f>
        <v>Sulfur - Generic</v>
      </c>
      <c r="T176" s="188" cm="1">
        <f t="array" ref="T176">Common_InputFunctions.Utility_DisplayArrayInTable(Fertiliser_SourceData.Fertiliser_Products_Data3(), FertiliserProducts[[#Headers],[Company]],61)</f>
        <v>0.09</v>
      </c>
      <c r="U176" s="188" t="str" cm="1">
        <f t="array" ref="U176">Common_InputFunctions.Utility_DisplayArrayInTable(Fertiliser_SourceData.Fertiliser_Products_Data3(), FertiliserProducts[[#Headers],[Company]],61)</f>
        <v/>
      </c>
      <c r="V176" s="188" t="str" cm="1">
        <f t="array" ref="V176">Common_InputFunctions.Utility_DisplayArrayInTable(Fertiliser_SourceData.Fertiliser_Products_Data3(), FertiliserProducts[[#Headers],[Company]],61)</f>
        <v/>
      </c>
      <c r="W176" s="188" t="str" cm="1">
        <f t="array" ref="W176">Common_InputFunctions.Utility_DisplayArrayInTable(Fertiliser_SourceData.Fertiliser_Products_Data3(), FertiliserProducts[[#Headers],[Company]],61)</f>
        <v/>
      </c>
      <c r="X176" s="188" t="str" cm="1">
        <f t="array" ref="X176">Common_InputFunctions.Utility_DisplayArrayInTable(Fertiliser_SourceData.Fertiliser_Products_Data3(), FertiliserProducts[[#Headers],[Company]],61)</f>
        <v/>
      </c>
      <c r="Y176" s="188" t="str" cm="1">
        <f t="array" ref="Y176">Common_InputFunctions.Utility_DisplayArrayInTable(Fertiliser_SourceData.Fertiliser_Products_Data3(), FertiliserProducts[[#Headers],[Company]],61)</f>
        <v/>
      </c>
      <c r="Z176" s="188" t="str" cm="1">
        <f t="array" ref="Z176">Common_InputFunctions.Utility_DisplayArrayInTable(Fertiliser_SourceData.Fertiliser_Products_Data3(), FertiliserProducts[[#Headers],[Company]],61)</f>
        <v/>
      </c>
      <c r="AA176" s="188" t="str" cm="1">
        <f t="array" ref="AA176">Common_InputFunctions.Utility_DisplayArrayInTable(Fertiliser_SourceData.Fertiliser_Products_Data3(), FertiliserProducts[[#Headers],[Company]],61)</f>
        <v/>
      </c>
      <c r="AB176" s="188" t="str" cm="1">
        <f t="array" ref="AB176">Common_InputFunctions.Utility_DisplayArrayInTable(Fertiliser_SourceData.Fertiliser_Products_Data3(), FertiliserProducts[[#Headers],[Company]],61)</f>
        <v/>
      </c>
      <c r="AC176" s="188" t="str" cm="1">
        <f t="array" ref="AC176">Common_InputFunctions.Utility_DisplayArrayInTable(Fertiliser_SourceData.Fertiliser_Products_Data3(), FertiliserProducts[[#Headers],[Company]],61)</f>
        <v/>
      </c>
      <c r="AD176" s="188" t="str" cm="1">
        <f t="array" ref="AD176">Common_InputFunctions.Utility_DisplayArrayInTable(Fertiliser_SourceData.Fertiliser_Products_Data3(), FertiliserProducts[[#Headers],[Company]],61)</f>
        <v/>
      </c>
      <c r="AE176" s="188" t="str" cm="1">
        <f t="array" ref="AE176">Common_InputFunctions.Utility_DisplayArrayInTable(Fertiliser_SourceData.Fertiliser_Products_Data3(), FertiliserProducts[[#Headers],[Company]],61)</f>
        <v/>
      </c>
      <c r="AF176" s="188" t="str" cm="1">
        <f t="array" ref="AF176">Common_InputFunctions.Utility_DisplayArrayInTable(Fertiliser_SourceData.Fertiliser_Products_Data3(), FertiliserProducts[[#Headers],[Company]],61)</f>
        <v/>
      </c>
      <c r="AG176" s="188" t="str" cm="1">
        <f t="array" ref="AG176">Common_InputFunctions.Utility_DisplayArrayInTable(Fertiliser_SourceData.Fertiliser_Products_Data3(), FertiliserProducts[[#Headers],[Company]],61)</f>
        <v/>
      </c>
      <c r="AH176" s="188" t="str" cm="1">
        <f t="array" ref="AH176">Common_InputFunctions.Utility_DisplayArrayInTable(Fertiliser_SourceData.Fertiliser_Products_Data3(), FertiliserProducts[[#Headers],[Company]],61)</f>
        <v/>
      </c>
      <c r="AK176" s="1"/>
    </row>
    <row r="177" spans="4:37" x14ac:dyDescent="0.25">
      <c r="D177" s="188" t="str" cm="1">
        <f t="array" ref="D177">Common_InputFunctions.Utility_DisplayArrayInTable(Fertiliser_SourceData.Fertiliser_Products_Data3(), FertiliserProducts[[#Headers],[Company]],61)</f>
        <v>Incitec Pivot Fertilisers</v>
      </c>
      <c r="E177" s="188" t="str" cm="1">
        <f t="array" ref="E177">Common_InputFunctions.Utility_DisplayArrayInTable(Fertiliser_SourceData.Fertiliser_Products_Data3(), FertiliserProducts[[#Headers],[Company]],61)</f>
        <v>PastureBoosta</v>
      </c>
      <c r="F177" s="188" t="str" cm="1">
        <f t="array" ref="F177">Common_InputFunctions.Utility_DisplayArrayInTable(Fertiliser_SourceData.Fertiliser_Products_Data3(), FertiliserProducts[[#Headers],[Company]],61)</f>
        <v>kg</v>
      </c>
      <c r="G177" s="188" cm="1">
        <f t="array" ref="G177">Common_InputFunctions.Utility_DisplayArrayInTable(Fertiliser_SourceData.Fertiliser_Products_Data3(), FertiliserProducts[[#Headers],[Company]],61)</f>
        <v>1</v>
      </c>
      <c r="H177" s="188" t="str" cm="1">
        <f t="array" ref="H177">Common_InputFunctions.Utility_DisplayArrayInTable(Fertiliser_SourceData.Fertiliser_Products_Data3(), FertiliserProducts[[#Headers],[Company]],61)</f>
        <v/>
      </c>
      <c r="I177" s="188" t="str" cm="1">
        <f t="array" ref="I177">Common_InputFunctions.Utility_DisplayArrayInTable(Fertiliser_SourceData.Fertiliser_Products_Data3(), FertiliserProducts[[#Headers],[Company]],61)</f>
        <v/>
      </c>
      <c r="J177" s="188" t="str" cm="1">
        <f t="array" ref="J177">Common_InputFunctions.Utility_DisplayArrayInTable(Fertiliser_SourceData.Fertiliser_Products_Data3(), FertiliserProducts[[#Headers],[Company]],61)</f>
        <v/>
      </c>
      <c r="K177" s="188" cm="1">
        <f t="array" ref="K177">Common_InputFunctions.Utility_DisplayArrayInTable(Fertiliser_SourceData.Fertiliser_Products_Data3(), FertiliserProducts[[#Headers],[Company]],61)</f>
        <v>23.8</v>
      </c>
      <c r="L177" s="188" cm="1">
        <f t="array" ref="L177">Common_InputFunctions.Utility_DisplayArrayInTable(Fertiliser_SourceData.Fertiliser_Products_Data3(), FertiliserProducts[[#Headers],[Company]],61)</f>
        <v>3.7</v>
      </c>
      <c r="M177" s="188" cm="1">
        <f t="array" ref="M177">Common_InputFunctions.Utility_DisplayArrayInTable(Fertiliser_SourceData.Fertiliser_Products_Data3(), FertiliserProducts[[#Headers],[Company]],61)</f>
        <v>13</v>
      </c>
      <c r="N177" s="188" cm="1">
        <f t="array" ref="N177">Common_InputFunctions.Utility_DisplayArrayInTable(Fertiliser_SourceData.Fertiliser_Products_Data3(), FertiliserProducts[[#Headers],[Company]],61)</f>
        <v>4.0999999999999996</v>
      </c>
      <c r="O177" s="188" t="str" cm="1">
        <f t="array" ref="O177">Common_InputFunctions.Utility_DisplayArrayInTable(Fertiliser_SourceData.Fertiliser_Products_Data3(), FertiliserProducts[[#Headers],[Company]],61)</f>
        <v>Nitrogen - Generic</v>
      </c>
      <c r="P177" s="188" cm="1">
        <f t="array" ref="P177">Common_InputFunctions.Utility_DisplayArrayInTable(Fertiliser_SourceData.Fertiliser_Products_Data3(), FertiliserProducts[[#Headers],[Company]],61)</f>
        <v>0.23799999999999999</v>
      </c>
      <c r="Q177" s="188" t="str" cm="1">
        <f t="array" ref="Q177">Common_InputFunctions.Utility_DisplayArrayInTable(Fertiliser_SourceData.Fertiliser_Products_Data3(), FertiliserProducts[[#Headers],[Company]],61)</f>
        <v>Phosphorus - Generic</v>
      </c>
      <c r="R177" s="188" cm="1">
        <f t="array" ref="R177">Common_InputFunctions.Utility_DisplayArrayInTable(Fertiliser_SourceData.Fertiliser_Products_Data3(), FertiliserProducts[[#Headers],[Company]],61)</f>
        <v>3.6999999999999998E-2</v>
      </c>
      <c r="S177" s="188" t="str" cm="1">
        <f t="array" ref="S177">Common_InputFunctions.Utility_DisplayArrayInTable(Fertiliser_SourceData.Fertiliser_Products_Data3(), FertiliserProducts[[#Headers],[Company]],61)</f>
        <v>Potassium - Generic</v>
      </c>
      <c r="T177" s="188" cm="1">
        <f t="array" ref="T177">Common_InputFunctions.Utility_DisplayArrayInTable(Fertiliser_SourceData.Fertiliser_Products_Data3(), FertiliserProducts[[#Headers],[Company]],61)</f>
        <v>0.13</v>
      </c>
      <c r="U177" s="188" t="str" cm="1">
        <f t="array" ref="U177">Common_InputFunctions.Utility_DisplayArrayInTable(Fertiliser_SourceData.Fertiliser_Products_Data3(), FertiliserProducts[[#Headers],[Company]],61)</f>
        <v>Sulfur - Generic</v>
      </c>
      <c r="V177" s="188" cm="1">
        <f t="array" ref="V177">Common_InputFunctions.Utility_DisplayArrayInTable(Fertiliser_SourceData.Fertiliser_Products_Data3(), FertiliserProducts[[#Headers],[Company]],61)</f>
        <v>4.1000000000000002E-2</v>
      </c>
      <c r="W177" s="188" t="str" cm="1">
        <f t="array" ref="W177">Common_InputFunctions.Utility_DisplayArrayInTable(Fertiliser_SourceData.Fertiliser_Products_Data3(), FertiliserProducts[[#Headers],[Company]],61)</f>
        <v/>
      </c>
      <c r="X177" s="188" t="str" cm="1">
        <f t="array" ref="X177">Common_InputFunctions.Utility_DisplayArrayInTable(Fertiliser_SourceData.Fertiliser_Products_Data3(), FertiliserProducts[[#Headers],[Company]],61)</f>
        <v/>
      </c>
      <c r="Y177" s="188" t="str" cm="1">
        <f t="array" ref="Y177">Common_InputFunctions.Utility_DisplayArrayInTable(Fertiliser_SourceData.Fertiliser_Products_Data3(), FertiliserProducts[[#Headers],[Company]],61)</f>
        <v/>
      </c>
      <c r="Z177" s="188" t="str" cm="1">
        <f t="array" ref="Z177">Common_InputFunctions.Utility_DisplayArrayInTable(Fertiliser_SourceData.Fertiliser_Products_Data3(), FertiliserProducts[[#Headers],[Company]],61)</f>
        <v/>
      </c>
      <c r="AA177" s="188" t="str" cm="1">
        <f t="array" ref="AA177">Common_InputFunctions.Utility_DisplayArrayInTable(Fertiliser_SourceData.Fertiliser_Products_Data3(), FertiliserProducts[[#Headers],[Company]],61)</f>
        <v/>
      </c>
      <c r="AB177" s="188" t="str" cm="1">
        <f t="array" ref="AB177">Common_InputFunctions.Utility_DisplayArrayInTable(Fertiliser_SourceData.Fertiliser_Products_Data3(), FertiliserProducts[[#Headers],[Company]],61)</f>
        <v/>
      </c>
      <c r="AC177" s="188" t="str" cm="1">
        <f t="array" ref="AC177">Common_InputFunctions.Utility_DisplayArrayInTable(Fertiliser_SourceData.Fertiliser_Products_Data3(), FertiliserProducts[[#Headers],[Company]],61)</f>
        <v/>
      </c>
      <c r="AD177" s="188" t="str" cm="1">
        <f t="array" ref="AD177">Common_InputFunctions.Utility_DisplayArrayInTable(Fertiliser_SourceData.Fertiliser_Products_Data3(), FertiliserProducts[[#Headers],[Company]],61)</f>
        <v/>
      </c>
      <c r="AE177" s="188" t="str" cm="1">
        <f t="array" ref="AE177">Common_InputFunctions.Utility_DisplayArrayInTable(Fertiliser_SourceData.Fertiliser_Products_Data3(), FertiliserProducts[[#Headers],[Company]],61)</f>
        <v/>
      </c>
      <c r="AF177" s="188" t="str" cm="1">
        <f t="array" ref="AF177">Common_InputFunctions.Utility_DisplayArrayInTable(Fertiliser_SourceData.Fertiliser_Products_Data3(), FertiliserProducts[[#Headers],[Company]],61)</f>
        <v/>
      </c>
      <c r="AG177" s="188" t="str" cm="1">
        <f t="array" ref="AG177">Common_InputFunctions.Utility_DisplayArrayInTable(Fertiliser_SourceData.Fertiliser_Products_Data3(), FertiliserProducts[[#Headers],[Company]],61)</f>
        <v/>
      </c>
      <c r="AH177" s="188" t="str" cm="1">
        <f t="array" ref="AH177">Common_InputFunctions.Utility_DisplayArrayInTable(Fertiliser_SourceData.Fertiliser_Products_Data3(), FertiliserProducts[[#Headers],[Company]],61)</f>
        <v/>
      </c>
      <c r="AK177" s="1"/>
    </row>
    <row r="178" spans="4:37" x14ac:dyDescent="0.25">
      <c r="D178" s="188" t="str" cm="1">
        <f t="array" ref="D178">Common_InputFunctions.Utility_DisplayArrayInTable(Fertiliser_SourceData.Fertiliser_Products_Data3(), FertiliserProducts[[#Headers],[Company]],61)</f>
        <v>Incitec Pivot Fertilisers</v>
      </c>
      <c r="E178" s="188" t="str" cm="1">
        <f t="array" ref="E178">Common_InputFunctions.Utility_DisplayArrayInTable(Fertiliser_SourceData.Fertiliser_Products_Data3(), FertiliserProducts[[#Headers],[Company]],61)</f>
        <v>Greentop K</v>
      </c>
      <c r="F178" s="188" t="str" cm="1">
        <f t="array" ref="F178">Common_InputFunctions.Utility_DisplayArrayInTable(Fertiliser_SourceData.Fertiliser_Products_Data3(), FertiliserProducts[[#Headers],[Company]],61)</f>
        <v>kg</v>
      </c>
      <c r="G178" s="188" cm="1">
        <f t="array" ref="G178">Common_InputFunctions.Utility_DisplayArrayInTable(Fertiliser_SourceData.Fertiliser_Products_Data3(), FertiliserProducts[[#Headers],[Company]],61)</f>
        <v>1</v>
      </c>
      <c r="H178" s="188" t="str" cm="1">
        <f t="array" ref="H178">Common_InputFunctions.Utility_DisplayArrayInTable(Fertiliser_SourceData.Fertiliser_Products_Data3(), FertiliserProducts[[#Headers],[Company]],61)</f>
        <v/>
      </c>
      <c r="I178" s="188" t="str" cm="1">
        <f t="array" ref="I178">Common_InputFunctions.Utility_DisplayArrayInTable(Fertiliser_SourceData.Fertiliser_Products_Data3(), FertiliserProducts[[#Headers],[Company]],61)</f>
        <v/>
      </c>
      <c r="J178" s="188" t="str" cm="1">
        <f t="array" ref="J178">Common_InputFunctions.Utility_DisplayArrayInTable(Fertiliser_SourceData.Fertiliser_Products_Data3(), FertiliserProducts[[#Headers],[Company]],61)</f>
        <v/>
      </c>
      <c r="K178" s="188" cm="1">
        <f t="array" ref="K178">Common_InputFunctions.Utility_DisplayArrayInTable(Fertiliser_SourceData.Fertiliser_Products_Data3(), FertiliserProducts[[#Headers],[Company]],61)</f>
        <v>32.799999999999997</v>
      </c>
      <c r="L178" s="188" t="str" cm="1">
        <f t="array" ref="L178">Common_InputFunctions.Utility_DisplayArrayInTable(Fertiliser_SourceData.Fertiliser_Products_Data3(), FertiliserProducts[[#Headers],[Company]],61)</f>
        <v/>
      </c>
      <c r="M178" s="188" cm="1">
        <f t="array" ref="M178">Common_InputFunctions.Utility_DisplayArrayInTable(Fertiliser_SourceData.Fertiliser_Products_Data3(), FertiliserProducts[[#Headers],[Company]],61)</f>
        <v>11</v>
      </c>
      <c r="N178" s="188" cm="1">
        <f t="array" ref="N178">Common_InputFunctions.Utility_DisplayArrayInTable(Fertiliser_SourceData.Fertiliser_Products_Data3(), FertiliserProducts[[#Headers],[Company]],61)</f>
        <v>2.9</v>
      </c>
      <c r="O178" s="188" t="str" cm="1">
        <f t="array" ref="O178">Common_InputFunctions.Utility_DisplayArrayInTable(Fertiliser_SourceData.Fertiliser_Products_Data3(), FertiliserProducts[[#Headers],[Company]],61)</f>
        <v>Urea</v>
      </c>
      <c r="P178" s="188" cm="1">
        <f t="array" ref="P178">Common_InputFunctions.Utility_DisplayArrayInTable(Fertiliser_SourceData.Fertiliser_Products_Data3(), FertiliserProducts[[#Headers],[Company]],61)</f>
        <v>0.66086999999999996</v>
      </c>
      <c r="Q178" s="188" t="str" cm="1">
        <f t="array" ref="Q178">Common_InputFunctions.Utility_DisplayArrayInTable(Fertiliser_SourceData.Fertiliser_Products_Data3(), FertiliserProducts[[#Headers],[Company]],61)</f>
        <v>Nitrogen - Ammoniacal</v>
      </c>
      <c r="R178" s="188" cm="1">
        <f t="array" ref="R178">Common_InputFunctions.Utility_DisplayArrayInTable(Fertiliser_SourceData.Fertiliser_Products_Data3(), FertiliserProducts[[#Headers],[Company]],61)</f>
        <v>2.4E-2</v>
      </c>
      <c r="S178" s="188" t="str" cm="1">
        <f t="array" ref="S178">Common_InputFunctions.Utility_DisplayArrayInTable(Fertiliser_SourceData.Fertiliser_Products_Data3(), FertiliserProducts[[#Headers],[Company]],61)</f>
        <v>Potassium - Generic</v>
      </c>
      <c r="T178" s="188" cm="1">
        <f t="array" ref="T178">Common_InputFunctions.Utility_DisplayArrayInTable(Fertiliser_SourceData.Fertiliser_Products_Data3(), FertiliserProducts[[#Headers],[Company]],61)</f>
        <v>0.11</v>
      </c>
      <c r="U178" s="188" t="str" cm="1">
        <f t="array" ref="U178">Common_InputFunctions.Utility_DisplayArrayInTable(Fertiliser_SourceData.Fertiliser_Products_Data3(), FertiliserProducts[[#Headers],[Company]],61)</f>
        <v>Sulfur - Generic</v>
      </c>
      <c r="V178" s="188" cm="1">
        <f t="array" ref="V178">Common_InputFunctions.Utility_DisplayArrayInTable(Fertiliser_SourceData.Fertiliser_Products_Data3(), FertiliserProducts[[#Headers],[Company]],61)</f>
        <v>2.9000000000000001E-2</v>
      </c>
      <c r="W178" s="188" t="str" cm="1">
        <f t="array" ref="W178">Common_InputFunctions.Utility_DisplayArrayInTable(Fertiliser_SourceData.Fertiliser_Products_Data3(), FertiliserProducts[[#Headers],[Company]],61)</f>
        <v/>
      </c>
      <c r="X178" s="188" t="str" cm="1">
        <f t="array" ref="X178">Common_InputFunctions.Utility_DisplayArrayInTable(Fertiliser_SourceData.Fertiliser_Products_Data3(), FertiliserProducts[[#Headers],[Company]],61)</f>
        <v/>
      </c>
      <c r="Y178" s="188" t="str" cm="1">
        <f t="array" ref="Y178">Common_InputFunctions.Utility_DisplayArrayInTable(Fertiliser_SourceData.Fertiliser_Products_Data3(), FertiliserProducts[[#Headers],[Company]],61)</f>
        <v/>
      </c>
      <c r="Z178" s="188" t="str" cm="1">
        <f t="array" ref="Z178">Common_InputFunctions.Utility_DisplayArrayInTable(Fertiliser_SourceData.Fertiliser_Products_Data3(), FertiliserProducts[[#Headers],[Company]],61)</f>
        <v/>
      </c>
      <c r="AA178" s="188" t="str" cm="1">
        <f t="array" ref="AA178">Common_InputFunctions.Utility_DisplayArrayInTable(Fertiliser_SourceData.Fertiliser_Products_Data3(), FertiliserProducts[[#Headers],[Company]],61)</f>
        <v/>
      </c>
      <c r="AB178" s="188" t="str" cm="1">
        <f t="array" ref="AB178">Common_InputFunctions.Utility_DisplayArrayInTable(Fertiliser_SourceData.Fertiliser_Products_Data3(), FertiliserProducts[[#Headers],[Company]],61)</f>
        <v/>
      </c>
      <c r="AC178" s="188" t="str" cm="1">
        <f t="array" ref="AC178">Common_InputFunctions.Utility_DisplayArrayInTable(Fertiliser_SourceData.Fertiliser_Products_Data3(), FertiliserProducts[[#Headers],[Company]],61)</f>
        <v/>
      </c>
      <c r="AD178" s="188" t="str" cm="1">
        <f t="array" ref="AD178">Common_InputFunctions.Utility_DisplayArrayInTable(Fertiliser_SourceData.Fertiliser_Products_Data3(), FertiliserProducts[[#Headers],[Company]],61)</f>
        <v/>
      </c>
      <c r="AE178" s="188" t="str" cm="1">
        <f t="array" ref="AE178">Common_InputFunctions.Utility_DisplayArrayInTable(Fertiliser_SourceData.Fertiliser_Products_Data3(), FertiliserProducts[[#Headers],[Company]],61)</f>
        <v/>
      </c>
      <c r="AF178" s="188" t="str" cm="1">
        <f t="array" ref="AF178">Common_InputFunctions.Utility_DisplayArrayInTable(Fertiliser_SourceData.Fertiliser_Products_Data3(), FertiliserProducts[[#Headers],[Company]],61)</f>
        <v/>
      </c>
      <c r="AG178" s="188" t="str" cm="1">
        <f t="array" ref="AG178">Common_InputFunctions.Utility_DisplayArrayInTable(Fertiliser_SourceData.Fertiliser_Products_Data3(), FertiliserProducts[[#Headers],[Company]],61)</f>
        <v/>
      </c>
      <c r="AH178" s="188" t="str" cm="1">
        <f t="array" ref="AH178">Common_InputFunctions.Utility_DisplayArrayInTable(Fertiliser_SourceData.Fertiliser_Products_Data3(), FertiliserProducts[[#Headers],[Company]],61)</f>
        <v/>
      </c>
      <c r="AK178" s="1"/>
    </row>
    <row r="179" spans="4:37" x14ac:dyDescent="0.25">
      <c r="D179" s="188" t="str" cm="1">
        <f t="array" ref="D179">Common_InputFunctions.Utility_DisplayArrayInTable(Fertiliser_SourceData.Fertiliser_Products_Data3(), FertiliserProducts[[#Headers],[Company]],61)</f>
        <v>Incitec Pivot Fertilisers</v>
      </c>
      <c r="E179" s="188" t="str" cm="1">
        <f t="array" ref="E179">Common_InputFunctions.Utility_DisplayArrayInTable(Fertiliser_SourceData.Fertiliser_Products_Data3(), FertiliserProducts[[#Headers],[Company]],61)</f>
        <v>HayBoosta</v>
      </c>
      <c r="F179" s="188" t="str" cm="1">
        <f t="array" ref="F179">Common_InputFunctions.Utility_DisplayArrayInTable(Fertiliser_SourceData.Fertiliser_Products_Data3(), FertiliserProducts[[#Headers],[Company]],61)</f>
        <v>kg</v>
      </c>
      <c r="G179" s="188" cm="1">
        <f t="array" ref="G179">Common_InputFunctions.Utility_DisplayArrayInTable(Fertiliser_SourceData.Fertiliser_Products_Data3(), FertiliserProducts[[#Headers],[Company]],61)</f>
        <v>1</v>
      </c>
      <c r="H179" s="188" t="str" cm="1">
        <f t="array" ref="H179">Common_InputFunctions.Utility_DisplayArrayInTable(Fertiliser_SourceData.Fertiliser_Products_Data3(), FertiliserProducts[[#Headers],[Company]],61)</f>
        <v/>
      </c>
      <c r="I179" s="188" t="str" cm="1">
        <f t="array" ref="I179">Common_InputFunctions.Utility_DisplayArrayInTable(Fertiliser_SourceData.Fertiliser_Products_Data3(), FertiliserProducts[[#Headers],[Company]],61)</f>
        <v/>
      </c>
      <c r="J179" s="188" t="str" cm="1">
        <f t="array" ref="J179">Common_InputFunctions.Utility_DisplayArrayInTable(Fertiliser_SourceData.Fertiliser_Products_Data3(), FertiliserProducts[[#Headers],[Company]],61)</f>
        <v/>
      </c>
      <c r="K179" s="188" cm="1">
        <f t="array" ref="K179">Common_InputFunctions.Utility_DisplayArrayInTable(Fertiliser_SourceData.Fertiliser_Products_Data3(), FertiliserProducts[[#Headers],[Company]],61)</f>
        <v>11.7</v>
      </c>
      <c r="L179" s="188" cm="1">
        <f t="array" ref="L179">Common_InputFunctions.Utility_DisplayArrayInTable(Fertiliser_SourceData.Fertiliser_Products_Data3(), FertiliserProducts[[#Headers],[Company]],61)</f>
        <v>4.7</v>
      </c>
      <c r="M179" s="188" cm="1">
        <f t="array" ref="M179">Common_InputFunctions.Utility_DisplayArrayInTable(Fertiliser_SourceData.Fertiliser_Products_Data3(), FertiliserProducts[[#Headers],[Company]],61)</f>
        <v>23.9</v>
      </c>
      <c r="N179" s="188" cm="1">
        <f t="array" ref="N179">Common_InputFunctions.Utility_DisplayArrayInTable(Fertiliser_SourceData.Fertiliser_Products_Data3(), FertiliserProducts[[#Headers],[Company]],61)</f>
        <v>4.5999999999999996</v>
      </c>
      <c r="O179" s="188" t="str" cm="1">
        <f t="array" ref="O179">Common_InputFunctions.Utility_DisplayArrayInTable(Fertiliser_SourceData.Fertiliser_Products_Data3(), FertiliserProducts[[#Headers],[Company]],61)</f>
        <v>Nitrogen - Generic</v>
      </c>
      <c r="P179" s="188" cm="1">
        <f t="array" ref="P179">Common_InputFunctions.Utility_DisplayArrayInTable(Fertiliser_SourceData.Fertiliser_Products_Data3(), FertiliserProducts[[#Headers],[Company]],61)</f>
        <v>0.11700000000000001</v>
      </c>
      <c r="Q179" s="188" t="str" cm="1">
        <f t="array" ref="Q179">Common_InputFunctions.Utility_DisplayArrayInTable(Fertiliser_SourceData.Fertiliser_Products_Data3(), FertiliserProducts[[#Headers],[Company]],61)</f>
        <v>Phosphorus - Generic</v>
      </c>
      <c r="R179" s="188" cm="1">
        <f t="array" ref="R179">Common_InputFunctions.Utility_DisplayArrayInTable(Fertiliser_SourceData.Fertiliser_Products_Data3(), FertiliserProducts[[#Headers],[Company]],61)</f>
        <v>4.7E-2</v>
      </c>
      <c r="S179" s="188" t="str" cm="1">
        <f t="array" ref="S179">Common_InputFunctions.Utility_DisplayArrayInTable(Fertiliser_SourceData.Fertiliser_Products_Data3(), FertiliserProducts[[#Headers],[Company]],61)</f>
        <v>Potassium - Generic</v>
      </c>
      <c r="T179" s="188" cm="1">
        <f t="array" ref="T179">Common_InputFunctions.Utility_DisplayArrayInTable(Fertiliser_SourceData.Fertiliser_Products_Data3(), FertiliserProducts[[#Headers],[Company]],61)</f>
        <v>0.23899999999999999</v>
      </c>
      <c r="U179" s="188" t="str" cm="1">
        <f t="array" ref="U179">Common_InputFunctions.Utility_DisplayArrayInTable(Fertiliser_SourceData.Fertiliser_Products_Data3(), FertiliserProducts[[#Headers],[Company]],61)</f>
        <v>Sulfur - Generic</v>
      </c>
      <c r="V179" s="188" cm="1">
        <f t="array" ref="V179">Common_InputFunctions.Utility_DisplayArrayInTable(Fertiliser_SourceData.Fertiliser_Products_Data3(), FertiliserProducts[[#Headers],[Company]],61)</f>
        <v>4.5999999999999999E-2</v>
      </c>
      <c r="W179" s="188" t="str" cm="1">
        <f t="array" ref="W179">Common_InputFunctions.Utility_DisplayArrayInTable(Fertiliser_SourceData.Fertiliser_Products_Data3(), FertiliserProducts[[#Headers],[Company]],61)</f>
        <v/>
      </c>
      <c r="X179" s="188" t="str" cm="1">
        <f t="array" ref="X179">Common_InputFunctions.Utility_DisplayArrayInTable(Fertiliser_SourceData.Fertiliser_Products_Data3(), FertiliserProducts[[#Headers],[Company]],61)</f>
        <v/>
      </c>
      <c r="Y179" s="188" t="str" cm="1">
        <f t="array" ref="Y179">Common_InputFunctions.Utility_DisplayArrayInTable(Fertiliser_SourceData.Fertiliser_Products_Data3(), FertiliserProducts[[#Headers],[Company]],61)</f>
        <v/>
      </c>
      <c r="Z179" s="188" t="str" cm="1">
        <f t="array" ref="Z179">Common_InputFunctions.Utility_DisplayArrayInTable(Fertiliser_SourceData.Fertiliser_Products_Data3(), FertiliserProducts[[#Headers],[Company]],61)</f>
        <v/>
      </c>
      <c r="AA179" s="188" t="str" cm="1">
        <f t="array" ref="AA179">Common_InputFunctions.Utility_DisplayArrayInTable(Fertiliser_SourceData.Fertiliser_Products_Data3(), FertiliserProducts[[#Headers],[Company]],61)</f>
        <v/>
      </c>
      <c r="AB179" s="188" t="str" cm="1">
        <f t="array" ref="AB179">Common_InputFunctions.Utility_DisplayArrayInTable(Fertiliser_SourceData.Fertiliser_Products_Data3(), FertiliserProducts[[#Headers],[Company]],61)</f>
        <v/>
      </c>
      <c r="AC179" s="188" t="str" cm="1">
        <f t="array" ref="AC179">Common_InputFunctions.Utility_DisplayArrayInTable(Fertiliser_SourceData.Fertiliser_Products_Data3(), FertiliserProducts[[#Headers],[Company]],61)</f>
        <v/>
      </c>
      <c r="AD179" s="188" t="str" cm="1">
        <f t="array" ref="AD179">Common_InputFunctions.Utility_DisplayArrayInTable(Fertiliser_SourceData.Fertiliser_Products_Data3(), FertiliserProducts[[#Headers],[Company]],61)</f>
        <v/>
      </c>
      <c r="AE179" s="188" t="str" cm="1">
        <f t="array" ref="AE179">Common_InputFunctions.Utility_DisplayArrayInTable(Fertiliser_SourceData.Fertiliser_Products_Data3(), FertiliserProducts[[#Headers],[Company]],61)</f>
        <v/>
      </c>
      <c r="AF179" s="188" t="str" cm="1">
        <f t="array" ref="AF179">Common_InputFunctions.Utility_DisplayArrayInTable(Fertiliser_SourceData.Fertiliser_Products_Data3(), FertiliserProducts[[#Headers],[Company]],61)</f>
        <v/>
      </c>
      <c r="AG179" s="188" t="str" cm="1">
        <f t="array" ref="AG179">Common_InputFunctions.Utility_DisplayArrayInTable(Fertiliser_SourceData.Fertiliser_Products_Data3(), FertiliserProducts[[#Headers],[Company]],61)</f>
        <v/>
      </c>
      <c r="AH179" s="188" t="str" cm="1">
        <f t="array" ref="AH179">Common_InputFunctions.Utility_DisplayArrayInTable(Fertiliser_SourceData.Fertiliser_Products_Data3(), FertiliserProducts[[#Headers],[Company]],61)</f>
        <v/>
      </c>
      <c r="AK179" s="1"/>
    </row>
    <row r="180" spans="4:37" x14ac:dyDescent="0.25">
      <c r="D180" s="188" t="str" cm="1">
        <f t="array" ref="D180">Common_InputFunctions.Utility_DisplayArrayInTable(Fertiliser_SourceData.Fertiliser_Products_Data4(),FertiliserProducts[[#Headers],[Company]], 91)</f>
        <v>Impact Fertilisers</v>
      </c>
      <c r="E180" s="188" t="str" cm="1">
        <f t="array" ref="E180">Common_InputFunctions.Utility_DisplayArrayInTable(Fertiliser_SourceData.Fertiliser_Products_Data4(),FertiliserProducts[[#Headers],[Company]], 91)</f>
        <v>Impact Super Potash 1&amp;1</v>
      </c>
      <c r="F180" s="188" t="str" cm="1">
        <f t="array" ref="F180">Common_InputFunctions.Utility_DisplayArrayInTable(Fertiliser_SourceData.Fertiliser_Products_Data4(),FertiliserProducts[[#Headers],[Company]], 91)</f>
        <v>kg</v>
      </c>
      <c r="G180" s="188" cm="1">
        <f t="array" ref="G180">Common_InputFunctions.Utility_DisplayArrayInTable(Fertiliser_SourceData.Fertiliser_Products_Data4(),FertiliserProducts[[#Headers],[Company]], 91)</f>
        <v>1</v>
      </c>
      <c r="H180" s="188" t="str" cm="1">
        <f t="array" ref="H180">Common_InputFunctions.Utility_DisplayArrayInTable(Fertiliser_SourceData.Fertiliser_Products_Data4(),FertiliserProducts[[#Headers],[Company]], 91)</f>
        <v/>
      </c>
      <c r="I180" s="188" t="str" cm="1">
        <f t="array" ref="I180">Common_InputFunctions.Utility_DisplayArrayInTable(Fertiliser_SourceData.Fertiliser_Products_Data4(),FertiliserProducts[[#Headers],[Company]], 91)</f>
        <v/>
      </c>
      <c r="J180" s="188" t="str" cm="1">
        <f t="array" ref="J180">Common_InputFunctions.Utility_DisplayArrayInTable(Fertiliser_SourceData.Fertiliser_Products_Data4(),FertiliserProducts[[#Headers],[Company]], 91)</f>
        <v/>
      </c>
      <c r="K180" s="188" t="str" cm="1">
        <f t="array" ref="K180">Common_InputFunctions.Utility_DisplayArrayInTable(Fertiliser_SourceData.Fertiliser_Products_Data4(),FertiliserProducts[[#Headers],[Company]], 91)</f>
        <v/>
      </c>
      <c r="L180" s="188" cm="1">
        <f t="array" ref="L180">Common_InputFunctions.Utility_DisplayArrayInTable(Fertiliser_SourceData.Fertiliser_Products_Data4(),FertiliserProducts[[#Headers],[Company]], 91)</f>
        <v>4.4000000000000004</v>
      </c>
      <c r="M180" s="188" cm="1">
        <f t="array" ref="M180">Common_InputFunctions.Utility_DisplayArrayInTable(Fertiliser_SourceData.Fertiliser_Products_Data4(),FertiliserProducts[[#Headers],[Company]], 91)</f>
        <v>25</v>
      </c>
      <c r="N180" s="188" cm="1">
        <f t="array" ref="N180">Common_InputFunctions.Utility_DisplayArrayInTable(Fertiliser_SourceData.Fertiliser_Products_Data4(),FertiliserProducts[[#Headers],[Company]], 91)</f>
        <v>5.5</v>
      </c>
      <c r="O180" s="188" t="str" cm="1">
        <f t="array" ref="O180">Common_InputFunctions.Utility_DisplayArrayInTable(Fertiliser_SourceData.Fertiliser_Products_Data4(),FertiliserProducts[[#Headers],[Company]], 91)</f>
        <v>Single superphosphate (SSP)</v>
      </c>
      <c r="P180" s="188" cm="1">
        <f t="array" ref="P180">Common_InputFunctions.Utility_DisplayArrayInTable(Fertiliser_SourceData.Fertiliser_Products_Data4(),FertiliserProducts[[#Headers],[Company]], 91)</f>
        <v>0.5</v>
      </c>
      <c r="Q180" s="188" t="str" cm="1">
        <f t="array" ref="Q180">Common_InputFunctions.Utility_DisplayArrayInTable(Fertiliser_SourceData.Fertiliser_Products_Data4(),FertiliserProducts[[#Headers],[Company]], 91)</f>
        <v>Muriate of potash (MOP)</v>
      </c>
      <c r="R180" s="188" cm="1">
        <f t="array" ref="R180">Common_InputFunctions.Utility_DisplayArrayInTable(Fertiliser_SourceData.Fertiliser_Products_Data4(),FertiliserProducts[[#Headers],[Company]], 91)</f>
        <v>0.5</v>
      </c>
      <c r="S180" s="188" t="str" cm="1">
        <f t="array" ref="S180">Common_InputFunctions.Utility_DisplayArrayInTable(Fertiliser_SourceData.Fertiliser_Products_Data4(),FertiliserProducts[[#Headers],[Company]], 91)</f>
        <v/>
      </c>
      <c r="T180" s="188" t="str" cm="1">
        <f t="array" ref="T180">Common_InputFunctions.Utility_DisplayArrayInTable(Fertiliser_SourceData.Fertiliser_Products_Data4(),FertiliserProducts[[#Headers],[Company]], 91)</f>
        <v/>
      </c>
      <c r="U180" s="188" t="str" cm="1">
        <f t="array" ref="U180">Common_InputFunctions.Utility_DisplayArrayInTable(Fertiliser_SourceData.Fertiliser_Products_Data4(),FertiliserProducts[[#Headers],[Company]], 91)</f>
        <v/>
      </c>
      <c r="V180" s="188" t="str" cm="1">
        <f t="array" ref="V180">Common_InputFunctions.Utility_DisplayArrayInTable(Fertiliser_SourceData.Fertiliser_Products_Data4(),FertiliserProducts[[#Headers],[Company]], 91)</f>
        <v/>
      </c>
      <c r="W180" s="188" t="str" cm="1">
        <f t="array" ref="W180">Common_InputFunctions.Utility_DisplayArrayInTable(Fertiliser_SourceData.Fertiliser_Products_Data4(),FertiliserProducts[[#Headers],[Company]], 91)</f>
        <v/>
      </c>
      <c r="X180" s="188" t="str" cm="1">
        <f t="array" ref="X180">Common_InputFunctions.Utility_DisplayArrayInTable(Fertiliser_SourceData.Fertiliser_Products_Data4(),FertiliserProducts[[#Headers],[Company]], 91)</f>
        <v/>
      </c>
      <c r="Y180" s="188" t="str" cm="1">
        <f t="array" ref="Y180">Common_InputFunctions.Utility_DisplayArrayInTable(Fertiliser_SourceData.Fertiliser_Products_Data4(),FertiliserProducts[[#Headers],[Company]], 91)</f>
        <v/>
      </c>
      <c r="Z180" s="188" t="str" cm="1">
        <f t="array" ref="Z180">Common_InputFunctions.Utility_DisplayArrayInTable(Fertiliser_SourceData.Fertiliser_Products_Data4(),FertiliserProducts[[#Headers],[Company]], 91)</f>
        <v/>
      </c>
      <c r="AA180" s="188" t="str" cm="1">
        <f t="array" ref="AA180">Common_InputFunctions.Utility_DisplayArrayInTable(Fertiliser_SourceData.Fertiliser_Products_Data4(),FertiliserProducts[[#Headers],[Company]], 91)</f>
        <v/>
      </c>
      <c r="AB180" s="188" t="str" cm="1">
        <f t="array" ref="AB180">Common_InputFunctions.Utility_DisplayArrayInTable(Fertiliser_SourceData.Fertiliser_Products_Data4(),FertiliserProducts[[#Headers],[Company]], 91)</f>
        <v/>
      </c>
      <c r="AC180" s="188" t="str" cm="1">
        <f t="array" ref="AC180">Common_InputFunctions.Utility_DisplayArrayInTable(Fertiliser_SourceData.Fertiliser_Products_Data4(),FertiliserProducts[[#Headers],[Company]], 91)</f>
        <v/>
      </c>
      <c r="AD180" s="188" t="str" cm="1">
        <f t="array" ref="AD180">Common_InputFunctions.Utility_DisplayArrayInTable(Fertiliser_SourceData.Fertiliser_Products_Data4(),FertiliserProducts[[#Headers],[Company]], 91)</f>
        <v/>
      </c>
      <c r="AE180" s="188" t="str" cm="1">
        <f t="array" ref="AE180">Common_InputFunctions.Utility_DisplayArrayInTable(Fertiliser_SourceData.Fertiliser_Products_Data4(),FertiliserProducts[[#Headers],[Company]], 91)</f>
        <v/>
      </c>
      <c r="AF180" s="188" t="str" cm="1">
        <f t="array" ref="AF180">Common_InputFunctions.Utility_DisplayArrayInTable(Fertiliser_SourceData.Fertiliser_Products_Data4(),FertiliserProducts[[#Headers],[Company]], 91)</f>
        <v/>
      </c>
      <c r="AG180" s="188" t="str" cm="1">
        <f t="array" ref="AG180">Common_InputFunctions.Utility_DisplayArrayInTable(Fertiliser_SourceData.Fertiliser_Products_Data4(),FertiliserProducts[[#Headers],[Company]], 91)</f>
        <v/>
      </c>
      <c r="AH180" s="188" t="str" cm="1">
        <f t="array" ref="AH180">Common_InputFunctions.Utility_DisplayArrayInTable(Fertiliser_SourceData.Fertiliser_Products_Data4(),FertiliserProducts[[#Headers],[Company]], 91)</f>
        <v/>
      </c>
    </row>
    <row r="181" spans="4:37" x14ac:dyDescent="0.25">
      <c r="D181" s="188" t="str" cm="1">
        <f t="array" ref="D181">Common_InputFunctions.Utility_DisplayArrayInTable(Fertiliser_SourceData.Fertiliser_Products_Data4(),FertiliserProducts[[#Headers],[Company]], 91)</f>
        <v>Impact Fertilisers</v>
      </c>
      <c r="E181" s="188" t="str" cm="1">
        <f t="array" ref="E181">Common_InputFunctions.Utility_DisplayArrayInTable(Fertiliser_SourceData.Fertiliser_Products_Data4(),FertiliserProducts[[#Headers],[Company]], 91)</f>
        <v>Impact Super Potash 2&amp;1</v>
      </c>
      <c r="F181" s="188" t="str" cm="1">
        <f t="array" ref="F181">Common_InputFunctions.Utility_DisplayArrayInTable(Fertiliser_SourceData.Fertiliser_Products_Data4(),FertiliserProducts[[#Headers],[Company]], 91)</f>
        <v>kg</v>
      </c>
      <c r="G181" s="188" cm="1">
        <f t="array" ref="G181">Common_InputFunctions.Utility_DisplayArrayInTable(Fertiliser_SourceData.Fertiliser_Products_Data4(),FertiliserProducts[[#Headers],[Company]], 91)</f>
        <v>1</v>
      </c>
      <c r="H181" s="188" t="str" cm="1">
        <f t="array" ref="H181">Common_InputFunctions.Utility_DisplayArrayInTable(Fertiliser_SourceData.Fertiliser_Products_Data4(),FertiliserProducts[[#Headers],[Company]], 91)</f>
        <v/>
      </c>
      <c r="I181" s="188" t="str" cm="1">
        <f t="array" ref="I181">Common_InputFunctions.Utility_DisplayArrayInTable(Fertiliser_SourceData.Fertiliser_Products_Data4(),FertiliserProducts[[#Headers],[Company]], 91)</f>
        <v/>
      </c>
      <c r="J181" s="188" t="str" cm="1">
        <f t="array" ref="J181">Common_InputFunctions.Utility_DisplayArrayInTable(Fertiliser_SourceData.Fertiliser_Products_Data4(),FertiliserProducts[[#Headers],[Company]], 91)</f>
        <v/>
      </c>
      <c r="K181" s="188" t="str" cm="1">
        <f t="array" ref="K181">Common_InputFunctions.Utility_DisplayArrayInTable(Fertiliser_SourceData.Fertiliser_Products_Data4(),FertiliserProducts[[#Headers],[Company]], 91)</f>
        <v/>
      </c>
      <c r="L181" s="188" cm="1">
        <f t="array" ref="L181">Common_InputFunctions.Utility_DisplayArrayInTable(Fertiliser_SourceData.Fertiliser_Products_Data4(),FertiliserProducts[[#Headers],[Company]], 91)</f>
        <v>5.84</v>
      </c>
      <c r="M181" s="188" cm="1">
        <f t="array" ref="M181">Common_InputFunctions.Utility_DisplayArrayInTable(Fertiliser_SourceData.Fertiliser_Products_Data4(),FertiliserProducts[[#Headers],[Company]], 91)</f>
        <v>16.8</v>
      </c>
      <c r="N181" s="188" cm="1">
        <f t="array" ref="N181">Common_InputFunctions.Utility_DisplayArrayInTable(Fertiliser_SourceData.Fertiliser_Products_Data4(),FertiliserProducts[[#Headers],[Company]], 91)</f>
        <v>7.29</v>
      </c>
      <c r="O181" s="188" t="str" cm="1">
        <f t="array" ref="O181">Common_InputFunctions.Utility_DisplayArrayInTable(Fertiliser_SourceData.Fertiliser_Products_Data4(),FertiliserProducts[[#Headers],[Company]], 91)</f>
        <v>Single superphosphate (SSP)</v>
      </c>
      <c r="P181" s="188" cm="1">
        <f t="array" ref="P181">Common_InputFunctions.Utility_DisplayArrayInTable(Fertiliser_SourceData.Fertiliser_Products_Data4(),FertiliserProducts[[#Headers],[Company]], 91)</f>
        <v>0.66315800000000003</v>
      </c>
      <c r="Q181" s="188" t="str" cm="1">
        <f t="array" ref="Q181">Common_InputFunctions.Utility_DisplayArrayInTable(Fertiliser_SourceData.Fertiliser_Products_Data4(),FertiliserProducts[[#Headers],[Company]], 91)</f>
        <v>Muriate of potash (MOP)</v>
      </c>
      <c r="R181" s="188" cm="1">
        <f t="array" ref="R181">Common_InputFunctions.Utility_DisplayArrayInTable(Fertiliser_SourceData.Fertiliser_Products_Data4(),FertiliserProducts[[#Headers],[Company]], 91)</f>
        <v>0.33600000000000002</v>
      </c>
      <c r="S181" s="188" t="str" cm="1">
        <f t="array" ref="S181">Common_InputFunctions.Utility_DisplayArrayInTable(Fertiliser_SourceData.Fertiliser_Products_Data4(),FertiliserProducts[[#Headers],[Company]], 91)</f>
        <v/>
      </c>
      <c r="T181" s="188" t="str" cm="1">
        <f t="array" ref="T181">Common_InputFunctions.Utility_DisplayArrayInTable(Fertiliser_SourceData.Fertiliser_Products_Data4(),FertiliserProducts[[#Headers],[Company]], 91)</f>
        <v/>
      </c>
      <c r="U181" s="188" t="str" cm="1">
        <f t="array" ref="U181">Common_InputFunctions.Utility_DisplayArrayInTable(Fertiliser_SourceData.Fertiliser_Products_Data4(),FertiliserProducts[[#Headers],[Company]], 91)</f>
        <v/>
      </c>
      <c r="V181" s="188" t="str" cm="1">
        <f t="array" ref="V181">Common_InputFunctions.Utility_DisplayArrayInTable(Fertiliser_SourceData.Fertiliser_Products_Data4(),FertiliserProducts[[#Headers],[Company]], 91)</f>
        <v/>
      </c>
      <c r="W181" s="188" t="str" cm="1">
        <f t="array" ref="W181">Common_InputFunctions.Utility_DisplayArrayInTable(Fertiliser_SourceData.Fertiliser_Products_Data4(),FertiliserProducts[[#Headers],[Company]], 91)</f>
        <v/>
      </c>
      <c r="X181" s="188" t="str" cm="1">
        <f t="array" ref="X181">Common_InputFunctions.Utility_DisplayArrayInTable(Fertiliser_SourceData.Fertiliser_Products_Data4(),FertiliserProducts[[#Headers],[Company]], 91)</f>
        <v/>
      </c>
      <c r="Y181" s="188" t="str" cm="1">
        <f t="array" ref="Y181">Common_InputFunctions.Utility_DisplayArrayInTable(Fertiliser_SourceData.Fertiliser_Products_Data4(),FertiliserProducts[[#Headers],[Company]], 91)</f>
        <v/>
      </c>
      <c r="Z181" s="188" t="str" cm="1">
        <f t="array" ref="Z181">Common_InputFunctions.Utility_DisplayArrayInTable(Fertiliser_SourceData.Fertiliser_Products_Data4(),FertiliserProducts[[#Headers],[Company]], 91)</f>
        <v/>
      </c>
      <c r="AA181" s="188" t="str" cm="1">
        <f t="array" ref="AA181">Common_InputFunctions.Utility_DisplayArrayInTable(Fertiliser_SourceData.Fertiliser_Products_Data4(),FertiliserProducts[[#Headers],[Company]], 91)</f>
        <v/>
      </c>
      <c r="AB181" s="188" t="str" cm="1">
        <f t="array" ref="AB181">Common_InputFunctions.Utility_DisplayArrayInTable(Fertiliser_SourceData.Fertiliser_Products_Data4(),FertiliserProducts[[#Headers],[Company]], 91)</f>
        <v/>
      </c>
      <c r="AC181" s="188" t="str" cm="1">
        <f t="array" ref="AC181">Common_InputFunctions.Utility_DisplayArrayInTable(Fertiliser_SourceData.Fertiliser_Products_Data4(),FertiliserProducts[[#Headers],[Company]], 91)</f>
        <v/>
      </c>
      <c r="AD181" s="188" t="str" cm="1">
        <f t="array" ref="AD181">Common_InputFunctions.Utility_DisplayArrayInTable(Fertiliser_SourceData.Fertiliser_Products_Data4(),FertiliserProducts[[#Headers],[Company]], 91)</f>
        <v/>
      </c>
      <c r="AE181" s="188" t="str" cm="1">
        <f t="array" ref="AE181">Common_InputFunctions.Utility_DisplayArrayInTable(Fertiliser_SourceData.Fertiliser_Products_Data4(),FertiliserProducts[[#Headers],[Company]], 91)</f>
        <v/>
      </c>
      <c r="AF181" s="188" t="str" cm="1">
        <f t="array" ref="AF181">Common_InputFunctions.Utility_DisplayArrayInTable(Fertiliser_SourceData.Fertiliser_Products_Data4(),FertiliserProducts[[#Headers],[Company]], 91)</f>
        <v/>
      </c>
      <c r="AG181" s="188" t="str" cm="1">
        <f t="array" ref="AG181">Common_InputFunctions.Utility_DisplayArrayInTable(Fertiliser_SourceData.Fertiliser_Products_Data4(),FertiliserProducts[[#Headers],[Company]], 91)</f>
        <v/>
      </c>
      <c r="AH181" s="188" t="str" cm="1">
        <f t="array" ref="AH181">Common_InputFunctions.Utility_DisplayArrayInTable(Fertiliser_SourceData.Fertiliser_Products_Data4(),FertiliserProducts[[#Headers],[Company]], 91)</f>
        <v/>
      </c>
    </row>
    <row r="182" spans="4:37" x14ac:dyDescent="0.25">
      <c r="D182" s="188" t="str" cm="1">
        <f t="array" ref="D182">Common_InputFunctions.Utility_DisplayArrayInTable(Fertiliser_SourceData.Fertiliser_Products_Data4(),FertiliserProducts[[#Headers],[Company]], 91)</f>
        <v>Impact Fertilisers</v>
      </c>
      <c r="E182" s="188" t="str" cm="1">
        <f t="array" ref="E182">Common_InputFunctions.Utility_DisplayArrayInTable(Fertiliser_SourceData.Fertiliser_Products_Data4(),FertiliserProducts[[#Headers],[Company]], 91)</f>
        <v>Impact Super Potash 3&amp;1</v>
      </c>
      <c r="F182" s="188" t="str" cm="1">
        <f t="array" ref="F182">Common_InputFunctions.Utility_DisplayArrayInTable(Fertiliser_SourceData.Fertiliser_Products_Data4(),FertiliserProducts[[#Headers],[Company]], 91)</f>
        <v>kg</v>
      </c>
      <c r="G182" s="188" cm="1">
        <f t="array" ref="G182">Common_InputFunctions.Utility_DisplayArrayInTable(Fertiliser_SourceData.Fertiliser_Products_Data4(),FertiliserProducts[[#Headers],[Company]], 91)</f>
        <v>1</v>
      </c>
      <c r="H182" s="188" t="str" cm="1">
        <f t="array" ref="H182">Common_InputFunctions.Utility_DisplayArrayInTable(Fertiliser_SourceData.Fertiliser_Products_Data4(),FertiliserProducts[[#Headers],[Company]], 91)</f>
        <v/>
      </c>
      <c r="I182" s="188" t="str" cm="1">
        <f t="array" ref="I182">Common_InputFunctions.Utility_DisplayArrayInTable(Fertiliser_SourceData.Fertiliser_Products_Data4(),FertiliserProducts[[#Headers],[Company]], 91)</f>
        <v/>
      </c>
      <c r="J182" s="188" t="str" cm="1">
        <f t="array" ref="J182">Common_InputFunctions.Utility_DisplayArrayInTable(Fertiliser_SourceData.Fertiliser_Products_Data4(),FertiliserProducts[[#Headers],[Company]], 91)</f>
        <v/>
      </c>
      <c r="K182" s="188" t="str" cm="1">
        <f t="array" ref="K182">Common_InputFunctions.Utility_DisplayArrayInTable(Fertiliser_SourceData.Fertiliser_Products_Data4(),FertiliserProducts[[#Headers],[Company]], 91)</f>
        <v/>
      </c>
      <c r="L182" s="188" cm="1">
        <f t="array" ref="L182">Common_InputFunctions.Utility_DisplayArrayInTable(Fertiliser_SourceData.Fertiliser_Products_Data4(),FertiliserProducts[[#Headers],[Company]], 91)</f>
        <v>6.58</v>
      </c>
      <c r="M182" s="188" cm="1">
        <f t="array" ref="M182">Common_InputFunctions.Utility_DisplayArrayInTable(Fertiliser_SourceData.Fertiliser_Products_Data4(),FertiliserProducts[[#Headers],[Company]], 91)</f>
        <v>12.5</v>
      </c>
      <c r="N182" s="188" cm="1">
        <f t="array" ref="N182">Common_InputFunctions.Utility_DisplayArrayInTable(Fertiliser_SourceData.Fertiliser_Products_Data4(),FertiliserProducts[[#Headers],[Company]], 91)</f>
        <v>8.2200000000000006</v>
      </c>
      <c r="O182" s="188" t="str" cm="1">
        <f t="array" ref="O182">Common_InputFunctions.Utility_DisplayArrayInTable(Fertiliser_SourceData.Fertiliser_Products_Data4(),FertiliserProducts[[#Headers],[Company]], 91)</f>
        <v>Single superphosphate (SSP)</v>
      </c>
      <c r="P182" s="188" cm="1">
        <f t="array" ref="P182">Common_InputFunctions.Utility_DisplayArrayInTable(Fertiliser_SourceData.Fertiliser_Products_Data4(),FertiliserProducts[[#Headers],[Company]], 91)</f>
        <v>0.74736800000000003</v>
      </c>
      <c r="Q182" s="188" t="str" cm="1">
        <f t="array" ref="Q182">Common_InputFunctions.Utility_DisplayArrayInTable(Fertiliser_SourceData.Fertiliser_Products_Data4(),FertiliserProducts[[#Headers],[Company]], 91)</f>
        <v>Muriate of potash (MOP)</v>
      </c>
      <c r="R182" s="188" cm="1">
        <f t="array" ref="R182">Common_InputFunctions.Utility_DisplayArrayInTable(Fertiliser_SourceData.Fertiliser_Products_Data4(),FertiliserProducts[[#Headers],[Company]], 91)</f>
        <v>0.25</v>
      </c>
      <c r="S182" s="188" t="str" cm="1">
        <f t="array" ref="S182">Common_InputFunctions.Utility_DisplayArrayInTable(Fertiliser_SourceData.Fertiliser_Products_Data4(),FertiliserProducts[[#Headers],[Company]], 91)</f>
        <v/>
      </c>
      <c r="T182" s="188" t="str" cm="1">
        <f t="array" ref="T182">Common_InputFunctions.Utility_DisplayArrayInTable(Fertiliser_SourceData.Fertiliser_Products_Data4(),FertiliserProducts[[#Headers],[Company]], 91)</f>
        <v/>
      </c>
      <c r="U182" s="188" t="str" cm="1">
        <f t="array" ref="U182">Common_InputFunctions.Utility_DisplayArrayInTable(Fertiliser_SourceData.Fertiliser_Products_Data4(),FertiliserProducts[[#Headers],[Company]], 91)</f>
        <v/>
      </c>
      <c r="V182" s="188" t="str" cm="1">
        <f t="array" ref="V182">Common_InputFunctions.Utility_DisplayArrayInTable(Fertiliser_SourceData.Fertiliser_Products_Data4(),FertiliserProducts[[#Headers],[Company]], 91)</f>
        <v/>
      </c>
      <c r="W182" s="188" t="str" cm="1">
        <f t="array" ref="W182">Common_InputFunctions.Utility_DisplayArrayInTable(Fertiliser_SourceData.Fertiliser_Products_Data4(),FertiliserProducts[[#Headers],[Company]], 91)</f>
        <v/>
      </c>
      <c r="X182" s="188" t="str" cm="1">
        <f t="array" ref="X182">Common_InputFunctions.Utility_DisplayArrayInTable(Fertiliser_SourceData.Fertiliser_Products_Data4(),FertiliserProducts[[#Headers],[Company]], 91)</f>
        <v/>
      </c>
      <c r="Y182" s="188" t="str" cm="1">
        <f t="array" ref="Y182">Common_InputFunctions.Utility_DisplayArrayInTable(Fertiliser_SourceData.Fertiliser_Products_Data4(),FertiliserProducts[[#Headers],[Company]], 91)</f>
        <v/>
      </c>
      <c r="Z182" s="188" t="str" cm="1">
        <f t="array" ref="Z182">Common_InputFunctions.Utility_DisplayArrayInTable(Fertiliser_SourceData.Fertiliser_Products_Data4(),FertiliserProducts[[#Headers],[Company]], 91)</f>
        <v/>
      </c>
      <c r="AA182" s="188" t="str" cm="1">
        <f t="array" ref="AA182">Common_InputFunctions.Utility_DisplayArrayInTable(Fertiliser_SourceData.Fertiliser_Products_Data4(),FertiliserProducts[[#Headers],[Company]], 91)</f>
        <v/>
      </c>
      <c r="AB182" s="188" t="str" cm="1">
        <f t="array" ref="AB182">Common_InputFunctions.Utility_DisplayArrayInTable(Fertiliser_SourceData.Fertiliser_Products_Data4(),FertiliserProducts[[#Headers],[Company]], 91)</f>
        <v/>
      </c>
      <c r="AC182" s="188" t="str" cm="1">
        <f t="array" ref="AC182">Common_InputFunctions.Utility_DisplayArrayInTable(Fertiliser_SourceData.Fertiliser_Products_Data4(),FertiliserProducts[[#Headers],[Company]], 91)</f>
        <v/>
      </c>
      <c r="AD182" s="188" t="str" cm="1">
        <f t="array" ref="AD182">Common_InputFunctions.Utility_DisplayArrayInTable(Fertiliser_SourceData.Fertiliser_Products_Data4(),FertiliserProducts[[#Headers],[Company]], 91)</f>
        <v/>
      </c>
      <c r="AE182" s="188" t="str" cm="1">
        <f t="array" ref="AE182">Common_InputFunctions.Utility_DisplayArrayInTable(Fertiliser_SourceData.Fertiliser_Products_Data4(),FertiliserProducts[[#Headers],[Company]], 91)</f>
        <v/>
      </c>
      <c r="AF182" s="188" t="str" cm="1">
        <f t="array" ref="AF182">Common_InputFunctions.Utility_DisplayArrayInTable(Fertiliser_SourceData.Fertiliser_Products_Data4(),FertiliserProducts[[#Headers],[Company]], 91)</f>
        <v/>
      </c>
      <c r="AG182" s="188" t="str" cm="1">
        <f t="array" ref="AG182">Common_InputFunctions.Utility_DisplayArrayInTable(Fertiliser_SourceData.Fertiliser_Products_Data4(),FertiliserProducts[[#Headers],[Company]], 91)</f>
        <v/>
      </c>
      <c r="AH182" s="188" t="str" cm="1">
        <f t="array" ref="AH182">Common_InputFunctions.Utility_DisplayArrayInTable(Fertiliser_SourceData.Fertiliser_Products_Data4(),FertiliserProducts[[#Headers],[Company]], 91)</f>
        <v/>
      </c>
    </row>
    <row r="183" spans="4:37" x14ac:dyDescent="0.25">
      <c r="D183" s="188" t="str" cm="1">
        <f t="array" ref="D183">Common_InputFunctions.Utility_DisplayArrayInTable(Fertiliser_SourceData.Fertiliser_Products_Data4(),FertiliserProducts[[#Headers],[Company]], 91)</f>
        <v>Impact Fertilisers</v>
      </c>
      <c r="E183" s="188" t="str" cm="1">
        <f t="array" ref="E183">Common_InputFunctions.Utility_DisplayArrayInTable(Fertiliser_SourceData.Fertiliser_Products_Data4(),FertiliserProducts[[#Headers],[Company]], 91)</f>
        <v>Impact Super Potash 4&amp;1</v>
      </c>
      <c r="F183" s="188" t="str" cm="1">
        <f t="array" ref="F183">Common_InputFunctions.Utility_DisplayArrayInTable(Fertiliser_SourceData.Fertiliser_Products_Data4(),FertiliserProducts[[#Headers],[Company]], 91)</f>
        <v>kg</v>
      </c>
      <c r="G183" s="188" cm="1">
        <f t="array" ref="G183">Common_InputFunctions.Utility_DisplayArrayInTable(Fertiliser_SourceData.Fertiliser_Products_Data4(),FertiliserProducts[[#Headers],[Company]], 91)</f>
        <v>1</v>
      </c>
      <c r="H183" s="188" t="str" cm="1">
        <f t="array" ref="H183">Common_InputFunctions.Utility_DisplayArrayInTable(Fertiliser_SourceData.Fertiliser_Products_Data4(),FertiliserProducts[[#Headers],[Company]], 91)</f>
        <v/>
      </c>
      <c r="I183" s="188" t="str" cm="1">
        <f t="array" ref="I183">Common_InputFunctions.Utility_DisplayArrayInTable(Fertiliser_SourceData.Fertiliser_Products_Data4(),FertiliserProducts[[#Headers],[Company]], 91)</f>
        <v/>
      </c>
      <c r="J183" s="188" t="str" cm="1">
        <f t="array" ref="J183">Common_InputFunctions.Utility_DisplayArrayInTable(Fertiliser_SourceData.Fertiliser_Products_Data4(),FertiliserProducts[[#Headers],[Company]], 91)</f>
        <v/>
      </c>
      <c r="K183" s="188" t="str" cm="1">
        <f t="array" ref="K183">Common_InputFunctions.Utility_DisplayArrayInTable(Fertiliser_SourceData.Fertiliser_Products_Data4(),FertiliserProducts[[#Headers],[Company]], 91)</f>
        <v/>
      </c>
      <c r="L183" s="188" cm="1">
        <f t="array" ref="L183">Common_InputFunctions.Utility_DisplayArrayInTable(Fertiliser_SourceData.Fertiliser_Products_Data4(),FertiliserProducts[[#Headers],[Company]], 91)</f>
        <v>7.04</v>
      </c>
      <c r="M183" s="188" cm="1">
        <f t="array" ref="M183">Common_InputFunctions.Utility_DisplayArrayInTable(Fertiliser_SourceData.Fertiliser_Products_Data4(),FertiliserProducts[[#Headers],[Company]], 91)</f>
        <v>10</v>
      </c>
      <c r="N183" s="188" cm="1">
        <f t="array" ref="N183">Common_InputFunctions.Utility_DisplayArrayInTable(Fertiliser_SourceData.Fertiliser_Products_Data4(),FertiliserProducts[[#Headers],[Company]], 91)</f>
        <v>8.8000000000000007</v>
      </c>
      <c r="O183" s="188" t="str" cm="1">
        <f t="array" ref="O183">Common_InputFunctions.Utility_DisplayArrayInTable(Fertiliser_SourceData.Fertiliser_Products_Data4(),FertiliserProducts[[#Headers],[Company]], 91)</f>
        <v>Single superphosphate (SSP)</v>
      </c>
      <c r="P183" s="188" cm="1">
        <f t="array" ref="P183">Common_InputFunctions.Utility_DisplayArrayInTable(Fertiliser_SourceData.Fertiliser_Products_Data4(),FertiliserProducts[[#Headers],[Company]], 91)</f>
        <v>0.8</v>
      </c>
      <c r="Q183" s="188" t="str" cm="1">
        <f t="array" ref="Q183">Common_InputFunctions.Utility_DisplayArrayInTable(Fertiliser_SourceData.Fertiliser_Products_Data4(),FertiliserProducts[[#Headers],[Company]], 91)</f>
        <v>Muriate of potash (MOP)</v>
      </c>
      <c r="R183" s="188" cm="1">
        <f t="array" ref="R183">Common_InputFunctions.Utility_DisplayArrayInTable(Fertiliser_SourceData.Fertiliser_Products_Data4(),FertiliserProducts[[#Headers],[Company]], 91)</f>
        <v>0.2</v>
      </c>
      <c r="S183" s="188" t="str" cm="1">
        <f t="array" ref="S183">Common_InputFunctions.Utility_DisplayArrayInTable(Fertiliser_SourceData.Fertiliser_Products_Data4(),FertiliserProducts[[#Headers],[Company]], 91)</f>
        <v/>
      </c>
      <c r="T183" s="188" t="str" cm="1">
        <f t="array" ref="T183">Common_InputFunctions.Utility_DisplayArrayInTable(Fertiliser_SourceData.Fertiliser_Products_Data4(),FertiliserProducts[[#Headers],[Company]], 91)</f>
        <v/>
      </c>
      <c r="U183" s="188" t="str" cm="1">
        <f t="array" ref="U183">Common_InputFunctions.Utility_DisplayArrayInTable(Fertiliser_SourceData.Fertiliser_Products_Data4(),FertiliserProducts[[#Headers],[Company]], 91)</f>
        <v/>
      </c>
      <c r="V183" s="188" t="str" cm="1">
        <f t="array" ref="V183">Common_InputFunctions.Utility_DisplayArrayInTable(Fertiliser_SourceData.Fertiliser_Products_Data4(),FertiliserProducts[[#Headers],[Company]], 91)</f>
        <v/>
      </c>
      <c r="W183" s="188" t="str" cm="1">
        <f t="array" ref="W183">Common_InputFunctions.Utility_DisplayArrayInTable(Fertiliser_SourceData.Fertiliser_Products_Data4(),FertiliserProducts[[#Headers],[Company]], 91)</f>
        <v/>
      </c>
      <c r="X183" s="188" t="str" cm="1">
        <f t="array" ref="X183">Common_InputFunctions.Utility_DisplayArrayInTable(Fertiliser_SourceData.Fertiliser_Products_Data4(),FertiliserProducts[[#Headers],[Company]], 91)</f>
        <v/>
      </c>
      <c r="Y183" s="188" t="str" cm="1">
        <f t="array" ref="Y183">Common_InputFunctions.Utility_DisplayArrayInTable(Fertiliser_SourceData.Fertiliser_Products_Data4(),FertiliserProducts[[#Headers],[Company]], 91)</f>
        <v/>
      </c>
      <c r="Z183" s="188" t="str" cm="1">
        <f t="array" ref="Z183">Common_InputFunctions.Utility_DisplayArrayInTable(Fertiliser_SourceData.Fertiliser_Products_Data4(),FertiliserProducts[[#Headers],[Company]], 91)</f>
        <v/>
      </c>
      <c r="AA183" s="188" t="str" cm="1">
        <f t="array" ref="AA183">Common_InputFunctions.Utility_DisplayArrayInTable(Fertiliser_SourceData.Fertiliser_Products_Data4(),FertiliserProducts[[#Headers],[Company]], 91)</f>
        <v/>
      </c>
      <c r="AB183" s="188" t="str" cm="1">
        <f t="array" ref="AB183">Common_InputFunctions.Utility_DisplayArrayInTable(Fertiliser_SourceData.Fertiliser_Products_Data4(),FertiliserProducts[[#Headers],[Company]], 91)</f>
        <v/>
      </c>
      <c r="AC183" s="188" t="str" cm="1">
        <f t="array" ref="AC183">Common_InputFunctions.Utility_DisplayArrayInTable(Fertiliser_SourceData.Fertiliser_Products_Data4(),FertiliserProducts[[#Headers],[Company]], 91)</f>
        <v/>
      </c>
      <c r="AD183" s="188" t="str" cm="1">
        <f t="array" ref="AD183">Common_InputFunctions.Utility_DisplayArrayInTable(Fertiliser_SourceData.Fertiliser_Products_Data4(),FertiliserProducts[[#Headers],[Company]], 91)</f>
        <v/>
      </c>
      <c r="AE183" s="188" t="str" cm="1">
        <f t="array" ref="AE183">Common_InputFunctions.Utility_DisplayArrayInTable(Fertiliser_SourceData.Fertiliser_Products_Data4(),FertiliserProducts[[#Headers],[Company]], 91)</f>
        <v/>
      </c>
      <c r="AF183" s="188" t="str" cm="1">
        <f t="array" ref="AF183">Common_InputFunctions.Utility_DisplayArrayInTable(Fertiliser_SourceData.Fertiliser_Products_Data4(),FertiliserProducts[[#Headers],[Company]], 91)</f>
        <v/>
      </c>
      <c r="AG183" s="188" t="str" cm="1">
        <f t="array" ref="AG183">Common_InputFunctions.Utility_DisplayArrayInTable(Fertiliser_SourceData.Fertiliser_Products_Data4(),FertiliserProducts[[#Headers],[Company]], 91)</f>
        <v/>
      </c>
      <c r="AH183" s="188" t="str" cm="1">
        <f t="array" ref="AH183">Common_InputFunctions.Utility_DisplayArrayInTable(Fertiliser_SourceData.Fertiliser_Products_Data4(),FertiliserProducts[[#Headers],[Company]], 91)</f>
        <v/>
      </c>
    </row>
    <row r="184" spans="4:37" x14ac:dyDescent="0.25">
      <c r="D184" s="188" t="str" cm="1">
        <f t="array" ref="D184">Common_InputFunctions.Utility_DisplayArrayInTable(Fertiliser_SourceData.Fertiliser_Products_Data4(),FertiliserProducts[[#Headers],[Company]], 91)</f>
        <v>Impact Fertilisers</v>
      </c>
      <c r="E184" s="188" t="str" cm="1">
        <f t="array" ref="E184">Common_InputFunctions.Utility_DisplayArrayInTable(Fertiliser_SourceData.Fertiliser_Products_Data4(),FertiliserProducts[[#Headers],[Company]], 91)</f>
        <v>Impact Super Potash 5&amp;1</v>
      </c>
      <c r="F184" s="188" t="str" cm="1">
        <f t="array" ref="F184">Common_InputFunctions.Utility_DisplayArrayInTable(Fertiliser_SourceData.Fertiliser_Products_Data4(),FertiliserProducts[[#Headers],[Company]], 91)</f>
        <v>kg</v>
      </c>
      <c r="G184" s="188" cm="1">
        <f t="array" ref="G184">Common_InputFunctions.Utility_DisplayArrayInTable(Fertiliser_SourceData.Fertiliser_Products_Data4(),FertiliserProducts[[#Headers],[Company]], 91)</f>
        <v>1</v>
      </c>
      <c r="H184" s="188" t="str" cm="1">
        <f t="array" ref="H184">Common_InputFunctions.Utility_DisplayArrayInTable(Fertiliser_SourceData.Fertiliser_Products_Data4(),FertiliserProducts[[#Headers],[Company]], 91)</f>
        <v/>
      </c>
      <c r="I184" s="188" t="str" cm="1">
        <f t="array" ref="I184">Common_InputFunctions.Utility_DisplayArrayInTable(Fertiliser_SourceData.Fertiliser_Products_Data4(),FertiliserProducts[[#Headers],[Company]], 91)</f>
        <v/>
      </c>
      <c r="J184" s="188" t="str" cm="1">
        <f t="array" ref="J184">Common_InputFunctions.Utility_DisplayArrayInTable(Fertiliser_SourceData.Fertiliser_Products_Data4(),FertiliserProducts[[#Headers],[Company]], 91)</f>
        <v/>
      </c>
      <c r="K184" s="188" t="str" cm="1">
        <f t="array" ref="K184">Common_InputFunctions.Utility_DisplayArrayInTable(Fertiliser_SourceData.Fertiliser_Products_Data4(),FertiliserProducts[[#Headers],[Company]], 91)</f>
        <v/>
      </c>
      <c r="L184" s="188" cm="1">
        <f t="array" ref="L184">Common_InputFunctions.Utility_DisplayArrayInTable(Fertiliser_SourceData.Fertiliser_Products_Data4(),FertiliserProducts[[#Headers],[Company]], 91)</f>
        <v>7.32</v>
      </c>
      <c r="M184" s="188" cm="1">
        <f t="array" ref="M184">Common_InputFunctions.Utility_DisplayArrayInTable(Fertiliser_SourceData.Fertiliser_Products_Data4(),FertiliserProducts[[#Headers],[Company]], 91)</f>
        <v>8.4</v>
      </c>
      <c r="N184" s="188" cm="1">
        <f t="array" ref="N184">Common_InputFunctions.Utility_DisplayArrayInTable(Fertiliser_SourceData.Fertiliser_Products_Data4(),FertiliserProducts[[#Headers],[Company]], 91)</f>
        <v>9.15</v>
      </c>
      <c r="O184" s="188" t="str" cm="1">
        <f t="array" ref="O184">Common_InputFunctions.Utility_DisplayArrayInTable(Fertiliser_SourceData.Fertiliser_Products_Data4(),FertiliserProducts[[#Headers],[Company]], 91)</f>
        <v>Single superphosphate (SSP)</v>
      </c>
      <c r="P184" s="188" cm="1">
        <f t="array" ref="P184">Common_InputFunctions.Utility_DisplayArrayInTable(Fertiliser_SourceData.Fertiliser_Products_Data4(),FertiliserProducts[[#Headers],[Company]], 91)</f>
        <v>0.83157899999999996</v>
      </c>
      <c r="Q184" s="188" t="str" cm="1">
        <f t="array" ref="Q184">Common_InputFunctions.Utility_DisplayArrayInTable(Fertiliser_SourceData.Fertiliser_Products_Data4(),FertiliserProducts[[#Headers],[Company]], 91)</f>
        <v>Muriate of potash (MOP)</v>
      </c>
      <c r="R184" s="188" cm="1">
        <f t="array" ref="R184">Common_InputFunctions.Utility_DisplayArrayInTable(Fertiliser_SourceData.Fertiliser_Products_Data4(),FertiliserProducts[[#Headers],[Company]], 91)</f>
        <v>0.16800000000000001</v>
      </c>
      <c r="S184" s="188" t="str" cm="1">
        <f t="array" ref="S184">Common_InputFunctions.Utility_DisplayArrayInTable(Fertiliser_SourceData.Fertiliser_Products_Data4(),FertiliserProducts[[#Headers],[Company]], 91)</f>
        <v/>
      </c>
      <c r="T184" s="188" t="str" cm="1">
        <f t="array" ref="T184">Common_InputFunctions.Utility_DisplayArrayInTable(Fertiliser_SourceData.Fertiliser_Products_Data4(),FertiliserProducts[[#Headers],[Company]], 91)</f>
        <v/>
      </c>
      <c r="U184" s="188" t="str" cm="1">
        <f t="array" ref="U184">Common_InputFunctions.Utility_DisplayArrayInTable(Fertiliser_SourceData.Fertiliser_Products_Data4(),FertiliserProducts[[#Headers],[Company]], 91)</f>
        <v/>
      </c>
      <c r="V184" s="188" t="str" cm="1">
        <f t="array" ref="V184">Common_InputFunctions.Utility_DisplayArrayInTable(Fertiliser_SourceData.Fertiliser_Products_Data4(),FertiliserProducts[[#Headers],[Company]], 91)</f>
        <v/>
      </c>
      <c r="W184" s="188" t="str" cm="1">
        <f t="array" ref="W184">Common_InputFunctions.Utility_DisplayArrayInTable(Fertiliser_SourceData.Fertiliser_Products_Data4(),FertiliserProducts[[#Headers],[Company]], 91)</f>
        <v/>
      </c>
      <c r="X184" s="188" t="str" cm="1">
        <f t="array" ref="X184">Common_InputFunctions.Utility_DisplayArrayInTable(Fertiliser_SourceData.Fertiliser_Products_Data4(),FertiliserProducts[[#Headers],[Company]], 91)</f>
        <v/>
      </c>
      <c r="Y184" s="188" t="str" cm="1">
        <f t="array" ref="Y184">Common_InputFunctions.Utility_DisplayArrayInTable(Fertiliser_SourceData.Fertiliser_Products_Data4(),FertiliserProducts[[#Headers],[Company]], 91)</f>
        <v/>
      </c>
      <c r="Z184" s="188" t="str" cm="1">
        <f t="array" ref="Z184">Common_InputFunctions.Utility_DisplayArrayInTable(Fertiliser_SourceData.Fertiliser_Products_Data4(),FertiliserProducts[[#Headers],[Company]], 91)</f>
        <v/>
      </c>
      <c r="AA184" s="188" t="str" cm="1">
        <f t="array" ref="AA184">Common_InputFunctions.Utility_DisplayArrayInTable(Fertiliser_SourceData.Fertiliser_Products_Data4(),FertiliserProducts[[#Headers],[Company]], 91)</f>
        <v/>
      </c>
      <c r="AB184" s="188" t="str" cm="1">
        <f t="array" ref="AB184">Common_InputFunctions.Utility_DisplayArrayInTable(Fertiliser_SourceData.Fertiliser_Products_Data4(),FertiliserProducts[[#Headers],[Company]], 91)</f>
        <v/>
      </c>
      <c r="AC184" s="188" t="str" cm="1">
        <f t="array" ref="AC184">Common_InputFunctions.Utility_DisplayArrayInTable(Fertiliser_SourceData.Fertiliser_Products_Data4(),FertiliserProducts[[#Headers],[Company]], 91)</f>
        <v/>
      </c>
      <c r="AD184" s="188" t="str" cm="1">
        <f t="array" ref="AD184">Common_InputFunctions.Utility_DisplayArrayInTable(Fertiliser_SourceData.Fertiliser_Products_Data4(),FertiliserProducts[[#Headers],[Company]], 91)</f>
        <v/>
      </c>
      <c r="AE184" s="188" t="str" cm="1">
        <f t="array" ref="AE184">Common_InputFunctions.Utility_DisplayArrayInTable(Fertiliser_SourceData.Fertiliser_Products_Data4(),FertiliserProducts[[#Headers],[Company]], 91)</f>
        <v/>
      </c>
      <c r="AF184" s="188" t="str" cm="1">
        <f t="array" ref="AF184">Common_InputFunctions.Utility_DisplayArrayInTable(Fertiliser_SourceData.Fertiliser_Products_Data4(),FertiliserProducts[[#Headers],[Company]], 91)</f>
        <v/>
      </c>
      <c r="AG184" s="188" t="str" cm="1">
        <f t="array" ref="AG184">Common_InputFunctions.Utility_DisplayArrayInTable(Fertiliser_SourceData.Fertiliser_Products_Data4(),FertiliserProducts[[#Headers],[Company]], 91)</f>
        <v/>
      </c>
      <c r="AH184" s="188" t="str" cm="1">
        <f t="array" ref="AH184">Common_InputFunctions.Utility_DisplayArrayInTable(Fertiliser_SourceData.Fertiliser_Products_Data4(),FertiliserProducts[[#Headers],[Company]], 91)</f>
        <v/>
      </c>
    </row>
    <row r="185" spans="4:37" x14ac:dyDescent="0.25">
      <c r="D185" s="188" t="str" cm="1">
        <f t="array" ref="D185">Common_InputFunctions.Utility_DisplayArrayInTable(Fertiliser_SourceData.Fertiliser_Products_Data4(),FertiliserProducts[[#Headers],[Company]], 91)</f>
        <v>Pacific Fertiliser / Incitec Pivot Fertilisers</v>
      </c>
      <c r="E185" s="188" t="str" cm="1">
        <f t="array" ref="E185">Common_InputFunctions.Utility_DisplayArrayInTable(Fertiliser_SourceData.Fertiliser_Products_Data4(),FertiliserProducts[[#Headers],[Company]], 91)</f>
        <v>Cal-Gran</v>
      </c>
      <c r="F185" s="188" t="str" cm="1">
        <f t="array" ref="F185">Common_InputFunctions.Utility_DisplayArrayInTable(Fertiliser_SourceData.Fertiliser_Products_Data4(),FertiliserProducts[[#Headers],[Company]], 91)</f>
        <v>kg</v>
      </c>
      <c r="G185" s="188" cm="1">
        <f t="array" ref="G185">Common_InputFunctions.Utility_DisplayArrayInTable(Fertiliser_SourceData.Fertiliser_Products_Data4(),FertiliserProducts[[#Headers],[Company]], 91)</f>
        <v>1</v>
      </c>
      <c r="H185" s="188" t="str" cm="1">
        <f t="array" ref="H185">Common_InputFunctions.Utility_DisplayArrayInTable(Fertiliser_SourceData.Fertiliser_Products_Data4(),FertiliserProducts[[#Headers],[Company]], 91)</f>
        <v/>
      </c>
      <c r="I185" s="188" t="str" cm="1">
        <f t="array" ref="I185">Common_InputFunctions.Utility_DisplayArrayInTable(Fertiliser_SourceData.Fertiliser_Products_Data4(),FertiliserProducts[[#Headers],[Company]], 91)</f>
        <v/>
      </c>
      <c r="J185" s="188" t="str" cm="1">
        <f t="array" ref="J185">Common_InputFunctions.Utility_DisplayArrayInTable(Fertiliser_SourceData.Fertiliser_Products_Data4(),FertiliserProducts[[#Headers],[Company]], 91)</f>
        <v/>
      </c>
      <c r="K185" s="188" cm="1">
        <f t="array" ref="K185">Common_InputFunctions.Utility_DisplayArrayInTable(Fertiliser_SourceData.Fertiliser_Products_Data4(),FertiliserProducts[[#Headers],[Company]], 91)</f>
        <v>23.9</v>
      </c>
      <c r="L185" s="188" t="str" cm="1">
        <f t="array" ref="L185">Common_InputFunctions.Utility_DisplayArrayInTable(Fertiliser_SourceData.Fertiliser_Products_Data4(),FertiliserProducts[[#Headers],[Company]], 91)</f>
        <v/>
      </c>
      <c r="M185" s="188" t="str" cm="1">
        <f t="array" ref="M185">Common_InputFunctions.Utility_DisplayArrayInTable(Fertiliser_SourceData.Fertiliser_Products_Data4(),FertiliserProducts[[#Headers],[Company]], 91)</f>
        <v/>
      </c>
      <c r="N185" s="188" cm="1">
        <f t="array" ref="N185">Common_InputFunctions.Utility_DisplayArrayInTable(Fertiliser_SourceData.Fertiliser_Products_Data4(),FertiliserProducts[[#Headers],[Company]], 91)</f>
        <v>10.8</v>
      </c>
      <c r="O185" s="188" t="str" cm="1">
        <f t="array" ref="O185">Common_InputFunctions.Utility_DisplayArrayInTable(Fertiliser_SourceData.Fertiliser_Products_Data4(),FertiliserProducts[[#Headers],[Company]], 91)</f>
        <v>Nitrogen - Nitrate</v>
      </c>
      <c r="P185" s="188" cm="1">
        <f t="array" ref="P185">Common_InputFunctions.Utility_DisplayArrayInTable(Fertiliser_SourceData.Fertiliser_Products_Data4(),FertiliserProducts[[#Headers],[Company]], 91)</f>
        <v>7.3999999999999996E-2</v>
      </c>
      <c r="Q185" s="188" t="str" cm="1">
        <f t="array" ref="Q185">Common_InputFunctions.Utility_DisplayArrayInTable(Fertiliser_SourceData.Fertiliser_Products_Data4(),FertiliserProducts[[#Headers],[Company]], 91)</f>
        <v>Nitrogen - Ammoniacal</v>
      </c>
      <c r="R185" s="188" cm="1">
        <f t="array" ref="R185">Common_InputFunctions.Utility_DisplayArrayInTable(Fertiliser_SourceData.Fertiliser_Products_Data4(),FertiliserProducts[[#Headers],[Company]], 91)</f>
        <v>0.16500000000000001</v>
      </c>
      <c r="S185" s="188" t="str" cm="1">
        <f t="array" ref="S185">Common_InputFunctions.Utility_DisplayArrayInTable(Fertiliser_SourceData.Fertiliser_Products_Data4(),FertiliserProducts[[#Headers],[Company]], 91)</f>
        <v>Sulfur - Generic</v>
      </c>
      <c r="T185" s="188" cm="1">
        <f t="array" ref="T185">Common_InputFunctions.Utility_DisplayArrayInTable(Fertiliser_SourceData.Fertiliser_Products_Data4(),FertiliserProducts[[#Headers],[Company]], 91)</f>
        <v>0.108</v>
      </c>
      <c r="U185" s="188" t="str" cm="1">
        <f t="array" ref="U185">Common_InputFunctions.Utility_DisplayArrayInTable(Fertiliser_SourceData.Fertiliser_Products_Data4(),FertiliserProducts[[#Headers],[Company]], 91)</f>
        <v>Calcium</v>
      </c>
      <c r="V185" s="188" cm="1">
        <f t="array" ref="V185">Common_InputFunctions.Utility_DisplayArrayInTable(Fertiliser_SourceData.Fertiliser_Products_Data4(),FertiliserProducts[[#Headers],[Company]], 91)</f>
        <v>4.3999999999999997E-2</v>
      </c>
      <c r="W185" s="188" t="str" cm="1">
        <f t="array" ref="W185">Common_InputFunctions.Utility_DisplayArrayInTable(Fertiliser_SourceData.Fertiliser_Products_Data4(),FertiliserProducts[[#Headers],[Company]], 91)</f>
        <v/>
      </c>
      <c r="X185" s="188" t="str" cm="1">
        <f t="array" ref="X185">Common_InputFunctions.Utility_DisplayArrayInTable(Fertiliser_SourceData.Fertiliser_Products_Data4(),FertiliserProducts[[#Headers],[Company]], 91)</f>
        <v/>
      </c>
      <c r="Y185" s="188" t="str" cm="1">
        <f t="array" ref="Y185">Common_InputFunctions.Utility_DisplayArrayInTable(Fertiliser_SourceData.Fertiliser_Products_Data4(),FertiliserProducts[[#Headers],[Company]], 91)</f>
        <v/>
      </c>
      <c r="Z185" s="188" t="str" cm="1">
        <f t="array" ref="Z185">Common_InputFunctions.Utility_DisplayArrayInTable(Fertiliser_SourceData.Fertiliser_Products_Data4(),FertiliserProducts[[#Headers],[Company]], 91)</f>
        <v/>
      </c>
      <c r="AA185" s="188" t="str" cm="1">
        <f t="array" ref="AA185">Common_InputFunctions.Utility_DisplayArrayInTable(Fertiliser_SourceData.Fertiliser_Products_Data4(),FertiliserProducts[[#Headers],[Company]], 91)</f>
        <v/>
      </c>
      <c r="AB185" s="188" t="str" cm="1">
        <f t="array" ref="AB185">Common_InputFunctions.Utility_DisplayArrayInTable(Fertiliser_SourceData.Fertiliser_Products_Data4(),FertiliserProducts[[#Headers],[Company]], 91)</f>
        <v/>
      </c>
      <c r="AC185" s="188" t="str" cm="1">
        <f t="array" ref="AC185">Common_InputFunctions.Utility_DisplayArrayInTable(Fertiliser_SourceData.Fertiliser_Products_Data4(),FertiliserProducts[[#Headers],[Company]], 91)</f>
        <v/>
      </c>
      <c r="AD185" s="188" t="str" cm="1">
        <f t="array" ref="AD185">Common_InputFunctions.Utility_DisplayArrayInTable(Fertiliser_SourceData.Fertiliser_Products_Data4(),FertiliserProducts[[#Headers],[Company]], 91)</f>
        <v/>
      </c>
      <c r="AE185" s="188" t="str" cm="1">
        <f t="array" ref="AE185">Common_InputFunctions.Utility_DisplayArrayInTable(Fertiliser_SourceData.Fertiliser_Products_Data4(),FertiliserProducts[[#Headers],[Company]], 91)</f>
        <v/>
      </c>
      <c r="AF185" s="188" t="str" cm="1">
        <f t="array" ref="AF185">Common_InputFunctions.Utility_DisplayArrayInTable(Fertiliser_SourceData.Fertiliser_Products_Data4(),FertiliserProducts[[#Headers],[Company]], 91)</f>
        <v/>
      </c>
      <c r="AG185" s="188" t="str" cm="1">
        <f t="array" ref="AG185">Common_InputFunctions.Utility_DisplayArrayInTable(Fertiliser_SourceData.Fertiliser_Products_Data4(),FertiliserProducts[[#Headers],[Company]], 91)</f>
        <v/>
      </c>
      <c r="AH185" s="188" t="str" cm="1">
        <f t="array" ref="AH185">Common_InputFunctions.Utility_DisplayArrayInTable(Fertiliser_SourceData.Fertiliser_Products_Data4(),FertiliserProducts[[#Headers],[Company]], 91)</f>
        <v/>
      </c>
    </row>
    <row r="186" spans="4:37" x14ac:dyDescent="0.25">
      <c r="D186" s="188" t="str" cm="1">
        <f t="array" ref="D186">Common_InputFunctions.Utility_DisplayArrayInTable(Fertiliser_SourceData.Fertiliser_Products_Data4(),FertiliserProducts[[#Headers],[Company]], 91)</f>
        <v>Pacific Fertiliser / Incitec Pivot Fertilisers</v>
      </c>
      <c r="E186" s="188" t="str" cm="1">
        <f t="array" ref="E186">Common_InputFunctions.Utility_DisplayArrayInTable(Fertiliser_SourceData.Fertiliser_Products_Data4(),FertiliserProducts[[#Headers],[Company]], 91)</f>
        <v>Cal-Gran 50/50</v>
      </c>
      <c r="F186" s="188" t="str" cm="1">
        <f t="array" ref="F186">Common_InputFunctions.Utility_DisplayArrayInTable(Fertiliser_SourceData.Fertiliser_Products_Data4(),FertiliserProducts[[#Headers],[Company]], 91)</f>
        <v>kg</v>
      </c>
      <c r="G186" s="188" cm="1">
        <f t="array" ref="G186">Common_InputFunctions.Utility_DisplayArrayInTable(Fertiliser_SourceData.Fertiliser_Products_Data4(),FertiliserProducts[[#Headers],[Company]], 91)</f>
        <v>1</v>
      </c>
      <c r="H186" s="188" t="str" cm="1">
        <f t="array" ref="H186">Common_InputFunctions.Utility_DisplayArrayInTable(Fertiliser_SourceData.Fertiliser_Products_Data4(),FertiliserProducts[[#Headers],[Company]], 91)</f>
        <v/>
      </c>
      <c r="I186" s="188" t="str" cm="1">
        <f t="array" ref="I186">Common_InputFunctions.Utility_DisplayArrayInTable(Fertiliser_SourceData.Fertiliser_Products_Data4(),FertiliserProducts[[#Headers],[Company]], 91)</f>
        <v/>
      </c>
      <c r="J186" s="188" t="str" cm="1">
        <f t="array" ref="J186">Common_InputFunctions.Utility_DisplayArrayInTable(Fertiliser_SourceData.Fertiliser_Products_Data4(),FertiliserProducts[[#Headers],[Company]], 91)</f>
        <v/>
      </c>
      <c r="K186" s="188" cm="1">
        <f t="array" ref="K186">Common_InputFunctions.Utility_DisplayArrayInTable(Fertiliser_SourceData.Fertiliser_Products_Data4(),FertiliserProducts[[#Headers],[Company]], 91)</f>
        <v>17.899999999999999</v>
      </c>
      <c r="L186" s="188" t="str" cm="1">
        <f t="array" ref="L186">Common_InputFunctions.Utility_DisplayArrayInTable(Fertiliser_SourceData.Fertiliser_Products_Data4(),FertiliserProducts[[#Headers],[Company]], 91)</f>
        <v/>
      </c>
      <c r="M186" s="188" cm="1">
        <f t="array" ref="M186">Common_InputFunctions.Utility_DisplayArrayInTable(Fertiliser_SourceData.Fertiliser_Products_Data4(),FertiliserProducts[[#Headers],[Company]], 91)</f>
        <v>15</v>
      </c>
      <c r="N186" s="188" cm="1">
        <f t="array" ref="N186">Common_InputFunctions.Utility_DisplayArrayInTable(Fertiliser_SourceData.Fertiliser_Products_Data4(),FertiliserProducts[[#Headers],[Company]], 91)</f>
        <v>3.6</v>
      </c>
      <c r="O186" s="188" t="str" cm="1">
        <f t="array" ref="O186">Common_InputFunctions.Utility_DisplayArrayInTable(Fertiliser_SourceData.Fertiliser_Products_Data4(),FertiliserProducts[[#Headers],[Company]], 91)</f>
        <v>Nitrogen - Nitrate</v>
      </c>
      <c r="P186" s="188" cm="1">
        <f t="array" ref="P186">Common_InputFunctions.Utility_DisplayArrayInTable(Fertiliser_SourceData.Fertiliser_Products_Data4(),FertiliserProducts[[#Headers],[Company]], 91)</f>
        <v>5.5E-2</v>
      </c>
      <c r="Q186" s="188" t="str" cm="1">
        <f t="array" ref="Q186">Common_InputFunctions.Utility_DisplayArrayInTable(Fertiliser_SourceData.Fertiliser_Products_Data4(),FertiliserProducts[[#Headers],[Company]], 91)</f>
        <v>Nitrogen - Ammoniacal</v>
      </c>
      <c r="R186" s="188" cm="1">
        <f t="array" ref="R186">Common_InputFunctions.Utility_DisplayArrayInTable(Fertiliser_SourceData.Fertiliser_Products_Data4(),FertiliserProducts[[#Headers],[Company]], 91)</f>
        <v>0.124</v>
      </c>
      <c r="S186" s="188" t="str" cm="1">
        <f t="array" ref="S186">Common_InputFunctions.Utility_DisplayArrayInTable(Fertiliser_SourceData.Fertiliser_Products_Data4(),FertiliserProducts[[#Headers],[Company]], 91)</f>
        <v>Potassium - Generic</v>
      </c>
      <c r="T186" s="188" cm="1">
        <f t="array" ref="T186">Common_InputFunctions.Utility_DisplayArrayInTable(Fertiliser_SourceData.Fertiliser_Products_Data4(),FertiliserProducts[[#Headers],[Company]], 91)</f>
        <v>0.15</v>
      </c>
      <c r="U186" s="188" t="str" cm="1">
        <f t="array" ref="U186">Common_InputFunctions.Utility_DisplayArrayInTable(Fertiliser_SourceData.Fertiliser_Products_Data4(),FertiliserProducts[[#Headers],[Company]], 91)</f>
        <v>Sulfur - Generic</v>
      </c>
      <c r="V186" s="188" cm="1">
        <f t="array" ref="V186">Common_InputFunctions.Utility_DisplayArrayInTable(Fertiliser_SourceData.Fertiliser_Products_Data4(),FertiliserProducts[[#Headers],[Company]], 91)</f>
        <v>3.5999999999999997E-2</v>
      </c>
      <c r="W186" s="188" t="str" cm="1">
        <f t="array" ref="W186">Common_InputFunctions.Utility_DisplayArrayInTable(Fertiliser_SourceData.Fertiliser_Products_Data4(),FertiliserProducts[[#Headers],[Company]], 91)</f>
        <v>Calcium</v>
      </c>
      <c r="X186" s="188" cm="1">
        <f t="array" ref="X186">Common_InputFunctions.Utility_DisplayArrayInTable(Fertiliser_SourceData.Fertiliser_Products_Data4(),FertiliserProducts[[#Headers],[Company]], 91)</f>
        <v>4.3999999999999997E-2</v>
      </c>
      <c r="Y186" s="188" t="str" cm="1">
        <f t="array" ref="Y186">Common_InputFunctions.Utility_DisplayArrayInTable(Fertiliser_SourceData.Fertiliser_Products_Data4(),FertiliserProducts[[#Headers],[Company]], 91)</f>
        <v/>
      </c>
      <c r="Z186" s="188" t="str" cm="1">
        <f t="array" ref="Z186">Common_InputFunctions.Utility_DisplayArrayInTable(Fertiliser_SourceData.Fertiliser_Products_Data4(),FertiliserProducts[[#Headers],[Company]], 91)</f>
        <v/>
      </c>
      <c r="AA186" s="188" t="str" cm="1">
        <f t="array" ref="AA186">Common_InputFunctions.Utility_DisplayArrayInTable(Fertiliser_SourceData.Fertiliser_Products_Data4(),FertiliserProducts[[#Headers],[Company]], 91)</f>
        <v/>
      </c>
      <c r="AB186" s="188" t="str" cm="1">
        <f t="array" ref="AB186">Common_InputFunctions.Utility_DisplayArrayInTable(Fertiliser_SourceData.Fertiliser_Products_Data4(),FertiliserProducts[[#Headers],[Company]], 91)</f>
        <v/>
      </c>
      <c r="AC186" s="188" t="str" cm="1">
        <f t="array" ref="AC186">Common_InputFunctions.Utility_DisplayArrayInTable(Fertiliser_SourceData.Fertiliser_Products_Data4(),FertiliserProducts[[#Headers],[Company]], 91)</f>
        <v/>
      </c>
      <c r="AD186" s="188" t="str" cm="1">
        <f t="array" ref="AD186">Common_InputFunctions.Utility_DisplayArrayInTable(Fertiliser_SourceData.Fertiliser_Products_Data4(),FertiliserProducts[[#Headers],[Company]], 91)</f>
        <v/>
      </c>
      <c r="AE186" s="188" t="str" cm="1">
        <f t="array" ref="AE186">Common_InputFunctions.Utility_DisplayArrayInTable(Fertiliser_SourceData.Fertiliser_Products_Data4(),FertiliserProducts[[#Headers],[Company]], 91)</f>
        <v/>
      </c>
      <c r="AF186" s="188" t="str" cm="1">
        <f t="array" ref="AF186">Common_InputFunctions.Utility_DisplayArrayInTable(Fertiliser_SourceData.Fertiliser_Products_Data4(),FertiliserProducts[[#Headers],[Company]], 91)</f>
        <v/>
      </c>
      <c r="AG186" s="188" t="str" cm="1">
        <f t="array" ref="AG186">Common_InputFunctions.Utility_DisplayArrayInTable(Fertiliser_SourceData.Fertiliser_Products_Data4(),FertiliserProducts[[#Headers],[Company]], 91)</f>
        <v/>
      </c>
      <c r="AH186" s="188" t="str" cm="1">
        <f t="array" ref="AH186">Common_InputFunctions.Utility_DisplayArrayInTable(Fertiliser_SourceData.Fertiliser_Products_Data4(),FertiliserProducts[[#Headers],[Company]], 91)</f>
        <v/>
      </c>
    </row>
    <row r="187" spans="4:37" x14ac:dyDescent="0.25">
      <c r="D187" s="188" t="str" cm="1">
        <f t="array" ref="D187">Common_InputFunctions.Utility_DisplayArrayInTable(Fertiliser_SourceData.Fertiliser_Products_Data4(),FertiliserProducts[[#Headers],[Company]], 91)</f>
        <v>Pacific Fertiliser / Incitec Pivot Fertilisers</v>
      </c>
      <c r="E187" s="188" t="str" cm="1">
        <f t="array" ref="E187">Common_InputFunctions.Utility_DisplayArrayInTable(Fertiliser_SourceData.Fertiliser_Products_Data4(),FertiliserProducts[[#Headers],[Company]], 91)</f>
        <v>Cal-Gran 50/50 (S)</v>
      </c>
      <c r="F187" s="188" t="str" cm="1">
        <f t="array" ref="F187">Common_InputFunctions.Utility_DisplayArrayInTable(Fertiliser_SourceData.Fertiliser_Products_Data4(),FertiliserProducts[[#Headers],[Company]], 91)</f>
        <v>kg</v>
      </c>
      <c r="G187" s="188" cm="1">
        <f t="array" ref="G187">Common_InputFunctions.Utility_DisplayArrayInTable(Fertiliser_SourceData.Fertiliser_Products_Data4(),FertiliserProducts[[#Headers],[Company]], 91)</f>
        <v>1</v>
      </c>
      <c r="H187" s="188" t="str" cm="1">
        <f t="array" ref="H187">Common_InputFunctions.Utility_DisplayArrayInTable(Fertiliser_SourceData.Fertiliser_Products_Data4(),FertiliserProducts[[#Headers],[Company]], 91)</f>
        <v/>
      </c>
      <c r="I187" s="188" t="str" cm="1">
        <f t="array" ref="I187">Common_InputFunctions.Utility_DisplayArrayInTable(Fertiliser_SourceData.Fertiliser_Products_Data4(),FertiliserProducts[[#Headers],[Company]], 91)</f>
        <v/>
      </c>
      <c r="J187" s="188" t="str" cm="1">
        <f t="array" ref="J187">Common_InputFunctions.Utility_DisplayArrayInTable(Fertiliser_SourceData.Fertiliser_Products_Data4(),FertiliserProducts[[#Headers],[Company]], 91)</f>
        <v/>
      </c>
      <c r="K187" s="188" cm="1">
        <f t="array" ref="K187">Common_InputFunctions.Utility_DisplayArrayInTable(Fertiliser_SourceData.Fertiliser_Products_Data4(),FertiliserProducts[[#Headers],[Company]], 91)</f>
        <v>16.899999999999999</v>
      </c>
      <c r="L187" s="188" t="str" cm="1">
        <f t="array" ref="L187">Common_InputFunctions.Utility_DisplayArrayInTable(Fertiliser_SourceData.Fertiliser_Products_Data4(),FertiliserProducts[[#Headers],[Company]], 91)</f>
        <v/>
      </c>
      <c r="M187" s="188" cm="1">
        <f t="array" ref="M187">Common_InputFunctions.Utility_DisplayArrayInTable(Fertiliser_SourceData.Fertiliser_Products_Data4(),FertiliserProducts[[#Headers],[Company]], 91)</f>
        <v>14.4</v>
      </c>
      <c r="N187" s="188" cm="1">
        <f t="array" ref="N187">Common_InputFunctions.Utility_DisplayArrayInTable(Fertiliser_SourceData.Fertiliser_Products_Data4(),FertiliserProducts[[#Headers],[Company]], 91)</f>
        <v>8.6999999999999993</v>
      </c>
      <c r="O187" s="188" t="str" cm="1">
        <f t="array" ref="O187">Common_InputFunctions.Utility_DisplayArrayInTable(Fertiliser_SourceData.Fertiliser_Products_Data4(),FertiliserProducts[[#Headers],[Company]], 91)</f>
        <v>Nitrogen - Nitrate</v>
      </c>
      <c r="P187" s="188" cm="1">
        <f t="array" ref="P187">Common_InputFunctions.Utility_DisplayArrayInTable(Fertiliser_SourceData.Fertiliser_Products_Data4(),FertiliserProducts[[#Headers],[Company]], 91)</f>
        <v>5.1999999999999998E-2</v>
      </c>
      <c r="Q187" s="188" t="str" cm="1">
        <f t="array" ref="Q187">Common_InputFunctions.Utility_DisplayArrayInTable(Fertiliser_SourceData.Fertiliser_Products_Data4(),FertiliserProducts[[#Headers],[Company]], 91)</f>
        <v>Nitrogen - Ammoniacal</v>
      </c>
      <c r="R187" s="188" cm="1">
        <f t="array" ref="R187">Common_InputFunctions.Utility_DisplayArrayInTable(Fertiliser_SourceData.Fertiliser_Products_Data4(),FertiliserProducts[[#Headers],[Company]], 91)</f>
        <v>0.11700000000000001</v>
      </c>
      <c r="S187" s="188" t="str" cm="1">
        <f t="array" ref="S187">Common_InputFunctions.Utility_DisplayArrayInTable(Fertiliser_SourceData.Fertiliser_Products_Data4(),FertiliserProducts[[#Headers],[Company]], 91)</f>
        <v>Potassium - Generic</v>
      </c>
      <c r="T187" s="188" cm="1">
        <f t="array" ref="T187">Common_InputFunctions.Utility_DisplayArrayInTable(Fertiliser_SourceData.Fertiliser_Products_Data4(),FertiliserProducts[[#Headers],[Company]], 91)</f>
        <v>0.14399999999999999</v>
      </c>
      <c r="U187" s="188" t="str" cm="1">
        <f t="array" ref="U187">Common_InputFunctions.Utility_DisplayArrayInTable(Fertiliser_SourceData.Fertiliser_Products_Data4(),FertiliserProducts[[#Headers],[Company]], 91)</f>
        <v>Sulfur - Generic</v>
      </c>
      <c r="V187" s="188" cm="1">
        <f t="array" ref="V187">Common_InputFunctions.Utility_DisplayArrayInTable(Fertiliser_SourceData.Fertiliser_Products_Data4(),FertiliserProducts[[#Headers],[Company]], 91)</f>
        <v>8.6999999999999994E-2</v>
      </c>
      <c r="W187" s="188" t="str" cm="1">
        <f t="array" ref="W187">Common_InputFunctions.Utility_DisplayArrayInTable(Fertiliser_SourceData.Fertiliser_Products_Data4(),FertiliserProducts[[#Headers],[Company]], 91)</f>
        <v>Calcium</v>
      </c>
      <c r="X187" s="188" cm="1">
        <f t="array" ref="X187">Common_InputFunctions.Utility_DisplayArrayInTable(Fertiliser_SourceData.Fertiliser_Products_Data4(),FertiliserProducts[[#Headers],[Company]], 91)</f>
        <v>4.3999999999999997E-2</v>
      </c>
      <c r="Y187" s="188" t="str" cm="1">
        <f t="array" ref="Y187">Common_InputFunctions.Utility_DisplayArrayInTable(Fertiliser_SourceData.Fertiliser_Products_Data4(),FertiliserProducts[[#Headers],[Company]], 91)</f>
        <v/>
      </c>
      <c r="Z187" s="188" t="str" cm="1">
        <f t="array" ref="Z187">Common_InputFunctions.Utility_DisplayArrayInTable(Fertiliser_SourceData.Fertiliser_Products_Data4(),FertiliserProducts[[#Headers],[Company]], 91)</f>
        <v/>
      </c>
      <c r="AA187" s="188" t="str" cm="1">
        <f t="array" ref="AA187">Common_InputFunctions.Utility_DisplayArrayInTable(Fertiliser_SourceData.Fertiliser_Products_Data4(),FertiliserProducts[[#Headers],[Company]], 91)</f>
        <v/>
      </c>
      <c r="AB187" s="188" t="str" cm="1">
        <f t="array" ref="AB187">Common_InputFunctions.Utility_DisplayArrayInTable(Fertiliser_SourceData.Fertiliser_Products_Data4(),FertiliserProducts[[#Headers],[Company]], 91)</f>
        <v/>
      </c>
      <c r="AC187" s="188" t="str" cm="1">
        <f t="array" ref="AC187">Common_InputFunctions.Utility_DisplayArrayInTable(Fertiliser_SourceData.Fertiliser_Products_Data4(),FertiliserProducts[[#Headers],[Company]], 91)</f>
        <v/>
      </c>
      <c r="AD187" s="188" t="str" cm="1">
        <f t="array" ref="AD187">Common_InputFunctions.Utility_DisplayArrayInTable(Fertiliser_SourceData.Fertiliser_Products_Data4(),FertiliserProducts[[#Headers],[Company]], 91)</f>
        <v/>
      </c>
      <c r="AE187" s="188" t="str" cm="1">
        <f t="array" ref="AE187">Common_InputFunctions.Utility_DisplayArrayInTable(Fertiliser_SourceData.Fertiliser_Products_Data4(),FertiliserProducts[[#Headers],[Company]], 91)</f>
        <v/>
      </c>
      <c r="AF187" s="188" t="str" cm="1">
        <f t="array" ref="AF187">Common_InputFunctions.Utility_DisplayArrayInTable(Fertiliser_SourceData.Fertiliser_Products_Data4(),FertiliserProducts[[#Headers],[Company]], 91)</f>
        <v/>
      </c>
      <c r="AG187" s="188" t="str" cm="1">
        <f t="array" ref="AG187">Common_InputFunctions.Utility_DisplayArrayInTable(Fertiliser_SourceData.Fertiliser_Products_Data4(),FertiliserProducts[[#Headers],[Company]], 91)</f>
        <v/>
      </c>
      <c r="AH187" s="188" t="str" cm="1">
        <f t="array" ref="AH187">Common_InputFunctions.Utility_DisplayArrayInTable(Fertiliser_SourceData.Fertiliser_Products_Data4(),FertiliserProducts[[#Headers],[Company]], 91)</f>
        <v/>
      </c>
    </row>
    <row r="188" spans="4:37" x14ac:dyDescent="0.25">
      <c r="D188" s="188" t="str" cm="1">
        <f t="array" ref="D188">Common_InputFunctions.Utility_DisplayArrayInTable(Fertiliser_SourceData.Fertiliser_Products_Data4(),FertiliserProducts[[#Headers],[Company]], 91)</f>
        <v>Pacific Fertiliser / Incitec Pivot Fertilisers</v>
      </c>
      <c r="E188" s="188" t="str" cm="1">
        <f t="array" ref="E188">Common_InputFunctions.Utility_DisplayArrayInTable(Fertiliser_SourceData.Fertiliser_Products_Data4(),FertiliserProducts[[#Headers],[Company]], 91)</f>
        <v>Cal-Gran 130</v>
      </c>
      <c r="F188" s="188" t="str" cm="1">
        <f t="array" ref="F188">Common_InputFunctions.Utility_DisplayArrayInTable(Fertiliser_SourceData.Fertiliser_Products_Data4(),FertiliserProducts[[#Headers],[Company]], 91)</f>
        <v>kg</v>
      </c>
      <c r="G188" s="188" cm="1">
        <f t="array" ref="G188">Common_InputFunctions.Utility_DisplayArrayInTable(Fertiliser_SourceData.Fertiliser_Products_Data4(),FertiliserProducts[[#Headers],[Company]], 91)</f>
        <v>1</v>
      </c>
      <c r="H188" s="188" t="str" cm="1">
        <f t="array" ref="H188">Common_InputFunctions.Utility_DisplayArrayInTable(Fertiliser_SourceData.Fertiliser_Products_Data4(),FertiliserProducts[[#Headers],[Company]], 91)</f>
        <v/>
      </c>
      <c r="I188" s="188" t="str" cm="1">
        <f t="array" ref="I188">Common_InputFunctions.Utility_DisplayArrayInTable(Fertiliser_SourceData.Fertiliser_Products_Data4(),FertiliserProducts[[#Headers],[Company]], 91)</f>
        <v/>
      </c>
      <c r="J188" s="188" t="str" cm="1">
        <f t="array" ref="J188">Common_InputFunctions.Utility_DisplayArrayInTable(Fertiliser_SourceData.Fertiliser_Products_Data4(),FertiliserProducts[[#Headers],[Company]], 91)</f>
        <v/>
      </c>
      <c r="K188" s="188" cm="1">
        <f t="array" ref="K188">Common_InputFunctions.Utility_DisplayArrayInTable(Fertiliser_SourceData.Fertiliser_Products_Data4(),FertiliserProducts[[#Headers],[Company]], 91)</f>
        <v>18.8</v>
      </c>
      <c r="L188" s="188" cm="1">
        <f t="array" ref="L188">Common_InputFunctions.Utility_DisplayArrayInTable(Fertiliser_SourceData.Fertiliser_Products_Data4(),FertiliserProducts[[#Headers],[Company]], 91)</f>
        <v>1</v>
      </c>
      <c r="M188" s="188" cm="1">
        <f t="array" ref="M188">Common_InputFunctions.Utility_DisplayArrayInTable(Fertiliser_SourceData.Fertiliser_Products_Data4(),FertiliserProducts[[#Headers],[Company]], 91)</f>
        <v>12.5</v>
      </c>
      <c r="N188" s="188" cm="1">
        <f t="array" ref="N188">Common_InputFunctions.Utility_DisplayArrayInTable(Fertiliser_SourceData.Fertiliser_Products_Data4(),FertiliserProducts[[#Headers],[Company]], 91)</f>
        <v>3.7</v>
      </c>
      <c r="O188" s="188" t="str" cm="1">
        <f t="array" ref="O188">Common_InputFunctions.Utility_DisplayArrayInTable(Fertiliser_SourceData.Fertiliser_Products_Data4(),FertiliserProducts[[#Headers],[Company]], 91)</f>
        <v>Nitrogen - Nitrate</v>
      </c>
      <c r="P188" s="188" cm="1">
        <f t="array" ref="P188">Common_InputFunctions.Utility_DisplayArrayInTable(Fertiliser_SourceData.Fertiliser_Products_Data4(),FertiliserProducts[[#Headers],[Company]], 91)</f>
        <v>5.8000000000000003E-2</v>
      </c>
      <c r="Q188" s="188" t="str" cm="1">
        <f t="array" ref="Q188">Common_InputFunctions.Utility_DisplayArrayInTable(Fertiliser_SourceData.Fertiliser_Products_Data4(),FertiliserProducts[[#Headers],[Company]], 91)</f>
        <v>Nitrogen - Ammoniacal</v>
      </c>
      <c r="R188" s="188" cm="1">
        <f t="array" ref="R188">Common_InputFunctions.Utility_DisplayArrayInTable(Fertiliser_SourceData.Fertiliser_Products_Data4(),FertiliserProducts[[#Headers],[Company]], 91)</f>
        <v>0.13</v>
      </c>
      <c r="S188" s="188" t="str" cm="1">
        <f t="array" ref="S188">Common_InputFunctions.Utility_DisplayArrayInTable(Fertiliser_SourceData.Fertiliser_Products_Data4(),FertiliserProducts[[#Headers],[Company]], 91)</f>
        <v>Phosphorus - Generic</v>
      </c>
      <c r="T188" s="188" cm="1">
        <f t="array" ref="T188">Common_InputFunctions.Utility_DisplayArrayInTable(Fertiliser_SourceData.Fertiliser_Products_Data4(),FertiliserProducts[[#Headers],[Company]], 91)</f>
        <v>0.01</v>
      </c>
      <c r="U188" s="188" t="str" cm="1">
        <f t="array" ref="U188">Common_InputFunctions.Utility_DisplayArrayInTable(Fertiliser_SourceData.Fertiliser_Products_Data4(),FertiliserProducts[[#Headers],[Company]], 91)</f>
        <v>Potassium - Generic</v>
      </c>
      <c r="V188" s="188" cm="1">
        <f t="array" ref="V188">Common_InputFunctions.Utility_DisplayArrayInTable(Fertiliser_SourceData.Fertiliser_Products_Data4(),FertiliserProducts[[#Headers],[Company]], 91)</f>
        <v>0.125</v>
      </c>
      <c r="W188" s="188" t="str" cm="1">
        <f t="array" ref="W188">Common_InputFunctions.Utility_DisplayArrayInTable(Fertiliser_SourceData.Fertiliser_Products_Data4(),FertiliserProducts[[#Headers],[Company]], 91)</f>
        <v>Sulfur - Generic</v>
      </c>
      <c r="X188" s="188" cm="1">
        <f t="array" ref="X188">Common_InputFunctions.Utility_DisplayArrayInTable(Fertiliser_SourceData.Fertiliser_Products_Data4(),FertiliserProducts[[#Headers],[Company]], 91)</f>
        <v>3.6999999999999998E-2</v>
      </c>
      <c r="Y188" s="188" t="str" cm="1">
        <f t="array" ref="Y188">Common_InputFunctions.Utility_DisplayArrayInTable(Fertiliser_SourceData.Fertiliser_Products_Data4(),FertiliserProducts[[#Headers],[Company]], 91)</f>
        <v>Calcium</v>
      </c>
      <c r="Z188" s="188" cm="1">
        <f t="array" ref="Z188">Common_InputFunctions.Utility_DisplayArrayInTable(Fertiliser_SourceData.Fertiliser_Products_Data4(),FertiliserProducts[[#Headers],[Company]], 91)</f>
        <v>4.3999999999999997E-2</v>
      </c>
      <c r="AA188" s="188" t="str" cm="1">
        <f t="array" ref="AA188">Common_InputFunctions.Utility_DisplayArrayInTable(Fertiliser_SourceData.Fertiliser_Products_Data4(),FertiliserProducts[[#Headers],[Company]], 91)</f>
        <v/>
      </c>
      <c r="AB188" s="188" t="str" cm="1">
        <f t="array" ref="AB188">Common_InputFunctions.Utility_DisplayArrayInTable(Fertiliser_SourceData.Fertiliser_Products_Data4(),FertiliserProducts[[#Headers],[Company]], 91)</f>
        <v/>
      </c>
      <c r="AC188" s="188" t="str" cm="1">
        <f t="array" ref="AC188">Common_InputFunctions.Utility_DisplayArrayInTable(Fertiliser_SourceData.Fertiliser_Products_Data4(),FertiliserProducts[[#Headers],[Company]], 91)</f>
        <v/>
      </c>
      <c r="AD188" s="188" t="str" cm="1">
        <f t="array" ref="AD188">Common_InputFunctions.Utility_DisplayArrayInTable(Fertiliser_SourceData.Fertiliser_Products_Data4(),FertiliserProducts[[#Headers],[Company]], 91)</f>
        <v/>
      </c>
      <c r="AE188" s="188" t="str" cm="1">
        <f t="array" ref="AE188">Common_InputFunctions.Utility_DisplayArrayInTable(Fertiliser_SourceData.Fertiliser_Products_Data4(),FertiliserProducts[[#Headers],[Company]], 91)</f>
        <v/>
      </c>
      <c r="AF188" s="188" t="str" cm="1">
        <f t="array" ref="AF188">Common_InputFunctions.Utility_DisplayArrayInTable(Fertiliser_SourceData.Fertiliser_Products_Data4(),FertiliserProducts[[#Headers],[Company]], 91)</f>
        <v/>
      </c>
      <c r="AG188" s="188" t="str" cm="1">
        <f t="array" ref="AG188">Common_InputFunctions.Utility_DisplayArrayInTable(Fertiliser_SourceData.Fertiliser_Products_Data4(),FertiliserProducts[[#Headers],[Company]], 91)</f>
        <v/>
      </c>
      <c r="AH188" s="188" t="str" cm="1">
        <f t="array" ref="AH188">Common_InputFunctions.Utility_DisplayArrayInTable(Fertiliser_SourceData.Fertiliser_Products_Data4(),FertiliserProducts[[#Headers],[Company]], 91)</f>
        <v/>
      </c>
    </row>
    <row r="189" spans="4:37" x14ac:dyDescent="0.25">
      <c r="D189" s="188" t="str" cm="1">
        <f t="array" ref="D189">Common_InputFunctions.Utility_DisplayArrayInTable(Fertiliser_SourceData.Fertiliser_Products_Data4(),FertiliserProducts[[#Headers],[Company]], 91)</f>
        <v>Pacific Fertiliser / Incitec Pivot Fertilisers</v>
      </c>
      <c r="E189" s="188" t="str" cm="1">
        <f t="array" ref="E189">Common_InputFunctions.Utility_DisplayArrayInTable(Fertiliser_SourceData.Fertiliser_Products_Data4(),FertiliserProducts[[#Headers],[Company]], 91)</f>
        <v>Cal-Gran 150</v>
      </c>
      <c r="F189" s="188" t="str" cm="1">
        <f t="array" ref="F189">Common_InputFunctions.Utility_DisplayArrayInTable(Fertiliser_SourceData.Fertiliser_Products_Data4(),FertiliserProducts[[#Headers],[Company]], 91)</f>
        <v>kg</v>
      </c>
      <c r="G189" s="188" cm="1">
        <f t="array" ref="G189">Common_InputFunctions.Utility_DisplayArrayInTable(Fertiliser_SourceData.Fertiliser_Products_Data4(),FertiliserProducts[[#Headers],[Company]], 91)</f>
        <v>1</v>
      </c>
      <c r="H189" s="188" t="str" cm="1">
        <f t="array" ref="H189">Common_InputFunctions.Utility_DisplayArrayInTable(Fertiliser_SourceData.Fertiliser_Products_Data4(),FertiliserProducts[[#Headers],[Company]], 91)</f>
        <v/>
      </c>
      <c r="I189" s="188" t="str" cm="1">
        <f t="array" ref="I189">Common_InputFunctions.Utility_DisplayArrayInTable(Fertiliser_SourceData.Fertiliser_Products_Data4(),FertiliserProducts[[#Headers],[Company]], 91)</f>
        <v/>
      </c>
      <c r="J189" s="188" t="str" cm="1">
        <f t="array" ref="J189">Common_InputFunctions.Utility_DisplayArrayInTable(Fertiliser_SourceData.Fertiliser_Products_Data4(),FertiliserProducts[[#Headers],[Company]], 91)</f>
        <v/>
      </c>
      <c r="K189" s="188" cm="1">
        <f t="array" ref="K189">Common_InputFunctions.Utility_DisplayArrayInTable(Fertiliser_SourceData.Fertiliser_Products_Data4(),FertiliserProducts[[#Headers],[Company]], 91)</f>
        <v>18.600000000000001</v>
      </c>
      <c r="L189" s="188" cm="1">
        <f t="array" ref="L189">Common_InputFunctions.Utility_DisplayArrayInTable(Fertiliser_SourceData.Fertiliser_Products_Data4(),FertiliserProducts[[#Headers],[Company]], 91)</f>
        <v>3</v>
      </c>
      <c r="M189" s="188" cm="1">
        <f t="array" ref="M189">Common_InputFunctions.Utility_DisplayArrayInTable(Fertiliser_SourceData.Fertiliser_Products_Data4(),FertiliserProducts[[#Headers],[Company]], 91)</f>
        <v>12.5</v>
      </c>
      <c r="N189" s="188" cm="1">
        <f t="array" ref="N189">Common_InputFunctions.Utility_DisplayArrayInTable(Fertiliser_SourceData.Fertiliser_Products_Data4(),FertiliserProducts[[#Headers],[Company]], 91)</f>
        <v>1.4</v>
      </c>
      <c r="O189" s="188" t="str" cm="1">
        <f t="array" ref="O189">Common_InputFunctions.Utility_DisplayArrayInTable(Fertiliser_SourceData.Fertiliser_Products_Data4(),FertiliserProducts[[#Headers],[Company]], 91)</f>
        <v>Nitrogen - Nitrate</v>
      </c>
      <c r="P189" s="188" cm="1">
        <f t="array" ref="P189">Common_InputFunctions.Utility_DisplayArrayInTable(Fertiliser_SourceData.Fertiliser_Products_Data4(),FertiliserProducts[[#Headers],[Company]], 91)</f>
        <v>5.8000000000000003E-2</v>
      </c>
      <c r="Q189" s="188" t="str" cm="1">
        <f t="array" ref="Q189">Common_InputFunctions.Utility_DisplayArrayInTable(Fertiliser_SourceData.Fertiliser_Products_Data4(),FertiliserProducts[[#Headers],[Company]], 91)</f>
        <v>Nitrogen - Ammoniacal</v>
      </c>
      <c r="R189" s="188" cm="1">
        <f t="array" ref="R189">Common_InputFunctions.Utility_DisplayArrayInTable(Fertiliser_SourceData.Fertiliser_Products_Data4(),FertiliserProducts[[#Headers],[Company]], 91)</f>
        <v>0.128</v>
      </c>
      <c r="S189" s="188" t="str" cm="1">
        <f t="array" ref="S189">Common_InputFunctions.Utility_DisplayArrayInTable(Fertiliser_SourceData.Fertiliser_Products_Data4(),FertiliserProducts[[#Headers],[Company]], 91)</f>
        <v>Phosphorus - Generic</v>
      </c>
      <c r="T189" s="188" cm="1">
        <f t="array" ref="T189">Common_InputFunctions.Utility_DisplayArrayInTable(Fertiliser_SourceData.Fertiliser_Products_Data4(),FertiliserProducts[[#Headers],[Company]], 91)</f>
        <v>0.03</v>
      </c>
      <c r="U189" s="188" t="str" cm="1">
        <f t="array" ref="U189">Common_InputFunctions.Utility_DisplayArrayInTable(Fertiliser_SourceData.Fertiliser_Products_Data4(),FertiliserProducts[[#Headers],[Company]], 91)</f>
        <v>Potassium - Generic</v>
      </c>
      <c r="V189" s="188" cm="1">
        <f t="array" ref="V189">Common_InputFunctions.Utility_DisplayArrayInTable(Fertiliser_SourceData.Fertiliser_Products_Data4(),FertiliserProducts[[#Headers],[Company]], 91)</f>
        <v>0.125</v>
      </c>
      <c r="W189" s="188" t="str" cm="1">
        <f t="array" ref="W189">Common_InputFunctions.Utility_DisplayArrayInTable(Fertiliser_SourceData.Fertiliser_Products_Data4(),FertiliserProducts[[#Headers],[Company]], 91)</f>
        <v>Sulfur - Generic</v>
      </c>
      <c r="X189" s="188" cm="1">
        <f t="array" ref="X189">Common_InputFunctions.Utility_DisplayArrayInTable(Fertiliser_SourceData.Fertiliser_Products_Data4(),FertiliserProducts[[#Headers],[Company]], 91)</f>
        <v>1.4E-2</v>
      </c>
      <c r="Y189" s="188" t="str" cm="1">
        <f t="array" ref="Y189">Common_InputFunctions.Utility_DisplayArrayInTable(Fertiliser_SourceData.Fertiliser_Products_Data4(),FertiliserProducts[[#Headers],[Company]], 91)</f>
        <v>Calcium</v>
      </c>
      <c r="Z189" s="188" cm="1">
        <f t="array" ref="Z189">Common_InputFunctions.Utility_DisplayArrayInTable(Fertiliser_SourceData.Fertiliser_Products_Data4(),FertiliserProducts[[#Headers],[Company]], 91)</f>
        <v>4.3999999999999997E-2</v>
      </c>
      <c r="AA189" s="188" t="str" cm="1">
        <f t="array" ref="AA189">Common_InputFunctions.Utility_DisplayArrayInTable(Fertiliser_SourceData.Fertiliser_Products_Data4(),FertiliserProducts[[#Headers],[Company]], 91)</f>
        <v/>
      </c>
      <c r="AB189" s="188" t="str" cm="1">
        <f t="array" ref="AB189">Common_InputFunctions.Utility_DisplayArrayInTable(Fertiliser_SourceData.Fertiliser_Products_Data4(),FertiliserProducts[[#Headers],[Company]], 91)</f>
        <v/>
      </c>
      <c r="AC189" s="188" t="str" cm="1">
        <f t="array" ref="AC189">Common_InputFunctions.Utility_DisplayArrayInTable(Fertiliser_SourceData.Fertiliser_Products_Data4(),FertiliserProducts[[#Headers],[Company]], 91)</f>
        <v/>
      </c>
      <c r="AD189" s="188" t="str" cm="1">
        <f t="array" ref="AD189">Common_InputFunctions.Utility_DisplayArrayInTable(Fertiliser_SourceData.Fertiliser_Products_Data4(),FertiliserProducts[[#Headers],[Company]], 91)</f>
        <v/>
      </c>
      <c r="AE189" s="188" t="str" cm="1">
        <f t="array" ref="AE189">Common_InputFunctions.Utility_DisplayArrayInTable(Fertiliser_SourceData.Fertiliser_Products_Data4(),FertiliserProducts[[#Headers],[Company]], 91)</f>
        <v/>
      </c>
      <c r="AF189" s="188" t="str" cm="1">
        <f t="array" ref="AF189">Common_InputFunctions.Utility_DisplayArrayInTable(Fertiliser_SourceData.Fertiliser_Products_Data4(),FertiliserProducts[[#Headers],[Company]], 91)</f>
        <v/>
      </c>
      <c r="AG189" s="188" t="str" cm="1">
        <f t="array" ref="AG189">Common_InputFunctions.Utility_DisplayArrayInTable(Fertiliser_SourceData.Fertiliser_Products_Data4(),FertiliserProducts[[#Headers],[Company]], 91)</f>
        <v/>
      </c>
      <c r="AH189" s="188" t="str" cm="1">
        <f t="array" ref="AH189">Common_InputFunctions.Utility_DisplayArrayInTable(Fertiliser_SourceData.Fertiliser_Products_Data4(),FertiliserProducts[[#Headers],[Company]], 91)</f>
        <v/>
      </c>
    </row>
    <row r="190" spans="4:37" x14ac:dyDescent="0.25">
      <c r="D190" s="188" t="str" cm="1">
        <f t="array" ref="D190">Common_InputFunctions.Utility_DisplayArrayInTable(Fertiliser_SourceData.Fertiliser_Products_Data4(),FertiliserProducts[[#Headers],[Company]], 91)</f>
        <v>Pacific Fertiliser / Incitec Pivot Fertilisers</v>
      </c>
      <c r="E190" s="188" t="str" cm="1">
        <f t="array" ref="E190">Common_InputFunctions.Utility_DisplayArrayInTable(Fertiliser_SourceData.Fertiliser_Products_Data4(),FertiliserProducts[[#Headers],[Company]], 91)</f>
        <v>Cal-Gran Extra K</v>
      </c>
      <c r="F190" s="188" t="str" cm="1">
        <f t="array" ref="F190">Common_InputFunctions.Utility_DisplayArrayInTable(Fertiliser_SourceData.Fertiliser_Products_Data4(),FertiliserProducts[[#Headers],[Company]], 91)</f>
        <v>kg</v>
      </c>
      <c r="G190" s="188" cm="1">
        <f t="array" ref="G190">Common_InputFunctions.Utility_DisplayArrayInTable(Fertiliser_SourceData.Fertiliser_Products_Data4(),FertiliserProducts[[#Headers],[Company]], 91)</f>
        <v>1</v>
      </c>
      <c r="H190" s="188" t="str" cm="1">
        <f t="array" ref="H190">Common_InputFunctions.Utility_DisplayArrayInTable(Fertiliser_SourceData.Fertiliser_Products_Data4(),FertiliserProducts[[#Headers],[Company]], 91)</f>
        <v/>
      </c>
      <c r="I190" s="188" t="str" cm="1">
        <f t="array" ref="I190">Common_InputFunctions.Utility_DisplayArrayInTable(Fertiliser_SourceData.Fertiliser_Products_Data4(),FertiliserProducts[[#Headers],[Company]], 91)</f>
        <v/>
      </c>
      <c r="J190" s="188" t="str" cm="1">
        <f t="array" ref="J190">Common_InputFunctions.Utility_DisplayArrayInTable(Fertiliser_SourceData.Fertiliser_Products_Data4(),FertiliserProducts[[#Headers],[Company]], 91)</f>
        <v/>
      </c>
      <c r="K190" s="188" cm="1">
        <f t="array" ref="K190">Common_InputFunctions.Utility_DisplayArrayInTable(Fertiliser_SourceData.Fertiliser_Products_Data4(),FertiliserProducts[[#Headers],[Company]], 91)</f>
        <v>15.8</v>
      </c>
      <c r="L190" s="188" t="str" cm="1">
        <f t="array" ref="L190">Common_InputFunctions.Utility_DisplayArrayInTable(Fertiliser_SourceData.Fertiliser_Products_Data4(),FertiliserProducts[[#Headers],[Company]], 91)</f>
        <v/>
      </c>
      <c r="M190" s="188" cm="1">
        <f t="array" ref="M190">Common_InputFunctions.Utility_DisplayArrayInTable(Fertiliser_SourceData.Fertiliser_Products_Data4(),FertiliserProducts[[#Headers],[Company]], 91)</f>
        <v>19</v>
      </c>
      <c r="N190" s="188" cm="1">
        <f t="array" ref="N190">Common_InputFunctions.Utility_DisplayArrayInTable(Fertiliser_SourceData.Fertiliser_Products_Data4(),FertiliserProducts[[#Headers],[Company]], 91)</f>
        <v>3.2</v>
      </c>
      <c r="O190" s="188" t="str" cm="1">
        <f t="array" ref="O190">Common_InputFunctions.Utility_DisplayArrayInTable(Fertiliser_SourceData.Fertiliser_Products_Data4(),FertiliserProducts[[#Headers],[Company]], 91)</f>
        <v>Nitrogen - Nitrate</v>
      </c>
      <c r="P190" s="188" cm="1">
        <f t="array" ref="P190">Common_InputFunctions.Utility_DisplayArrayInTable(Fertiliser_SourceData.Fertiliser_Products_Data4(),FertiliserProducts[[#Headers],[Company]], 91)</f>
        <v>4.9000000000000002E-2</v>
      </c>
      <c r="Q190" s="188" t="str" cm="1">
        <f t="array" ref="Q190">Common_InputFunctions.Utility_DisplayArrayInTable(Fertiliser_SourceData.Fertiliser_Products_Data4(),FertiliserProducts[[#Headers],[Company]], 91)</f>
        <v>Nitrogen - Ammoniacal</v>
      </c>
      <c r="R190" s="188" cm="1">
        <f t="array" ref="R190">Common_InputFunctions.Utility_DisplayArrayInTable(Fertiliser_SourceData.Fertiliser_Products_Data4(),FertiliserProducts[[#Headers],[Company]], 91)</f>
        <v>0.109</v>
      </c>
      <c r="S190" s="188" t="str" cm="1">
        <f t="array" ref="S190">Common_InputFunctions.Utility_DisplayArrayInTable(Fertiliser_SourceData.Fertiliser_Products_Data4(),FertiliserProducts[[#Headers],[Company]], 91)</f>
        <v>Potassium - Generic</v>
      </c>
      <c r="T190" s="188" cm="1">
        <f t="array" ref="T190">Common_InputFunctions.Utility_DisplayArrayInTable(Fertiliser_SourceData.Fertiliser_Products_Data4(),FertiliserProducts[[#Headers],[Company]], 91)</f>
        <v>0.19</v>
      </c>
      <c r="U190" s="188" t="str" cm="1">
        <f t="array" ref="U190">Common_InputFunctions.Utility_DisplayArrayInTable(Fertiliser_SourceData.Fertiliser_Products_Data4(),FertiliserProducts[[#Headers],[Company]], 91)</f>
        <v>Sulfur - Generic</v>
      </c>
      <c r="V190" s="188" cm="1">
        <f t="array" ref="V190">Common_InputFunctions.Utility_DisplayArrayInTable(Fertiliser_SourceData.Fertiliser_Products_Data4(),FertiliserProducts[[#Headers],[Company]], 91)</f>
        <v>3.2000000000000001E-2</v>
      </c>
      <c r="W190" s="188" t="str" cm="1">
        <f t="array" ref="W190">Common_InputFunctions.Utility_DisplayArrayInTable(Fertiliser_SourceData.Fertiliser_Products_Data4(),FertiliserProducts[[#Headers],[Company]], 91)</f>
        <v>Calcium</v>
      </c>
      <c r="X190" s="188" cm="1">
        <f t="array" ref="X190">Common_InputFunctions.Utility_DisplayArrayInTable(Fertiliser_SourceData.Fertiliser_Products_Data4(),FertiliserProducts[[#Headers],[Company]], 91)</f>
        <v>3.9E-2</v>
      </c>
      <c r="Y190" s="188" t="str" cm="1">
        <f t="array" ref="Y190">Common_InputFunctions.Utility_DisplayArrayInTable(Fertiliser_SourceData.Fertiliser_Products_Data4(),FertiliserProducts[[#Headers],[Company]], 91)</f>
        <v/>
      </c>
      <c r="Z190" s="188" t="str" cm="1">
        <f t="array" ref="Z190">Common_InputFunctions.Utility_DisplayArrayInTable(Fertiliser_SourceData.Fertiliser_Products_Data4(),FertiliserProducts[[#Headers],[Company]], 91)</f>
        <v/>
      </c>
      <c r="AA190" s="188" t="str" cm="1">
        <f t="array" ref="AA190">Common_InputFunctions.Utility_DisplayArrayInTable(Fertiliser_SourceData.Fertiliser_Products_Data4(),FertiliserProducts[[#Headers],[Company]], 91)</f>
        <v/>
      </c>
      <c r="AB190" s="188" t="str" cm="1">
        <f t="array" ref="AB190">Common_InputFunctions.Utility_DisplayArrayInTable(Fertiliser_SourceData.Fertiliser_Products_Data4(),FertiliserProducts[[#Headers],[Company]], 91)</f>
        <v/>
      </c>
      <c r="AC190" s="188" t="str" cm="1">
        <f t="array" ref="AC190">Common_InputFunctions.Utility_DisplayArrayInTable(Fertiliser_SourceData.Fertiliser_Products_Data4(),FertiliserProducts[[#Headers],[Company]], 91)</f>
        <v/>
      </c>
      <c r="AD190" s="188" t="str" cm="1">
        <f t="array" ref="AD190">Common_InputFunctions.Utility_DisplayArrayInTable(Fertiliser_SourceData.Fertiliser_Products_Data4(),FertiliserProducts[[#Headers],[Company]], 91)</f>
        <v/>
      </c>
      <c r="AE190" s="188" t="str" cm="1">
        <f t="array" ref="AE190">Common_InputFunctions.Utility_DisplayArrayInTable(Fertiliser_SourceData.Fertiliser_Products_Data4(),FertiliserProducts[[#Headers],[Company]], 91)</f>
        <v/>
      </c>
      <c r="AF190" s="188" t="str" cm="1">
        <f t="array" ref="AF190">Common_InputFunctions.Utility_DisplayArrayInTable(Fertiliser_SourceData.Fertiliser_Products_Data4(),FertiliserProducts[[#Headers],[Company]], 91)</f>
        <v/>
      </c>
      <c r="AG190" s="188" t="str" cm="1">
        <f t="array" ref="AG190">Common_InputFunctions.Utility_DisplayArrayInTable(Fertiliser_SourceData.Fertiliser_Products_Data4(),FertiliserProducts[[#Headers],[Company]], 91)</f>
        <v/>
      </c>
      <c r="AH190" s="188" t="str" cm="1">
        <f t="array" ref="AH190">Common_InputFunctions.Utility_DisplayArrayInTable(Fertiliser_SourceData.Fertiliser_Products_Data4(),FertiliserProducts[[#Headers],[Company]], 91)</f>
        <v/>
      </c>
    </row>
    <row r="191" spans="4:37" x14ac:dyDescent="0.25">
      <c r="D191" s="188" t="str" cm="1">
        <f t="array" ref="D191">Common_InputFunctions.Utility_DisplayArrayInTable(Fertiliser_SourceData.Fertiliser_Products_Data4(),FertiliserProducts[[#Headers],[Company]], 91)</f>
        <v>Incitec Pivot Fertilisers</v>
      </c>
      <c r="E191" s="188" t="str" cm="1">
        <f t="array" ref="E191">Common_InputFunctions.Utility_DisplayArrayInTable(Fertiliser_SourceData.Fertiliser_Products_Data4(),FertiliserProducts[[#Headers],[Company]], 91)</f>
        <v>Dairy Pro</v>
      </c>
      <c r="F191" s="188" t="str" cm="1">
        <f t="array" ref="F191">Common_InputFunctions.Utility_DisplayArrayInTable(Fertiliser_SourceData.Fertiliser_Products_Data4(),FertiliserProducts[[#Headers],[Company]], 91)</f>
        <v>kg</v>
      </c>
      <c r="G191" s="188" cm="1">
        <f t="array" ref="G191">Common_InputFunctions.Utility_DisplayArrayInTable(Fertiliser_SourceData.Fertiliser_Products_Data4(),FertiliserProducts[[#Headers],[Company]], 91)</f>
        <v>1</v>
      </c>
      <c r="H191" s="188" t="str" cm="1">
        <f t="array" ref="H191">Common_InputFunctions.Utility_DisplayArrayInTable(Fertiliser_SourceData.Fertiliser_Products_Data4(),FertiliserProducts[[#Headers],[Company]], 91)</f>
        <v/>
      </c>
      <c r="I191" s="188" t="str" cm="1">
        <f t="array" ref="I191">Common_InputFunctions.Utility_DisplayArrayInTable(Fertiliser_SourceData.Fertiliser_Products_Data4(),FertiliserProducts[[#Headers],[Company]], 91)</f>
        <v/>
      </c>
      <c r="J191" s="188" t="str" cm="1">
        <f t="array" ref="J191">Common_InputFunctions.Utility_DisplayArrayInTable(Fertiliser_SourceData.Fertiliser_Products_Data4(),FertiliserProducts[[#Headers],[Company]], 91)</f>
        <v/>
      </c>
      <c r="K191" s="188" cm="1">
        <f t="array" ref="K191">Common_InputFunctions.Utility_DisplayArrayInTable(Fertiliser_SourceData.Fertiliser_Products_Data4(),FertiliserProducts[[#Headers],[Company]], 91)</f>
        <v>25.9</v>
      </c>
      <c r="L191" s="188" cm="1">
        <f t="array" ref="L191">Common_InputFunctions.Utility_DisplayArrayInTable(Fertiliser_SourceData.Fertiliser_Products_Data4(),FertiliserProducts[[#Headers],[Company]], 91)</f>
        <v>3.9</v>
      </c>
      <c r="M191" s="188" cm="1">
        <f t="array" ref="M191">Common_InputFunctions.Utility_DisplayArrayInTable(Fertiliser_SourceData.Fertiliser_Products_Data4(),FertiliserProducts[[#Headers],[Company]], 91)</f>
        <v>15.9</v>
      </c>
      <c r="N191" s="188" cm="1">
        <f t="array" ref="N191">Common_InputFunctions.Utility_DisplayArrayInTable(Fertiliser_SourceData.Fertiliser_Products_Data4(),FertiliserProducts[[#Headers],[Company]], 91)</f>
        <v>0.3</v>
      </c>
      <c r="O191" s="188" t="str" cm="1">
        <f t="array" ref="O191">Common_InputFunctions.Utility_DisplayArrayInTable(Fertiliser_SourceData.Fertiliser_Products_Data4(),FertiliserProducts[[#Headers],[Company]], 91)</f>
        <v>Nitrogen - Generic</v>
      </c>
      <c r="P191" s="188" cm="1">
        <f t="array" ref="P191">Common_InputFunctions.Utility_DisplayArrayInTable(Fertiliser_SourceData.Fertiliser_Products_Data4(),FertiliserProducts[[#Headers],[Company]], 91)</f>
        <v>0.25900000000000001</v>
      </c>
      <c r="Q191" s="188" t="str" cm="1">
        <f t="array" ref="Q191">Common_InputFunctions.Utility_DisplayArrayInTable(Fertiliser_SourceData.Fertiliser_Products_Data4(),FertiliserProducts[[#Headers],[Company]], 91)</f>
        <v>Phosphorus - Generic</v>
      </c>
      <c r="R191" s="188" cm="1">
        <f t="array" ref="R191">Common_InputFunctions.Utility_DisplayArrayInTable(Fertiliser_SourceData.Fertiliser_Products_Data4(),FertiliserProducts[[#Headers],[Company]], 91)</f>
        <v>3.9E-2</v>
      </c>
      <c r="S191" s="188" t="str" cm="1">
        <f t="array" ref="S191">Common_InputFunctions.Utility_DisplayArrayInTable(Fertiliser_SourceData.Fertiliser_Products_Data4(),FertiliserProducts[[#Headers],[Company]], 91)</f>
        <v>Potassium - Generic</v>
      </c>
      <c r="T191" s="188" cm="1">
        <f t="array" ref="T191">Common_InputFunctions.Utility_DisplayArrayInTable(Fertiliser_SourceData.Fertiliser_Products_Data4(),FertiliserProducts[[#Headers],[Company]], 91)</f>
        <v>0.159</v>
      </c>
      <c r="U191" s="188" t="str" cm="1">
        <f t="array" ref="U191">Common_InputFunctions.Utility_DisplayArrayInTable(Fertiliser_SourceData.Fertiliser_Products_Data4(),FertiliserProducts[[#Headers],[Company]], 91)</f>
        <v>Sulfur - Generic</v>
      </c>
      <c r="V191" s="188" cm="1">
        <f t="array" ref="V191">Common_InputFunctions.Utility_DisplayArrayInTable(Fertiliser_SourceData.Fertiliser_Products_Data4(),FertiliserProducts[[#Headers],[Company]], 91)</f>
        <v>3.0000000000000001E-3</v>
      </c>
      <c r="W191" s="188" t="str" cm="1">
        <f t="array" ref="W191">Common_InputFunctions.Utility_DisplayArrayInTable(Fertiliser_SourceData.Fertiliser_Products_Data4(),FertiliserProducts[[#Headers],[Company]], 91)</f>
        <v/>
      </c>
      <c r="X191" s="188" t="str" cm="1">
        <f t="array" ref="X191">Common_InputFunctions.Utility_DisplayArrayInTable(Fertiliser_SourceData.Fertiliser_Products_Data4(),FertiliserProducts[[#Headers],[Company]], 91)</f>
        <v/>
      </c>
      <c r="Y191" s="188" t="str" cm="1">
        <f t="array" ref="Y191">Common_InputFunctions.Utility_DisplayArrayInTable(Fertiliser_SourceData.Fertiliser_Products_Data4(),FertiliserProducts[[#Headers],[Company]], 91)</f>
        <v/>
      </c>
      <c r="Z191" s="188" t="str" cm="1">
        <f t="array" ref="Z191">Common_InputFunctions.Utility_DisplayArrayInTable(Fertiliser_SourceData.Fertiliser_Products_Data4(),FertiliserProducts[[#Headers],[Company]], 91)</f>
        <v/>
      </c>
      <c r="AA191" s="188" t="str" cm="1">
        <f t="array" ref="AA191">Common_InputFunctions.Utility_DisplayArrayInTable(Fertiliser_SourceData.Fertiliser_Products_Data4(),FertiliserProducts[[#Headers],[Company]], 91)</f>
        <v/>
      </c>
      <c r="AB191" s="188" t="str" cm="1">
        <f t="array" ref="AB191">Common_InputFunctions.Utility_DisplayArrayInTable(Fertiliser_SourceData.Fertiliser_Products_Data4(),FertiliserProducts[[#Headers],[Company]], 91)</f>
        <v/>
      </c>
      <c r="AC191" s="188" t="str" cm="1">
        <f t="array" ref="AC191">Common_InputFunctions.Utility_DisplayArrayInTable(Fertiliser_SourceData.Fertiliser_Products_Data4(),FertiliserProducts[[#Headers],[Company]], 91)</f>
        <v/>
      </c>
      <c r="AD191" s="188" t="str" cm="1">
        <f t="array" ref="AD191">Common_InputFunctions.Utility_DisplayArrayInTable(Fertiliser_SourceData.Fertiliser_Products_Data4(),FertiliserProducts[[#Headers],[Company]], 91)</f>
        <v/>
      </c>
      <c r="AE191" s="188" t="str" cm="1">
        <f t="array" ref="AE191">Common_InputFunctions.Utility_DisplayArrayInTable(Fertiliser_SourceData.Fertiliser_Products_Data4(),FertiliserProducts[[#Headers],[Company]], 91)</f>
        <v/>
      </c>
      <c r="AF191" s="188" t="str" cm="1">
        <f t="array" ref="AF191">Common_InputFunctions.Utility_DisplayArrayInTable(Fertiliser_SourceData.Fertiliser_Products_Data4(),FertiliserProducts[[#Headers],[Company]], 91)</f>
        <v/>
      </c>
      <c r="AG191" s="188" t="str" cm="1">
        <f t="array" ref="AG191">Common_InputFunctions.Utility_DisplayArrayInTable(Fertiliser_SourceData.Fertiliser_Products_Data4(),FertiliserProducts[[#Headers],[Company]], 91)</f>
        <v/>
      </c>
      <c r="AH191" s="188" t="str" cm="1">
        <f t="array" ref="AH191">Common_InputFunctions.Utility_DisplayArrayInTable(Fertiliser_SourceData.Fertiliser_Products_Data4(),FertiliserProducts[[#Headers],[Company]], 91)</f>
        <v/>
      </c>
    </row>
    <row r="192" spans="4:37" x14ac:dyDescent="0.25">
      <c r="D192" s="188" t="str" cm="1">
        <f t="array" ref="D192">Common_InputFunctions.Utility_DisplayArrayInTable(Fertiliser_SourceData.Fertiliser_Products_Data4(),FertiliserProducts[[#Headers],[Company]], 91)</f>
        <v>Yara Australia</v>
      </c>
      <c r="E192" s="188" t="str" cm="1">
        <f t="array" ref="E192">Common_InputFunctions.Utility_DisplayArrayInTable(Fertiliser_SourceData.Fertiliser_Products_Data4(),FertiliserProducts[[#Headers],[Company]], 91)</f>
        <v>YaraMila ACTYVA S</v>
      </c>
      <c r="F192" s="188" t="str" cm="1">
        <f t="array" ref="F192">Common_InputFunctions.Utility_DisplayArrayInTable(Fertiliser_SourceData.Fertiliser_Products_Data4(),FertiliserProducts[[#Headers],[Company]], 91)</f>
        <v>kg</v>
      </c>
      <c r="G192" s="188" cm="1">
        <f t="array" ref="G192">Common_InputFunctions.Utility_DisplayArrayInTable(Fertiliser_SourceData.Fertiliser_Products_Data4(),FertiliserProducts[[#Headers],[Company]], 91)</f>
        <v>1</v>
      </c>
      <c r="H192" s="188" t="str" cm="1">
        <f t="array" ref="H192">Common_InputFunctions.Utility_DisplayArrayInTable(Fertiliser_SourceData.Fertiliser_Products_Data4(),FertiliserProducts[[#Headers],[Company]], 91)</f>
        <v/>
      </c>
      <c r="I192" s="188" t="str" cm="1">
        <f t="array" ref="I192">Common_InputFunctions.Utility_DisplayArrayInTable(Fertiliser_SourceData.Fertiliser_Products_Data4(),FertiliserProducts[[#Headers],[Company]], 91)</f>
        <v/>
      </c>
      <c r="J192" s="188" t="str" cm="1">
        <f t="array" ref="J192">Common_InputFunctions.Utility_DisplayArrayInTable(Fertiliser_SourceData.Fertiliser_Products_Data4(),FertiliserProducts[[#Headers],[Company]], 91)</f>
        <v/>
      </c>
      <c r="K192" s="188" cm="1">
        <f t="array" ref="K192">Common_InputFunctions.Utility_DisplayArrayInTable(Fertiliser_SourceData.Fertiliser_Products_Data4(),FertiliserProducts[[#Headers],[Company]], 91)</f>
        <v>15.6</v>
      </c>
      <c r="L192" s="188" cm="1">
        <f t="array" ref="L192">Common_InputFunctions.Utility_DisplayArrayInTable(Fertiliser_SourceData.Fertiliser_Products_Data4(),FertiliserProducts[[#Headers],[Company]], 91)</f>
        <v>6.37</v>
      </c>
      <c r="M192" s="188" cm="1">
        <f t="array" ref="M192">Common_InputFunctions.Utility_DisplayArrayInTable(Fertiliser_SourceData.Fertiliser_Products_Data4(),FertiliserProducts[[#Headers],[Company]], 91)</f>
        <v>12.45</v>
      </c>
      <c r="N192" s="188" cm="1">
        <f t="array" ref="N192">Common_InputFunctions.Utility_DisplayArrayInTable(Fertiliser_SourceData.Fertiliser_Products_Data4(),FertiliserProducts[[#Headers],[Company]], 91)</f>
        <v>2.6</v>
      </c>
      <c r="O192" s="188" t="str" cm="1">
        <f t="array" ref="O192">Common_InputFunctions.Utility_DisplayArrayInTable(Fertiliser_SourceData.Fertiliser_Products_Data4(),FertiliserProducts[[#Headers],[Company]], 91)</f>
        <v>Nitrogen - Nitrate</v>
      </c>
      <c r="P192" s="188" cm="1">
        <f t="array" ref="P192">Common_InputFunctions.Utility_DisplayArrayInTable(Fertiliser_SourceData.Fertiliser_Products_Data4(),FertiliserProducts[[#Headers],[Company]], 91)</f>
        <v>5.8000000000000003E-2</v>
      </c>
      <c r="Q192" s="188" t="str" cm="1">
        <f t="array" ref="Q192">Common_InputFunctions.Utility_DisplayArrayInTable(Fertiliser_SourceData.Fertiliser_Products_Data4(),FertiliserProducts[[#Headers],[Company]], 91)</f>
        <v>Nitrogen - Ammoniacal</v>
      </c>
      <c r="R192" s="188" cm="1">
        <f t="array" ref="R192">Common_InputFunctions.Utility_DisplayArrayInTable(Fertiliser_SourceData.Fertiliser_Products_Data4(),FertiliserProducts[[#Headers],[Company]], 91)</f>
        <v>9.8000000000000004E-2</v>
      </c>
      <c r="S192" s="188" t="str" cm="1">
        <f t="array" ref="S192">Common_InputFunctions.Utility_DisplayArrayInTable(Fertiliser_SourceData.Fertiliser_Products_Data4(),FertiliserProducts[[#Headers],[Company]], 91)</f>
        <v>Phosphorus - Generic</v>
      </c>
      <c r="T192" s="188" cm="1">
        <f t="array" ref="T192">Common_InputFunctions.Utility_DisplayArrayInTable(Fertiliser_SourceData.Fertiliser_Products_Data4(),FertiliserProducts[[#Headers],[Company]], 91)</f>
        <v>6.3714000000000007E-2</v>
      </c>
      <c r="U192" s="188" t="str" cm="1">
        <f t="array" ref="U192">Common_InputFunctions.Utility_DisplayArrayInTable(Fertiliser_SourceData.Fertiliser_Products_Data4(),FertiliserProducts[[#Headers],[Company]], 91)</f>
        <v>Potassium - Generic</v>
      </c>
      <c r="V192" s="188" cm="1">
        <f t="array" ref="V192">Common_InputFunctions.Utility_DisplayArrayInTable(Fertiliser_SourceData.Fertiliser_Products_Data4(),FertiliserProducts[[#Headers],[Company]], 91)</f>
        <v>0.124515</v>
      </c>
      <c r="W192" s="188" t="str" cm="1">
        <f t="array" ref="W192">Common_InputFunctions.Utility_DisplayArrayInTable(Fertiliser_SourceData.Fertiliser_Products_Data4(),FertiliserProducts[[#Headers],[Company]], 91)</f>
        <v>Sulfur - Generic</v>
      </c>
      <c r="X192" s="188" cm="1">
        <f t="array" ref="X192">Common_InputFunctions.Utility_DisplayArrayInTable(Fertiliser_SourceData.Fertiliser_Products_Data4(),FertiliserProducts[[#Headers],[Company]], 91)</f>
        <v>2.5999999999999999E-2</v>
      </c>
      <c r="Y192" s="188" t="str" cm="1">
        <f t="array" ref="Y192">Common_InputFunctions.Utility_DisplayArrayInTable(Fertiliser_SourceData.Fertiliser_Products_Data4(),FertiliserProducts[[#Headers],[Company]], 91)</f>
        <v/>
      </c>
      <c r="Z192" s="188" t="str" cm="1">
        <f t="array" ref="Z192">Common_InputFunctions.Utility_DisplayArrayInTable(Fertiliser_SourceData.Fertiliser_Products_Data4(),FertiliserProducts[[#Headers],[Company]], 91)</f>
        <v/>
      </c>
      <c r="AA192" s="188" t="str" cm="1">
        <f t="array" ref="AA192">Common_InputFunctions.Utility_DisplayArrayInTable(Fertiliser_SourceData.Fertiliser_Products_Data4(),FertiliserProducts[[#Headers],[Company]], 91)</f>
        <v/>
      </c>
      <c r="AB192" s="188" t="str" cm="1">
        <f t="array" ref="AB192">Common_InputFunctions.Utility_DisplayArrayInTable(Fertiliser_SourceData.Fertiliser_Products_Data4(),FertiliserProducts[[#Headers],[Company]], 91)</f>
        <v/>
      </c>
      <c r="AC192" s="188" t="str" cm="1">
        <f t="array" ref="AC192">Common_InputFunctions.Utility_DisplayArrayInTable(Fertiliser_SourceData.Fertiliser_Products_Data4(),FertiliserProducts[[#Headers],[Company]], 91)</f>
        <v/>
      </c>
      <c r="AD192" s="188" t="str" cm="1">
        <f t="array" ref="AD192">Common_InputFunctions.Utility_DisplayArrayInTable(Fertiliser_SourceData.Fertiliser_Products_Data4(),FertiliserProducts[[#Headers],[Company]], 91)</f>
        <v/>
      </c>
      <c r="AE192" s="188" t="str" cm="1">
        <f t="array" ref="AE192">Common_InputFunctions.Utility_DisplayArrayInTable(Fertiliser_SourceData.Fertiliser_Products_Data4(),FertiliserProducts[[#Headers],[Company]], 91)</f>
        <v/>
      </c>
      <c r="AF192" s="188" t="str" cm="1">
        <f t="array" ref="AF192">Common_InputFunctions.Utility_DisplayArrayInTable(Fertiliser_SourceData.Fertiliser_Products_Data4(),FertiliserProducts[[#Headers],[Company]], 91)</f>
        <v/>
      </c>
      <c r="AG192" s="188" t="str" cm="1">
        <f t="array" ref="AG192">Common_InputFunctions.Utility_DisplayArrayInTable(Fertiliser_SourceData.Fertiliser_Products_Data4(),FertiliserProducts[[#Headers],[Company]], 91)</f>
        <v/>
      </c>
      <c r="AH192" s="188" t="str" cm="1">
        <f t="array" ref="AH192">Common_InputFunctions.Utility_DisplayArrayInTable(Fertiliser_SourceData.Fertiliser_Products_Data4(),FertiliserProducts[[#Headers],[Company]], 91)</f>
        <v/>
      </c>
    </row>
    <row r="193" spans="4:34" x14ac:dyDescent="0.25">
      <c r="D193" s="188" t="str" cm="1">
        <f t="array" ref="D193">Common_InputFunctions.Utility_DisplayArrayInTable(Fertiliser_SourceData.Fertiliser_Products_Data4(),FertiliserProducts[[#Headers],[Company]], 91)</f>
        <v>CSBP</v>
      </c>
      <c r="E193" s="188" t="str" cm="1">
        <f t="array" ref="E193">Common_InputFunctions.Utility_DisplayArrayInTable(Fertiliser_SourceData.Fertiliser_Products_Data4(),FertiliserProducts[[#Headers],[Company]], 91)</f>
        <v>Agflow Extra</v>
      </c>
      <c r="F193" s="188" t="str" cm="1">
        <f t="array" ref="F193">Common_InputFunctions.Utility_DisplayArrayInTable(Fertiliser_SourceData.Fertiliser_Products_Data4(),FertiliserProducts[[#Headers],[Company]], 91)</f>
        <v>kg</v>
      </c>
      <c r="G193" s="188" cm="1">
        <f t="array" ref="G193">Common_InputFunctions.Utility_DisplayArrayInTable(Fertiliser_SourceData.Fertiliser_Products_Data4(),FertiliserProducts[[#Headers],[Company]], 91)</f>
        <v>1</v>
      </c>
      <c r="H193" s="188" t="str" cm="1">
        <f t="array" ref="H193">Common_InputFunctions.Utility_DisplayArrayInTable(Fertiliser_SourceData.Fertiliser_Products_Data4(),FertiliserProducts[[#Headers],[Company]], 91)</f>
        <v/>
      </c>
      <c r="I193" s="188" t="str" cm="1">
        <f t="array" ref="I193">Common_InputFunctions.Utility_DisplayArrayInTable(Fertiliser_SourceData.Fertiliser_Products_Data4(),FertiliserProducts[[#Headers],[Company]], 91)</f>
        <v/>
      </c>
      <c r="J193" s="188" t="str" cm="1">
        <f t="array" ref="J193">Common_InputFunctions.Utility_DisplayArrayInTable(Fertiliser_SourceData.Fertiliser_Products_Data4(),FertiliserProducts[[#Headers],[Company]], 91)</f>
        <v/>
      </c>
      <c r="K193" s="188" cm="1">
        <f t="array" ref="K193">Common_InputFunctions.Utility_DisplayArrayInTable(Fertiliser_SourceData.Fertiliser_Products_Data4(),FertiliserProducts[[#Headers],[Company]], 91)</f>
        <v>11.15</v>
      </c>
      <c r="L193" s="188" cm="1">
        <f t="array" ref="L193">Common_InputFunctions.Utility_DisplayArrayInTable(Fertiliser_SourceData.Fertiliser_Products_Data4(),FertiliserProducts[[#Headers],[Company]], 91)</f>
        <v>17.52</v>
      </c>
      <c r="M193" s="188" t="str" cm="1">
        <f t="array" ref="M193">Common_InputFunctions.Utility_DisplayArrayInTable(Fertiliser_SourceData.Fertiliser_Products_Data4(),FertiliserProducts[[#Headers],[Company]], 91)</f>
        <v/>
      </c>
      <c r="N193" s="188" cm="1">
        <f t="array" ref="N193">Common_InputFunctions.Utility_DisplayArrayInTable(Fertiliser_SourceData.Fertiliser_Products_Data4(),FertiliserProducts[[#Headers],[Company]], 91)</f>
        <v>3.6</v>
      </c>
      <c r="O193" s="188" t="str" cm="1">
        <f t="array" ref="O193">Common_InputFunctions.Utility_DisplayArrayInTable(Fertiliser_SourceData.Fertiliser_Products_Data4(),FertiliserProducts[[#Headers],[Company]], 91)</f>
        <v>Monoammonium phosphate (MAP)</v>
      </c>
      <c r="P193" s="188" cm="1">
        <f t="array" ref="P193">Common_InputFunctions.Utility_DisplayArrayInTable(Fertiliser_SourceData.Fertiliser_Products_Data4(),FertiliserProducts[[#Headers],[Company]], 91)</f>
        <v>0.8</v>
      </c>
      <c r="Q193" s="188" t="str" cm="1">
        <f t="array" ref="Q193">Common_InputFunctions.Utility_DisplayArrayInTable(Fertiliser_SourceData.Fertiliser_Products_Data4(),FertiliserProducts[[#Headers],[Company]], 91)</f>
        <v>Sulphate of ammonia (SOA)</v>
      </c>
      <c r="R193" s="188" cm="1">
        <f t="array" ref="R193">Common_InputFunctions.Utility_DisplayArrayInTable(Fertiliser_SourceData.Fertiliser_Products_Data4(),FertiliserProducts[[#Headers],[Company]], 91)</f>
        <v>0.15</v>
      </c>
      <c r="S193" s="188" t="str" cm="1">
        <f t="array" ref="S193">Common_InputFunctions.Utility_DisplayArrayInTable(Fertiliser_SourceData.Fertiliser_Products_Data4(),FertiliserProducts[[#Headers],[Company]], 91)</f>
        <v>Copper</v>
      </c>
      <c r="T193" s="188" t="str" cm="1">
        <f t="array" ref="T193">Common_InputFunctions.Utility_DisplayArrayInTable(Fertiliser_SourceData.Fertiliser_Products_Data4(),FertiliserProducts[[#Headers],[Company]], 91)</f>
        <v>No data</v>
      </c>
      <c r="U193" s="188" t="str" cm="1">
        <f t="array" ref="U193">Common_InputFunctions.Utility_DisplayArrayInTable(Fertiliser_SourceData.Fertiliser_Products_Data4(),FertiliserProducts[[#Headers],[Company]], 91)</f>
        <v>Molybdenum</v>
      </c>
      <c r="V193" s="188" t="str" cm="1">
        <f t="array" ref="V193">Common_InputFunctions.Utility_DisplayArrayInTable(Fertiliser_SourceData.Fertiliser_Products_Data4(),FertiliserProducts[[#Headers],[Company]], 91)</f>
        <v>No data</v>
      </c>
      <c r="W193" s="188" t="str" cm="1">
        <f t="array" ref="W193">Common_InputFunctions.Utility_DisplayArrayInTable(Fertiliser_SourceData.Fertiliser_Products_Data4(),FertiliserProducts[[#Headers],[Company]], 91)</f>
        <v>Zinc</v>
      </c>
      <c r="X193" s="188" t="str" cm="1">
        <f t="array" ref="X193">Common_InputFunctions.Utility_DisplayArrayInTable(Fertiliser_SourceData.Fertiliser_Products_Data4(),FertiliserProducts[[#Headers],[Company]], 91)</f>
        <v>No data</v>
      </c>
      <c r="Y193" s="188" t="str" cm="1">
        <f t="array" ref="Y193">Common_InputFunctions.Utility_DisplayArrayInTable(Fertiliser_SourceData.Fertiliser_Products_Data4(),FertiliserProducts[[#Headers],[Company]], 91)</f>
        <v/>
      </c>
      <c r="Z193" s="188" t="str" cm="1">
        <f t="array" ref="Z193">Common_InputFunctions.Utility_DisplayArrayInTable(Fertiliser_SourceData.Fertiliser_Products_Data4(),FertiliserProducts[[#Headers],[Company]], 91)</f>
        <v/>
      </c>
      <c r="AA193" s="188" t="str" cm="1">
        <f t="array" ref="AA193">Common_InputFunctions.Utility_DisplayArrayInTable(Fertiliser_SourceData.Fertiliser_Products_Data4(),FertiliserProducts[[#Headers],[Company]], 91)</f>
        <v/>
      </c>
      <c r="AB193" s="188" t="str" cm="1">
        <f t="array" ref="AB193">Common_InputFunctions.Utility_DisplayArrayInTable(Fertiliser_SourceData.Fertiliser_Products_Data4(),FertiliserProducts[[#Headers],[Company]], 91)</f>
        <v/>
      </c>
      <c r="AC193" s="188" t="str" cm="1">
        <f t="array" ref="AC193">Common_InputFunctions.Utility_DisplayArrayInTable(Fertiliser_SourceData.Fertiliser_Products_Data4(),FertiliserProducts[[#Headers],[Company]], 91)</f>
        <v/>
      </c>
      <c r="AD193" s="188" t="str" cm="1">
        <f t="array" ref="AD193">Common_InputFunctions.Utility_DisplayArrayInTable(Fertiliser_SourceData.Fertiliser_Products_Data4(),FertiliserProducts[[#Headers],[Company]], 91)</f>
        <v/>
      </c>
      <c r="AE193" s="188" t="str" cm="1">
        <f t="array" ref="AE193">Common_InputFunctions.Utility_DisplayArrayInTable(Fertiliser_SourceData.Fertiliser_Products_Data4(),FertiliserProducts[[#Headers],[Company]], 91)</f>
        <v/>
      </c>
      <c r="AF193" s="188" t="str" cm="1">
        <f t="array" ref="AF193">Common_InputFunctions.Utility_DisplayArrayInTable(Fertiliser_SourceData.Fertiliser_Products_Data4(),FertiliserProducts[[#Headers],[Company]], 91)</f>
        <v/>
      </c>
      <c r="AG193" s="188" t="str" cm="1">
        <f t="array" ref="AG193">Common_InputFunctions.Utility_DisplayArrayInTable(Fertiliser_SourceData.Fertiliser_Products_Data4(),FertiliserProducts[[#Headers],[Company]], 91)</f>
        <v/>
      </c>
      <c r="AH193" s="188" t="str" cm="1">
        <f t="array" ref="AH193">Common_InputFunctions.Utility_DisplayArrayInTable(Fertiliser_SourceData.Fertiliser_Products_Data4(),FertiliserProducts[[#Headers],[Company]], 91)</f>
        <v/>
      </c>
    </row>
    <row r="194" spans="4:34" x14ac:dyDescent="0.25">
      <c r="D194" s="188" t="str" cm="1">
        <f t="array" ref="D194">Common_InputFunctions.Utility_DisplayArrayInTable(Fertiliser_SourceData.Fertiliser_Products_Data4(),FertiliserProducts[[#Headers],[Company]], 91)</f>
        <v>CSBP</v>
      </c>
      <c r="E194" s="188" t="str" cm="1">
        <f t="array" ref="E194">Common_InputFunctions.Utility_DisplayArrayInTable(Fertiliser_SourceData.Fertiliser_Products_Data4(),FertiliserProducts[[#Headers],[Company]], 91)</f>
        <v>Super &amp; Potash 3:1</v>
      </c>
      <c r="F194" s="188" t="str" cm="1">
        <f t="array" ref="F194">Common_InputFunctions.Utility_DisplayArrayInTable(Fertiliser_SourceData.Fertiliser_Products_Data4(),FertiliserProducts[[#Headers],[Company]], 91)</f>
        <v>kg</v>
      </c>
      <c r="G194" s="188" cm="1">
        <f t="array" ref="G194">Common_InputFunctions.Utility_DisplayArrayInTable(Fertiliser_SourceData.Fertiliser_Products_Data4(),FertiliserProducts[[#Headers],[Company]], 91)</f>
        <v>1</v>
      </c>
      <c r="H194" s="188" t="str" cm="1">
        <f t="array" ref="H194">Common_InputFunctions.Utility_DisplayArrayInTable(Fertiliser_SourceData.Fertiliser_Products_Data4(),FertiliserProducts[[#Headers],[Company]], 91)</f>
        <v/>
      </c>
      <c r="I194" s="188" t="str" cm="1">
        <f t="array" ref="I194">Common_InputFunctions.Utility_DisplayArrayInTable(Fertiliser_SourceData.Fertiliser_Products_Data4(),FertiliserProducts[[#Headers],[Company]], 91)</f>
        <v/>
      </c>
      <c r="J194" s="188" t="str" cm="1">
        <f t="array" ref="J194">Common_InputFunctions.Utility_DisplayArrayInTable(Fertiliser_SourceData.Fertiliser_Products_Data4(),FertiliserProducts[[#Headers],[Company]], 91)</f>
        <v/>
      </c>
      <c r="K194" s="188" t="str" cm="1">
        <f t="array" ref="K194">Common_InputFunctions.Utility_DisplayArrayInTable(Fertiliser_SourceData.Fertiliser_Products_Data4(),FertiliserProducts[[#Headers],[Company]], 91)</f>
        <v/>
      </c>
      <c r="L194" s="188" cm="1">
        <f t="array" ref="L194">Common_InputFunctions.Utility_DisplayArrayInTable(Fertiliser_SourceData.Fertiliser_Products_Data4(),FertiliserProducts[[#Headers],[Company]], 91)</f>
        <v>5.5</v>
      </c>
      <c r="M194" s="188" cm="1">
        <f t="array" ref="M194">Common_InputFunctions.Utility_DisplayArrayInTable(Fertiliser_SourceData.Fertiliser_Products_Data4(),FertiliserProducts[[#Headers],[Company]], 91)</f>
        <v>15</v>
      </c>
      <c r="N194" s="188" cm="1">
        <f t="array" ref="N194">Common_InputFunctions.Utility_DisplayArrayInTable(Fertiliser_SourceData.Fertiliser_Products_Data4(),FertiliserProducts[[#Headers],[Company]], 91)</f>
        <v>6.88</v>
      </c>
      <c r="O194" s="188" t="str" cm="1">
        <f t="array" ref="O194">Common_InputFunctions.Utility_DisplayArrayInTable(Fertiliser_SourceData.Fertiliser_Products_Data4(),FertiliserProducts[[#Headers],[Company]], 91)</f>
        <v>Single superphosphate (SSP)</v>
      </c>
      <c r="P194" s="188" cm="1">
        <f t="array" ref="P194">Common_InputFunctions.Utility_DisplayArrayInTable(Fertiliser_SourceData.Fertiliser_Products_Data4(),FertiliserProducts[[#Headers],[Company]], 91)</f>
        <v>0.625</v>
      </c>
      <c r="Q194" s="188" t="str" cm="1">
        <f t="array" ref="Q194">Common_InputFunctions.Utility_DisplayArrayInTable(Fertiliser_SourceData.Fertiliser_Products_Data4(),FertiliserProducts[[#Headers],[Company]], 91)</f>
        <v>Muriate of potash (MOP)</v>
      </c>
      <c r="R194" s="188" cm="1">
        <f t="array" ref="R194">Common_InputFunctions.Utility_DisplayArrayInTable(Fertiliser_SourceData.Fertiliser_Products_Data4(),FertiliserProducts[[#Headers],[Company]], 91)</f>
        <v>0.3</v>
      </c>
      <c r="S194" s="188" t="str" cm="1">
        <f t="array" ref="S194">Common_InputFunctions.Utility_DisplayArrayInTable(Fertiliser_SourceData.Fertiliser_Products_Data4(),FertiliserProducts[[#Headers],[Company]], 91)</f>
        <v/>
      </c>
      <c r="T194" s="188" t="str" cm="1">
        <f t="array" ref="T194">Common_InputFunctions.Utility_DisplayArrayInTable(Fertiliser_SourceData.Fertiliser_Products_Data4(),FertiliserProducts[[#Headers],[Company]], 91)</f>
        <v/>
      </c>
      <c r="U194" s="188" t="str" cm="1">
        <f t="array" ref="U194">Common_InputFunctions.Utility_DisplayArrayInTable(Fertiliser_SourceData.Fertiliser_Products_Data4(),FertiliserProducts[[#Headers],[Company]], 91)</f>
        <v/>
      </c>
      <c r="V194" s="188" t="str" cm="1">
        <f t="array" ref="V194">Common_InputFunctions.Utility_DisplayArrayInTable(Fertiliser_SourceData.Fertiliser_Products_Data4(),FertiliserProducts[[#Headers],[Company]], 91)</f>
        <v/>
      </c>
      <c r="W194" s="188" t="str" cm="1">
        <f t="array" ref="W194">Common_InputFunctions.Utility_DisplayArrayInTable(Fertiliser_SourceData.Fertiliser_Products_Data4(),FertiliserProducts[[#Headers],[Company]], 91)</f>
        <v/>
      </c>
      <c r="X194" s="188" t="str" cm="1">
        <f t="array" ref="X194">Common_InputFunctions.Utility_DisplayArrayInTable(Fertiliser_SourceData.Fertiliser_Products_Data4(),FertiliserProducts[[#Headers],[Company]], 91)</f>
        <v/>
      </c>
      <c r="Y194" s="188" t="str" cm="1">
        <f t="array" ref="Y194">Common_InputFunctions.Utility_DisplayArrayInTable(Fertiliser_SourceData.Fertiliser_Products_Data4(),FertiliserProducts[[#Headers],[Company]], 91)</f>
        <v/>
      </c>
      <c r="Z194" s="188" t="str" cm="1">
        <f t="array" ref="Z194">Common_InputFunctions.Utility_DisplayArrayInTable(Fertiliser_SourceData.Fertiliser_Products_Data4(),FertiliserProducts[[#Headers],[Company]], 91)</f>
        <v/>
      </c>
      <c r="AA194" s="188" t="str" cm="1">
        <f t="array" ref="AA194">Common_InputFunctions.Utility_DisplayArrayInTable(Fertiliser_SourceData.Fertiliser_Products_Data4(),FertiliserProducts[[#Headers],[Company]], 91)</f>
        <v/>
      </c>
      <c r="AB194" s="188" t="str" cm="1">
        <f t="array" ref="AB194">Common_InputFunctions.Utility_DisplayArrayInTable(Fertiliser_SourceData.Fertiliser_Products_Data4(),FertiliserProducts[[#Headers],[Company]], 91)</f>
        <v/>
      </c>
      <c r="AC194" s="188" t="str" cm="1">
        <f t="array" ref="AC194">Common_InputFunctions.Utility_DisplayArrayInTable(Fertiliser_SourceData.Fertiliser_Products_Data4(),FertiliserProducts[[#Headers],[Company]], 91)</f>
        <v/>
      </c>
      <c r="AD194" s="188" t="str" cm="1">
        <f t="array" ref="AD194">Common_InputFunctions.Utility_DisplayArrayInTable(Fertiliser_SourceData.Fertiliser_Products_Data4(),FertiliserProducts[[#Headers],[Company]], 91)</f>
        <v/>
      </c>
      <c r="AE194" s="188" t="str" cm="1">
        <f t="array" ref="AE194">Common_InputFunctions.Utility_DisplayArrayInTable(Fertiliser_SourceData.Fertiliser_Products_Data4(),FertiliserProducts[[#Headers],[Company]], 91)</f>
        <v/>
      </c>
      <c r="AF194" s="188" t="str" cm="1">
        <f t="array" ref="AF194">Common_InputFunctions.Utility_DisplayArrayInTable(Fertiliser_SourceData.Fertiliser_Products_Data4(),FertiliserProducts[[#Headers],[Company]], 91)</f>
        <v/>
      </c>
      <c r="AG194" s="188" t="str" cm="1">
        <f t="array" ref="AG194">Common_InputFunctions.Utility_DisplayArrayInTable(Fertiliser_SourceData.Fertiliser_Products_Data4(),FertiliserProducts[[#Headers],[Company]], 91)</f>
        <v/>
      </c>
      <c r="AH194" s="188" t="str" cm="1">
        <f t="array" ref="AH194">Common_InputFunctions.Utility_DisplayArrayInTable(Fertiliser_SourceData.Fertiliser_Products_Data4(),FertiliserProducts[[#Headers],[Company]], 91)</f>
        <v/>
      </c>
    </row>
    <row r="195" spans="4:34" x14ac:dyDescent="0.25">
      <c r="D195" s="188" t="str" cm="1">
        <f t="array" ref="D195">Common_InputFunctions.Utility_DisplayArrayInTable(Fertiliser_SourceData.Fertiliser_Products_Data4(),FertiliserProducts[[#Headers],[Company]], 91)</f>
        <v>Yara</v>
      </c>
      <c r="E195" s="188" t="str" cm="1">
        <f t="array" ref="E195">Common_InputFunctions.Utility_DisplayArrayInTable(Fertiliser_SourceData.Fertiliser_Products_Data4(),FertiliserProducts[[#Headers],[Company]], 91)</f>
        <v>YaraBela CAN-27</v>
      </c>
      <c r="F195" s="188" t="str" cm="1">
        <f t="array" ref="F195">Common_InputFunctions.Utility_DisplayArrayInTable(Fertiliser_SourceData.Fertiliser_Products_Data4(),FertiliserProducts[[#Headers],[Company]], 91)</f>
        <v>kg</v>
      </c>
      <c r="G195" s="188" cm="1">
        <f t="array" ref="G195">Common_InputFunctions.Utility_DisplayArrayInTable(Fertiliser_SourceData.Fertiliser_Products_Data4(),FertiliserProducts[[#Headers],[Company]], 91)</f>
        <v>1</v>
      </c>
      <c r="H195" s="188" t="str" cm="1">
        <f t="array" ref="H195">Common_InputFunctions.Utility_DisplayArrayInTable(Fertiliser_SourceData.Fertiliser_Products_Data4(),FertiliserProducts[[#Headers],[Company]], 91)</f>
        <v/>
      </c>
      <c r="I195" s="188" t="str" cm="1">
        <f t="array" ref="I195">Common_InputFunctions.Utility_DisplayArrayInTable(Fertiliser_SourceData.Fertiliser_Products_Data4(),FertiliserProducts[[#Headers],[Company]], 91)</f>
        <v/>
      </c>
      <c r="J195" s="188" t="str" cm="1">
        <f t="array" ref="J195">Common_InputFunctions.Utility_DisplayArrayInTable(Fertiliser_SourceData.Fertiliser_Products_Data4(),FertiliserProducts[[#Headers],[Company]], 91)</f>
        <v/>
      </c>
      <c r="K195" s="188" cm="1">
        <f t="array" ref="K195">Common_InputFunctions.Utility_DisplayArrayInTable(Fertiliser_SourceData.Fertiliser_Products_Data4(),FertiliserProducts[[#Headers],[Company]], 91)</f>
        <v>27</v>
      </c>
      <c r="L195" s="188" t="str" cm="1">
        <f t="array" ref="L195">Common_InputFunctions.Utility_DisplayArrayInTable(Fertiliser_SourceData.Fertiliser_Products_Data4(),FertiliserProducts[[#Headers],[Company]], 91)</f>
        <v/>
      </c>
      <c r="M195" s="188" t="str" cm="1">
        <f t="array" ref="M195">Common_InputFunctions.Utility_DisplayArrayInTable(Fertiliser_SourceData.Fertiliser_Products_Data4(),FertiliserProducts[[#Headers],[Company]], 91)</f>
        <v/>
      </c>
      <c r="N195" s="188" t="str" cm="1">
        <f t="array" ref="N195">Common_InputFunctions.Utility_DisplayArrayInTable(Fertiliser_SourceData.Fertiliser_Products_Data4(),FertiliserProducts[[#Headers],[Company]], 91)</f>
        <v/>
      </c>
      <c r="O195" s="188" t="str" cm="1">
        <f t="array" ref="O195">Common_InputFunctions.Utility_DisplayArrayInTable(Fertiliser_SourceData.Fertiliser_Products_Data4(),FertiliserProducts[[#Headers],[Company]], 91)</f>
        <v>Calcium ammonium nitrate (CAN)</v>
      </c>
      <c r="P195" s="188" cm="1">
        <f t="array" ref="P195">Common_InputFunctions.Utility_DisplayArrayInTable(Fertiliser_SourceData.Fertiliser_Products_Data4(),FertiliserProducts[[#Headers],[Company]], 91)</f>
        <v>1</v>
      </c>
      <c r="Q195" s="188" t="str" cm="1">
        <f t="array" ref="Q195">Common_InputFunctions.Utility_DisplayArrayInTable(Fertiliser_SourceData.Fertiliser_Products_Data4(),FertiliserProducts[[#Headers],[Company]], 91)</f>
        <v/>
      </c>
      <c r="R195" s="188" t="str" cm="1">
        <f t="array" ref="R195">Common_InputFunctions.Utility_DisplayArrayInTable(Fertiliser_SourceData.Fertiliser_Products_Data4(),FertiliserProducts[[#Headers],[Company]], 91)</f>
        <v/>
      </c>
      <c r="S195" s="188" t="str" cm="1">
        <f t="array" ref="S195">Common_InputFunctions.Utility_DisplayArrayInTable(Fertiliser_SourceData.Fertiliser_Products_Data4(),FertiliserProducts[[#Headers],[Company]], 91)</f>
        <v/>
      </c>
      <c r="T195" s="188" t="str" cm="1">
        <f t="array" ref="T195">Common_InputFunctions.Utility_DisplayArrayInTable(Fertiliser_SourceData.Fertiliser_Products_Data4(),FertiliserProducts[[#Headers],[Company]], 91)</f>
        <v/>
      </c>
      <c r="U195" s="188" t="str" cm="1">
        <f t="array" ref="U195">Common_InputFunctions.Utility_DisplayArrayInTable(Fertiliser_SourceData.Fertiliser_Products_Data4(),FertiliserProducts[[#Headers],[Company]], 91)</f>
        <v/>
      </c>
      <c r="V195" s="188" t="str" cm="1">
        <f t="array" ref="V195">Common_InputFunctions.Utility_DisplayArrayInTable(Fertiliser_SourceData.Fertiliser_Products_Data4(),FertiliserProducts[[#Headers],[Company]], 91)</f>
        <v/>
      </c>
      <c r="W195" s="188" t="str" cm="1">
        <f t="array" ref="W195">Common_InputFunctions.Utility_DisplayArrayInTable(Fertiliser_SourceData.Fertiliser_Products_Data4(),FertiliserProducts[[#Headers],[Company]], 91)</f>
        <v/>
      </c>
      <c r="X195" s="188" t="str" cm="1">
        <f t="array" ref="X195">Common_InputFunctions.Utility_DisplayArrayInTable(Fertiliser_SourceData.Fertiliser_Products_Data4(),FertiliserProducts[[#Headers],[Company]], 91)</f>
        <v/>
      </c>
      <c r="Y195" s="188" t="str" cm="1">
        <f t="array" ref="Y195">Common_InputFunctions.Utility_DisplayArrayInTable(Fertiliser_SourceData.Fertiliser_Products_Data4(),FertiliserProducts[[#Headers],[Company]], 91)</f>
        <v/>
      </c>
      <c r="Z195" s="188" t="str" cm="1">
        <f t="array" ref="Z195">Common_InputFunctions.Utility_DisplayArrayInTable(Fertiliser_SourceData.Fertiliser_Products_Data4(),FertiliserProducts[[#Headers],[Company]], 91)</f>
        <v/>
      </c>
      <c r="AA195" s="188" t="str" cm="1">
        <f t="array" ref="AA195">Common_InputFunctions.Utility_DisplayArrayInTable(Fertiliser_SourceData.Fertiliser_Products_Data4(),FertiliserProducts[[#Headers],[Company]], 91)</f>
        <v/>
      </c>
      <c r="AB195" s="188" t="str" cm="1">
        <f t="array" ref="AB195">Common_InputFunctions.Utility_DisplayArrayInTable(Fertiliser_SourceData.Fertiliser_Products_Data4(),FertiliserProducts[[#Headers],[Company]], 91)</f>
        <v/>
      </c>
      <c r="AC195" s="188" t="str" cm="1">
        <f t="array" ref="AC195">Common_InputFunctions.Utility_DisplayArrayInTable(Fertiliser_SourceData.Fertiliser_Products_Data4(),FertiliserProducts[[#Headers],[Company]], 91)</f>
        <v/>
      </c>
      <c r="AD195" s="188" t="str" cm="1">
        <f t="array" ref="AD195">Common_InputFunctions.Utility_DisplayArrayInTable(Fertiliser_SourceData.Fertiliser_Products_Data4(),FertiliserProducts[[#Headers],[Company]], 91)</f>
        <v/>
      </c>
      <c r="AE195" s="188" t="str" cm="1">
        <f t="array" ref="AE195">Common_InputFunctions.Utility_DisplayArrayInTable(Fertiliser_SourceData.Fertiliser_Products_Data4(),FertiliserProducts[[#Headers],[Company]], 91)</f>
        <v/>
      </c>
      <c r="AF195" s="188" t="str" cm="1">
        <f t="array" ref="AF195">Common_InputFunctions.Utility_DisplayArrayInTable(Fertiliser_SourceData.Fertiliser_Products_Data4(),FertiliserProducts[[#Headers],[Company]], 91)</f>
        <v/>
      </c>
      <c r="AG195" s="188" t="str" cm="1">
        <f t="array" ref="AG195">Common_InputFunctions.Utility_DisplayArrayInTable(Fertiliser_SourceData.Fertiliser_Products_Data4(),FertiliserProducts[[#Headers],[Company]], 91)</f>
        <v/>
      </c>
      <c r="AH195" s="188" t="str" cm="1">
        <f t="array" ref="AH195">Common_InputFunctions.Utility_DisplayArrayInTable(Fertiliser_SourceData.Fertiliser_Products_Data4(),FertiliserProducts[[#Headers],[Company]], 91)</f>
        <v/>
      </c>
    </row>
    <row r="196" spans="4:34" x14ac:dyDescent="0.25">
      <c r="D196" s="188" t="str" cm="1">
        <f t="array" ref="D196">Common_InputFunctions.Utility_DisplayArrayInTable(Fertiliser_SourceData.Fertiliser_Products_Data4(),FertiliserProducts[[#Headers],[Company]], 91)</f>
        <v>Incitec Pivot Fertilisers</v>
      </c>
      <c r="E196" s="188" t="str" cm="1">
        <f t="array" ref="E196">Common_InputFunctions.Utility_DisplayArrayInTable(Fertiliser_SourceData.Fertiliser_Products_Data4(),FertiliserProducts[[#Headers],[Company]], 91)</f>
        <v>Cal-Gran Aftergraze</v>
      </c>
      <c r="F196" s="188" t="str" cm="1">
        <f t="array" ref="F196">Common_InputFunctions.Utility_DisplayArrayInTable(Fertiliser_SourceData.Fertiliser_Products_Data4(),FertiliserProducts[[#Headers],[Company]], 91)</f>
        <v>kg</v>
      </c>
      <c r="G196" s="188" cm="1">
        <f t="array" ref="G196">Common_InputFunctions.Utility_DisplayArrayInTable(Fertiliser_SourceData.Fertiliser_Products_Data4(),FertiliserProducts[[#Headers],[Company]], 91)</f>
        <v>1</v>
      </c>
      <c r="H196" s="188" t="str" cm="1">
        <f t="array" ref="H196">Common_InputFunctions.Utility_DisplayArrayInTable(Fertiliser_SourceData.Fertiliser_Products_Data4(),FertiliserProducts[[#Headers],[Company]], 91)</f>
        <v/>
      </c>
      <c r="I196" s="188" t="str" cm="1">
        <f t="array" ref="I196">Common_InputFunctions.Utility_DisplayArrayInTable(Fertiliser_SourceData.Fertiliser_Products_Data4(),FertiliserProducts[[#Headers],[Company]], 91)</f>
        <v/>
      </c>
      <c r="J196" s="188" t="str" cm="1">
        <f t="array" ref="J196">Common_InputFunctions.Utility_DisplayArrayInTable(Fertiliser_SourceData.Fertiliser_Products_Data4(),FertiliserProducts[[#Headers],[Company]], 91)</f>
        <v/>
      </c>
      <c r="K196" s="188" cm="1">
        <f t="array" ref="K196">Common_InputFunctions.Utility_DisplayArrayInTable(Fertiliser_SourceData.Fertiliser_Products_Data4(),FertiliserProducts[[#Headers],[Company]], 91)</f>
        <v>20.6</v>
      </c>
      <c r="L196" s="188" cm="1">
        <f t="array" ref="L196">Common_InputFunctions.Utility_DisplayArrayInTable(Fertiliser_SourceData.Fertiliser_Products_Data4(),FertiliserProducts[[#Headers],[Company]], 91)</f>
        <v>3</v>
      </c>
      <c r="M196" s="188" cm="1">
        <f t="array" ref="M196">Common_InputFunctions.Utility_DisplayArrayInTable(Fertiliser_SourceData.Fertiliser_Products_Data4(),FertiliserProducts[[#Headers],[Company]], 91)</f>
        <v>7.5</v>
      </c>
      <c r="N196" s="188" cm="1">
        <f t="array" ref="N196">Common_InputFunctions.Utility_DisplayArrayInTable(Fertiliser_SourceData.Fertiliser_Products_Data4(),FertiliserProducts[[#Headers],[Company]], 91)</f>
        <v>3.8</v>
      </c>
      <c r="O196" s="188" t="str" cm="1">
        <f t="array" ref="O196">Common_InputFunctions.Utility_DisplayArrayInTable(Fertiliser_SourceData.Fertiliser_Products_Data4(),FertiliserProducts[[#Headers],[Company]], 91)</f>
        <v>Nitrogen - Nitrate</v>
      </c>
      <c r="P196" s="188" cm="1">
        <f t="array" ref="P196">Common_InputFunctions.Utility_DisplayArrayInTable(Fertiliser_SourceData.Fertiliser_Products_Data4(),FertiliserProducts[[#Headers],[Company]], 91)</f>
        <v>6.4000000000000001E-2</v>
      </c>
      <c r="Q196" s="188" t="str" cm="1">
        <f t="array" ref="Q196">Common_InputFunctions.Utility_DisplayArrayInTable(Fertiliser_SourceData.Fertiliser_Products_Data4(),FertiliserProducts[[#Headers],[Company]], 91)</f>
        <v>Nitrogen - Ammoniacal</v>
      </c>
      <c r="R196" s="188" cm="1">
        <f t="array" ref="R196">Common_InputFunctions.Utility_DisplayArrayInTable(Fertiliser_SourceData.Fertiliser_Products_Data4(),FertiliserProducts[[#Headers],[Company]], 91)</f>
        <v>0.14199999999999999</v>
      </c>
      <c r="S196" s="188" t="str" cm="1">
        <f t="array" ref="S196">Common_InputFunctions.Utility_DisplayArrayInTable(Fertiliser_SourceData.Fertiliser_Products_Data4(),FertiliserProducts[[#Headers],[Company]], 91)</f>
        <v>Phosphorus - Generic</v>
      </c>
      <c r="T196" s="188" cm="1">
        <f t="array" ref="T196">Common_InputFunctions.Utility_DisplayArrayInTable(Fertiliser_SourceData.Fertiliser_Products_Data4(),FertiliserProducts[[#Headers],[Company]], 91)</f>
        <v>0.03</v>
      </c>
      <c r="U196" s="188" t="str" cm="1">
        <f t="array" ref="U196">Common_InputFunctions.Utility_DisplayArrayInTable(Fertiliser_SourceData.Fertiliser_Products_Data4(),FertiliserProducts[[#Headers],[Company]], 91)</f>
        <v>Potassium - Generic</v>
      </c>
      <c r="V196" s="188" cm="1">
        <f t="array" ref="V196">Common_InputFunctions.Utility_DisplayArrayInTable(Fertiliser_SourceData.Fertiliser_Products_Data4(),FertiliserProducts[[#Headers],[Company]], 91)</f>
        <v>7.4999999999999997E-2</v>
      </c>
      <c r="W196" s="188" t="str" cm="1">
        <f t="array" ref="W196">Common_InputFunctions.Utility_DisplayArrayInTable(Fertiliser_SourceData.Fertiliser_Products_Data4(),FertiliserProducts[[#Headers],[Company]], 91)</f>
        <v>Sulfur - Generic</v>
      </c>
      <c r="X196" s="188" cm="1">
        <f t="array" ref="X196">Common_InputFunctions.Utility_DisplayArrayInTable(Fertiliser_SourceData.Fertiliser_Products_Data4(),FertiliserProducts[[#Headers],[Company]], 91)</f>
        <v>3.7999999999999999E-2</v>
      </c>
      <c r="Y196" s="188" t="str" cm="1">
        <f t="array" ref="Y196">Common_InputFunctions.Utility_DisplayArrayInTable(Fertiliser_SourceData.Fertiliser_Products_Data4(),FertiliserProducts[[#Headers],[Company]], 91)</f>
        <v>Calcium</v>
      </c>
      <c r="Z196" s="188" cm="1">
        <f t="array" ref="Z196">Common_InputFunctions.Utility_DisplayArrayInTable(Fertiliser_SourceData.Fertiliser_Products_Data4(),FertiliserProducts[[#Headers],[Company]], 91)</f>
        <v>4.3999999999999997E-2</v>
      </c>
      <c r="AA196" s="188" t="str" cm="1">
        <f t="array" ref="AA196">Common_InputFunctions.Utility_DisplayArrayInTable(Fertiliser_SourceData.Fertiliser_Products_Data4(),FertiliserProducts[[#Headers],[Company]], 91)</f>
        <v/>
      </c>
      <c r="AB196" s="188" t="str" cm="1">
        <f t="array" ref="AB196">Common_InputFunctions.Utility_DisplayArrayInTable(Fertiliser_SourceData.Fertiliser_Products_Data4(),FertiliserProducts[[#Headers],[Company]], 91)</f>
        <v/>
      </c>
      <c r="AC196" s="188" t="str" cm="1">
        <f t="array" ref="AC196">Common_InputFunctions.Utility_DisplayArrayInTable(Fertiliser_SourceData.Fertiliser_Products_Data4(),FertiliserProducts[[#Headers],[Company]], 91)</f>
        <v/>
      </c>
      <c r="AD196" s="188" t="str" cm="1">
        <f t="array" ref="AD196">Common_InputFunctions.Utility_DisplayArrayInTable(Fertiliser_SourceData.Fertiliser_Products_Data4(),FertiliserProducts[[#Headers],[Company]], 91)</f>
        <v/>
      </c>
      <c r="AE196" s="188" t="str" cm="1">
        <f t="array" ref="AE196">Common_InputFunctions.Utility_DisplayArrayInTable(Fertiliser_SourceData.Fertiliser_Products_Data4(),FertiliserProducts[[#Headers],[Company]], 91)</f>
        <v/>
      </c>
      <c r="AF196" s="188" t="str" cm="1">
        <f t="array" ref="AF196">Common_InputFunctions.Utility_DisplayArrayInTable(Fertiliser_SourceData.Fertiliser_Products_Data4(),FertiliserProducts[[#Headers],[Company]], 91)</f>
        <v/>
      </c>
      <c r="AG196" s="188" t="str" cm="1">
        <f t="array" ref="AG196">Common_InputFunctions.Utility_DisplayArrayInTable(Fertiliser_SourceData.Fertiliser_Products_Data4(),FertiliserProducts[[#Headers],[Company]], 91)</f>
        <v/>
      </c>
      <c r="AH196" s="188" t="str" cm="1">
        <f t="array" ref="AH196">Common_InputFunctions.Utility_DisplayArrayInTable(Fertiliser_SourceData.Fertiliser_Products_Data4(),FertiliserProducts[[#Headers],[Company]], 91)</f>
        <v/>
      </c>
    </row>
    <row r="197" spans="4:34" x14ac:dyDescent="0.25">
      <c r="D197" s="188" t="str" cm="1">
        <f t="array" ref="D197">Common_InputFunctions.Utility_DisplayArrayInTable(Fertiliser_SourceData.Fertiliser_Products_Data4(),FertiliserProducts[[#Headers],[Company]], 91)</f>
        <v>Incitec Pivot Fertilisers</v>
      </c>
      <c r="E197" s="188" t="str" cm="1">
        <f t="array" ref="E197">Common_InputFunctions.Utility_DisplayArrayInTable(Fertiliser_SourceData.Fertiliser_Products_Data4(),FertiliserProducts[[#Headers],[Company]], 91)</f>
        <v>Cal-Gran Prodress</v>
      </c>
      <c r="F197" s="188" t="str" cm="1">
        <f t="array" ref="F197">Common_InputFunctions.Utility_DisplayArrayInTable(Fertiliser_SourceData.Fertiliser_Products_Data4(),FertiliserProducts[[#Headers],[Company]], 91)</f>
        <v>kg</v>
      </c>
      <c r="G197" s="188" cm="1">
        <f t="array" ref="G197">Common_InputFunctions.Utility_DisplayArrayInTable(Fertiliser_SourceData.Fertiliser_Products_Data4(),FertiliserProducts[[#Headers],[Company]], 91)</f>
        <v>1</v>
      </c>
      <c r="H197" s="188" t="str" cm="1">
        <f t="array" ref="H197">Common_InputFunctions.Utility_DisplayArrayInTable(Fertiliser_SourceData.Fertiliser_Products_Data4(),FertiliserProducts[[#Headers],[Company]], 91)</f>
        <v/>
      </c>
      <c r="I197" s="188" t="str" cm="1">
        <f t="array" ref="I197">Common_InputFunctions.Utility_DisplayArrayInTable(Fertiliser_SourceData.Fertiliser_Products_Data4(),FertiliserProducts[[#Headers],[Company]], 91)</f>
        <v/>
      </c>
      <c r="J197" s="188" t="str" cm="1">
        <f t="array" ref="J197">Common_InputFunctions.Utility_DisplayArrayInTable(Fertiliser_SourceData.Fertiliser_Products_Data4(),FertiliserProducts[[#Headers],[Company]], 91)</f>
        <v/>
      </c>
      <c r="K197" s="188" cm="1">
        <f t="array" ref="K197">Common_InputFunctions.Utility_DisplayArrayInTable(Fertiliser_SourceData.Fertiliser_Products_Data4(),FertiliserProducts[[#Headers],[Company]], 91)</f>
        <v>17.8</v>
      </c>
      <c r="L197" s="188" cm="1">
        <f t="array" ref="L197">Common_InputFunctions.Utility_DisplayArrayInTable(Fertiliser_SourceData.Fertiliser_Products_Data4(),FertiliserProducts[[#Headers],[Company]], 91)</f>
        <v>1</v>
      </c>
      <c r="M197" s="188" cm="1">
        <f t="array" ref="M197">Common_InputFunctions.Utility_DisplayArrayInTable(Fertiliser_SourceData.Fertiliser_Products_Data4(),FertiliserProducts[[#Headers],[Company]], 91)</f>
        <v>15</v>
      </c>
      <c r="N197" s="188" cm="1">
        <f t="array" ref="N197">Common_InputFunctions.Utility_DisplayArrayInTable(Fertiliser_SourceData.Fertiliser_Products_Data4(),FertiliserProducts[[#Headers],[Company]], 91)</f>
        <v>2.5</v>
      </c>
      <c r="O197" s="188" t="str" cm="1">
        <f t="array" ref="O197">Common_InputFunctions.Utility_DisplayArrayInTable(Fertiliser_SourceData.Fertiliser_Products_Data4(),FertiliserProducts[[#Headers],[Company]], 91)</f>
        <v>Nitrogen - Nitrate</v>
      </c>
      <c r="P197" s="188" cm="1">
        <f t="array" ref="P197">Common_InputFunctions.Utility_DisplayArrayInTable(Fertiliser_SourceData.Fertiliser_Products_Data4(),FertiliserProducts[[#Headers],[Company]], 91)</f>
        <v>5.5E-2</v>
      </c>
      <c r="Q197" s="188" t="str" cm="1">
        <f t="array" ref="Q197">Common_InputFunctions.Utility_DisplayArrayInTable(Fertiliser_SourceData.Fertiliser_Products_Data4(),FertiliserProducts[[#Headers],[Company]], 91)</f>
        <v>Nitrogen - Ammoniacal</v>
      </c>
      <c r="R197" s="188" cm="1">
        <f t="array" ref="R197">Common_InputFunctions.Utility_DisplayArrayInTable(Fertiliser_SourceData.Fertiliser_Products_Data4(),FertiliserProducts[[#Headers],[Company]], 91)</f>
        <v>0.123</v>
      </c>
      <c r="S197" s="188" t="str" cm="1">
        <f t="array" ref="S197">Common_InputFunctions.Utility_DisplayArrayInTable(Fertiliser_SourceData.Fertiliser_Products_Data4(),FertiliserProducts[[#Headers],[Company]], 91)</f>
        <v>Phosphorus - Generic</v>
      </c>
      <c r="T197" s="188" cm="1">
        <f t="array" ref="T197">Common_InputFunctions.Utility_DisplayArrayInTable(Fertiliser_SourceData.Fertiliser_Products_Data4(),FertiliserProducts[[#Headers],[Company]], 91)</f>
        <v>0.01</v>
      </c>
      <c r="U197" s="188" t="str" cm="1">
        <f t="array" ref="U197">Common_InputFunctions.Utility_DisplayArrayInTable(Fertiliser_SourceData.Fertiliser_Products_Data4(),FertiliserProducts[[#Headers],[Company]], 91)</f>
        <v>Potassium - Generic</v>
      </c>
      <c r="V197" s="188" cm="1">
        <f t="array" ref="V197">Common_InputFunctions.Utility_DisplayArrayInTable(Fertiliser_SourceData.Fertiliser_Products_Data4(),FertiliserProducts[[#Headers],[Company]], 91)</f>
        <v>0.15</v>
      </c>
      <c r="W197" s="188" t="str" cm="1">
        <f t="array" ref="W197">Common_InputFunctions.Utility_DisplayArrayInTable(Fertiliser_SourceData.Fertiliser_Products_Data4(),FertiliserProducts[[#Headers],[Company]], 91)</f>
        <v>Sulfur - Generic</v>
      </c>
      <c r="X197" s="188" cm="1">
        <f t="array" ref="X197">Common_InputFunctions.Utility_DisplayArrayInTable(Fertiliser_SourceData.Fertiliser_Products_Data4(),FertiliserProducts[[#Headers],[Company]], 91)</f>
        <v>2.5000000000000001E-2</v>
      </c>
      <c r="Y197" s="188" t="str" cm="1">
        <f t="array" ref="Y197">Common_InputFunctions.Utility_DisplayArrayInTable(Fertiliser_SourceData.Fertiliser_Products_Data4(),FertiliserProducts[[#Headers],[Company]], 91)</f>
        <v>Calcium</v>
      </c>
      <c r="Z197" s="188" cm="1">
        <f t="array" ref="Z197">Common_InputFunctions.Utility_DisplayArrayInTable(Fertiliser_SourceData.Fertiliser_Products_Data4(),FertiliserProducts[[#Headers],[Company]], 91)</f>
        <v>4.3999999999999997E-2</v>
      </c>
      <c r="AA197" s="188" t="str" cm="1">
        <f t="array" ref="AA197">Common_InputFunctions.Utility_DisplayArrayInTable(Fertiliser_SourceData.Fertiliser_Products_Data4(),FertiliserProducts[[#Headers],[Company]], 91)</f>
        <v/>
      </c>
      <c r="AB197" s="188" t="str" cm="1">
        <f t="array" ref="AB197">Common_InputFunctions.Utility_DisplayArrayInTable(Fertiliser_SourceData.Fertiliser_Products_Data4(),FertiliserProducts[[#Headers],[Company]], 91)</f>
        <v/>
      </c>
      <c r="AC197" s="188" t="str" cm="1">
        <f t="array" ref="AC197">Common_InputFunctions.Utility_DisplayArrayInTable(Fertiliser_SourceData.Fertiliser_Products_Data4(),FertiliserProducts[[#Headers],[Company]], 91)</f>
        <v/>
      </c>
      <c r="AD197" s="188" t="str" cm="1">
        <f t="array" ref="AD197">Common_InputFunctions.Utility_DisplayArrayInTable(Fertiliser_SourceData.Fertiliser_Products_Data4(),FertiliserProducts[[#Headers],[Company]], 91)</f>
        <v/>
      </c>
      <c r="AE197" s="188" t="str" cm="1">
        <f t="array" ref="AE197">Common_InputFunctions.Utility_DisplayArrayInTable(Fertiliser_SourceData.Fertiliser_Products_Data4(),FertiliserProducts[[#Headers],[Company]], 91)</f>
        <v/>
      </c>
      <c r="AF197" s="188" t="str" cm="1">
        <f t="array" ref="AF197">Common_InputFunctions.Utility_DisplayArrayInTable(Fertiliser_SourceData.Fertiliser_Products_Data4(),FertiliserProducts[[#Headers],[Company]], 91)</f>
        <v/>
      </c>
      <c r="AG197" s="188" t="str" cm="1">
        <f t="array" ref="AG197">Common_InputFunctions.Utility_DisplayArrayInTable(Fertiliser_SourceData.Fertiliser_Products_Data4(),FertiliserProducts[[#Headers],[Company]], 91)</f>
        <v/>
      </c>
      <c r="AH197" s="188" t="str" cm="1">
        <f t="array" ref="AH197">Common_InputFunctions.Utility_DisplayArrayInTable(Fertiliser_SourceData.Fertiliser_Products_Data4(),FertiliserProducts[[#Headers],[Company]], 91)</f>
        <v/>
      </c>
    </row>
    <row r="198" spans="4:34" x14ac:dyDescent="0.25">
      <c r="D198" s="188" t="str" cm="1">
        <f t="array" ref="D198">Common_InputFunctions.Utility_DisplayArrayInTable(Fertiliser_SourceData.Fertiliser_Products_Data4(),FertiliserProducts[[#Headers],[Company]], 91)</f>
        <v>Wengfu Australia</v>
      </c>
      <c r="E198" s="188" t="str" cm="1">
        <f t="array" ref="E198">Common_InputFunctions.Utility_DisplayArrayInTable(Fertiliser_SourceData.Fertiliser_Products_Data4(),FertiliserProducts[[#Headers],[Company]], 91)</f>
        <v>Wengfu PrimeZinc 10</v>
      </c>
      <c r="F198" s="188" t="str" cm="1">
        <f t="array" ref="F198">Common_InputFunctions.Utility_DisplayArrayInTable(Fertiliser_SourceData.Fertiliser_Products_Data4(),FertiliserProducts[[#Headers],[Company]], 91)</f>
        <v>kg</v>
      </c>
      <c r="G198" s="188" cm="1">
        <f t="array" ref="G198">Common_InputFunctions.Utility_DisplayArrayInTable(Fertiliser_SourceData.Fertiliser_Products_Data4(),FertiliserProducts[[#Headers],[Company]], 91)</f>
        <v>1</v>
      </c>
      <c r="H198" s="188" t="str" cm="1">
        <f t="array" ref="H198">Common_InputFunctions.Utility_DisplayArrayInTable(Fertiliser_SourceData.Fertiliser_Products_Data4(),FertiliserProducts[[#Headers],[Company]], 91)</f>
        <v/>
      </c>
      <c r="I198" s="188" t="str" cm="1">
        <f t="array" ref="I198">Common_InputFunctions.Utility_DisplayArrayInTable(Fertiliser_SourceData.Fertiliser_Products_Data4(),FertiliserProducts[[#Headers],[Company]], 91)</f>
        <v/>
      </c>
      <c r="J198" s="188" t="str" cm="1">
        <f t="array" ref="J198">Common_InputFunctions.Utility_DisplayArrayInTable(Fertiliser_SourceData.Fertiliser_Products_Data4(),FertiliserProducts[[#Headers],[Company]], 91)</f>
        <v/>
      </c>
      <c r="K198" s="188" cm="1">
        <f t="array" ref="K198">Common_InputFunctions.Utility_DisplayArrayInTable(Fertiliser_SourceData.Fertiliser_Products_Data4(),FertiliserProducts[[#Headers],[Company]], 91)</f>
        <v>10</v>
      </c>
      <c r="L198" s="188" cm="1">
        <f t="array" ref="L198">Common_InputFunctions.Utility_DisplayArrayInTable(Fertiliser_SourceData.Fertiliser_Products_Data4(),FertiliserProducts[[#Headers],[Company]], 91)</f>
        <v>22</v>
      </c>
      <c r="M198" s="188" t="str" cm="1">
        <f t="array" ref="M198">Common_InputFunctions.Utility_DisplayArrayInTable(Fertiliser_SourceData.Fertiliser_Products_Data4(),FertiliserProducts[[#Headers],[Company]], 91)</f>
        <v/>
      </c>
      <c r="N198" s="188" cm="1">
        <f t="array" ref="N198">Common_InputFunctions.Utility_DisplayArrayInTable(Fertiliser_SourceData.Fertiliser_Products_Data4(),FertiliserProducts[[#Headers],[Company]], 91)</f>
        <v>1.5</v>
      </c>
      <c r="O198" s="188" t="str" cm="1">
        <f t="array" ref="O198">Common_InputFunctions.Utility_DisplayArrayInTable(Fertiliser_SourceData.Fertiliser_Products_Data4(),FertiliserProducts[[#Headers],[Company]], 91)</f>
        <v>Nitrogen - Generic</v>
      </c>
      <c r="P198" s="188" cm="1">
        <f t="array" ref="P198">Common_InputFunctions.Utility_DisplayArrayInTable(Fertiliser_SourceData.Fertiliser_Products_Data4(),FertiliserProducts[[#Headers],[Company]], 91)</f>
        <v>0.1</v>
      </c>
      <c r="Q198" s="188" t="str" cm="1">
        <f t="array" ref="Q198">Common_InputFunctions.Utility_DisplayArrayInTable(Fertiliser_SourceData.Fertiliser_Products_Data4(),FertiliserProducts[[#Headers],[Company]], 91)</f>
        <v>Phosphorus - Generic</v>
      </c>
      <c r="R198" s="188" cm="1">
        <f t="array" ref="R198">Common_InputFunctions.Utility_DisplayArrayInTable(Fertiliser_SourceData.Fertiliser_Products_Data4(),FertiliserProducts[[#Headers],[Company]], 91)</f>
        <v>0.22</v>
      </c>
      <c r="S198" s="188" t="str" cm="1">
        <f t="array" ref="S198">Common_InputFunctions.Utility_DisplayArrayInTable(Fertiliser_SourceData.Fertiliser_Products_Data4(),FertiliserProducts[[#Headers],[Company]], 91)</f>
        <v>Sulfur - Generic</v>
      </c>
      <c r="T198" s="188" cm="1">
        <f t="array" ref="T198">Common_InputFunctions.Utility_DisplayArrayInTable(Fertiliser_SourceData.Fertiliser_Products_Data4(),FertiliserProducts[[#Headers],[Company]], 91)</f>
        <v>1.4999999999999999E-2</v>
      </c>
      <c r="U198" s="188" t="str" cm="1">
        <f t="array" ref="U198">Common_InputFunctions.Utility_DisplayArrayInTable(Fertiliser_SourceData.Fertiliser_Products_Data4(),FertiliserProducts[[#Headers],[Company]], 91)</f>
        <v>Zinc</v>
      </c>
      <c r="V198" s="188" cm="1">
        <f t="array" ref="V198">Common_InputFunctions.Utility_DisplayArrayInTable(Fertiliser_SourceData.Fertiliser_Products_Data4(),FertiliserProducts[[#Headers],[Company]], 91)</f>
        <v>0.01</v>
      </c>
      <c r="W198" s="188" t="str" cm="1">
        <f t="array" ref="W198">Common_InputFunctions.Utility_DisplayArrayInTable(Fertiliser_SourceData.Fertiliser_Products_Data4(),FertiliserProducts[[#Headers],[Company]], 91)</f>
        <v/>
      </c>
      <c r="X198" s="188" t="str" cm="1">
        <f t="array" ref="X198">Common_InputFunctions.Utility_DisplayArrayInTable(Fertiliser_SourceData.Fertiliser_Products_Data4(),FertiliserProducts[[#Headers],[Company]], 91)</f>
        <v/>
      </c>
      <c r="Y198" s="188" t="str" cm="1">
        <f t="array" ref="Y198">Common_InputFunctions.Utility_DisplayArrayInTable(Fertiliser_SourceData.Fertiliser_Products_Data4(),FertiliserProducts[[#Headers],[Company]], 91)</f>
        <v/>
      </c>
      <c r="Z198" s="188" t="str" cm="1">
        <f t="array" ref="Z198">Common_InputFunctions.Utility_DisplayArrayInTable(Fertiliser_SourceData.Fertiliser_Products_Data4(),FertiliserProducts[[#Headers],[Company]], 91)</f>
        <v/>
      </c>
      <c r="AA198" s="188" t="str" cm="1">
        <f t="array" ref="AA198">Common_InputFunctions.Utility_DisplayArrayInTable(Fertiliser_SourceData.Fertiliser_Products_Data4(),FertiliserProducts[[#Headers],[Company]], 91)</f>
        <v/>
      </c>
      <c r="AB198" s="188" t="str" cm="1">
        <f t="array" ref="AB198">Common_InputFunctions.Utility_DisplayArrayInTable(Fertiliser_SourceData.Fertiliser_Products_Data4(),FertiliserProducts[[#Headers],[Company]], 91)</f>
        <v/>
      </c>
      <c r="AC198" s="188" t="str" cm="1">
        <f t="array" ref="AC198">Common_InputFunctions.Utility_DisplayArrayInTable(Fertiliser_SourceData.Fertiliser_Products_Data4(),FertiliserProducts[[#Headers],[Company]], 91)</f>
        <v/>
      </c>
      <c r="AD198" s="188" t="str" cm="1">
        <f t="array" ref="AD198">Common_InputFunctions.Utility_DisplayArrayInTable(Fertiliser_SourceData.Fertiliser_Products_Data4(),FertiliserProducts[[#Headers],[Company]], 91)</f>
        <v/>
      </c>
      <c r="AE198" s="188" t="str" cm="1">
        <f t="array" ref="AE198">Common_InputFunctions.Utility_DisplayArrayInTable(Fertiliser_SourceData.Fertiliser_Products_Data4(),FertiliserProducts[[#Headers],[Company]], 91)</f>
        <v/>
      </c>
      <c r="AF198" s="188" t="str" cm="1">
        <f t="array" ref="AF198">Common_InputFunctions.Utility_DisplayArrayInTable(Fertiliser_SourceData.Fertiliser_Products_Data4(),FertiliserProducts[[#Headers],[Company]], 91)</f>
        <v/>
      </c>
      <c r="AG198" s="188" t="str" cm="1">
        <f t="array" ref="AG198">Common_InputFunctions.Utility_DisplayArrayInTable(Fertiliser_SourceData.Fertiliser_Products_Data4(),FertiliserProducts[[#Headers],[Company]], 91)</f>
        <v/>
      </c>
      <c r="AH198" s="188" t="str" cm="1">
        <f t="array" ref="AH198">Common_InputFunctions.Utility_DisplayArrayInTable(Fertiliser_SourceData.Fertiliser_Products_Data4(),FertiliserProducts[[#Headers],[Company]], 91)</f>
        <v/>
      </c>
    </row>
    <row r="199" spans="4:34" x14ac:dyDescent="0.25">
      <c r="D199" s="188" t="str" cm="1">
        <f t="array" ref="D199">Common_InputFunctions.Utility_DisplayArrayInTable(Fertiliser_SourceData.Fertiliser_Products_Data4(),FertiliserProducts[[#Headers],[Company]], 91)</f>
        <v>Wengfu Australia</v>
      </c>
      <c r="E199" s="188" t="str" cm="1">
        <f t="array" ref="E199">Common_InputFunctions.Utility_DisplayArrayInTable(Fertiliser_SourceData.Fertiliser_Products_Data4(),FertiliserProducts[[#Headers],[Company]], 91)</f>
        <v>Wengfu Pasture King</v>
      </c>
      <c r="F199" s="188" t="str" cm="1">
        <f t="array" ref="F199">Common_InputFunctions.Utility_DisplayArrayInTable(Fertiliser_SourceData.Fertiliser_Products_Data4(),FertiliserProducts[[#Headers],[Company]], 91)</f>
        <v>kg</v>
      </c>
      <c r="G199" s="188" cm="1">
        <f t="array" ref="G199">Common_InputFunctions.Utility_DisplayArrayInTable(Fertiliser_SourceData.Fertiliser_Products_Data4(),FertiliserProducts[[#Headers],[Company]], 91)</f>
        <v>1</v>
      </c>
      <c r="H199" s="188" t="str" cm="1">
        <f t="array" ref="H199">Common_InputFunctions.Utility_DisplayArrayInTable(Fertiliser_SourceData.Fertiliser_Products_Data4(),FertiliserProducts[[#Headers],[Company]], 91)</f>
        <v/>
      </c>
      <c r="I199" s="188" t="str" cm="1">
        <f t="array" ref="I199">Common_InputFunctions.Utility_DisplayArrayInTable(Fertiliser_SourceData.Fertiliser_Products_Data4(),FertiliserProducts[[#Headers],[Company]], 91)</f>
        <v/>
      </c>
      <c r="J199" s="188" t="str" cm="1">
        <f t="array" ref="J199">Common_InputFunctions.Utility_DisplayArrayInTable(Fertiliser_SourceData.Fertiliser_Products_Data4(),FertiliserProducts[[#Headers],[Company]], 91)</f>
        <v/>
      </c>
      <c r="K199" s="188" t="str" cm="1">
        <f t="array" ref="K199">Common_InputFunctions.Utility_DisplayArrayInTable(Fertiliser_SourceData.Fertiliser_Products_Data4(),FertiliserProducts[[#Headers],[Company]], 91)</f>
        <v/>
      </c>
      <c r="L199" s="188" cm="1">
        <f t="array" ref="L199">Common_InputFunctions.Utility_DisplayArrayInTable(Fertiliser_SourceData.Fertiliser_Products_Data4(),FertiliserProducts[[#Headers],[Company]], 91)</f>
        <v>15.7</v>
      </c>
      <c r="M199" s="188" t="str" cm="1">
        <f t="array" ref="M199">Common_InputFunctions.Utility_DisplayArrayInTable(Fertiliser_SourceData.Fertiliser_Products_Data4(),FertiliserProducts[[#Headers],[Company]], 91)</f>
        <v/>
      </c>
      <c r="N199" s="188" cm="1">
        <f t="array" ref="N199">Common_InputFunctions.Utility_DisplayArrayInTable(Fertiliser_SourceData.Fertiliser_Products_Data4(),FertiliserProducts[[#Headers],[Company]], 91)</f>
        <v>4.5999999999999996</v>
      </c>
      <c r="O199" s="188" t="str" cm="1">
        <f t="array" ref="O199">Common_InputFunctions.Utility_DisplayArrayInTable(Fertiliser_SourceData.Fertiliser_Products_Data4(),FertiliserProducts[[#Headers],[Company]], 91)</f>
        <v>Phosphorus - Generic</v>
      </c>
      <c r="P199" s="188" cm="1">
        <f t="array" ref="P199">Common_InputFunctions.Utility_DisplayArrayInTable(Fertiliser_SourceData.Fertiliser_Products_Data4(),FertiliserProducts[[#Headers],[Company]], 91)</f>
        <v>0.157</v>
      </c>
      <c r="Q199" s="188" t="str" cm="1">
        <f t="array" ref="Q199">Common_InputFunctions.Utility_DisplayArrayInTable(Fertiliser_SourceData.Fertiliser_Products_Data4(),FertiliserProducts[[#Headers],[Company]], 91)</f>
        <v>Sulfur - Generic</v>
      </c>
      <c r="R199" s="188" cm="1">
        <f t="array" ref="R199">Common_InputFunctions.Utility_DisplayArrayInTable(Fertiliser_SourceData.Fertiliser_Products_Data4(),FertiliserProducts[[#Headers],[Company]], 91)</f>
        <v>4.5999999999999999E-2</v>
      </c>
      <c r="S199" s="188" t="str" cm="1">
        <f t="array" ref="S199">Common_InputFunctions.Utility_DisplayArrayInTable(Fertiliser_SourceData.Fertiliser_Products_Data4(),FertiliserProducts[[#Headers],[Company]], 91)</f>
        <v>Calcium</v>
      </c>
      <c r="T199" s="188" cm="1">
        <f t="array" ref="T199">Common_InputFunctions.Utility_DisplayArrayInTable(Fertiliser_SourceData.Fertiliser_Products_Data4(),FertiliserProducts[[#Headers],[Company]], 91)</f>
        <v>0.14000000000000001</v>
      </c>
      <c r="U199" s="188" t="str" cm="1">
        <f t="array" ref="U199">Common_InputFunctions.Utility_DisplayArrayInTable(Fertiliser_SourceData.Fertiliser_Products_Data4(),FertiliserProducts[[#Headers],[Company]], 91)</f>
        <v/>
      </c>
      <c r="V199" s="188" t="str" cm="1">
        <f t="array" ref="V199">Common_InputFunctions.Utility_DisplayArrayInTable(Fertiliser_SourceData.Fertiliser_Products_Data4(),FertiliserProducts[[#Headers],[Company]], 91)</f>
        <v/>
      </c>
      <c r="W199" s="188" t="str" cm="1">
        <f t="array" ref="W199">Common_InputFunctions.Utility_DisplayArrayInTable(Fertiliser_SourceData.Fertiliser_Products_Data4(),FertiliserProducts[[#Headers],[Company]], 91)</f>
        <v/>
      </c>
      <c r="X199" s="188" t="str" cm="1">
        <f t="array" ref="X199">Common_InputFunctions.Utility_DisplayArrayInTable(Fertiliser_SourceData.Fertiliser_Products_Data4(),FertiliserProducts[[#Headers],[Company]], 91)</f>
        <v/>
      </c>
      <c r="Y199" s="188" t="str" cm="1">
        <f t="array" ref="Y199">Common_InputFunctions.Utility_DisplayArrayInTable(Fertiliser_SourceData.Fertiliser_Products_Data4(),FertiliserProducts[[#Headers],[Company]], 91)</f>
        <v/>
      </c>
      <c r="Z199" s="188" t="str" cm="1">
        <f t="array" ref="Z199">Common_InputFunctions.Utility_DisplayArrayInTable(Fertiliser_SourceData.Fertiliser_Products_Data4(),FertiliserProducts[[#Headers],[Company]], 91)</f>
        <v/>
      </c>
      <c r="AA199" s="188" t="str" cm="1">
        <f t="array" ref="AA199">Common_InputFunctions.Utility_DisplayArrayInTable(Fertiliser_SourceData.Fertiliser_Products_Data4(),FertiliserProducts[[#Headers],[Company]], 91)</f>
        <v/>
      </c>
      <c r="AB199" s="188" t="str" cm="1">
        <f t="array" ref="AB199">Common_InputFunctions.Utility_DisplayArrayInTable(Fertiliser_SourceData.Fertiliser_Products_Data4(),FertiliserProducts[[#Headers],[Company]], 91)</f>
        <v/>
      </c>
      <c r="AC199" s="188" t="str" cm="1">
        <f t="array" ref="AC199">Common_InputFunctions.Utility_DisplayArrayInTable(Fertiliser_SourceData.Fertiliser_Products_Data4(),FertiliserProducts[[#Headers],[Company]], 91)</f>
        <v/>
      </c>
      <c r="AD199" s="188" t="str" cm="1">
        <f t="array" ref="AD199">Common_InputFunctions.Utility_DisplayArrayInTable(Fertiliser_SourceData.Fertiliser_Products_Data4(),FertiliserProducts[[#Headers],[Company]], 91)</f>
        <v/>
      </c>
      <c r="AE199" s="188" t="str" cm="1">
        <f t="array" ref="AE199">Common_InputFunctions.Utility_DisplayArrayInTable(Fertiliser_SourceData.Fertiliser_Products_Data4(),FertiliserProducts[[#Headers],[Company]], 91)</f>
        <v/>
      </c>
      <c r="AF199" s="188" t="str" cm="1">
        <f t="array" ref="AF199">Common_InputFunctions.Utility_DisplayArrayInTable(Fertiliser_SourceData.Fertiliser_Products_Data4(),FertiliserProducts[[#Headers],[Company]], 91)</f>
        <v/>
      </c>
      <c r="AG199" s="188" t="str" cm="1">
        <f t="array" ref="AG199">Common_InputFunctions.Utility_DisplayArrayInTable(Fertiliser_SourceData.Fertiliser_Products_Data4(),FertiliserProducts[[#Headers],[Company]], 91)</f>
        <v/>
      </c>
      <c r="AH199" s="188" t="str" cm="1">
        <f t="array" ref="AH199">Common_InputFunctions.Utility_DisplayArrayInTable(Fertiliser_SourceData.Fertiliser_Products_Data4(),FertiliserProducts[[#Headers],[Company]], 91)</f>
        <v/>
      </c>
    </row>
    <row r="200" spans="4:34" x14ac:dyDescent="0.25">
      <c r="D200" s="188" t="str" cm="1">
        <f t="array" ref="D200">Common_InputFunctions.Utility_DisplayArrayInTable(Fertiliser_SourceData.Fertiliser_Products_Data4(),FertiliserProducts[[#Headers],[Company]], 91)</f>
        <v>Wengfu Australia</v>
      </c>
      <c r="E200" s="188" t="str" cm="1">
        <f t="array" ref="E200">Common_InputFunctions.Utility_DisplayArrayInTable(Fertiliser_SourceData.Fertiliser_Products_Data4(),FertiliserProducts[[#Headers],[Company]], 91)</f>
        <v>Wengfu SuStain</v>
      </c>
      <c r="F200" s="188" t="str" cm="1">
        <f t="array" ref="F200">Common_InputFunctions.Utility_DisplayArrayInTable(Fertiliser_SourceData.Fertiliser_Products_Data4(),FertiliserProducts[[#Headers],[Company]], 91)</f>
        <v>kg</v>
      </c>
      <c r="G200" s="188" cm="1">
        <f t="array" ref="G200">Common_InputFunctions.Utility_DisplayArrayInTable(Fertiliser_SourceData.Fertiliser_Products_Data4(),FertiliserProducts[[#Headers],[Company]], 91)</f>
        <v>1</v>
      </c>
      <c r="H200" s="188" t="str" cm="1">
        <f t="array" ref="H200">Common_InputFunctions.Utility_DisplayArrayInTable(Fertiliser_SourceData.Fertiliser_Products_Data4(),FertiliserProducts[[#Headers],[Company]], 91)</f>
        <v/>
      </c>
      <c r="I200" s="188" t="str" cm="1">
        <f t="array" ref="I200">Common_InputFunctions.Utility_DisplayArrayInTable(Fertiliser_SourceData.Fertiliser_Products_Data4(),FertiliserProducts[[#Headers],[Company]], 91)</f>
        <v/>
      </c>
      <c r="J200" s="188" t="str" cm="1">
        <f t="array" ref="J200">Common_InputFunctions.Utility_DisplayArrayInTable(Fertiliser_SourceData.Fertiliser_Products_Data4(),FertiliserProducts[[#Headers],[Company]], 91)</f>
        <v/>
      </c>
      <c r="K200" s="188" t="str" cm="1">
        <f t="array" ref="K200">Common_InputFunctions.Utility_DisplayArrayInTable(Fertiliser_SourceData.Fertiliser_Products_Data4(),FertiliserProducts[[#Headers],[Company]], 91)</f>
        <v/>
      </c>
      <c r="L200" s="188" t="str" cm="1">
        <f t="array" ref="L200">Common_InputFunctions.Utility_DisplayArrayInTable(Fertiliser_SourceData.Fertiliser_Products_Data4(),FertiliserProducts[[#Headers],[Company]], 91)</f>
        <v/>
      </c>
      <c r="M200" s="188" t="str" cm="1">
        <f t="array" ref="M200">Common_InputFunctions.Utility_DisplayArrayInTable(Fertiliser_SourceData.Fertiliser_Products_Data4(),FertiliserProducts[[#Headers],[Company]], 91)</f>
        <v/>
      </c>
      <c r="N200" s="188" cm="1">
        <f t="array" ref="N200">Common_InputFunctions.Utility_DisplayArrayInTable(Fertiliser_SourceData.Fertiliser_Products_Data4(),FertiliserProducts[[#Headers],[Company]], 91)</f>
        <v>90</v>
      </c>
      <c r="O200" s="188" t="str" cm="1">
        <f t="array" ref="O200">Common_InputFunctions.Utility_DisplayArrayInTable(Fertiliser_SourceData.Fertiliser_Products_Data4(),FertiliserProducts[[#Headers],[Company]], 91)</f>
        <v>Sulfur - Generic</v>
      </c>
      <c r="P200" s="188" cm="1">
        <f t="array" ref="P200">Common_InputFunctions.Utility_DisplayArrayInTable(Fertiliser_SourceData.Fertiliser_Products_Data4(),FertiliserProducts[[#Headers],[Company]], 91)</f>
        <v>0.9</v>
      </c>
      <c r="Q200" s="188" t="str" cm="1">
        <f t="array" ref="Q200">Common_InputFunctions.Utility_DisplayArrayInTable(Fertiliser_SourceData.Fertiliser_Products_Data4(),FertiliserProducts[[#Headers],[Company]], 91)</f>
        <v/>
      </c>
      <c r="R200" s="188" t="str" cm="1">
        <f t="array" ref="R200">Common_InputFunctions.Utility_DisplayArrayInTable(Fertiliser_SourceData.Fertiliser_Products_Data4(),FertiliserProducts[[#Headers],[Company]], 91)</f>
        <v/>
      </c>
      <c r="S200" s="188" t="str" cm="1">
        <f t="array" ref="S200">Common_InputFunctions.Utility_DisplayArrayInTable(Fertiliser_SourceData.Fertiliser_Products_Data4(),FertiliserProducts[[#Headers],[Company]], 91)</f>
        <v/>
      </c>
      <c r="T200" s="188" t="str" cm="1">
        <f t="array" ref="T200">Common_InputFunctions.Utility_DisplayArrayInTable(Fertiliser_SourceData.Fertiliser_Products_Data4(),FertiliserProducts[[#Headers],[Company]], 91)</f>
        <v/>
      </c>
      <c r="U200" s="188" t="str" cm="1">
        <f t="array" ref="U200">Common_InputFunctions.Utility_DisplayArrayInTable(Fertiliser_SourceData.Fertiliser_Products_Data4(),FertiliserProducts[[#Headers],[Company]], 91)</f>
        <v/>
      </c>
      <c r="V200" s="188" t="str" cm="1">
        <f t="array" ref="V200">Common_InputFunctions.Utility_DisplayArrayInTable(Fertiliser_SourceData.Fertiliser_Products_Data4(),FertiliserProducts[[#Headers],[Company]], 91)</f>
        <v/>
      </c>
      <c r="W200" s="188" t="str" cm="1">
        <f t="array" ref="W200">Common_InputFunctions.Utility_DisplayArrayInTable(Fertiliser_SourceData.Fertiliser_Products_Data4(),FertiliserProducts[[#Headers],[Company]], 91)</f>
        <v/>
      </c>
      <c r="X200" s="188" t="str" cm="1">
        <f t="array" ref="X200">Common_InputFunctions.Utility_DisplayArrayInTable(Fertiliser_SourceData.Fertiliser_Products_Data4(),FertiliserProducts[[#Headers],[Company]], 91)</f>
        <v/>
      </c>
      <c r="Y200" s="188" t="str" cm="1">
        <f t="array" ref="Y200">Common_InputFunctions.Utility_DisplayArrayInTable(Fertiliser_SourceData.Fertiliser_Products_Data4(),FertiliserProducts[[#Headers],[Company]], 91)</f>
        <v/>
      </c>
      <c r="Z200" s="188" t="str" cm="1">
        <f t="array" ref="Z200">Common_InputFunctions.Utility_DisplayArrayInTable(Fertiliser_SourceData.Fertiliser_Products_Data4(),FertiliserProducts[[#Headers],[Company]], 91)</f>
        <v/>
      </c>
      <c r="AA200" s="188" t="str" cm="1">
        <f t="array" ref="AA200">Common_InputFunctions.Utility_DisplayArrayInTable(Fertiliser_SourceData.Fertiliser_Products_Data4(),FertiliserProducts[[#Headers],[Company]], 91)</f>
        <v/>
      </c>
      <c r="AB200" s="188" t="str" cm="1">
        <f t="array" ref="AB200">Common_InputFunctions.Utility_DisplayArrayInTable(Fertiliser_SourceData.Fertiliser_Products_Data4(),FertiliserProducts[[#Headers],[Company]], 91)</f>
        <v/>
      </c>
      <c r="AC200" s="188" t="str" cm="1">
        <f t="array" ref="AC200">Common_InputFunctions.Utility_DisplayArrayInTable(Fertiliser_SourceData.Fertiliser_Products_Data4(),FertiliserProducts[[#Headers],[Company]], 91)</f>
        <v/>
      </c>
      <c r="AD200" s="188" t="str" cm="1">
        <f t="array" ref="AD200">Common_InputFunctions.Utility_DisplayArrayInTable(Fertiliser_SourceData.Fertiliser_Products_Data4(),FertiliserProducts[[#Headers],[Company]], 91)</f>
        <v/>
      </c>
      <c r="AE200" s="188" t="str" cm="1">
        <f t="array" ref="AE200">Common_InputFunctions.Utility_DisplayArrayInTable(Fertiliser_SourceData.Fertiliser_Products_Data4(),FertiliserProducts[[#Headers],[Company]], 91)</f>
        <v/>
      </c>
      <c r="AF200" s="188" t="str" cm="1">
        <f t="array" ref="AF200">Common_InputFunctions.Utility_DisplayArrayInTable(Fertiliser_SourceData.Fertiliser_Products_Data4(),FertiliserProducts[[#Headers],[Company]], 91)</f>
        <v/>
      </c>
      <c r="AG200" s="188" t="str" cm="1">
        <f t="array" ref="AG200">Common_InputFunctions.Utility_DisplayArrayInTable(Fertiliser_SourceData.Fertiliser_Products_Data4(),FertiliserProducts[[#Headers],[Company]], 91)</f>
        <v/>
      </c>
      <c r="AH200" s="188" t="str" cm="1">
        <f t="array" ref="AH200">Common_InputFunctions.Utility_DisplayArrayInTable(Fertiliser_SourceData.Fertiliser_Products_Data4(),FertiliserProducts[[#Headers],[Company]], 91)</f>
        <v/>
      </c>
    </row>
    <row r="201" spans="4:34" x14ac:dyDescent="0.25">
      <c r="D201" s="188" t="str" cm="1">
        <f t="array" ref="D201">Common_InputFunctions.Utility_DisplayArrayInTable(Fertiliser_SourceData.Fertiliser_Products_Data4(),FertiliserProducts[[#Headers],[Company]], 91)</f>
        <v>Wengfu Australia</v>
      </c>
      <c r="E201" s="188" t="str" cm="1">
        <f t="array" ref="E201">Common_InputFunctions.Utility_DisplayArrayInTable(Fertiliser_SourceData.Fertiliser_Products_Data4(),FertiliserProducts[[#Headers],[Company]], 91)</f>
        <v>Wengfu Slam</v>
      </c>
      <c r="F201" s="188" t="str" cm="1">
        <f t="array" ref="F201">Common_InputFunctions.Utility_DisplayArrayInTable(Fertiliser_SourceData.Fertiliser_Products_Data4(),FertiliserProducts[[#Headers],[Company]], 91)</f>
        <v>kg</v>
      </c>
      <c r="G201" s="188" cm="1">
        <f t="array" ref="G201">Common_InputFunctions.Utility_DisplayArrayInTable(Fertiliser_SourceData.Fertiliser_Products_Data4(),FertiliserProducts[[#Headers],[Company]], 91)</f>
        <v>1</v>
      </c>
      <c r="H201" s="188" t="str" cm="1">
        <f t="array" ref="H201">Common_InputFunctions.Utility_DisplayArrayInTable(Fertiliser_SourceData.Fertiliser_Products_Data4(),FertiliserProducts[[#Headers],[Company]], 91)</f>
        <v/>
      </c>
      <c r="I201" s="188" t="str" cm="1">
        <f t="array" ref="I201">Common_InputFunctions.Utility_DisplayArrayInTable(Fertiliser_SourceData.Fertiliser_Products_Data4(),FertiliserProducts[[#Headers],[Company]], 91)</f>
        <v/>
      </c>
      <c r="J201" s="188" t="str" cm="1">
        <f t="array" ref="J201">Common_InputFunctions.Utility_DisplayArrayInTable(Fertiliser_SourceData.Fertiliser_Products_Data4(),FertiliserProducts[[#Headers],[Company]], 91)</f>
        <v/>
      </c>
      <c r="K201" s="188" cm="1">
        <f t="array" ref="K201">Common_InputFunctions.Utility_DisplayArrayInTable(Fertiliser_SourceData.Fertiliser_Products_Data4(),FertiliserProducts[[#Headers],[Company]], 91)</f>
        <v>19.5</v>
      </c>
      <c r="L201" s="188" cm="1">
        <f t="array" ref="L201">Common_InputFunctions.Utility_DisplayArrayInTable(Fertiliser_SourceData.Fertiliser_Products_Data4(),FertiliserProducts[[#Headers],[Company]], 91)</f>
        <v>0.7</v>
      </c>
      <c r="M201" s="188" t="str" cm="1">
        <f t="array" ref="M201">Common_InputFunctions.Utility_DisplayArrayInTable(Fertiliser_SourceData.Fertiliser_Products_Data4(),FertiliserProducts[[#Headers],[Company]], 91)</f>
        <v/>
      </c>
      <c r="N201" s="188" cm="1">
        <f t="array" ref="N201">Common_InputFunctions.Utility_DisplayArrayInTable(Fertiliser_SourceData.Fertiliser_Products_Data4(),FertiliserProducts[[#Headers],[Company]], 91)</f>
        <v>23</v>
      </c>
      <c r="O201" s="188" t="str" cm="1">
        <f t="array" ref="O201">Common_InputFunctions.Utility_DisplayArrayInTable(Fertiliser_SourceData.Fertiliser_Products_Data4(),FertiliserProducts[[#Headers],[Company]], 91)</f>
        <v>Nitrogen - Generic</v>
      </c>
      <c r="P201" s="188" cm="1">
        <f t="array" ref="P201">Common_InputFunctions.Utility_DisplayArrayInTable(Fertiliser_SourceData.Fertiliser_Products_Data4(),FertiliserProducts[[#Headers],[Company]], 91)</f>
        <v>0.19500000000000001</v>
      </c>
      <c r="Q201" s="188" t="str" cm="1">
        <f t="array" ref="Q201">Common_InputFunctions.Utility_DisplayArrayInTable(Fertiliser_SourceData.Fertiliser_Products_Data4(),FertiliserProducts[[#Headers],[Company]], 91)</f>
        <v>Phosphorus - Generic</v>
      </c>
      <c r="R201" s="188" cm="1">
        <f t="array" ref="R201">Common_InputFunctions.Utility_DisplayArrayInTable(Fertiliser_SourceData.Fertiliser_Products_Data4(),FertiliserProducts[[#Headers],[Company]], 91)</f>
        <v>7.0000000000000001E-3</v>
      </c>
      <c r="S201" s="188" t="str" cm="1">
        <f t="array" ref="S201">Common_InputFunctions.Utility_DisplayArrayInTable(Fertiliser_SourceData.Fertiliser_Products_Data4(),FertiliserProducts[[#Headers],[Company]], 91)</f>
        <v>Sulfur - Generic</v>
      </c>
      <c r="T201" s="188" cm="1">
        <f t="array" ref="T201">Common_InputFunctions.Utility_DisplayArrayInTable(Fertiliser_SourceData.Fertiliser_Products_Data4(),FertiliserProducts[[#Headers],[Company]], 91)</f>
        <v>0.23</v>
      </c>
      <c r="U201" s="188" t="str" cm="1">
        <f t="array" ref="U201">Common_InputFunctions.Utility_DisplayArrayInTable(Fertiliser_SourceData.Fertiliser_Products_Data4(),FertiliserProducts[[#Headers],[Company]], 91)</f>
        <v/>
      </c>
      <c r="V201" s="188" t="str" cm="1">
        <f t="array" ref="V201">Common_InputFunctions.Utility_DisplayArrayInTable(Fertiliser_SourceData.Fertiliser_Products_Data4(),FertiliserProducts[[#Headers],[Company]], 91)</f>
        <v/>
      </c>
      <c r="W201" s="188" t="str" cm="1">
        <f t="array" ref="W201">Common_InputFunctions.Utility_DisplayArrayInTable(Fertiliser_SourceData.Fertiliser_Products_Data4(),FertiliserProducts[[#Headers],[Company]], 91)</f>
        <v/>
      </c>
      <c r="X201" s="188" t="str" cm="1">
        <f t="array" ref="X201">Common_InputFunctions.Utility_DisplayArrayInTable(Fertiliser_SourceData.Fertiliser_Products_Data4(),FertiliserProducts[[#Headers],[Company]], 91)</f>
        <v/>
      </c>
      <c r="Y201" s="188" t="str" cm="1">
        <f t="array" ref="Y201">Common_InputFunctions.Utility_DisplayArrayInTable(Fertiliser_SourceData.Fertiliser_Products_Data4(),FertiliserProducts[[#Headers],[Company]], 91)</f>
        <v/>
      </c>
      <c r="Z201" s="188" t="str" cm="1">
        <f t="array" ref="Z201">Common_InputFunctions.Utility_DisplayArrayInTable(Fertiliser_SourceData.Fertiliser_Products_Data4(),FertiliserProducts[[#Headers],[Company]], 91)</f>
        <v/>
      </c>
      <c r="AA201" s="188" t="str" cm="1">
        <f t="array" ref="AA201">Common_InputFunctions.Utility_DisplayArrayInTable(Fertiliser_SourceData.Fertiliser_Products_Data4(),FertiliserProducts[[#Headers],[Company]], 91)</f>
        <v/>
      </c>
      <c r="AB201" s="188" t="str" cm="1">
        <f t="array" ref="AB201">Common_InputFunctions.Utility_DisplayArrayInTable(Fertiliser_SourceData.Fertiliser_Products_Data4(),FertiliserProducts[[#Headers],[Company]], 91)</f>
        <v/>
      </c>
      <c r="AC201" s="188" t="str" cm="1">
        <f t="array" ref="AC201">Common_InputFunctions.Utility_DisplayArrayInTable(Fertiliser_SourceData.Fertiliser_Products_Data4(),FertiliserProducts[[#Headers],[Company]], 91)</f>
        <v/>
      </c>
      <c r="AD201" s="188" t="str" cm="1">
        <f t="array" ref="AD201">Common_InputFunctions.Utility_DisplayArrayInTable(Fertiliser_SourceData.Fertiliser_Products_Data4(),FertiliserProducts[[#Headers],[Company]], 91)</f>
        <v/>
      </c>
      <c r="AE201" s="188" t="str" cm="1">
        <f t="array" ref="AE201">Common_InputFunctions.Utility_DisplayArrayInTable(Fertiliser_SourceData.Fertiliser_Products_Data4(),FertiliserProducts[[#Headers],[Company]], 91)</f>
        <v/>
      </c>
      <c r="AF201" s="188" t="str" cm="1">
        <f t="array" ref="AF201">Common_InputFunctions.Utility_DisplayArrayInTable(Fertiliser_SourceData.Fertiliser_Products_Data4(),FertiliserProducts[[#Headers],[Company]], 91)</f>
        <v/>
      </c>
      <c r="AG201" s="188" t="str" cm="1">
        <f t="array" ref="AG201">Common_InputFunctions.Utility_DisplayArrayInTable(Fertiliser_SourceData.Fertiliser_Products_Data4(),FertiliserProducts[[#Headers],[Company]], 91)</f>
        <v/>
      </c>
      <c r="AH201" s="188" t="str" cm="1">
        <f t="array" ref="AH201">Common_InputFunctions.Utility_DisplayArrayInTable(Fertiliser_SourceData.Fertiliser_Products_Data4(),FertiliserProducts[[#Headers],[Company]], 91)</f>
        <v/>
      </c>
    </row>
    <row r="202" spans="4:34" x14ac:dyDescent="0.25">
      <c r="D202" s="188" t="str" cm="1">
        <f t="array" ref="D202">Common_InputFunctions.Utility_DisplayArrayInTable(Fertiliser_SourceData.Fertiliser_Products_Data4(),FertiliserProducts[[#Headers],[Company]], 91)</f>
        <v>Wengfu Australia</v>
      </c>
      <c r="E202" s="188" t="str" cm="1">
        <f t="array" ref="E202">Common_InputFunctions.Utility_DisplayArrayInTable(Fertiliser_SourceData.Fertiliser_Products_Data4(),FertiliserProducts[[#Headers],[Company]], 91)</f>
        <v>Wengfu Prime MSZ</v>
      </c>
      <c r="F202" s="188" t="str" cm="1">
        <f t="array" ref="F202">Common_InputFunctions.Utility_DisplayArrayInTable(Fertiliser_SourceData.Fertiliser_Products_Data4(),FertiliserProducts[[#Headers],[Company]], 91)</f>
        <v>kg</v>
      </c>
      <c r="G202" s="188" cm="1">
        <f t="array" ref="G202">Common_InputFunctions.Utility_DisplayArrayInTable(Fertiliser_SourceData.Fertiliser_Products_Data4(),FertiliserProducts[[#Headers],[Company]], 91)</f>
        <v>1</v>
      </c>
      <c r="H202" s="188" t="str" cm="1">
        <f t="array" ref="H202">Common_InputFunctions.Utility_DisplayArrayInTable(Fertiliser_SourceData.Fertiliser_Products_Data4(),FertiliserProducts[[#Headers],[Company]], 91)</f>
        <v/>
      </c>
      <c r="I202" s="188" t="str" cm="1">
        <f t="array" ref="I202">Common_InputFunctions.Utility_DisplayArrayInTable(Fertiliser_SourceData.Fertiliser_Products_Data4(),FertiliserProducts[[#Headers],[Company]], 91)</f>
        <v/>
      </c>
      <c r="J202" s="188" t="str" cm="1">
        <f t="array" ref="J202">Common_InputFunctions.Utility_DisplayArrayInTable(Fertiliser_SourceData.Fertiliser_Products_Data4(),FertiliserProducts[[#Headers],[Company]], 91)</f>
        <v/>
      </c>
      <c r="K202" s="188" cm="1">
        <f t="array" ref="K202">Common_InputFunctions.Utility_DisplayArrayInTable(Fertiliser_SourceData.Fertiliser_Products_Data4(),FertiliserProducts[[#Headers],[Company]], 91)</f>
        <v>10</v>
      </c>
      <c r="L202" s="188" cm="1">
        <f t="array" ref="L202">Common_InputFunctions.Utility_DisplayArrayInTable(Fertiliser_SourceData.Fertiliser_Products_Data4(),FertiliserProducts[[#Headers],[Company]], 91)</f>
        <v>18</v>
      </c>
      <c r="M202" s="188" t="str" cm="1">
        <f t="array" ref="M202">Common_InputFunctions.Utility_DisplayArrayInTable(Fertiliser_SourceData.Fertiliser_Products_Data4(),FertiliserProducts[[#Headers],[Company]], 91)</f>
        <v/>
      </c>
      <c r="N202" s="188" cm="1">
        <f t="array" ref="N202">Common_InputFunctions.Utility_DisplayArrayInTable(Fertiliser_SourceData.Fertiliser_Products_Data4(),FertiliserProducts[[#Headers],[Company]], 91)</f>
        <v>8</v>
      </c>
      <c r="O202" s="188" t="str" cm="1">
        <f t="array" ref="O202">Common_InputFunctions.Utility_DisplayArrayInTable(Fertiliser_SourceData.Fertiliser_Products_Data4(),FertiliserProducts[[#Headers],[Company]], 91)</f>
        <v>Nitrogen - Generic</v>
      </c>
      <c r="P202" s="188" cm="1">
        <f t="array" ref="P202">Common_InputFunctions.Utility_DisplayArrayInTable(Fertiliser_SourceData.Fertiliser_Products_Data4(),FertiliserProducts[[#Headers],[Company]], 91)</f>
        <v>0.1</v>
      </c>
      <c r="Q202" s="188" t="str" cm="1">
        <f t="array" ref="Q202">Common_InputFunctions.Utility_DisplayArrayInTable(Fertiliser_SourceData.Fertiliser_Products_Data4(),FertiliserProducts[[#Headers],[Company]], 91)</f>
        <v>Phosphorus - Generic</v>
      </c>
      <c r="R202" s="188" cm="1">
        <f t="array" ref="R202">Common_InputFunctions.Utility_DisplayArrayInTable(Fertiliser_SourceData.Fertiliser_Products_Data4(),FertiliserProducts[[#Headers],[Company]], 91)</f>
        <v>0.18</v>
      </c>
      <c r="S202" s="188" t="str" cm="1">
        <f t="array" ref="S202">Common_InputFunctions.Utility_DisplayArrayInTable(Fertiliser_SourceData.Fertiliser_Products_Data4(),FertiliserProducts[[#Headers],[Company]], 91)</f>
        <v>Sulfur - Generic</v>
      </c>
      <c r="T202" s="188" cm="1">
        <f t="array" ref="T202">Common_InputFunctions.Utility_DisplayArrayInTable(Fertiliser_SourceData.Fertiliser_Products_Data4(),FertiliserProducts[[#Headers],[Company]], 91)</f>
        <v>0.08</v>
      </c>
      <c r="U202" s="188" t="str" cm="1">
        <f t="array" ref="U202">Common_InputFunctions.Utility_DisplayArrayInTable(Fertiliser_SourceData.Fertiliser_Products_Data4(),FertiliserProducts[[#Headers],[Company]], 91)</f>
        <v>Zinc</v>
      </c>
      <c r="V202" s="188" cm="1">
        <f t="array" ref="V202">Common_InputFunctions.Utility_DisplayArrayInTable(Fertiliser_SourceData.Fertiliser_Products_Data4(),FertiliserProducts[[#Headers],[Company]], 91)</f>
        <v>5.0000000000000001E-3</v>
      </c>
      <c r="W202" s="188" t="str" cm="1">
        <f t="array" ref="W202">Common_InputFunctions.Utility_DisplayArrayInTable(Fertiliser_SourceData.Fertiliser_Products_Data4(),FertiliserProducts[[#Headers],[Company]], 91)</f>
        <v/>
      </c>
      <c r="X202" s="188" t="str" cm="1">
        <f t="array" ref="X202">Common_InputFunctions.Utility_DisplayArrayInTable(Fertiliser_SourceData.Fertiliser_Products_Data4(),FertiliserProducts[[#Headers],[Company]], 91)</f>
        <v/>
      </c>
      <c r="Y202" s="188" t="str" cm="1">
        <f t="array" ref="Y202">Common_InputFunctions.Utility_DisplayArrayInTable(Fertiliser_SourceData.Fertiliser_Products_Data4(),FertiliserProducts[[#Headers],[Company]], 91)</f>
        <v/>
      </c>
      <c r="Z202" s="188" t="str" cm="1">
        <f t="array" ref="Z202">Common_InputFunctions.Utility_DisplayArrayInTable(Fertiliser_SourceData.Fertiliser_Products_Data4(),FertiliserProducts[[#Headers],[Company]], 91)</f>
        <v/>
      </c>
      <c r="AA202" s="188" t="str" cm="1">
        <f t="array" ref="AA202">Common_InputFunctions.Utility_DisplayArrayInTable(Fertiliser_SourceData.Fertiliser_Products_Data4(),FertiliserProducts[[#Headers],[Company]], 91)</f>
        <v/>
      </c>
      <c r="AB202" s="188" t="str" cm="1">
        <f t="array" ref="AB202">Common_InputFunctions.Utility_DisplayArrayInTable(Fertiliser_SourceData.Fertiliser_Products_Data4(),FertiliserProducts[[#Headers],[Company]], 91)</f>
        <v/>
      </c>
      <c r="AC202" s="188" t="str" cm="1">
        <f t="array" ref="AC202">Common_InputFunctions.Utility_DisplayArrayInTable(Fertiliser_SourceData.Fertiliser_Products_Data4(),FertiliserProducts[[#Headers],[Company]], 91)</f>
        <v/>
      </c>
      <c r="AD202" s="188" t="str" cm="1">
        <f t="array" ref="AD202">Common_InputFunctions.Utility_DisplayArrayInTable(Fertiliser_SourceData.Fertiliser_Products_Data4(),FertiliserProducts[[#Headers],[Company]], 91)</f>
        <v/>
      </c>
      <c r="AE202" s="188" t="str" cm="1">
        <f t="array" ref="AE202">Common_InputFunctions.Utility_DisplayArrayInTable(Fertiliser_SourceData.Fertiliser_Products_Data4(),FertiliserProducts[[#Headers],[Company]], 91)</f>
        <v/>
      </c>
      <c r="AF202" s="188" t="str" cm="1">
        <f t="array" ref="AF202">Common_InputFunctions.Utility_DisplayArrayInTable(Fertiliser_SourceData.Fertiliser_Products_Data4(),FertiliserProducts[[#Headers],[Company]], 91)</f>
        <v/>
      </c>
      <c r="AG202" s="188" t="str" cm="1">
        <f t="array" ref="AG202">Common_InputFunctions.Utility_DisplayArrayInTable(Fertiliser_SourceData.Fertiliser_Products_Data4(),FertiliserProducts[[#Headers],[Company]], 91)</f>
        <v/>
      </c>
      <c r="AH202" s="188" t="str" cm="1">
        <f t="array" ref="AH202">Common_InputFunctions.Utility_DisplayArrayInTable(Fertiliser_SourceData.Fertiliser_Products_Data4(),FertiliserProducts[[#Headers],[Company]], 91)</f>
        <v/>
      </c>
    </row>
    <row r="203" spans="4:34" x14ac:dyDescent="0.25">
      <c r="D203" s="188" t="str" cm="1">
        <f t="array" ref="D203">Common_InputFunctions.Utility_DisplayArrayInTable(Fertiliser_SourceData.Fertiliser_Products_Data4(),FertiliserProducts[[#Headers],[Company]], 91)</f>
        <v>Wengfu Australia</v>
      </c>
      <c r="E203" s="188" t="str" cm="1">
        <f t="array" ref="E203">Common_InputFunctions.Utility_DisplayArrayInTable(Fertiliser_SourceData.Fertiliser_Products_Data4(),FertiliserProducts[[#Headers],[Company]], 91)</f>
        <v>Wengfu 9-20-0-10 MAP SuStain</v>
      </c>
      <c r="F203" s="188" t="str" cm="1">
        <f t="array" ref="F203">Common_InputFunctions.Utility_DisplayArrayInTable(Fertiliser_SourceData.Fertiliser_Products_Data4(),FertiliserProducts[[#Headers],[Company]], 91)</f>
        <v>kg</v>
      </c>
      <c r="G203" s="188" cm="1">
        <f t="array" ref="G203">Common_InputFunctions.Utility_DisplayArrayInTable(Fertiliser_SourceData.Fertiliser_Products_Data4(),FertiliserProducts[[#Headers],[Company]], 91)</f>
        <v>1</v>
      </c>
      <c r="H203" s="188" t="str" cm="1">
        <f t="array" ref="H203">Common_InputFunctions.Utility_DisplayArrayInTable(Fertiliser_SourceData.Fertiliser_Products_Data4(),FertiliserProducts[[#Headers],[Company]], 91)</f>
        <v/>
      </c>
      <c r="I203" s="188" t="str" cm="1">
        <f t="array" ref="I203">Common_InputFunctions.Utility_DisplayArrayInTable(Fertiliser_SourceData.Fertiliser_Products_Data4(),FertiliserProducts[[#Headers],[Company]], 91)</f>
        <v/>
      </c>
      <c r="J203" s="188" t="str" cm="1">
        <f t="array" ref="J203">Common_InputFunctions.Utility_DisplayArrayInTable(Fertiliser_SourceData.Fertiliser_Products_Data4(),FertiliserProducts[[#Headers],[Company]], 91)</f>
        <v/>
      </c>
      <c r="K203" s="188" cm="1">
        <f t="array" ref="K203">Common_InputFunctions.Utility_DisplayArrayInTable(Fertiliser_SourceData.Fertiliser_Products_Data4(),FertiliserProducts[[#Headers],[Company]], 91)</f>
        <v>9</v>
      </c>
      <c r="L203" s="188" cm="1">
        <f t="array" ref="L203">Common_InputFunctions.Utility_DisplayArrayInTable(Fertiliser_SourceData.Fertiliser_Products_Data4(),FertiliserProducts[[#Headers],[Company]], 91)</f>
        <v>19.8</v>
      </c>
      <c r="M203" s="188" cm="1">
        <f t="array" ref="M203">Common_InputFunctions.Utility_DisplayArrayInTable(Fertiliser_SourceData.Fertiliser_Products_Data4(),FertiliserProducts[[#Headers],[Company]], 91)</f>
        <v>0</v>
      </c>
      <c r="N203" s="188" cm="1">
        <f t="array" ref="N203">Common_InputFunctions.Utility_DisplayArrayInTable(Fertiliser_SourceData.Fertiliser_Products_Data4(),FertiliserProducts[[#Headers],[Company]], 91)</f>
        <v>10.4</v>
      </c>
      <c r="O203" s="188" t="str" cm="1">
        <f t="array" ref="O203">Common_InputFunctions.Utility_DisplayArrayInTable(Fertiliser_SourceData.Fertiliser_Products_Data4(),FertiliserProducts[[#Headers],[Company]], 91)</f>
        <v>Nitrogen - Generic</v>
      </c>
      <c r="P203" s="188" cm="1">
        <f t="array" ref="P203">Common_InputFunctions.Utility_DisplayArrayInTable(Fertiliser_SourceData.Fertiliser_Products_Data4(),FertiliserProducts[[#Headers],[Company]], 91)</f>
        <v>0.09</v>
      </c>
      <c r="Q203" s="188" t="str" cm="1">
        <f t="array" ref="Q203">Common_InputFunctions.Utility_DisplayArrayInTable(Fertiliser_SourceData.Fertiliser_Products_Data4(),FertiliserProducts[[#Headers],[Company]], 91)</f>
        <v>Phosphorus - Generic</v>
      </c>
      <c r="R203" s="188" cm="1">
        <f t="array" ref="R203">Common_InputFunctions.Utility_DisplayArrayInTable(Fertiliser_SourceData.Fertiliser_Products_Data4(),FertiliserProducts[[#Headers],[Company]], 91)</f>
        <v>0.19800000000000001</v>
      </c>
      <c r="S203" s="188" t="str" cm="1">
        <f t="array" ref="S203">Common_InputFunctions.Utility_DisplayArrayInTable(Fertiliser_SourceData.Fertiliser_Products_Data4(),FertiliserProducts[[#Headers],[Company]], 91)</f>
        <v>Sulfur - Generic</v>
      </c>
      <c r="T203" s="188" cm="1">
        <f t="array" ref="T203">Common_InputFunctions.Utility_DisplayArrayInTable(Fertiliser_SourceData.Fertiliser_Products_Data4(),FertiliserProducts[[#Headers],[Company]], 91)</f>
        <v>0.104</v>
      </c>
      <c r="U203" s="188" t="str" cm="1">
        <f t="array" ref="U203">Common_InputFunctions.Utility_DisplayArrayInTable(Fertiliser_SourceData.Fertiliser_Products_Data4(),FertiliserProducts[[#Headers],[Company]], 91)</f>
        <v/>
      </c>
      <c r="V203" s="188" t="str" cm="1">
        <f t="array" ref="V203">Common_InputFunctions.Utility_DisplayArrayInTable(Fertiliser_SourceData.Fertiliser_Products_Data4(),FertiliserProducts[[#Headers],[Company]], 91)</f>
        <v/>
      </c>
      <c r="W203" s="188" t="str" cm="1">
        <f t="array" ref="W203">Common_InputFunctions.Utility_DisplayArrayInTable(Fertiliser_SourceData.Fertiliser_Products_Data4(),FertiliserProducts[[#Headers],[Company]], 91)</f>
        <v/>
      </c>
      <c r="X203" s="188" t="str" cm="1">
        <f t="array" ref="X203">Common_InputFunctions.Utility_DisplayArrayInTable(Fertiliser_SourceData.Fertiliser_Products_Data4(),FertiliserProducts[[#Headers],[Company]], 91)</f>
        <v/>
      </c>
      <c r="Y203" s="188" t="str" cm="1">
        <f t="array" ref="Y203">Common_InputFunctions.Utility_DisplayArrayInTable(Fertiliser_SourceData.Fertiliser_Products_Data4(),FertiliserProducts[[#Headers],[Company]], 91)</f>
        <v/>
      </c>
      <c r="Z203" s="188" t="str" cm="1">
        <f t="array" ref="Z203">Common_InputFunctions.Utility_DisplayArrayInTable(Fertiliser_SourceData.Fertiliser_Products_Data4(),FertiliserProducts[[#Headers],[Company]], 91)</f>
        <v/>
      </c>
      <c r="AA203" s="188" t="str" cm="1">
        <f t="array" ref="AA203">Common_InputFunctions.Utility_DisplayArrayInTable(Fertiliser_SourceData.Fertiliser_Products_Data4(),FertiliserProducts[[#Headers],[Company]], 91)</f>
        <v/>
      </c>
      <c r="AB203" s="188" t="str" cm="1">
        <f t="array" ref="AB203">Common_InputFunctions.Utility_DisplayArrayInTable(Fertiliser_SourceData.Fertiliser_Products_Data4(),FertiliserProducts[[#Headers],[Company]], 91)</f>
        <v/>
      </c>
      <c r="AC203" s="188" t="str" cm="1">
        <f t="array" ref="AC203">Common_InputFunctions.Utility_DisplayArrayInTable(Fertiliser_SourceData.Fertiliser_Products_Data4(),FertiliserProducts[[#Headers],[Company]], 91)</f>
        <v/>
      </c>
      <c r="AD203" s="188" t="str" cm="1">
        <f t="array" ref="AD203">Common_InputFunctions.Utility_DisplayArrayInTable(Fertiliser_SourceData.Fertiliser_Products_Data4(),FertiliserProducts[[#Headers],[Company]], 91)</f>
        <v/>
      </c>
      <c r="AE203" s="188" t="str" cm="1">
        <f t="array" ref="AE203">Common_InputFunctions.Utility_DisplayArrayInTable(Fertiliser_SourceData.Fertiliser_Products_Data4(),FertiliserProducts[[#Headers],[Company]], 91)</f>
        <v/>
      </c>
      <c r="AF203" s="188" t="str" cm="1">
        <f t="array" ref="AF203">Common_InputFunctions.Utility_DisplayArrayInTable(Fertiliser_SourceData.Fertiliser_Products_Data4(),FertiliserProducts[[#Headers],[Company]], 91)</f>
        <v/>
      </c>
      <c r="AG203" s="188" t="str" cm="1">
        <f t="array" ref="AG203">Common_InputFunctions.Utility_DisplayArrayInTable(Fertiliser_SourceData.Fertiliser_Products_Data4(),FertiliserProducts[[#Headers],[Company]], 91)</f>
        <v/>
      </c>
      <c r="AH203" s="188" t="str" cm="1">
        <f t="array" ref="AH203">Common_InputFunctions.Utility_DisplayArrayInTable(Fertiliser_SourceData.Fertiliser_Products_Data4(),FertiliserProducts[[#Headers],[Company]], 91)</f>
        <v/>
      </c>
    </row>
    <row r="204" spans="4:34" x14ac:dyDescent="0.25">
      <c r="D204" s="188" t="str" cm="1">
        <f t="array" ref="D204">Common_InputFunctions.Utility_DisplayArrayInTable(Fertiliser_SourceData.Fertiliser_Products_Data4(),FertiliserProducts[[#Headers],[Company]], 91)</f>
        <v>Wengfu Australia</v>
      </c>
      <c r="E204" s="188" t="str" cm="1">
        <f t="array" ref="E204">Common_InputFunctions.Utility_DisplayArrayInTable(Fertiliser_SourceData.Fertiliser_Products_Data4(),FertiliserProducts[[#Headers],[Company]], 91)</f>
        <v>Wengfu 15-17-0-15 DAP SuStain</v>
      </c>
      <c r="F204" s="188" t="str" cm="1">
        <f t="array" ref="F204">Common_InputFunctions.Utility_DisplayArrayInTable(Fertiliser_SourceData.Fertiliser_Products_Data4(),FertiliserProducts[[#Headers],[Company]], 91)</f>
        <v>kg</v>
      </c>
      <c r="G204" s="188" cm="1">
        <f t="array" ref="G204">Common_InputFunctions.Utility_DisplayArrayInTable(Fertiliser_SourceData.Fertiliser_Products_Data4(),FertiliserProducts[[#Headers],[Company]], 91)</f>
        <v>1</v>
      </c>
      <c r="H204" s="188" t="str" cm="1">
        <f t="array" ref="H204">Common_InputFunctions.Utility_DisplayArrayInTable(Fertiliser_SourceData.Fertiliser_Products_Data4(),FertiliserProducts[[#Headers],[Company]], 91)</f>
        <v/>
      </c>
      <c r="I204" s="188" t="str" cm="1">
        <f t="array" ref="I204">Common_InputFunctions.Utility_DisplayArrayInTable(Fertiliser_SourceData.Fertiliser_Products_Data4(),FertiliserProducts[[#Headers],[Company]], 91)</f>
        <v/>
      </c>
      <c r="J204" s="188" t="str" cm="1">
        <f t="array" ref="J204">Common_InputFunctions.Utility_DisplayArrayInTable(Fertiliser_SourceData.Fertiliser_Products_Data4(),FertiliserProducts[[#Headers],[Company]], 91)</f>
        <v/>
      </c>
      <c r="K204" s="188" cm="1">
        <f t="array" ref="K204">Common_InputFunctions.Utility_DisplayArrayInTable(Fertiliser_SourceData.Fertiliser_Products_Data4(),FertiliserProducts[[#Headers],[Company]], 91)</f>
        <v>15.2</v>
      </c>
      <c r="L204" s="188" cm="1">
        <f t="array" ref="L204">Common_InputFunctions.Utility_DisplayArrayInTable(Fertiliser_SourceData.Fertiliser_Products_Data4(),FertiliserProducts[[#Headers],[Company]], 91)</f>
        <v>16.899999999999999</v>
      </c>
      <c r="M204" s="188" cm="1">
        <f t="array" ref="M204">Common_InputFunctions.Utility_DisplayArrayInTable(Fertiliser_SourceData.Fertiliser_Products_Data4(),FertiliserProducts[[#Headers],[Company]], 91)</f>
        <v>0</v>
      </c>
      <c r="N204" s="188" cm="1">
        <f t="array" ref="N204">Common_InputFunctions.Utility_DisplayArrayInTable(Fertiliser_SourceData.Fertiliser_Products_Data4(),FertiliserProducts[[#Headers],[Company]], 91)</f>
        <v>15.2</v>
      </c>
      <c r="O204" s="188" t="str" cm="1">
        <f t="array" ref="O204">Common_InputFunctions.Utility_DisplayArrayInTable(Fertiliser_SourceData.Fertiliser_Products_Data4(),FertiliserProducts[[#Headers],[Company]], 91)</f>
        <v>Nitrogen - Generic</v>
      </c>
      <c r="P204" s="188" cm="1">
        <f t="array" ref="P204">Common_InputFunctions.Utility_DisplayArrayInTable(Fertiliser_SourceData.Fertiliser_Products_Data4(),FertiliserProducts[[#Headers],[Company]], 91)</f>
        <v>0.152</v>
      </c>
      <c r="Q204" s="188" t="str" cm="1">
        <f t="array" ref="Q204">Common_InputFunctions.Utility_DisplayArrayInTable(Fertiliser_SourceData.Fertiliser_Products_Data4(),FertiliserProducts[[#Headers],[Company]], 91)</f>
        <v>Phosphorus - Generic</v>
      </c>
      <c r="R204" s="188" cm="1">
        <f t="array" ref="R204">Common_InputFunctions.Utility_DisplayArrayInTable(Fertiliser_SourceData.Fertiliser_Products_Data4(),FertiliserProducts[[#Headers],[Company]], 91)</f>
        <v>0.16900000000000001</v>
      </c>
      <c r="S204" s="188" t="str" cm="1">
        <f t="array" ref="S204">Common_InputFunctions.Utility_DisplayArrayInTable(Fertiliser_SourceData.Fertiliser_Products_Data4(),FertiliserProducts[[#Headers],[Company]], 91)</f>
        <v>Sulfur - Generic</v>
      </c>
      <c r="T204" s="188" cm="1">
        <f t="array" ref="T204">Common_InputFunctions.Utility_DisplayArrayInTable(Fertiliser_SourceData.Fertiliser_Products_Data4(),FertiliserProducts[[#Headers],[Company]], 91)</f>
        <v>0.152</v>
      </c>
      <c r="U204" s="188" t="str" cm="1">
        <f t="array" ref="U204">Common_InputFunctions.Utility_DisplayArrayInTable(Fertiliser_SourceData.Fertiliser_Products_Data4(),FertiliserProducts[[#Headers],[Company]], 91)</f>
        <v/>
      </c>
      <c r="V204" s="188" t="str" cm="1">
        <f t="array" ref="V204">Common_InputFunctions.Utility_DisplayArrayInTable(Fertiliser_SourceData.Fertiliser_Products_Data4(),FertiliserProducts[[#Headers],[Company]], 91)</f>
        <v/>
      </c>
      <c r="W204" s="188" t="str" cm="1">
        <f t="array" ref="W204">Common_InputFunctions.Utility_DisplayArrayInTable(Fertiliser_SourceData.Fertiliser_Products_Data4(),FertiliserProducts[[#Headers],[Company]], 91)</f>
        <v/>
      </c>
      <c r="X204" s="188" t="str" cm="1">
        <f t="array" ref="X204">Common_InputFunctions.Utility_DisplayArrayInTable(Fertiliser_SourceData.Fertiliser_Products_Data4(),FertiliserProducts[[#Headers],[Company]], 91)</f>
        <v/>
      </c>
      <c r="Y204" s="188" t="str" cm="1">
        <f t="array" ref="Y204">Common_InputFunctions.Utility_DisplayArrayInTable(Fertiliser_SourceData.Fertiliser_Products_Data4(),FertiliserProducts[[#Headers],[Company]], 91)</f>
        <v/>
      </c>
      <c r="Z204" s="188" t="str" cm="1">
        <f t="array" ref="Z204">Common_InputFunctions.Utility_DisplayArrayInTable(Fertiliser_SourceData.Fertiliser_Products_Data4(),FertiliserProducts[[#Headers],[Company]], 91)</f>
        <v/>
      </c>
      <c r="AA204" s="188" t="str" cm="1">
        <f t="array" ref="AA204">Common_InputFunctions.Utility_DisplayArrayInTable(Fertiliser_SourceData.Fertiliser_Products_Data4(),FertiliserProducts[[#Headers],[Company]], 91)</f>
        <v/>
      </c>
      <c r="AB204" s="188" t="str" cm="1">
        <f t="array" ref="AB204">Common_InputFunctions.Utility_DisplayArrayInTable(Fertiliser_SourceData.Fertiliser_Products_Data4(),FertiliserProducts[[#Headers],[Company]], 91)</f>
        <v/>
      </c>
      <c r="AC204" s="188" t="str" cm="1">
        <f t="array" ref="AC204">Common_InputFunctions.Utility_DisplayArrayInTable(Fertiliser_SourceData.Fertiliser_Products_Data4(),FertiliserProducts[[#Headers],[Company]], 91)</f>
        <v/>
      </c>
      <c r="AD204" s="188" t="str" cm="1">
        <f t="array" ref="AD204">Common_InputFunctions.Utility_DisplayArrayInTable(Fertiliser_SourceData.Fertiliser_Products_Data4(),FertiliserProducts[[#Headers],[Company]], 91)</f>
        <v/>
      </c>
      <c r="AE204" s="188" t="str" cm="1">
        <f t="array" ref="AE204">Common_InputFunctions.Utility_DisplayArrayInTable(Fertiliser_SourceData.Fertiliser_Products_Data4(),FertiliserProducts[[#Headers],[Company]], 91)</f>
        <v/>
      </c>
      <c r="AF204" s="188" t="str" cm="1">
        <f t="array" ref="AF204">Common_InputFunctions.Utility_DisplayArrayInTable(Fertiliser_SourceData.Fertiliser_Products_Data4(),FertiliserProducts[[#Headers],[Company]], 91)</f>
        <v/>
      </c>
      <c r="AG204" s="188" t="str" cm="1">
        <f t="array" ref="AG204">Common_InputFunctions.Utility_DisplayArrayInTable(Fertiliser_SourceData.Fertiliser_Products_Data4(),FertiliserProducts[[#Headers],[Company]], 91)</f>
        <v/>
      </c>
      <c r="AH204" s="188" t="str" cm="1">
        <f t="array" ref="AH204">Common_InputFunctions.Utility_DisplayArrayInTable(Fertiliser_SourceData.Fertiliser_Products_Data4(),FertiliserProducts[[#Headers],[Company]], 91)</f>
        <v/>
      </c>
    </row>
    <row r="205" spans="4:34" x14ac:dyDescent="0.25">
      <c r="D205" s="188" t="str" cm="1">
        <f t="array" ref="D205">Common_InputFunctions.Utility_DisplayArrayInTable(Fertiliser_SourceData.Fertiliser_Products_Data4(),FertiliserProducts[[#Headers],[Company]], 91)</f>
        <v>Wengfu Australia</v>
      </c>
      <c r="E205" s="188" t="str" cm="1">
        <f t="array" ref="E205">Common_InputFunctions.Utility_DisplayArrayInTable(Fertiliser_SourceData.Fertiliser_Products_Data4(),FertiliserProducts[[#Headers],[Company]], 91)</f>
        <v>Wengfu 16-18-0-10 DAP SuStain</v>
      </c>
      <c r="F205" s="188" t="str" cm="1">
        <f t="array" ref="F205">Common_InputFunctions.Utility_DisplayArrayInTable(Fertiliser_SourceData.Fertiliser_Products_Data4(),FertiliserProducts[[#Headers],[Company]], 91)</f>
        <v>kg</v>
      </c>
      <c r="G205" s="188" cm="1">
        <f t="array" ref="G205">Common_InputFunctions.Utility_DisplayArrayInTable(Fertiliser_SourceData.Fertiliser_Products_Data4(),FertiliserProducts[[#Headers],[Company]], 91)</f>
        <v>1</v>
      </c>
      <c r="H205" s="188" t="str" cm="1">
        <f t="array" ref="H205">Common_InputFunctions.Utility_DisplayArrayInTable(Fertiliser_SourceData.Fertiliser_Products_Data4(),FertiliserProducts[[#Headers],[Company]], 91)</f>
        <v/>
      </c>
      <c r="I205" s="188" t="str" cm="1">
        <f t="array" ref="I205">Common_InputFunctions.Utility_DisplayArrayInTable(Fertiliser_SourceData.Fertiliser_Products_Data4(),FertiliserProducts[[#Headers],[Company]], 91)</f>
        <v/>
      </c>
      <c r="J205" s="188" t="str" cm="1">
        <f t="array" ref="J205">Common_InputFunctions.Utility_DisplayArrayInTable(Fertiliser_SourceData.Fertiliser_Products_Data4(),FertiliserProducts[[#Headers],[Company]], 91)</f>
        <v/>
      </c>
      <c r="K205" s="188" cm="1">
        <f t="array" ref="K205">Common_InputFunctions.Utility_DisplayArrayInTable(Fertiliser_SourceData.Fertiliser_Products_Data4(),FertiliserProducts[[#Headers],[Company]], 91)</f>
        <v>16.2</v>
      </c>
      <c r="L205" s="188" cm="1">
        <f t="array" ref="L205">Common_InputFunctions.Utility_DisplayArrayInTable(Fertiliser_SourceData.Fertiliser_Products_Data4(),FertiliserProducts[[#Headers],[Company]], 91)</f>
        <v>18</v>
      </c>
      <c r="M205" s="188" cm="1">
        <f t="array" ref="M205">Common_InputFunctions.Utility_DisplayArrayInTable(Fertiliser_SourceData.Fertiliser_Products_Data4(),FertiliserProducts[[#Headers],[Company]], 91)</f>
        <v>0</v>
      </c>
      <c r="N205" s="188" cm="1">
        <f t="array" ref="N205">Common_InputFunctions.Utility_DisplayArrayInTable(Fertiliser_SourceData.Fertiliser_Products_Data4(),FertiliserProducts[[#Headers],[Company]], 91)</f>
        <v>10.4</v>
      </c>
      <c r="O205" s="188" t="str" cm="1">
        <f t="array" ref="O205">Common_InputFunctions.Utility_DisplayArrayInTable(Fertiliser_SourceData.Fertiliser_Products_Data4(),FertiliserProducts[[#Headers],[Company]], 91)</f>
        <v>Nitrogen - Generic</v>
      </c>
      <c r="P205" s="188" cm="1">
        <f t="array" ref="P205">Common_InputFunctions.Utility_DisplayArrayInTable(Fertiliser_SourceData.Fertiliser_Products_Data4(),FertiliserProducts[[#Headers],[Company]], 91)</f>
        <v>0.16200000000000001</v>
      </c>
      <c r="Q205" s="188" t="str" cm="1">
        <f t="array" ref="Q205">Common_InputFunctions.Utility_DisplayArrayInTable(Fertiliser_SourceData.Fertiliser_Products_Data4(),FertiliserProducts[[#Headers],[Company]], 91)</f>
        <v>Phosphorus - Generic</v>
      </c>
      <c r="R205" s="188" cm="1">
        <f t="array" ref="R205">Common_InputFunctions.Utility_DisplayArrayInTable(Fertiliser_SourceData.Fertiliser_Products_Data4(),FertiliserProducts[[#Headers],[Company]], 91)</f>
        <v>0.18</v>
      </c>
      <c r="S205" s="188" t="str" cm="1">
        <f t="array" ref="S205">Common_InputFunctions.Utility_DisplayArrayInTable(Fertiliser_SourceData.Fertiliser_Products_Data4(),FertiliserProducts[[#Headers],[Company]], 91)</f>
        <v>Sulfur - Generic</v>
      </c>
      <c r="T205" s="188" cm="1">
        <f t="array" ref="T205">Common_InputFunctions.Utility_DisplayArrayInTable(Fertiliser_SourceData.Fertiliser_Products_Data4(),FertiliserProducts[[#Headers],[Company]], 91)</f>
        <v>0.104</v>
      </c>
      <c r="U205" s="188" t="str" cm="1">
        <f t="array" ref="U205">Common_InputFunctions.Utility_DisplayArrayInTable(Fertiliser_SourceData.Fertiliser_Products_Data4(),FertiliserProducts[[#Headers],[Company]], 91)</f>
        <v/>
      </c>
      <c r="V205" s="188" t="str" cm="1">
        <f t="array" ref="V205">Common_InputFunctions.Utility_DisplayArrayInTable(Fertiliser_SourceData.Fertiliser_Products_Data4(),FertiliserProducts[[#Headers],[Company]], 91)</f>
        <v/>
      </c>
      <c r="W205" s="188" t="str" cm="1">
        <f t="array" ref="W205">Common_InputFunctions.Utility_DisplayArrayInTable(Fertiliser_SourceData.Fertiliser_Products_Data4(),FertiliserProducts[[#Headers],[Company]], 91)</f>
        <v/>
      </c>
      <c r="X205" s="188" t="str" cm="1">
        <f t="array" ref="X205">Common_InputFunctions.Utility_DisplayArrayInTable(Fertiliser_SourceData.Fertiliser_Products_Data4(),FertiliserProducts[[#Headers],[Company]], 91)</f>
        <v/>
      </c>
      <c r="Y205" s="188" t="str" cm="1">
        <f t="array" ref="Y205">Common_InputFunctions.Utility_DisplayArrayInTable(Fertiliser_SourceData.Fertiliser_Products_Data4(),FertiliserProducts[[#Headers],[Company]], 91)</f>
        <v/>
      </c>
      <c r="Z205" s="188" t="str" cm="1">
        <f t="array" ref="Z205">Common_InputFunctions.Utility_DisplayArrayInTable(Fertiliser_SourceData.Fertiliser_Products_Data4(),FertiliserProducts[[#Headers],[Company]], 91)</f>
        <v/>
      </c>
      <c r="AA205" s="188" t="str" cm="1">
        <f t="array" ref="AA205">Common_InputFunctions.Utility_DisplayArrayInTable(Fertiliser_SourceData.Fertiliser_Products_Data4(),FertiliserProducts[[#Headers],[Company]], 91)</f>
        <v/>
      </c>
      <c r="AB205" s="188" t="str" cm="1">
        <f t="array" ref="AB205">Common_InputFunctions.Utility_DisplayArrayInTable(Fertiliser_SourceData.Fertiliser_Products_Data4(),FertiliserProducts[[#Headers],[Company]], 91)</f>
        <v/>
      </c>
      <c r="AC205" s="188" t="str" cm="1">
        <f t="array" ref="AC205">Common_InputFunctions.Utility_DisplayArrayInTable(Fertiliser_SourceData.Fertiliser_Products_Data4(),FertiliserProducts[[#Headers],[Company]], 91)</f>
        <v/>
      </c>
      <c r="AD205" s="188" t="str" cm="1">
        <f t="array" ref="AD205">Common_InputFunctions.Utility_DisplayArrayInTable(Fertiliser_SourceData.Fertiliser_Products_Data4(),FertiliserProducts[[#Headers],[Company]], 91)</f>
        <v/>
      </c>
      <c r="AE205" s="188" t="str" cm="1">
        <f t="array" ref="AE205">Common_InputFunctions.Utility_DisplayArrayInTable(Fertiliser_SourceData.Fertiliser_Products_Data4(),FertiliserProducts[[#Headers],[Company]], 91)</f>
        <v/>
      </c>
      <c r="AF205" s="188" t="str" cm="1">
        <f t="array" ref="AF205">Common_InputFunctions.Utility_DisplayArrayInTable(Fertiliser_SourceData.Fertiliser_Products_Data4(),FertiliserProducts[[#Headers],[Company]], 91)</f>
        <v/>
      </c>
      <c r="AG205" s="188" t="str" cm="1">
        <f t="array" ref="AG205">Common_InputFunctions.Utility_DisplayArrayInTable(Fertiliser_SourceData.Fertiliser_Products_Data4(),FertiliserProducts[[#Headers],[Company]], 91)</f>
        <v/>
      </c>
      <c r="AH205" s="188" t="str" cm="1">
        <f t="array" ref="AH205">Common_InputFunctions.Utility_DisplayArrayInTable(Fertiliser_SourceData.Fertiliser_Products_Data4(),FertiliserProducts[[#Headers],[Company]], 91)</f>
        <v/>
      </c>
    </row>
    <row r="206" spans="4:34" x14ac:dyDescent="0.25">
      <c r="D206" s="188" t="str" cm="1">
        <f t="array" ref="D206">Common_InputFunctions.Utility_DisplayArrayInTable(Fertiliser_SourceData.Fertiliser_Products_Data4(),FertiliserProducts[[#Headers],[Company]], 91)</f>
        <v>Wengfu Australia</v>
      </c>
      <c r="E206" s="188" t="str" cm="1">
        <f t="array" ref="E206">Common_InputFunctions.Utility_DisplayArrayInTable(Fertiliser_SourceData.Fertiliser_Products_Data4(),FertiliserProducts[[#Headers],[Company]], 91)</f>
        <v>Wengfu 5-15-0-6 Fast Start Legume</v>
      </c>
      <c r="F206" s="188" t="str" cm="1">
        <f t="array" ref="F206">Common_InputFunctions.Utility_DisplayArrayInTable(Fertiliser_SourceData.Fertiliser_Products_Data4(),FertiliserProducts[[#Headers],[Company]], 91)</f>
        <v>kg</v>
      </c>
      <c r="G206" s="188" cm="1">
        <f t="array" ref="G206">Common_InputFunctions.Utility_DisplayArrayInTable(Fertiliser_SourceData.Fertiliser_Products_Data4(),FertiliserProducts[[#Headers],[Company]], 91)</f>
        <v>1</v>
      </c>
      <c r="H206" s="188" t="str" cm="1">
        <f t="array" ref="H206">Common_InputFunctions.Utility_DisplayArrayInTable(Fertiliser_SourceData.Fertiliser_Products_Data4(),FertiliserProducts[[#Headers],[Company]], 91)</f>
        <v/>
      </c>
      <c r="I206" s="188" t="str" cm="1">
        <f t="array" ref="I206">Common_InputFunctions.Utility_DisplayArrayInTable(Fertiliser_SourceData.Fertiliser_Products_Data4(),FertiliserProducts[[#Headers],[Company]], 91)</f>
        <v/>
      </c>
      <c r="J206" s="188" t="str" cm="1">
        <f t="array" ref="J206">Common_InputFunctions.Utility_DisplayArrayInTable(Fertiliser_SourceData.Fertiliser_Products_Data4(),FertiliserProducts[[#Headers],[Company]], 91)</f>
        <v/>
      </c>
      <c r="K206" s="188" cm="1">
        <f t="array" ref="K206">Common_InputFunctions.Utility_DisplayArrayInTable(Fertiliser_SourceData.Fertiliser_Products_Data4(),FertiliserProducts[[#Headers],[Company]], 91)</f>
        <v>5</v>
      </c>
      <c r="L206" s="188" cm="1">
        <f t="array" ref="L206">Common_InputFunctions.Utility_DisplayArrayInTable(Fertiliser_SourceData.Fertiliser_Products_Data4(),FertiliserProducts[[#Headers],[Company]], 91)</f>
        <v>15.4</v>
      </c>
      <c r="M206" s="188" cm="1">
        <f t="array" ref="M206">Common_InputFunctions.Utility_DisplayArrayInTable(Fertiliser_SourceData.Fertiliser_Products_Data4(),FertiliserProducts[[#Headers],[Company]], 91)</f>
        <v>0</v>
      </c>
      <c r="N206" s="188" cm="1">
        <f t="array" ref="N206">Common_InputFunctions.Utility_DisplayArrayInTable(Fertiliser_SourceData.Fertiliser_Products_Data4(),FertiliserProducts[[#Headers],[Company]], 91)</f>
        <v>6.3</v>
      </c>
      <c r="O206" s="188" t="str" cm="1">
        <f t="array" ref="O206">Common_InputFunctions.Utility_DisplayArrayInTable(Fertiliser_SourceData.Fertiliser_Products_Data4(),FertiliserProducts[[#Headers],[Company]], 91)</f>
        <v>Nitrogen - Generic</v>
      </c>
      <c r="P206" s="188" cm="1">
        <f t="array" ref="P206">Common_InputFunctions.Utility_DisplayArrayInTable(Fertiliser_SourceData.Fertiliser_Products_Data4(),FertiliserProducts[[#Headers],[Company]], 91)</f>
        <v>0.05</v>
      </c>
      <c r="Q206" s="188" t="str" cm="1">
        <f t="array" ref="Q206">Common_InputFunctions.Utility_DisplayArrayInTable(Fertiliser_SourceData.Fertiliser_Products_Data4(),FertiliserProducts[[#Headers],[Company]], 91)</f>
        <v>Phosphorus - Generic</v>
      </c>
      <c r="R206" s="188" cm="1">
        <f t="array" ref="R206">Common_InputFunctions.Utility_DisplayArrayInTable(Fertiliser_SourceData.Fertiliser_Products_Data4(),FertiliserProducts[[#Headers],[Company]], 91)</f>
        <v>0.154</v>
      </c>
      <c r="S206" s="188" t="str" cm="1">
        <f t="array" ref="S206">Common_InputFunctions.Utility_DisplayArrayInTable(Fertiliser_SourceData.Fertiliser_Products_Data4(),FertiliserProducts[[#Headers],[Company]], 91)</f>
        <v>Sulfur - Generic</v>
      </c>
      <c r="T206" s="188" cm="1">
        <f t="array" ref="T206">Common_InputFunctions.Utility_DisplayArrayInTable(Fertiliser_SourceData.Fertiliser_Products_Data4(),FertiliserProducts[[#Headers],[Company]], 91)</f>
        <v>6.3E-2</v>
      </c>
      <c r="U206" s="188" t="str" cm="1">
        <f t="array" ref="U206">Common_InputFunctions.Utility_DisplayArrayInTable(Fertiliser_SourceData.Fertiliser_Products_Data4(),FertiliserProducts[[#Headers],[Company]], 91)</f>
        <v/>
      </c>
      <c r="V206" s="188" t="str" cm="1">
        <f t="array" ref="V206">Common_InputFunctions.Utility_DisplayArrayInTable(Fertiliser_SourceData.Fertiliser_Products_Data4(),FertiliserProducts[[#Headers],[Company]], 91)</f>
        <v/>
      </c>
      <c r="W206" s="188" t="str" cm="1">
        <f t="array" ref="W206">Common_InputFunctions.Utility_DisplayArrayInTable(Fertiliser_SourceData.Fertiliser_Products_Data4(),FertiliserProducts[[#Headers],[Company]], 91)</f>
        <v/>
      </c>
      <c r="X206" s="188" t="str" cm="1">
        <f t="array" ref="X206">Common_InputFunctions.Utility_DisplayArrayInTable(Fertiliser_SourceData.Fertiliser_Products_Data4(),FertiliserProducts[[#Headers],[Company]], 91)</f>
        <v/>
      </c>
      <c r="Y206" s="188" t="str" cm="1">
        <f t="array" ref="Y206">Common_InputFunctions.Utility_DisplayArrayInTable(Fertiliser_SourceData.Fertiliser_Products_Data4(),FertiliserProducts[[#Headers],[Company]], 91)</f>
        <v/>
      </c>
      <c r="Z206" s="188" t="str" cm="1">
        <f t="array" ref="Z206">Common_InputFunctions.Utility_DisplayArrayInTable(Fertiliser_SourceData.Fertiliser_Products_Data4(),FertiliserProducts[[#Headers],[Company]], 91)</f>
        <v/>
      </c>
      <c r="AA206" s="188" t="str" cm="1">
        <f t="array" ref="AA206">Common_InputFunctions.Utility_DisplayArrayInTable(Fertiliser_SourceData.Fertiliser_Products_Data4(),FertiliserProducts[[#Headers],[Company]], 91)</f>
        <v/>
      </c>
      <c r="AB206" s="188" t="str" cm="1">
        <f t="array" ref="AB206">Common_InputFunctions.Utility_DisplayArrayInTable(Fertiliser_SourceData.Fertiliser_Products_Data4(),FertiliserProducts[[#Headers],[Company]], 91)</f>
        <v/>
      </c>
      <c r="AC206" s="188" t="str" cm="1">
        <f t="array" ref="AC206">Common_InputFunctions.Utility_DisplayArrayInTable(Fertiliser_SourceData.Fertiliser_Products_Data4(),FertiliserProducts[[#Headers],[Company]], 91)</f>
        <v/>
      </c>
      <c r="AD206" s="188" t="str" cm="1">
        <f t="array" ref="AD206">Common_InputFunctions.Utility_DisplayArrayInTable(Fertiliser_SourceData.Fertiliser_Products_Data4(),FertiliserProducts[[#Headers],[Company]], 91)</f>
        <v/>
      </c>
      <c r="AE206" s="188" t="str" cm="1">
        <f t="array" ref="AE206">Common_InputFunctions.Utility_DisplayArrayInTable(Fertiliser_SourceData.Fertiliser_Products_Data4(),FertiliserProducts[[#Headers],[Company]], 91)</f>
        <v/>
      </c>
      <c r="AF206" s="188" t="str" cm="1">
        <f t="array" ref="AF206">Common_InputFunctions.Utility_DisplayArrayInTable(Fertiliser_SourceData.Fertiliser_Products_Data4(),FertiliserProducts[[#Headers],[Company]], 91)</f>
        <v/>
      </c>
      <c r="AG206" s="188" t="str" cm="1">
        <f t="array" ref="AG206">Common_InputFunctions.Utility_DisplayArrayInTable(Fertiliser_SourceData.Fertiliser_Products_Data4(),FertiliserProducts[[#Headers],[Company]], 91)</f>
        <v/>
      </c>
      <c r="AH206" s="188" t="str" cm="1">
        <f t="array" ref="AH206">Common_InputFunctions.Utility_DisplayArrayInTable(Fertiliser_SourceData.Fertiliser_Products_Data4(),FertiliserProducts[[#Headers],[Company]], 91)</f>
        <v/>
      </c>
    </row>
    <row r="207" spans="4:34" x14ac:dyDescent="0.25">
      <c r="D207" s="188" t="str" cm="1">
        <f t="array" ref="D207">Common_InputFunctions.Utility_DisplayArrayInTable(Fertiliser_SourceData.Fertiliser_Products_Data4(),FertiliserProducts[[#Headers],[Company]], 91)</f>
        <v>Wengfu Australia</v>
      </c>
      <c r="E207" s="188" t="str" cm="1">
        <f t="array" ref="E207">Common_InputFunctions.Utility_DisplayArrayInTable(Fertiliser_SourceData.Fertiliser_Products_Data4(),FertiliserProducts[[#Headers],[Company]], 91)</f>
        <v>Wengfu 9-20-0-10 PrimeZinc</v>
      </c>
      <c r="F207" s="188" t="str" cm="1">
        <f t="array" ref="F207">Common_InputFunctions.Utility_DisplayArrayInTable(Fertiliser_SourceData.Fertiliser_Products_Data4(),FertiliserProducts[[#Headers],[Company]], 91)</f>
        <v>kg</v>
      </c>
      <c r="G207" s="188" cm="1">
        <f t="array" ref="G207">Common_InputFunctions.Utility_DisplayArrayInTable(Fertiliser_SourceData.Fertiliser_Products_Data4(),FertiliserProducts[[#Headers],[Company]], 91)</f>
        <v>1</v>
      </c>
      <c r="H207" s="188" t="str" cm="1">
        <f t="array" ref="H207">Common_InputFunctions.Utility_DisplayArrayInTable(Fertiliser_SourceData.Fertiliser_Products_Data4(),FertiliserProducts[[#Headers],[Company]], 91)</f>
        <v/>
      </c>
      <c r="I207" s="188" t="str" cm="1">
        <f t="array" ref="I207">Common_InputFunctions.Utility_DisplayArrayInTable(Fertiliser_SourceData.Fertiliser_Products_Data4(),FertiliserProducts[[#Headers],[Company]], 91)</f>
        <v/>
      </c>
      <c r="J207" s="188" t="str" cm="1">
        <f t="array" ref="J207">Common_InputFunctions.Utility_DisplayArrayInTable(Fertiliser_SourceData.Fertiliser_Products_Data4(),FertiliserProducts[[#Headers],[Company]], 91)</f>
        <v/>
      </c>
      <c r="K207" s="188" cm="1">
        <f t="array" ref="K207">Common_InputFunctions.Utility_DisplayArrayInTable(Fertiliser_SourceData.Fertiliser_Products_Data4(),FertiliserProducts[[#Headers],[Company]], 91)</f>
        <v>9</v>
      </c>
      <c r="L207" s="188" cm="1">
        <f t="array" ref="L207">Common_InputFunctions.Utility_DisplayArrayInTable(Fertiliser_SourceData.Fertiliser_Products_Data4(),FertiliserProducts[[#Headers],[Company]], 91)</f>
        <v>19.8</v>
      </c>
      <c r="M207" s="188" cm="1">
        <f t="array" ref="M207">Common_InputFunctions.Utility_DisplayArrayInTable(Fertiliser_SourceData.Fertiliser_Products_Data4(),FertiliserProducts[[#Headers],[Company]], 91)</f>
        <v>0</v>
      </c>
      <c r="N207" s="188" cm="1">
        <f t="array" ref="N207">Common_InputFunctions.Utility_DisplayArrayInTable(Fertiliser_SourceData.Fertiliser_Products_Data4(),FertiliserProducts[[#Headers],[Company]], 91)</f>
        <v>10.4</v>
      </c>
      <c r="O207" s="188" t="str" cm="1">
        <f t="array" ref="O207">Common_InputFunctions.Utility_DisplayArrayInTable(Fertiliser_SourceData.Fertiliser_Products_Data4(),FertiliserProducts[[#Headers],[Company]], 91)</f>
        <v>Nitrogen - Generic</v>
      </c>
      <c r="P207" s="188" cm="1">
        <f t="array" ref="P207">Common_InputFunctions.Utility_DisplayArrayInTable(Fertiliser_SourceData.Fertiliser_Products_Data4(),FertiliserProducts[[#Headers],[Company]], 91)</f>
        <v>0.09</v>
      </c>
      <c r="Q207" s="188" t="str" cm="1">
        <f t="array" ref="Q207">Common_InputFunctions.Utility_DisplayArrayInTable(Fertiliser_SourceData.Fertiliser_Products_Data4(),FertiliserProducts[[#Headers],[Company]], 91)</f>
        <v>Phosphorus - Generic</v>
      </c>
      <c r="R207" s="188" cm="1">
        <f t="array" ref="R207">Common_InputFunctions.Utility_DisplayArrayInTable(Fertiliser_SourceData.Fertiliser_Products_Data4(),FertiliserProducts[[#Headers],[Company]], 91)</f>
        <v>0.19800000000000001</v>
      </c>
      <c r="S207" s="188" t="str" cm="1">
        <f t="array" ref="S207">Common_InputFunctions.Utility_DisplayArrayInTable(Fertiliser_SourceData.Fertiliser_Products_Data4(),FertiliserProducts[[#Headers],[Company]], 91)</f>
        <v>Sulfur - Generic</v>
      </c>
      <c r="T207" s="188" cm="1">
        <f t="array" ref="T207">Common_InputFunctions.Utility_DisplayArrayInTable(Fertiliser_SourceData.Fertiliser_Products_Data4(),FertiliserProducts[[#Headers],[Company]], 91)</f>
        <v>0.104</v>
      </c>
      <c r="U207" s="188" t="str" cm="1">
        <f t="array" ref="U207">Common_InputFunctions.Utility_DisplayArrayInTable(Fertiliser_SourceData.Fertiliser_Products_Data4(),FertiliserProducts[[#Headers],[Company]], 91)</f>
        <v>Zinc</v>
      </c>
      <c r="V207" s="188" cm="1">
        <f t="array" ref="V207">Common_InputFunctions.Utility_DisplayArrayInTable(Fertiliser_SourceData.Fertiliser_Products_Data4(),FertiliserProducts[[#Headers],[Company]], 91)</f>
        <v>8.9999999999999993E-3</v>
      </c>
      <c r="W207" s="188" t="str" cm="1">
        <f t="array" ref="W207">Common_InputFunctions.Utility_DisplayArrayInTable(Fertiliser_SourceData.Fertiliser_Products_Data4(),FertiliserProducts[[#Headers],[Company]], 91)</f>
        <v/>
      </c>
      <c r="X207" s="188" t="str" cm="1">
        <f t="array" ref="X207">Common_InputFunctions.Utility_DisplayArrayInTable(Fertiliser_SourceData.Fertiliser_Products_Data4(),FertiliserProducts[[#Headers],[Company]], 91)</f>
        <v/>
      </c>
      <c r="Y207" s="188" t="str" cm="1">
        <f t="array" ref="Y207">Common_InputFunctions.Utility_DisplayArrayInTable(Fertiliser_SourceData.Fertiliser_Products_Data4(),FertiliserProducts[[#Headers],[Company]], 91)</f>
        <v/>
      </c>
      <c r="Z207" s="188" t="str" cm="1">
        <f t="array" ref="Z207">Common_InputFunctions.Utility_DisplayArrayInTable(Fertiliser_SourceData.Fertiliser_Products_Data4(),FertiliserProducts[[#Headers],[Company]], 91)</f>
        <v/>
      </c>
      <c r="AA207" s="188" t="str" cm="1">
        <f t="array" ref="AA207">Common_InputFunctions.Utility_DisplayArrayInTable(Fertiliser_SourceData.Fertiliser_Products_Data4(),FertiliserProducts[[#Headers],[Company]], 91)</f>
        <v/>
      </c>
      <c r="AB207" s="188" t="str" cm="1">
        <f t="array" ref="AB207">Common_InputFunctions.Utility_DisplayArrayInTable(Fertiliser_SourceData.Fertiliser_Products_Data4(),FertiliserProducts[[#Headers],[Company]], 91)</f>
        <v/>
      </c>
      <c r="AC207" s="188" t="str" cm="1">
        <f t="array" ref="AC207">Common_InputFunctions.Utility_DisplayArrayInTable(Fertiliser_SourceData.Fertiliser_Products_Data4(),FertiliserProducts[[#Headers],[Company]], 91)</f>
        <v/>
      </c>
      <c r="AD207" s="188" t="str" cm="1">
        <f t="array" ref="AD207">Common_InputFunctions.Utility_DisplayArrayInTable(Fertiliser_SourceData.Fertiliser_Products_Data4(),FertiliserProducts[[#Headers],[Company]], 91)</f>
        <v/>
      </c>
      <c r="AE207" s="188" t="str" cm="1">
        <f t="array" ref="AE207">Common_InputFunctions.Utility_DisplayArrayInTable(Fertiliser_SourceData.Fertiliser_Products_Data4(),FertiliserProducts[[#Headers],[Company]], 91)</f>
        <v/>
      </c>
      <c r="AF207" s="188" t="str" cm="1">
        <f t="array" ref="AF207">Common_InputFunctions.Utility_DisplayArrayInTable(Fertiliser_SourceData.Fertiliser_Products_Data4(),FertiliserProducts[[#Headers],[Company]], 91)</f>
        <v/>
      </c>
      <c r="AG207" s="188" t="str" cm="1">
        <f t="array" ref="AG207">Common_InputFunctions.Utility_DisplayArrayInTable(Fertiliser_SourceData.Fertiliser_Products_Data4(),FertiliserProducts[[#Headers],[Company]], 91)</f>
        <v/>
      </c>
      <c r="AH207" s="188" t="str" cm="1">
        <f t="array" ref="AH207">Common_InputFunctions.Utility_DisplayArrayInTable(Fertiliser_SourceData.Fertiliser_Products_Data4(),FertiliserProducts[[#Headers],[Company]], 91)</f>
        <v/>
      </c>
    </row>
    <row r="208" spans="4:34" x14ac:dyDescent="0.25">
      <c r="D208" s="188" t="str" cm="1">
        <f t="array" ref="D208">Common_InputFunctions.Utility_DisplayArrayInTable(Fertiliser_SourceData.Fertiliser_Products_Data4(),FertiliserProducts[[#Headers],[Company]], 91)</f>
        <v>Wengfu Australia</v>
      </c>
      <c r="E208" s="188" t="str" cm="1">
        <f t="array" ref="E208">Common_InputFunctions.Utility_DisplayArrayInTable(Fertiliser_SourceData.Fertiliser_Products_Data4(),FertiliserProducts[[#Headers],[Company]], 91)</f>
        <v>Wengfu 12-18-0-6 PrimeZinc</v>
      </c>
      <c r="F208" s="188" t="str" cm="1">
        <f t="array" ref="F208">Common_InputFunctions.Utility_DisplayArrayInTable(Fertiliser_SourceData.Fertiliser_Products_Data4(),FertiliserProducts[[#Headers],[Company]], 91)</f>
        <v>kg</v>
      </c>
      <c r="G208" s="188" cm="1">
        <f t="array" ref="G208">Common_InputFunctions.Utility_DisplayArrayInTable(Fertiliser_SourceData.Fertiliser_Products_Data4(),FertiliserProducts[[#Headers],[Company]], 91)</f>
        <v>1</v>
      </c>
      <c r="H208" s="188" t="str" cm="1">
        <f t="array" ref="H208">Common_InputFunctions.Utility_DisplayArrayInTable(Fertiliser_SourceData.Fertiliser_Products_Data4(),FertiliserProducts[[#Headers],[Company]], 91)</f>
        <v/>
      </c>
      <c r="I208" s="188" t="str" cm="1">
        <f t="array" ref="I208">Common_InputFunctions.Utility_DisplayArrayInTable(Fertiliser_SourceData.Fertiliser_Products_Data4(),FertiliserProducts[[#Headers],[Company]], 91)</f>
        <v/>
      </c>
      <c r="J208" s="188" t="str" cm="1">
        <f t="array" ref="J208">Common_InputFunctions.Utility_DisplayArrayInTable(Fertiliser_SourceData.Fertiliser_Products_Data4(),FertiliserProducts[[#Headers],[Company]], 91)</f>
        <v/>
      </c>
      <c r="K208" s="188" cm="1">
        <f t="array" ref="K208">Common_InputFunctions.Utility_DisplayArrayInTable(Fertiliser_SourceData.Fertiliser_Products_Data4(),FertiliserProducts[[#Headers],[Company]], 91)</f>
        <v>11.9</v>
      </c>
      <c r="L208" s="188" cm="1">
        <f t="array" ref="L208">Common_InputFunctions.Utility_DisplayArrayInTable(Fertiliser_SourceData.Fertiliser_Products_Data4(),FertiliserProducts[[#Headers],[Company]], 91)</f>
        <v>17.600000000000001</v>
      </c>
      <c r="M208" s="188" cm="1">
        <f t="array" ref="M208">Common_InputFunctions.Utility_DisplayArrayInTable(Fertiliser_SourceData.Fertiliser_Products_Data4(),FertiliserProducts[[#Headers],[Company]], 91)</f>
        <v>0</v>
      </c>
      <c r="N208" s="188" cm="1">
        <f t="array" ref="N208">Common_InputFunctions.Utility_DisplayArrayInTable(Fertiliser_SourceData.Fertiliser_Products_Data4(),FertiliserProducts[[#Headers],[Company]], 91)</f>
        <v>5.9</v>
      </c>
      <c r="O208" s="188" t="str" cm="1">
        <f t="array" ref="O208">Common_InputFunctions.Utility_DisplayArrayInTable(Fertiliser_SourceData.Fertiliser_Products_Data4(),FertiliserProducts[[#Headers],[Company]], 91)</f>
        <v>Nitrogen - Generic</v>
      </c>
      <c r="P208" s="188" cm="1">
        <f t="array" ref="P208">Common_InputFunctions.Utility_DisplayArrayInTable(Fertiliser_SourceData.Fertiliser_Products_Data4(),FertiliserProducts[[#Headers],[Company]], 91)</f>
        <v>0.11899999999999999</v>
      </c>
      <c r="Q208" s="188" t="str" cm="1">
        <f t="array" ref="Q208">Common_InputFunctions.Utility_DisplayArrayInTable(Fertiliser_SourceData.Fertiliser_Products_Data4(),FertiliserProducts[[#Headers],[Company]], 91)</f>
        <v>Phosphorus - Generic</v>
      </c>
      <c r="R208" s="188" cm="1">
        <f t="array" ref="R208">Common_InputFunctions.Utility_DisplayArrayInTable(Fertiliser_SourceData.Fertiliser_Products_Data4(),FertiliserProducts[[#Headers],[Company]], 91)</f>
        <v>0.17599999999999999</v>
      </c>
      <c r="S208" s="188" t="str" cm="1">
        <f t="array" ref="S208">Common_InputFunctions.Utility_DisplayArrayInTable(Fertiliser_SourceData.Fertiliser_Products_Data4(),FertiliserProducts[[#Headers],[Company]], 91)</f>
        <v>Sulfur - Generic</v>
      </c>
      <c r="T208" s="188" cm="1">
        <f t="array" ref="T208">Common_InputFunctions.Utility_DisplayArrayInTable(Fertiliser_SourceData.Fertiliser_Products_Data4(),FertiliserProducts[[#Headers],[Company]], 91)</f>
        <v>5.8999999999999997E-2</v>
      </c>
      <c r="U208" s="188" t="str" cm="1">
        <f t="array" ref="U208">Common_InputFunctions.Utility_DisplayArrayInTable(Fertiliser_SourceData.Fertiliser_Products_Data4(),FertiliserProducts[[#Headers],[Company]], 91)</f>
        <v>Zinc</v>
      </c>
      <c r="V208" s="188" cm="1">
        <f t="array" ref="V208">Common_InputFunctions.Utility_DisplayArrayInTable(Fertiliser_SourceData.Fertiliser_Products_Data4(),FertiliserProducts[[#Headers],[Company]], 91)</f>
        <v>8.0000000000000002E-3</v>
      </c>
      <c r="W208" s="188" t="str" cm="1">
        <f t="array" ref="W208">Common_InputFunctions.Utility_DisplayArrayInTable(Fertiliser_SourceData.Fertiliser_Products_Data4(),FertiliserProducts[[#Headers],[Company]], 91)</f>
        <v/>
      </c>
      <c r="X208" s="188" t="str" cm="1">
        <f t="array" ref="X208">Common_InputFunctions.Utility_DisplayArrayInTable(Fertiliser_SourceData.Fertiliser_Products_Data4(),FertiliserProducts[[#Headers],[Company]], 91)</f>
        <v/>
      </c>
      <c r="Y208" s="188" t="str" cm="1">
        <f t="array" ref="Y208">Common_InputFunctions.Utility_DisplayArrayInTable(Fertiliser_SourceData.Fertiliser_Products_Data4(),FertiliserProducts[[#Headers],[Company]], 91)</f>
        <v/>
      </c>
      <c r="Z208" s="188" t="str" cm="1">
        <f t="array" ref="Z208">Common_InputFunctions.Utility_DisplayArrayInTable(Fertiliser_SourceData.Fertiliser_Products_Data4(),FertiliserProducts[[#Headers],[Company]], 91)</f>
        <v/>
      </c>
      <c r="AA208" s="188" t="str" cm="1">
        <f t="array" ref="AA208">Common_InputFunctions.Utility_DisplayArrayInTable(Fertiliser_SourceData.Fertiliser_Products_Data4(),FertiliserProducts[[#Headers],[Company]], 91)</f>
        <v/>
      </c>
      <c r="AB208" s="188" t="str" cm="1">
        <f t="array" ref="AB208">Common_InputFunctions.Utility_DisplayArrayInTable(Fertiliser_SourceData.Fertiliser_Products_Data4(),FertiliserProducts[[#Headers],[Company]], 91)</f>
        <v/>
      </c>
      <c r="AC208" s="188" t="str" cm="1">
        <f t="array" ref="AC208">Common_InputFunctions.Utility_DisplayArrayInTable(Fertiliser_SourceData.Fertiliser_Products_Data4(),FertiliserProducts[[#Headers],[Company]], 91)</f>
        <v/>
      </c>
      <c r="AD208" s="188" t="str" cm="1">
        <f t="array" ref="AD208">Common_InputFunctions.Utility_DisplayArrayInTable(Fertiliser_SourceData.Fertiliser_Products_Data4(),FertiliserProducts[[#Headers],[Company]], 91)</f>
        <v/>
      </c>
      <c r="AE208" s="188" t="str" cm="1">
        <f t="array" ref="AE208">Common_InputFunctions.Utility_DisplayArrayInTable(Fertiliser_SourceData.Fertiliser_Products_Data4(),FertiliserProducts[[#Headers],[Company]], 91)</f>
        <v/>
      </c>
      <c r="AF208" s="188" t="str" cm="1">
        <f t="array" ref="AF208">Common_InputFunctions.Utility_DisplayArrayInTable(Fertiliser_SourceData.Fertiliser_Products_Data4(),FertiliserProducts[[#Headers],[Company]], 91)</f>
        <v/>
      </c>
      <c r="AG208" s="188" t="str" cm="1">
        <f t="array" ref="AG208">Common_InputFunctions.Utility_DisplayArrayInTable(Fertiliser_SourceData.Fertiliser_Products_Data4(),FertiliserProducts[[#Headers],[Company]], 91)</f>
        <v/>
      </c>
      <c r="AH208" s="188" t="str" cm="1">
        <f t="array" ref="AH208">Common_InputFunctions.Utility_DisplayArrayInTable(Fertiliser_SourceData.Fertiliser_Products_Data4(),FertiliserProducts[[#Headers],[Company]], 91)</f>
        <v/>
      </c>
    </row>
    <row r="209" spans="4:34" x14ac:dyDescent="0.25">
      <c r="D209" s="188" t="str" cm="1">
        <f t="array" ref="D209">Common_InputFunctions.Utility_DisplayArrayInTable(Fertiliser_SourceData.Fertiliser_Products_Data4(),FertiliserProducts[[#Headers],[Company]], 91)</f>
        <v>Wengfu Australia</v>
      </c>
      <c r="E209" s="188" t="str" cm="1">
        <f t="array" ref="E209">Common_InputFunctions.Utility_DisplayArrayInTable(Fertiliser_SourceData.Fertiliser_Products_Data4(),FertiliserProducts[[#Headers],[Company]], 91)</f>
        <v>Wengfu 14-13-0-11 PrimeZinc</v>
      </c>
      <c r="F209" s="188" t="str" cm="1">
        <f t="array" ref="F209">Common_InputFunctions.Utility_DisplayArrayInTable(Fertiliser_SourceData.Fertiliser_Products_Data4(),FertiliserProducts[[#Headers],[Company]], 91)</f>
        <v>kg</v>
      </c>
      <c r="G209" s="188" cm="1">
        <f t="array" ref="G209">Common_InputFunctions.Utility_DisplayArrayInTable(Fertiliser_SourceData.Fertiliser_Products_Data4(),FertiliserProducts[[#Headers],[Company]], 91)</f>
        <v>1</v>
      </c>
      <c r="H209" s="188" t="str" cm="1">
        <f t="array" ref="H209">Common_InputFunctions.Utility_DisplayArrayInTable(Fertiliser_SourceData.Fertiliser_Products_Data4(),FertiliserProducts[[#Headers],[Company]], 91)</f>
        <v/>
      </c>
      <c r="I209" s="188" t="str" cm="1">
        <f t="array" ref="I209">Common_InputFunctions.Utility_DisplayArrayInTable(Fertiliser_SourceData.Fertiliser_Products_Data4(),FertiliserProducts[[#Headers],[Company]], 91)</f>
        <v/>
      </c>
      <c r="J209" s="188" t="str" cm="1">
        <f t="array" ref="J209">Common_InputFunctions.Utility_DisplayArrayInTable(Fertiliser_SourceData.Fertiliser_Products_Data4(),FertiliserProducts[[#Headers],[Company]], 91)</f>
        <v/>
      </c>
      <c r="K209" s="188" cm="1">
        <f t="array" ref="K209">Common_InputFunctions.Utility_DisplayArrayInTable(Fertiliser_SourceData.Fertiliser_Products_Data4(),FertiliserProducts[[#Headers],[Company]], 91)</f>
        <v>14.1</v>
      </c>
      <c r="L209" s="188" cm="1">
        <f t="array" ref="L209">Common_InputFunctions.Utility_DisplayArrayInTable(Fertiliser_SourceData.Fertiliser_Products_Data4(),FertiliserProducts[[#Headers],[Company]], 91)</f>
        <v>12.8</v>
      </c>
      <c r="M209" s="188" cm="1">
        <f t="array" ref="M209">Common_InputFunctions.Utility_DisplayArrayInTable(Fertiliser_SourceData.Fertiliser_Products_Data4(),FertiliserProducts[[#Headers],[Company]], 91)</f>
        <v>0</v>
      </c>
      <c r="N209" s="188" cm="1">
        <f t="array" ref="N209">Common_InputFunctions.Utility_DisplayArrayInTable(Fertiliser_SourceData.Fertiliser_Products_Data4(),FertiliserProducts[[#Headers],[Company]], 91)</f>
        <v>10.7</v>
      </c>
      <c r="O209" s="188" t="str" cm="1">
        <f t="array" ref="O209">Common_InputFunctions.Utility_DisplayArrayInTable(Fertiliser_SourceData.Fertiliser_Products_Data4(),FertiliserProducts[[#Headers],[Company]], 91)</f>
        <v>Nitrogen - Generic</v>
      </c>
      <c r="P209" s="188" cm="1">
        <f t="array" ref="P209">Common_InputFunctions.Utility_DisplayArrayInTable(Fertiliser_SourceData.Fertiliser_Products_Data4(),FertiliserProducts[[#Headers],[Company]], 91)</f>
        <v>0.14099999999999999</v>
      </c>
      <c r="Q209" s="188" t="str" cm="1">
        <f t="array" ref="Q209">Common_InputFunctions.Utility_DisplayArrayInTable(Fertiliser_SourceData.Fertiliser_Products_Data4(),FertiliserProducts[[#Headers],[Company]], 91)</f>
        <v>Phosphorus - Generic</v>
      </c>
      <c r="R209" s="188" cm="1">
        <f t="array" ref="R209">Common_InputFunctions.Utility_DisplayArrayInTable(Fertiliser_SourceData.Fertiliser_Products_Data4(),FertiliserProducts[[#Headers],[Company]], 91)</f>
        <v>0.128</v>
      </c>
      <c r="S209" s="188" t="str" cm="1">
        <f t="array" ref="S209">Common_InputFunctions.Utility_DisplayArrayInTable(Fertiliser_SourceData.Fertiliser_Products_Data4(),FertiliserProducts[[#Headers],[Company]], 91)</f>
        <v>Sulfur - Generic</v>
      </c>
      <c r="T209" s="188" cm="1">
        <f t="array" ref="T209">Common_InputFunctions.Utility_DisplayArrayInTable(Fertiliser_SourceData.Fertiliser_Products_Data4(),FertiliserProducts[[#Headers],[Company]], 91)</f>
        <v>0.107</v>
      </c>
      <c r="U209" s="188" t="str" cm="1">
        <f t="array" ref="U209">Common_InputFunctions.Utility_DisplayArrayInTable(Fertiliser_SourceData.Fertiliser_Products_Data4(),FertiliserProducts[[#Headers],[Company]], 91)</f>
        <v>Zinc</v>
      </c>
      <c r="V209" s="188" cm="1">
        <f t="array" ref="V209">Common_InputFunctions.Utility_DisplayArrayInTable(Fertiliser_SourceData.Fertiliser_Products_Data4(),FertiliserProducts[[#Headers],[Company]], 91)</f>
        <v>6.0000000000000001E-3</v>
      </c>
      <c r="W209" s="188" t="str" cm="1">
        <f t="array" ref="W209">Common_InputFunctions.Utility_DisplayArrayInTable(Fertiliser_SourceData.Fertiliser_Products_Data4(),FertiliserProducts[[#Headers],[Company]], 91)</f>
        <v/>
      </c>
      <c r="X209" s="188" t="str" cm="1">
        <f t="array" ref="X209">Common_InputFunctions.Utility_DisplayArrayInTable(Fertiliser_SourceData.Fertiliser_Products_Data4(),FertiliserProducts[[#Headers],[Company]], 91)</f>
        <v/>
      </c>
      <c r="Y209" s="188" t="str" cm="1">
        <f t="array" ref="Y209">Common_InputFunctions.Utility_DisplayArrayInTable(Fertiliser_SourceData.Fertiliser_Products_Data4(),FertiliserProducts[[#Headers],[Company]], 91)</f>
        <v/>
      </c>
      <c r="Z209" s="188" t="str" cm="1">
        <f t="array" ref="Z209">Common_InputFunctions.Utility_DisplayArrayInTable(Fertiliser_SourceData.Fertiliser_Products_Data4(),FertiliserProducts[[#Headers],[Company]], 91)</f>
        <v/>
      </c>
      <c r="AA209" s="188" t="str" cm="1">
        <f t="array" ref="AA209">Common_InputFunctions.Utility_DisplayArrayInTable(Fertiliser_SourceData.Fertiliser_Products_Data4(),FertiliserProducts[[#Headers],[Company]], 91)</f>
        <v/>
      </c>
      <c r="AB209" s="188" t="str" cm="1">
        <f t="array" ref="AB209">Common_InputFunctions.Utility_DisplayArrayInTable(Fertiliser_SourceData.Fertiliser_Products_Data4(),FertiliserProducts[[#Headers],[Company]], 91)</f>
        <v/>
      </c>
      <c r="AC209" s="188" t="str" cm="1">
        <f t="array" ref="AC209">Common_InputFunctions.Utility_DisplayArrayInTable(Fertiliser_SourceData.Fertiliser_Products_Data4(),FertiliserProducts[[#Headers],[Company]], 91)</f>
        <v/>
      </c>
      <c r="AD209" s="188" t="str" cm="1">
        <f t="array" ref="AD209">Common_InputFunctions.Utility_DisplayArrayInTable(Fertiliser_SourceData.Fertiliser_Products_Data4(),FertiliserProducts[[#Headers],[Company]], 91)</f>
        <v/>
      </c>
      <c r="AE209" s="188" t="str" cm="1">
        <f t="array" ref="AE209">Common_InputFunctions.Utility_DisplayArrayInTable(Fertiliser_SourceData.Fertiliser_Products_Data4(),FertiliserProducts[[#Headers],[Company]], 91)</f>
        <v/>
      </c>
      <c r="AF209" s="188" t="str" cm="1">
        <f t="array" ref="AF209">Common_InputFunctions.Utility_DisplayArrayInTable(Fertiliser_SourceData.Fertiliser_Products_Data4(),FertiliserProducts[[#Headers],[Company]], 91)</f>
        <v/>
      </c>
      <c r="AG209" s="188" t="str" cm="1">
        <f t="array" ref="AG209">Common_InputFunctions.Utility_DisplayArrayInTable(Fertiliser_SourceData.Fertiliser_Products_Data4(),FertiliserProducts[[#Headers],[Company]], 91)</f>
        <v/>
      </c>
      <c r="AH209" s="188" t="str" cm="1">
        <f t="array" ref="AH209">Common_InputFunctions.Utility_DisplayArrayInTable(Fertiliser_SourceData.Fertiliser_Products_Data4(),FertiliserProducts[[#Headers],[Company]], 91)</f>
        <v/>
      </c>
    </row>
    <row r="210" spans="4:34" x14ac:dyDescent="0.25">
      <c r="D210" s="188" t="str" cm="1">
        <f t="array" ref="D210">Common_InputFunctions.Utility_DisplayArrayInTable(Fertiliser_SourceData.Fertiliser_Products_Data5(),FertiliserProducts[[#Headers],[Company]], 121)</f>
        <v>Wengfu Australia</v>
      </c>
      <c r="E210" s="188" t="str" cm="1">
        <f t="array" ref="E210">Common_InputFunctions.Utility_DisplayArrayInTable(Fertiliser_SourceData.Fertiliser_Products_Data5(),FertiliserProducts[[#Headers],[Company]], 121)</f>
        <v>Wengfu 19-13-0-7 PrimeZinc</v>
      </c>
      <c r="F210" s="188" t="str" cm="1">
        <f t="array" ref="F210">Common_InputFunctions.Utility_DisplayArrayInTable(Fertiliser_SourceData.Fertiliser_Products_Data5(),FertiliserProducts[[#Headers],[Company]], 121)</f>
        <v>kg</v>
      </c>
      <c r="G210" s="188" cm="1">
        <f t="array" ref="G210">Common_InputFunctions.Utility_DisplayArrayInTable(Fertiliser_SourceData.Fertiliser_Products_Data5(),FertiliserProducts[[#Headers],[Company]], 121)</f>
        <v>1</v>
      </c>
      <c r="H210" s="188" t="str" cm="1">
        <f t="array" ref="H210">Common_InputFunctions.Utility_DisplayArrayInTable(Fertiliser_SourceData.Fertiliser_Products_Data5(),FertiliserProducts[[#Headers],[Company]], 121)</f>
        <v/>
      </c>
      <c r="I210" s="188" t="str" cm="1">
        <f t="array" ref="I210">Common_InputFunctions.Utility_DisplayArrayInTable(Fertiliser_SourceData.Fertiliser_Products_Data5(),FertiliserProducts[[#Headers],[Company]], 121)</f>
        <v/>
      </c>
      <c r="J210" s="188" t="str" cm="1">
        <f t="array" ref="J210">Common_InputFunctions.Utility_DisplayArrayInTable(Fertiliser_SourceData.Fertiliser_Products_Data5(),FertiliserProducts[[#Headers],[Company]], 121)</f>
        <v/>
      </c>
      <c r="K210" s="188" cm="1">
        <f t="array" ref="K210">Common_InputFunctions.Utility_DisplayArrayInTable(Fertiliser_SourceData.Fertiliser_Products_Data5(),FertiliserProducts[[#Headers],[Company]], 121)</f>
        <v>18.600000000000001</v>
      </c>
      <c r="L210" s="188" cm="1">
        <f t="array" ref="L210">Common_InputFunctions.Utility_DisplayArrayInTable(Fertiliser_SourceData.Fertiliser_Products_Data5(),FertiliserProducts[[#Headers],[Company]], 121)</f>
        <v>12.7</v>
      </c>
      <c r="M210" s="188" cm="1">
        <f t="array" ref="M210">Common_InputFunctions.Utility_DisplayArrayInTable(Fertiliser_SourceData.Fertiliser_Products_Data5(),FertiliserProducts[[#Headers],[Company]], 121)</f>
        <v>0</v>
      </c>
      <c r="N210" s="188" cm="1">
        <f t="array" ref="N210">Common_InputFunctions.Utility_DisplayArrayInTable(Fertiliser_SourceData.Fertiliser_Products_Data5(),FertiliserProducts[[#Headers],[Company]], 121)</f>
        <v>6.8</v>
      </c>
      <c r="O210" s="188" t="str" cm="1">
        <f t="array" ref="O210">Common_InputFunctions.Utility_DisplayArrayInTable(Fertiliser_SourceData.Fertiliser_Products_Data5(),FertiliserProducts[[#Headers],[Company]], 121)</f>
        <v>Nitrogen - Generic</v>
      </c>
      <c r="P210" s="188" cm="1">
        <f t="array" ref="P210">Common_InputFunctions.Utility_DisplayArrayInTable(Fertiliser_SourceData.Fertiliser_Products_Data5(),FertiliserProducts[[#Headers],[Company]], 121)</f>
        <v>0.186</v>
      </c>
      <c r="Q210" s="188" t="str" cm="1">
        <f t="array" ref="Q210">Common_InputFunctions.Utility_DisplayArrayInTable(Fertiliser_SourceData.Fertiliser_Products_Data5(),FertiliserProducts[[#Headers],[Company]], 121)</f>
        <v>Phosphorus - Generic</v>
      </c>
      <c r="R210" s="188" cm="1">
        <f t="array" ref="R210">Common_InputFunctions.Utility_DisplayArrayInTable(Fertiliser_SourceData.Fertiliser_Products_Data5(),FertiliserProducts[[#Headers],[Company]], 121)</f>
        <v>0.127</v>
      </c>
      <c r="S210" s="188" t="str" cm="1">
        <f t="array" ref="S210">Common_InputFunctions.Utility_DisplayArrayInTable(Fertiliser_SourceData.Fertiliser_Products_Data5(),FertiliserProducts[[#Headers],[Company]], 121)</f>
        <v>Sulfur - Generic</v>
      </c>
      <c r="T210" s="188" cm="1">
        <f t="array" ref="T210">Common_InputFunctions.Utility_DisplayArrayInTable(Fertiliser_SourceData.Fertiliser_Products_Data5(),FertiliserProducts[[#Headers],[Company]], 121)</f>
        <v>6.8000000000000005E-2</v>
      </c>
      <c r="U210" s="188" t="str" cm="1">
        <f t="array" ref="U210">Common_InputFunctions.Utility_DisplayArrayInTable(Fertiliser_SourceData.Fertiliser_Products_Data5(),FertiliserProducts[[#Headers],[Company]], 121)</f>
        <v>Zinc</v>
      </c>
      <c r="V210" s="188" cm="1">
        <f t="array" ref="V210">Common_InputFunctions.Utility_DisplayArrayInTable(Fertiliser_SourceData.Fertiliser_Products_Data5(),FertiliserProducts[[#Headers],[Company]], 121)</f>
        <v>6.0000000000000001E-3</v>
      </c>
      <c r="W210" s="188" t="str" cm="1">
        <f t="array" ref="W210">Common_InputFunctions.Utility_DisplayArrayInTable(Fertiliser_SourceData.Fertiliser_Products_Data5(),FertiliserProducts[[#Headers],[Company]], 121)</f>
        <v/>
      </c>
      <c r="X210" s="188" t="str" cm="1">
        <f t="array" ref="X210">Common_InputFunctions.Utility_DisplayArrayInTable(Fertiliser_SourceData.Fertiliser_Products_Data5(),FertiliserProducts[[#Headers],[Company]], 121)</f>
        <v/>
      </c>
      <c r="Y210" s="188" t="str" cm="1">
        <f t="array" ref="Y210">Common_InputFunctions.Utility_DisplayArrayInTable(Fertiliser_SourceData.Fertiliser_Products_Data5(),FertiliserProducts[[#Headers],[Company]], 121)</f>
        <v/>
      </c>
      <c r="Z210" s="188" t="str" cm="1">
        <f t="array" ref="Z210">Common_InputFunctions.Utility_DisplayArrayInTable(Fertiliser_SourceData.Fertiliser_Products_Data5(),FertiliserProducts[[#Headers],[Company]], 121)</f>
        <v/>
      </c>
      <c r="AA210" s="188" t="str" cm="1">
        <f t="array" ref="AA210">Common_InputFunctions.Utility_DisplayArrayInTable(Fertiliser_SourceData.Fertiliser_Products_Data5(),FertiliserProducts[[#Headers],[Company]], 121)</f>
        <v/>
      </c>
      <c r="AB210" s="188" t="str" cm="1">
        <f t="array" ref="AB210">Common_InputFunctions.Utility_DisplayArrayInTable(Fertiliser_SourceData.Fertiliser_Products_Data5(),FertiliserProducts[[#Headers],[Company]], 121)</f>
        <v/>
      </c>
      <c r="AC210" s="188" t="str" cm="1">
        <f t="array" ref="AC210">Common_InputFunctions.Utility_DisplayArrayInTable(Fertiliser_SourceData.Fertiliser_Products_Data5(),FertiliserProducts[[#Headers],[Company]], 121)</f>
        <v/>
      </c>
      <c r="AD210" s="188" t="str" cm="1">
        <f t="array" ref="AD210">Common_InputFunctions.Utility_DisplayArrayInTable(Fertiliser_SourceData.Fertiliser_Products_Data5(),FertiliserProducts[[#Headers],[Company]], 121)</f>
        <v/>
      </c>
      <c r="AE210" s="188" t="str" cm="1">
        <f t="array" ref="AE210">Common_InputFunctions.Utility_DisplayArrayInTable(Fertiliser_SourceData.Fertiliser_Products_Data5(),FertiliserProducts[[#Headers],[Company]], 121)</f>
        <v/>
      </c>
      <c r="AF210" s="188" t="str" cm="1">
        <f t="array" ref="AF210">Common_InputFunctions.Utility_DisplayArrayInTable(Fertiliser_SourceData.Fertiliser_Products_Data5(),FertiliserProducts[[#Headers],[Company]], 121)</f>
        <v/>
      </c>
      <c r="AG210" s="188" t="str" cm="1">
        <f t="array" ref="AG210">Common_InputFunctions.Utility_DisplayArrayInTable(Fertiliser_SourceData.Fertiliser_Products_Data5(),FertiliserProducts[[#Headers],[Company]], 121)</f>
        <v/>
      </c>
      <c r="AH210" s="188" t="str" cm="1">
        <f t="array" ref="AH210">Common_InputFunctions.Utility_DisplayArrayInTable(Fertiliser_SourceData.Fertiliser_Products_Data5(),FertiliserProducts[[#Headers],[Company]], 121)</f>
        <v/>
      </c>
    </row>
    <row r="211" spans="4:34" x14ac:dyDescent="0.25">
      <c r="D211" s="188" t="str" cm="1">
        <f t="array" ref="D211">Common_InputFunctions.Utility_DisplayArrayInTable(Fertiliser_SourceData.Fertiliser_Products_Data5(),FertiliserProducts[[#Headers],[Company]], 121)</f>
        <v>Wengfu Australia</v>
      </c>
      <c r="E211" s="188" t="str" cm="1">
        <f t="array" ref="E211">Common_InputFunctions.Utility_DisplayArrayInTable(Fertiliser_SourceData.Fertiliser_Products_Data5(),FertiliserProducts[[#Headers],[Company]], 121)</f>
        <v>Wengfu Booster K</v>
      </c>
      <c r="F211" s="188" t="str" cm="1">
        <f t="array" ref="F211">Common_InputFunctions.Utility_DisplayArrayInTable(Fertiliser_SourceData.Fertiliser_Products_Data5(),FertiliserProducts[[#Headers],[Company]], 121)</f>
        <v>kg</v>
      </c>
      <c r="G211" s="188" cm="1">
        <f t="array" ref="G211">Common_InputFunctions.Utility_DisplayArrayInTable(Fertiliser_SourceData.Fertiliser_Products_Data5(),FertiliserProducts[[#Headers],[Company]], 121)</f>
        <v>1</v>
      </c>
      <c r="H211" s="188" t="str" cm="1">
        <f t="array" ref="H211">Common_InputFunctions.Utility_DisplayArrayInTable(Fertiliser_SourceData.Fertiliser_Products_Data5(),FertiliserProducts[[#Headers],[Company]], 121)</f>
        <v/>
      </c>
      <c r="I211" s="188" t="str" cm="1">
        <f t="array" ref="I211">Common_InputFunctions.Utility_DisplayArrayInTable(Fertiliser_SourceData.Fertiliser_Products_Data5(),FertiliserProducts[[#Headers],[Company]], 121)</f>
        <v/>
      </c>
      <c r="J211" s="188" t="str" cm="1">
        <f t="array" ref="J211">Common_InputFunctions.Utility_DisplayArrayInTable(Fertiliser_SourceData.Fertiliser_Products_Data5(),FertiliserProducts[[#Headers],[Company]], 121)</f>
        <v/>
      </c>
      <c r="K211" s="188" cm="1">
        <f t="array" ref="K211">Common_InputFunctions.Utility_DisplayArrayInTable(Fertiliser_SourceData.Fertiliser_Products_Data5(),FertiliserProducts[[#Headers],[Company]], 121)</f>
        <v>32</v>
      </c>
      <c r="L211" s="188" cm="1">
        <f t="array" ref="L211">Common_InputFunctions.Utility_DisplayArrayInTable(Fertiliser_SourceData.Fertiliser_Products_Data5(),FertiliserProducts[[#Headers],[Company]], 121)</f>
        <v>0</v>
      </c>
      <c r="M211" s="188" cm="1">
        <f t="array" ref="M211">Common_InputFunctions.Utility_DisplayArrayInTable(Fertiliser_SourceData.Fertiliser_Products_Data5(),FertiliserProducts[[#Headers],[Company]], 121)</f>
        <v>11</v>
      </c>
      <c r="N211" s="188" cm="1">
        <f t="array" ref="N211">Common_InputFunctions.Utility_DisplayArrayInTable(Fertiliser_SourceData.Fertiliser_Products_Data5(),FertiliserProducts[[#Headers],[Company]], 121)</f>
        <v>3</v>
      </c>
      <c r="O211" s="188" t="str" cm="1">
        <f t="array" ref="O211">Common_InputFunctions.Utility_DisplayArrayInTable(Fertiliser_SourceData.Fertiliser_Products_Data5(),FertiliserProducts[[#Headers],[Company]], 121)</f>
        <v>Nitrogen - Generic</v>
      </c>
      <c r="P211" s="188" cm="1">
        <f t="array" ref="P211">Common_InputFunctions.Utility_DisplayArrayInTable(Fertiliser_SourceData.Fertiliser_Products_Data5(),FertiliserProducts[[#Headers],[Company]], 121)</f>
        <v>0.32</v>
      </c>
      <c r="Q211" s="188" t="str" cm="1">
        <f t="array" ref="Q211">Common_InputFunctions.Utility_DisplayArrayInTable(Fertiliser_SourceData.Fertiliser_Products_Data5(),FertiliserProducts[[#Headers],[Company]], 121)</f>
        <v>Potassium - Generic</v>
      </c>
      <c r="R211" s="188" cm="1">
        <f t="array" ref="R211">Common_InputFunctions.Utility_DisplayArrayInTable(Fertiliser_SourceData.Fertiliser_Products_Data5(),FertiliserProducts[[#Headers],[Company]], 121)</f>
        <v>0.11</v>
      </c>
      <c r="S211" s="188" t="str" cm="1">
        <f t="array" ref="S211">Common_InputFunctions.Utility_DisplayArrayInTable(Fertiliser_SourceData.Fertiliser_Products_Data5(),FertiliserProducts[[#Headers],[Company]], 121)</f>
        <v>Sulfur - Generic</v>
      </c>
      <c r="T211" s="188" cm="1">
        <f t="array" ref="T211">Common_InputFunctions.Utility_DisplayArrayInTable(Fertiliser_SourceData.Fertiliser_Products_Data5(),FertiliserProducts[[#Headers],[Company]], 121)</f>
        <v>0.03</v>
      </c>
      <c r="U211" s="188" t="str" cm="1">
        <f t="array" ref="U211">Common_InputFunctions.Utility_DisplayArrayInTable(Fertiliser_SourceData.Fertiliser_Products_Data5(),FertiliserProducts[[#Headers],[Company]], 121)</f>
        <v/>
      </c>
      <c r="V211" s="188" t="str" cm="1">
        <f t="array" ref="V211">Common_InputFunctions.Utility_DisplayArrayInTable(Fertiliser_SourceData.Fertiliser_Products_Data5(),FertiliserProducts[[#Headers],[Company]], 121)</f>
        <v/>
      </c>
      <c r="W211" s="188" t="str" cm="1">
        <f t="array" ref="W211">Common_InputFunctions.Utility_DisplayArrayInTable(Fertiliser_SourceData.Fertiliser_Products_Data5(),FertiliserProducts[[#Headers],[Company]], 121)</f>
        <v/>
      </c>
      <c r="X211" s="188" t="str" cm="1">
        <f t="array" ref="X211">Common_InputFunctions.Utility_DisplayArrayInTable(Fertiliser_SourceData.Fertiliser_Products_Data5(),FertiliserProducts[[#Headers],[Company]], 121)</f>
        <v/>
      </c>
      <c r="Y211" s="188" t="str" cm="1">
        <f t="array" ref="Y211">Common_InputFunctions.Utility_DisplayArrayInTable(Fertiliser_SourceData.Fertiliser_Products_Data5(),FertiliserProducts[[#Headers],[Company]], 121)</f>
        <v/>
      </c>
      <c r="Z211" s="188" t="str" cm="1">
        <f t="array" ref="Z211">Common_InputFunctions.Utility_DisplayArrayInTable(Fertiliser_SourceData.Fertiliser_Products_Data5(),FertiliserProducts[[#Headers],[Company]], 121)</f>
        <v/>
      </c>
      <c r="AA211" s="188" t="str" cm="1">
        <f t="array" ref="AA211">Common_InputFunctions.Utility_DisplayArrayInTable(Fertiliser_SourceData.Fertiliser_Products_Data5(),FertiliserProducts[[#Headers],[Company]], 121)</f>
        <v/>
      </c>
      <c r="AB211" s="188" t="str" cm="1">
        <f t="array" ref="AB211">Common_InputFunctions.Utility_DisplayArrayInTable(Fertiliser_SourceData.Fertiliser_Products_Data5(),FertiliserProducts[[#Headers],[Company]], 121)</f>
        <v/>
      </c>
      <c r="AC211" s="188" t="str" cm="1">
        <f t="array" ref="AC211">Common_InputFunctions.Utility_DisplayArrayInTable(Fertiliser_SourceData.Fertiliser_Products_Data5(),FertiliserProducts[[#Headers],[Company]], 121)</f>
        <v/>
      </c>
      <c r="AD211" s="188" t="str" cm="1">
        <f t="array" ref="AD211">Common_InputFunctions.Utility_DisplayArrayInTable(Fertiliser_SourceData.Fertiliser_Products_Data5(),FertiliserProducts[[#Headers],[Company]], 121)</f>
        <v/>
      </c>
      <c r="AE211" s="188" t="str" cm="1">
        <f t="array" ref="AE211">Common_InputFunctions.Utility_DisplayArrayInTable(Fertiliser_SourceData.Fertiliser_Products_Data5(),FertiliserProducts[[#Headers],[Company]], 121)</f>
        <v/>
      </c>
      <c r="AF211" s="188" t="str" cm="1">
        <f t="array" ref="AF211">Common_InputFunctions.Utility_DisplayArrayInTable(Fertiliser_SourceData.Fertiliser_Products_Data5(),FertiliserProducts[[#Headers],[Company]], 121)</f>
        <v/>
      </c>
      <c r="AG211" s="188" t="str" cm="1">
        <f t="array" ref="AG211">Common_InputFunctions.Utility_DisplayArrayInTable(Fertiliser_SourceData.Fertiliser_Products_Data5(),FertiliserProducts[[#Headers],[Company]], 121)</f>
        <v/>
      </c>
      <c r="AH211" s="188" t="str" cm="1">
        <f t="array" ref="AH211">Common_InputFunctions.Utility_DisplayArrayInTable(Fertiliser_SourceData.Fertiliser_Products_Data5(),FertiliserProducts[[#Headers],[Company]], 121)</f>
        <v/>
      </c>
    </row>
    <row r="212" spans="4:34" x14ac:dyDescent="0.25">
      <c r="D212" s="188" t="str" cm="1">
        <f t="array" ref="D212">Common_InputFunctions.Utility_DisplayArrayInTable(Fertiliser_SourceData.Fertiliser_Products_Data5(),FertiliserProducts[[#Headers],[Company]], 121)</f>
        <v>Wengfu Australia</v>
      </c>
      <c r="E212" s="188" t="str" cm="1">
        <f t="array" ref="E212">Common_InputFunctions.Utility_DisplayArrayInTable(Fertiliser_SourceData.Fertiliser_Products_Data5(),FertiliserProducts[[#Headers],[Company]], 121)</f>
        <v>Wengfu Booster Rich 1</v>
      </c>
      <c r="F212" s="188" t="str" cm="1">
        <f t="array" ref="F212">Common_InputFunctions.Utility_DisplayArrayInTable(Fertiliser_SourceData.Fertiliser_Products_Data5(),FertiliserProducts[[#Headers],[Company]], 121)</f>
        <v>kg</v>
      </c>
      <c r="G212" s="188" cm="1">
        <f t="array" ref="G212">Common_InputFunctions.Utility_DisplayArrayInTable(Fertiliser_SourceData.Fertiliser_Products_Data5(),FertiliserProducts[[#Headers],[Company]], 121)</f>
        <v>1</v>
      </c>
      <c r="H212" s="188" t="str" cm="1">
        <f t="array" ref="H212">Common_InputFunctions.Utility_DisplayArrayInTable(Fertiliser_SourceData.Fertiliser_Products_Data5(),FertiliserProducts[[#Headers],[Company]], 121)</f>
        <v/>
      </c>
      <c r="I212" s="188" t="str" cm="1">
        <f t="array" ref="I212">Common_InputFunctions.Utility_DisplayArrayInTable(Fertiliser_SourceData.Fertiliser_Products_Data5(),FertiliserProducts[[#Headers],[Company]], 121)</f>
        <v/>
      </c>
      <c r="J212" s="188" t="str" cm="1">
        <f t="array" ref="J212">Common_InputFunctions.Utility_DisplayArrayInTable(Fertiliser_SourceData.Fertiliser_Products_Data5(),FertiliserProducts[[#Headers],[Company]], 121)</f>
        <v/>
      </c>
      <c r="K212" s="188" cm="1">
        <f t="array" ref="K212">Common_InputFunctions.Utility_DisplayArrayInTable(Fertiliser_SourceData.Fertiliser_Products_Data5(),FertiliserProducts[[#Headers],[Company]], 121)</f>
        <v>31</v>
      </c>
      <c r="L212" s="188" cm="1">
        <f t="array" ref="L212">Common_InputFunctions.Utility_DisplayArrayInTable(Fertiliser_SourceData.Fertiliser_Products_Data5(),FertiliserProducts[[#Headers],[Company]], 121)</f>
        <v>6</v>
      </c>
      <c r="M212" s="188" cm="1">
        <f t="array" ref="M212">Common_InputFunctions.Utility_DisplayArrayInTable(Fertiliser_SourceData.Fertiliser_Products_Data5(),FertiliserProducts[[#Headers],[Company]], 121)</f>
        <v>0</v>
      </c>
      <c r="N212" s="188" cm="1">
        <f t="array" ref="N212">Common_InputFunctions.Utility_DisplayArrayInTable(Fertiliser_SourceData.Fertiliser_Products_Data5(),FertiliserProducts[[#Headers],[Company]], 121)</f>
        <v>6</v>
      </c>
      <c r="O212" s="188" t="str" cm="1">
        <f t="array" ref="O212">Common_InputFunctions.Utility_DisplayArrayInTable(Fertiliser_SourceData.Fertiliser_Products_Data5(),FertiliserProducts[[#Headers],[Company]], 121)</f>
        <v>Nitrogen - Generic</v>
      </c>
      <c r="P212" s="188" cm="1">
        <f t="array" ref="P212">Common_InputFunctions.Utility_DisplayArrayInTable(Fertiliser_SourceData.Fertiliser_Products_Data5(),FertiliserProducts[[#Headers],[Company]], 121)</f>
        <v>0.31</v>
      </c>
      <c r="Q212" s="188" t="str" cm="1">
        <f t="array" ref="Q212">Common_InputFunctions.Utility_DisplayArrayInTable(Fertiliser_SourceData.Fertiliser_Products_Data5(),FertiliserProducts[[#Headers],[Company]], 121)</f>
        <v>Phosphorus - Generic</v>
      </c>
      <c r="R212" s="188" cm="1">
        <f t="array" ref="R212">Common_InputFunctions.Utility_DisplayArrayInTable(Fertiliser_SourceData.Fertiliser_Products_Data5(),FertiliserProducts[[#Headers],[Company]], 121)</f>
        <v>0.06</v>
      </c>
      <c r="S212" s="188" t="str" cm="1">
        <f t="array" ref="S212">Common_InputFunctions.Utility_DisplayArrayInTable(Fertiliser_SourceData.Fertiliser_Products_Data5(),FertiliserProducts[[#Headers],[Company]], 121)</f>
        <v>Sulfur - Generic</v>
      </c>
      <c r="T212" s="188" cm="1">
        <f t="array" ref="T212">Common_InputFunctions.Utility_DisplayArrayInTable(Fertiliser_SourceData.Fertiliser_Products_Data5(),FertiliserProducts[[#Headers],[Company]], 121)</f>
        <v>0.06</v>
      </c>
      <c r="U212" s="188" t="str" cm="1">
        <f t="array" ref="U212">Common_InputFunctions.Utility_DisplayArrayInTable(Fertiliser_SourceData.Fertiliser_Products_Data5(),FertiliserProducts[[#Headers],[Company]], 121)</f>
        <v/>
      </c>
      <c r="V212" s="188" t="str" cm="1">
        <f t="array" ref="V212">Common_InputFunctions.Utility_DisplayArrayInTable(Fertiliser_SourceData.Fertiliser_Products_Data5(),FertiliserProducts[[#Headers],[Company]], 121)</f>
        <v/>
      </c>
      <c r="W212" s="188" t="str" cm="1">
        <f t="array" ref="W212">Common_InputFunctions.Utility_DisplayArrayInTable(Fertiliser_SourceData.Fertiliser_Products_Data5(),FertiliserProducts[[#Headers],[Company]], 121)</f>
        <v/>
      </c>
      <c r="X212" s="188" t="str" cm="1">
        <f t="array" ref="X212">Common_InputFunctions.Utility_DisplayArrayInTable(Fertiliser_SourceData.Fertiliser_Products_Data5(),FertiliserProducts[[#Headers],[Company]], 121)</f>
        <v/>
      </c>
      <c r="Y212" s="188" t="str" cm="1">
        <f t="array" ref="Y212">Common_InputFunctions.Utility_DisplayArrayInTable(Fertiliser_SourceData.Fertiliser_Products_Data5(),FertiliserProducts[[#Headers],[Company]], 121)</f>
        <v/>
      </c>
      <c r="Z212" s="188" t="str" cm="1">
        <f t="array" ref="Z212">Common_InputFunctions.Utility_DisplayArrayInTable(Fertiliser_SourceData.Fertiliser_Products_Data5(),FertiliserProducts[[#Headers],[Company]], 121)</f>
        <v/>
      </c>
      <c r="AA212" s="188" t="str" cm="1">
        <f t="array" ref="AA212">Common_InputFunctions.Utility_DisplayArrayInTable(Fertiliser_SourceData.Fertiliser_Products_Data5(),FertiliserProducts[[#Headers],[Company]], 121)</f>
        <v/>
      </c>
      <c r="AB212" s="188" t="str" cm="1">
        <f t="array" ref="AB212">Common_InputFunctions.Utility_DisplayArrayInTable(Fertiliser_SourceData.Fertiliser_Products_Data5(),FertiliserProducts[[#Headers],[Company]], 121)</f>
        <v/>
      </c>
      <c r="AC212" s="188" t="str" cm="1">
        <f t="array" ref="AC212">Common_InputFunctions.Utility_DisplayArrayInTable(Fertiliser_SourceData.Fertiliser_Products_Data5(),FertiliserProducts[[#Headers],[Company]], 121)</f>
        <v/>
      </c>
      <c r="AD212" s="188" t="str" cm="1">
        <f t="array" ref="AD212">Common_InputFunctions.Utility_DisplayArrayInTable(Fertiliser_SourceData.Fertiliser_Products_Data5(),FertiliserProducts[[#Headers],[Company]], 121)</f>
        <v/>
      </c>
      <c r="AE212" s="188" t="str" cm="1">
        <f t="array" ref="AE212">Common_InputFunctions.Utility_DisplayArrayInTable(Fertiliser_SourceData.Fertiliser_Products_Data5(),FertiliserProducts[[#Headers],[Company]], 121)</f>
        <v/>
      </c>
      <c r="AF212" s="188" t="str" cm="1">
        <f t="array" ref="AF212">Common_InputFunctions.Utility_DisplayArrayInTable(Fertiliser_SourceData.Fertiliser_Products_Data5(),FertiliserProducts[[#Headers],[Company]], 121)</f>
        <v/>
      </c>
      <c r="AG212" s="188" t="str" cm="1">
        <f t="array" ref="AG212">Common_InputFunctions.Utility_DisplayArrayInTable(Fertiliser_SourceData.Fertiliser_Products_Data5(),FertiliserProducts[[#Headers],[Company]], 121)</f>
        <v/>
      </c>
      <c r="AH212" s="188" t="str" cm="1">
        <f t="array" ref="AH212">Common_InputFunctions.Utility_DisplayArrayInTable(Fertiliser_SourceData.Fertiliser_Products_Data5(),FertiliserProducts[[#Headers],[Company]], 121)</f>
        <v/>
      </c>
    </row>
    <row r="213" spans="4:34" x14ac:dyDescent="0.25">
      <c r="D213" s="188" t="str" cm="1">
        <f t="array" ref="D213">Common_InputFunctions.Utility_DisplayArrayInTable(Fertiliser_SourceData.Fertiliser_Products_Data5(),FertiliserProducts[[#Headers],[Company]], 121)</f>
        <v>Wengfu Australia</v>
      </c>
      <c r="E213" s="188" t="str" cm="1">
        <f t="array" ref="E213">Common_InputFunctions.Utility_DisplayArrayInTable(Fertiliser_SourceData.Fertiliser_Products_Data5(),FertiliserProducts[[#Headers],[Company]], 121)</f>
        <v>Wengfu Booster Grass DAP</v>
      </c>
      <c r="F213" s="188" t="str" cm="1">
        <f t="array" ref="F213">Common_InputFunctions.Utility_DisplayArrayInTable(Fertiliser_SourceData.Fertiliser_Products_Data5(),FertiliserProducts[[#Headers],[Company]], 121)</f>
        <v>kg</v>
      </c>
      <c r="G213" s="188" cm="1">
        <f t="array" ref="G213">Common_InputFunctions.Utility_DisplayArrayInTable(Fertiliser_SourceData.Fertiliser_Products_Data5(),FertiliserProducts[[#Headers],[Company]], 121)</f>
        <v>1</v>
      </c>
      <c r="H213" s="188" t="str" cm="1">
        <f t="array" ref="H213">Common_InputFunctions.Utility_DisplayArrayInTable(Fertiliser_SourceData.Fertiliser_Products_Data5(),FertiliserProducts[[#Headers],[Company]], 121)</f>
        <v/>
      </c>
      <c r="I213" s="188" t="str" cm="1">
        <f t="array" ref="I213">Common_InputFunctions.Utility_DisplayArrayInTable(Fertiliser_SourceData.Fertiliser_Products_Data5(),FertiliserProducts[[#Headers],[Company]], 121)</f>
        <v/>
      </c>
      <c r="J213" s="188" t="str" cm="1">
        <f t="array" ref="J213">Common_InputFunctions.Utility_DisplayArrayInTable(Fertiliser_SourceData.Fertiliser_Products_Data5(),FertiliserProducts[[#Headers],[Company]], 121)</f>
        <v/>
      </c>
      <c r="K213" s="188" cm="1">
        <f t="array" ref="K213">Common_InputFunctions.Utility_DisplayArrayInTable(Fertiliser_SourceData.Fertiliser_Products_Data5(),FertiliserProducts[[#Headers],[Company]], 121)</f>
        <v>21</v>
      </c>
      <c r="L213" s="188" cm="1">
        <f t="array" ref="L213">Common_InputFunctions.Utility_DisplayArrayInTable(Fertiliser_SourceData.Fertiliser_Products_Data5(),FertiliserProducts[[#Headers],[Company]], 121)</f>
        <v>4</v>
      </c>
      <c r="M213" s="188" cm="1">
        <f t="array" ref="M213">Common_InputFunctions.Utility_DisplayArrayInTable(Fertiliser_SourceData.Fertiliser_Products_Data5(),FertiliserProducts[[#Headers],[Company]], 121)</f>
        <v>8</v>
      </c>
      <c r="N213" s="188" cm="1">
        <f t="array" ref="N213">Common_InputFunctions.Utility_DisplayArrayInTable(Fertiliser_SourceData.Fertiliser_Products_Data5(),FertiliserProducts[[#Headers],[Company]], 121)</f>
        <v>7</v>
      </c>
      <c r="O213" s="188" t="str" cm="1">
        <f t="array" ref="O213">Common_InputFunctions.Utility_DisplayArrayInTable(Fertiliser_SourceData.Fertiliser_Products_Data5(),FertiliserProducts[[#Headers],[Company]], 121)</f>
        <v>Nitrogen - Generic</v>
      </c>
      <c r="P213" s="188" cm="1">
        <f t="array" ref="P213">Common_InputFunctions.Utility_DisplayArrayInTable(Fertiliser_SourceData.Fertiliser_Products_Data5(),FertiliserProducts[[#Headers],[Company]], 121)</f>
        <v>0.21</v>
      </c>
      <c r="Q213" s="188" t="str" cm="1">
        <f t="array" ref="Q213">Common_InputFunctions.Utility_DisplayArrayInTable(Fertiliser_SourceData.Fertiliser_Products_Data5(),FertiliserProducts[[#Headers],[Company]], 121)</f>
        <v>Phosphorus - Generic</v>
      </c>
      <c r="R213" s="188" cm="1">
        <f t="array" ref="R213">Common_InputFunctions.Utility_DisplayArrayInTable(Fertiliser_SourceData.Fertiliser_Products_Data5(),FertiliserProducts[[#Headers],[Company]], 121)</f>
        <v>0.04</v>
      </c>
      <c r="S213" s="188" t="str" cm="1">
        <f t="array" ref="S213">Common_InputFunctions.Utility_DisplayArrayInTable(Fertiliser_SourceData.Fertiliser_Products_Data5(),FertiliserProducts[[#Headers],[Company]], 121)</f>
        <v>Potassium - Generic</v>
      </c>
      <c r="T213" s="188" cm="1">
        <f t="array" ref="T213">Common_InputFunctions.Utility_DisplayArrayInTable(Fertiliser_SourceData.Fertiliser_Products_Data5(),FertiliserProducts[[#Headers],[Company]], 121)</f>
        <v>0.08</v>
      </c>
      <c r="U213" s="188" t="str" cm="1">
        <f t="array" ref="U213">Common_InputFunctions.Utility_DisplayArrayInTable(Fertiliser_SourceData.Fertiliser_Products_Data5(),FertiliserProducts[[#Headers],[Company]], 121)</f>
        <v>Sulfur - Generic</v>
      </c>
      <c r="V213" s="188" cm="1">
        <f t="array" ref="V213">Common_InputFunctions.Utility_DisplayArrayInTable(Fertiliser_SourceData.Fertiliser_Products_Data5(),FertiliserProducts[[#Headers],[Company]], 121)</f>
        <v>7.0000000000000007E-2</v>
      </c>
      <c r="W213" s="188" t="str" cm="1">
        <f t="array" ref="W213">Common_InputFunctions.Utility_DisplayArrayInTable(Fertiliser_SourceData.Fertiliser_Products_Data5(),FertiliserProducts[[#Headers],[Company]], 121)</f>
        <v/>
      </c>
      <c r="X213" s="188" t="str" cm="1">
        <f t="array" ref="X213">Common_InputFunctions.Utility_DisplayArrayInTable(Fertiliser_SourceData.Fertiliser_Products_Data5(),FertiliserProducts[[#Headers],[Company]], 121)</f>
        <v/>
      </c>
      <c r="Y213" s="188" t="str" cm="1">
        <f t="array" ref="Y213">Common_InputFunctions.Utility_DisplayArrayInTable(Fertiliser_SourceData.Fertiliser_Products_Data5(),FertiliserProducts[[#Headers],[Company]], 121)</f>
        <v/>
      </c>
      <c r="Z213" s="188" t="str" cm="1">
        <f t="array" ref="Z213">Common_InputFunctions.Utility_DisplayArrayInTable(Fertiliser_SourceData.Fertiliser_Products_Data5(),FertiliserProducts[[#Headers],[Company]], 121)</f>
        <v/>
      </c>
      <c r="AA213" s="188" t="str" cm="1">
        <f t="array" ref="AA213">Common_InputFunctions.Utility_DisplayArrayInTable(Fertiliser_SourceData.Fertiliser_Products_Data5(),FertiliserProducts[[#Headers],[Company]], 121)</f>
        <v/>
      </c>
      <c r="AB213" s="188" t="str" cm="1">
        <f t="array" ref="AB213">Common_InputFunctions.Utility_DisplayArrayInTable(Fertiliser_SourceData.Fertiliser_Products_Data5(),FertiliserProducts[[#Headers],[Company]], 121)</f>
        <v/>
      </c>
      <c r="AC213" s="188" t="str" cm="1">
        <f t="array" ref="AC213">Common_InputFunctions.Utility_DisplayArrayInTable(Fertiliser_SourceData.Fertiliser_Products_Data5(),FertiliserProducts[[#Headers],[Company]], 121)</f>
        <v/>
      </c>
      <c r="AD213" s="188" t="str" cm="1">
        <f t="array" ref="AD213">Common_InputFunctions.Utility_DisplayArrayInTable(Fertiliser_SourceData.Fertiliser_Products_Data5(),FertiliserProducts[[#Headers],[Company]], 121)</f>
        <v/>
      </c>
      <c r="AE213" s="188" t="str" cm="1">
        <f t="array" ref="AE213">Common_InputFunctions.Utility_DisplayArrayInTable(Fertiliser_SourceData.Fertiliser_Products_Data5(),FertiliserProducts[[#Headers],[Company]], 121)</f>
        <v/>
      </c>
      <c r="AF213" s="188" t="str" cm="1">
        <f t="array" ref="AF213">Common_InputFunctions.Utility_DisplayArrayInTable(Fertiliser_SourceData.Fertiliser_Products_Data5(),FertiliserProducts[[#Headers],[Company]], 121)</f>
        <v/>
      </c>
      <c r="AG213" s="188" t="str" cm="1">
        <f t="array" ref="AG213">Common_InputFunctions.Utility_DisplayArrayInTable(Fertiliser_SourceData.Fertiliser_Products_Data5(),FertiliserProducts[[#Headers],[Company]], 121)</f>
        <v/>
      </c>
      <c r="AH213" s="188" t="str" cm="1">
        <f t="array" ref="AH213">Common_InputFunctions.Utility_DisplayArrayInTable(Fertiliser_SourceData.Fertiliser_Products_Data5(),FertiliserProducts[[#Headers],[Company]], 121)</f>
        <v/>
      </c>
    </row>
    <row r="214" spans="4:34" x14ac:dyDescent="0.25">
      <c r="D214" s="188" t="str" cm="1">
        <f t="array" ref="D214">Common_InputFunctions.Utility_DisplayArrayInTable(Fertiliser_SourceData.Fertiliser_Products_Data5(),FertiliserProducts[[#Headers],[Company]], 121)</f>
        <v>Wengfu Australia</v>
      </c>
      <c r="E214" s="188" t="str" cm="1">
        <f t="array" ref="E214">Common_InputFunctions.Utility_DisplayArrayInTable(Fertiliser_SourceData.Fertiliser_Products_Data5(),FertiliserProducts[[#Headers],[Company]], 121)</f>
        <v>Wengfu Aftergraze</v>
      </c>
      <c r="F214" s="188" t="str" cm="1">
        <f t="array" ref="F214">Common_InputFunctions.Utility_DisplayArrayInTable(Fertiliser_SourceData.Fertiliser_Products_Data5(),FertiliserProducts[[#Headers],[Company]], 121)</f>
        <v>kg</v>
      </c>
      <c r="G214" s="188" cm="1">
        <f t="array" ref="G214">Common_InputFunctions.Utility_DisplayArrayInTable(Fertiliser_SourceData.Fertiliser_Products_Data5(),FertiliserProducts[[#Headers],[Company]], 121)</f>
        <v>1</v>
      </c>
      <c r="H214" s="188" t="str" cm="1">
        <f t="array" ref="H214">Common_InputFunctions.Utility_DisplayArrayInTable(Fertiliser_SourceData.Fertiliser_Products_Data5(),FertiliserProducts[[#Headers],[Company]], 121)</f>
        <v/>
      </c>
      <c r="I214" s="188" t="str" cm="1">
        <f t="array" ref="I214">Common_InputFunctions.Utility_DisplayArrayInTable(Fertiliser_SourceData.Fertiliser_Products_Data5(),FertiliserProducts[[#Headers],[Company]], 121)</f>
        <v/>
      </c>
      <c r="J214" s="188" t="str" cm="1">
        <f t="array" ref="J214">Common_InputFunctions.Utility_DisplayArrayInTable(Fertiliser_SourceData.Fertiliser_Products_Data5(),FertiliserProducts[[#Headers],[Company]], 121)</f>
        <v/>
      </c>
      <c r="K214" s="188" cm="1">
        <f t="array" ref="K214">Common_InputFunctions.Utility_DisplayArrayInTable(Fertiliser_SourceData.Fertiliser_Products_Data5(),FertiliserProducts[[#Headers],[Company]], 121)</f>
        <v>23</v>
      </c>
      <c r="L214" s="188" cm="1">
        <f t="array" ref="L214">Common_InputFunctions.Utility_DisplayArrayInTable(Fertiliser_SourceData.Fertiliser_Products_Data5(),FertiliserProducts[[#Headers],[Company]], 121)</f>
        <v>0</v>
      </c>
      <c r="M214" s="188" cm="1">
        <f t="array" ref="M214">Common_InputFunctions.Utility_DisplayArrayInTable(Fertiliser_SourceData.Fertiliser_Products_Data5(),FertiliserProducts[[#Headers],[Company]], 121)</f>
        <v>25</v>
      </c>
      <c r="N214" s="188" cm="1">
        <f t="array" ref="N214">Common_InputFunctions.Utility_DisplayArrayInTable(Fertiliser_SourceData.Fertiliser_Products_Data5(),FertiliserProducts[[#Headers],[Company]], 121)</f>
        <v>0</v>
      </c>
      <c r="O214" s="188" t="str" cm="1">
        <f t="array" ref="O214">Common_InputFunctions.Utility_DisplayArrayInTable(Fertiliser_SourceData.Fertiliser_Products_Data5(),FertiliserProducts[[#Headers],[Company]], 121)</f>
        <v>Nitrogen - Generic</v>
      </c>
      <c r="P214" s="188" cm="1">
        <f t="array" ref="P214">Common_InputFunctions.Utility_DisplayArrayInTable(Fertiliser_SourceData.Fertiliser_Products_Data5(),FertiliserProducts[[#Headers],[Company]], 121)</f>
        <v>0.23</v>
      </c>
      <c r="Q214" s="188" t="str" cm="1">
        <f t="array" ref="Q214">Common_InputFunctions.Utility_DisplayArrayInTable(Fertiliser_SourceData.Fertiliser_Products_Data5(),FertiliserProducts[[#Headers],[Company]], 121)</f>
        <v>Potassium - Generic</v>
      </c>
      <c r="R214" s="188" cm="1">
        <f t="array" ref="R214">Common_InputFunctions.Utility_DisplayArrayInTable(Fertiliser_SourceData.Fertiliser_Products_Data5(),FertiliserProducts[[#Headers],[Company]], 121)</f>
        <v>0.25</v>
      </c>
      <c r="S214" s="188" t="str" cm="1">
        <f t="array" ref="S214">Common_InputFunctions.Utility_DisplayArrayInTable(Fertiliser_SourceData.Fertiliser_Products_Data5(),FertiliserProducts[[#Headers],[Company]], 121)</f>
        <v/>
      </c>
      <c r="T214" s="188" t="str" cm="1">
        <f t="array" ref="T214">Common_InputFunctions.Utility_DisplayArrayInTable(Fertiliser_SourceData.Fertiliser_Products_Data5(),FertiliserProducts[[#Headers],[Company]], 121)</f>
        <v/>
      </c>
      <c r="U214" s="188" t="str" cm="1">
        <f t="array" ref="U214">Common_InputFunctions.Utility_DisplayArrayInTable(Fertiliser_SourceData.Fertiliser_Products_Data5(),FertiliserProducts[[#Headers],[Company]], 121)</f>
        <v/>
      </c>
      <c r="V214" s="188" t="str" cm="1">
        <f t="array" ref="V214">Common_InputFunctions.Utility_DisplayArrayInTable(Fertiliser_SourceData.Fertiliser_Products_Data5(),FertiliserProducts[[#Headers],[Company]], 121)</f>
        <v/>
      </c>
      <c r="W214" s="188" t="str" cm="1">
        <f t="array" ref="W214">Common_InputFunctions.Utility_DisplayArrayInTable(Fertiliser_SourceData.Fertiliser_Products_Data5(),FertiliserProducts[[#Headers],[Company]], 121)</f>
        <v/>
      </c>
      <c r="X214" s="188" t="str" cm="1">
        <f t="array" ref="X214">Common_InputFunctions.Utility_DisplayArrayInTable(Fertiliser_SourceData.Fertiliser_Products_Data5(),FertiliserProducts[[#Headers],[Company]], 121)</f>
        <v/>
      </c>
      <c r="Y214" s="188" t="str" cm="1">
        <f t="array" ref="Y214">Common_InputFunctions.Utility_DisplayArrayInTable(Fertiliser_SourceData.Fertiliser_Products_Data5(),FertiliserProducts[[#Headers],[Company]], 121)</f>
        <v/>
      </c>
      <c r="Z214" s="188" t="str" cm="1">
        <f t="array" ref="Z214">Common_InputFunctions.Utility_DisplayArrayInTable(Fertiliser_SourceData.Fertiliser_Products_Data5(),FertiliserProducts[[#Headers],[Company]], 121)</f>
        <v/>
      </c>
      <c r="AA214" s="188" t="str" cm="1">
        <f t="array" ref="AA214">Common_InputFunctions.Utility_DisplayArrayInTable(Fertiliser_SourceData.Fertiliser_Products_Data5(),FertiliserProducts[[#Headers],[Company]], 121)</f>
        <v/>
      </c>
      <c r="AB214" s="188" t="str" cm="1">
        <f t="array" ref="AB214">Common_InputFunctions.Utility_DisplayArrayInTable(Fertiliser_SourceData.Fertiliser_Products_Data5(),FertiliserProducts[[#Headers],[Company]], 121)</f>
        <v/>
      </c>
      <c r="AC214" s="188" t="str" cm="1">
        <f t="array" ref="AC214">Common_InputFunctions.Utility_DisplayArrayInTable(Fertiliser_SourceData.Fertiliser_Products_Data5(),FertiliserProducts[[#Headers],[Company]], 121)</f>
        <v/>
      </c>
      <c r="AD214" s="188" t="str" cm="1">
        <f t="array" ref="AD214">Common_InputFunctions.Utility_DisplayArrayInTable(Fertiliser_SourceData.Fertiliser_Products_Data5(),FertiliserProducts[[#Headers],[Company]], 121)</f>
        <v/>
      </c>
      <c r="AE214" s="188" t="str" cm="1">
        <f t="array" ref="AE214">Common_InputFunctions.Utility_DisplayArrayInTable(Fertiliser_SourceData.Fertiliser_Products_Data5(),FertiliserProducts[[#Headers],[Company]], 121)</f>
        <v/>
      </c>
      <c r="AF214" s="188" t="str" cm="1">
        <f t="array" ref="AF214">Common_InputFunctions.Utility_DisplayArrayInTable(Fertiliser_SourceData.Fertiliser_Products_Data5(),FertiliserProducts[[#Headers],[Company]], 121)</f>
        <v/>
      </c>
      <c r="AG214" s="188" t="str" cm="1">
        <f t="array" ref="AG214">Common_InputFunctions.Utility_DisplayArrayInTable(Fertiliser_SourceData.Fertiliser_Products_Data5(),FertiliserProducts[[#Headers],[Company]], 121)</f>
        <v/>
      </c>
      <c r="AH214" s="188" t="str" cm="1">
        <f t="array" ref="AH214">Common_InputFunctions.Utility_DisplayArrayInTable(Fertiliser_SourceData.Fertiliser_Products_Data5(),FertiliserProducts[[#Headers],[Company]], 121)</f>
        <v/>
      </c>
    </row>
    <row r="215" spans="4:34" x14ac:dyDescent="0.25">
      <c r="D215" s="188" t="str" cm="1">
        <f t="array" ref="D215">Common_InputFunctions.Utility_DisplayArrayInTable(Fertiliser_SourceData.Fertiliser_Products_Data5(),FertiliserProducts[[#Headers],[Company]], 121)</f>
        <v>Wengfu Australia</v>
      </c>
      <c r="E215" s="188" t="str" cm="1">
        <f t="array" ref="E215">Common_InputFunctions.Utility_DisplayArrayInTable(Fertiliser_SourceData.Fertiliser_Products_Data5(),FertiliserProducts[[#Headers],[Company]], 121)</f>
        <v>Wengfu Sidedress</v>
      </c>
      <c r="F215" s="188" t="str" cm="1">
        <f t="array" ref="F215">Common_InputFunctions.Utility_DisplayArrayInTable(Fertiliser_SourceData.Fertiliser_Products_Data5(),FertiliserProducts[[#Headers],[Company]], 121)</f>
        <v>kg</v>
      </c>
      <c r="G215" s="188" cm="1">
        <f t="array" ref="G215">Common_InputFunctions.Utility_DisplayArrayInTable(Fertiliser_SourceData.Fertiliser_Products_Data5(),FertiliserProducts[[#Headers],[Company]], 121)</f>
        <v>1</v>
      </c>
      <c r="H215" s="188" t="str" cm="1">
        <f t="array" ref="H215">Common_InputFunctions.Utility_DisplayArrayInTable(Fertiliser_SourceData.Fertiliser_Products_Data5(),FertiliserProducts[[#Headers],[Company]], 121)</f>
        <v/>
      </c>
      <c r="I215" s="188" t="str" cm="1">
        <f t="array" ref="I215">Common_InputFunctions.Utility_DisplayArrayInTable(Fertiliser_SourceData.Fertiliser_Products_Data5(),FertiliserProducts[[#Headers],[Company]], 121)</f>
        <v/>
      </c>
      <c r="J215" s="188" t="str" cm="1">
        <f t="array" ref="J215">Common_InputFunctions.Utility_DisplayArrayInTable(Fertiliser_SourceData.Fertiliser_Products_Data5(),FertiliserProducts[[#Headers],[Company]], 121)</f>
        <v/>
      </c>
      <c r="K215" s="188" cm="1">
        <f t="array" ref="K215">Common_InputFunctions.Utility_DisplayArrayInTable(Fertiliser_SourceData.Fertiliser_Products_Data5(),FertiliserProducts[[#Headers],[Company]], 121)</f>
        <v>25</v>
      </c>
      <c r="L215" s="188" cm="1">
        <f t="array" ref="L215">Common_InputFunctions.Utility_DisplayArrayInTable(Fertiliser_SourceData.Fertiliser_Products_Data5(),FertiliserProducts[[#Headers],[Company]], 121)</f>
        <v>4</v>
      </c>
      <c r="M215" s="188" cm="1">
        <f t="array" ref="M215">Common_InputFunctions.Utility_DisplayArrayInTable(Fertiliser_SourceData.Fertiliser_Products_Data5(),FertiliserProducts[[#Headers],[Company]], 121)</f>
        <v>13</v>
      </c>
      <c r="N215" s="188" cm="1">
        <f t="array" ref="N215">Common_InputFunctions.Utility_DisplayArrayInTable(Fertiliser_SourceData.Fertiliser_Products_Data5(),FertiliserProducts[[#Headers],[Company]], 121)</f>
        <v>4</v>
      </c>
      <c r="O215" s="188" t="str" cm="1">
        <f t="array" ref="O215">Common_InputFunctions.Utility_DisplayArrayInTable(Fertiliser_SourceData.Fertiliser_Products_Data5(),FertiliserProducts[[#Headers],[Company]], 121)</f>
        <v>Nitrogen - Generic</v>
      </c>
      <c r="P215" s="188" cm="1">
        <f t="array" ref="P215">Common_InputFunctions.Utility_DisplayArrayInTable(Fertiliser_SourceData.Fertiliser_Products_Data5(),FertiliserProducts[[#Headers],[Company]], 121)</f>
        <v>0.25</v>
      </c>
      <c r="Q215" s="188" t="str" cm="1">
        <f t="array" ref="Q215">Common_InputFunctions.Utility_DisplayArrayInTable(Fertiliser_SourceData.Fertiliser_Products_Data5(),FertiliserProducts[[#Headers],[Company]], 121)</f>
        <v>Phosphorus - Generic</v>
      </c>
      <c r="R215" s="188" cm="1">
        <f t="array" ref="R215">Common_InputFunctions.Utility_DisplayArrayInTable(Fertiliser_SourceData.Fertiliser_Products_Data5(),FertiliserProducts[[#Headers],[Company]], 121)</f>
        <v>0.04</v>
      </c>
      <c r="S215" s="188" t="str" cm="1">
        <f t="array" ref="S215">Common_InputFunctions.Utility_DisplayArrayInTable(Fertiliser_SourceData.Fertiliser_Products_Data5(),FertiliserProducts[[#Headers],[Company]], 121)</f>
        <v>Potassium - Generic</v>
      </c>
      <c r="T215" s="188" cm="1">
        <f t="array" ref="T215">Common_InputFunctions.Utility_DisplayArrayInTable(Fertiliser_SourceData.Fertiliser_Products_Data5(),FertiliserProducts[[#Headers],[Company]], 121)</f>
        <v>0.13</v>
      </c>
      <c r="U215" s="188" t="str" cm="1">
        <f t="array" ref="U215">Common_InputFunctions.Utility_DisplayArrayInTable(Fertiliser_SourceData.Fertiliser_Products_Data5(),FertiliserProducts[[#Headers],[Company]], 121)</f>
        <v>Sulfur - Generic</v>
      </c>
      <c r="V215" s="188" cm="1">
        <f t="array" ref="V215">Common_InputFunctions.Utility_DisplayArrayInTable(Fertiliser_SourceData.Fertiliser_Products_Data5(),FertiliserProducts[[#Headers],[Company]], 121)</f>
        <v>0.04</v>
      </c>
      <c r="W215" s="188" t="str" cm="1">
        <f t="array" ref="W215">Common_InputFunctions.Utility_DisplayArrayInTable(Fertiliser_SourceData.Fertiliser_Products_Data5(),FertiliserProducts[[#Headers],[Company]], 121)</f>
        <v/>
      </c>
      <c r="X215" s="188" t="str" cm="1">
        <f t="array" ref="X215">Common_InputFunctions.Utility_DisplayArrayInTable(Fertiliser_SourceData.Fertiliser_Products_Data5(),FertiliserProducts[[#Headers],[Company]], 121)</f>
        <v/>
      </c>
      <c r="Y215" s="188" t="str" cm="1">
        <f t="array" ref="Y215">Common_InputFunctions.Utility_DisplayArrayInTable(Fertiliser_SourceData.Fertiliser_Products_Data5(),FertiliserProducts[[#Headers],[Company]], 121)</f>
        <v/>
      </c>
      <c r="Z215" s="188" t="str" cm="1">
        <f t="array" ref="Z215">Common_InputFunctions.Utility_DisplayArrayInTable(Fertiliser_SourceData.Fertiliser_Products_Data5(),FertiliserProducts[[#Headers],[Company]], 121)</f>
        <v/>
      </c>
      <c r="AA215" s="188" t="str" cm="1">
        <f t="array" ref="AA215">Common_InputFunctions.Utility_DisplayArrayInTable(Fertiliser_SourceData.Fertiliser_Products_Data5(),FertiliserProducts[[#Headers],[Company]], 121)</f>
        <v/>
      </c>
      <c r="AB215" s="188" t="str" cm="1">
        <f t="array" ref="AB215">Common_InputFunctions.Utility_DisplayArrayInTable(Fertiliser_SourceData.Fertiliser_Products_Data5(),FertiliserProducts[[#Headers],[Company]], 121)</f>
        <v/>
      </c>
      <c r="AC215" s="188" t="str" cm="1">
        <f t="array" ref="AC215">Common_InputFunctions.Utility_DisplayArrayInTable(Fertiliser_SourceData.Fertiliser_Products_Data5(),FertiliserProducts[[#Headers],[Company]], 121)</f>
        <v/>
      </c>
      <c r="AD215" s="188" t="str" cm="1">
        <f t="array" ref="AD215">Common_InputFunctions.Utility_DisplayArrayInTable(Fertiliser_SourceData.Fertiliser_Products_Data5(),FertiliserProducts[[#Headers],[Company]], 121)</f>
        <v/>
      </c>
      <c r="AE215" s="188" t="str" cm="1">
        <f t="array" ref="AE215">Common_InputFunctions.Utility_DisplayArrayInTable(Fertiliser_SourceData.Fertiliser_Products_Data5(),FertiliserProducts[[#Headers],[Company]], 121)</f>
        <v/>
      </c>
      <c r="AF215" s="188" t="str" cm="1">
        <f t="array" ref="AF215">Common_InputFunctions.Utility_DisplayArrayInTable(Fertiliser_SourceData.Fertiliser_Products_Data5(),FertiliserProducts[[#Headers],[Company]], 121)</f>
        <v/>
      </c>
      <c r="AG215" s="188" t="str" cm="1">
        <f t="array" ref="AG215">Common_InputFunctions.Utility_DisplayArrayInTable(Fertiliser_SourceData.Fertiliser_Products_Data5(),FertiliserProducts[[#Headers],[Company]], 121)</f>
        <v/>
      </c>
      <c r="AH215" s="188" t="str" cm="1">
        <f t="array" ref="AH215">Common_InputFunctions.Utility_DisplayArrayInTable(Fertiliser_SourceData.Fertiliser_Products_Data5(),FertiliserProducts[[#Headers],[Company]], 121)</f>
        <v/>
      </c>
    </row>
    <row r="216" spans="4:34" x14ac:dyDescent="0.25">
      <c r="D216" s="188" t="str" cm="1">
        <f t="array" ref="D216">Common_InputFunctions.Utility_DisplayArrayInTable(Fertiliser_SourceData.Fertiliser_Products_Data5(),FertiliserProducts[[#Headers],[Company]], 121)</f>
        <v>Wengfu Australia</v>
      </c>
      <c r="E216" s="188" t="str" cm="1">
        <f t="array" ref="E216">Common_InputFunctions.Utility_DisplayArrayInTable(Fertiliser_SourceData.Fertiliser_Products_Data5(),FertiliserProducts[[#Headers],[Company]], 121)</f>
        <v>Wengfu Pasture Booster</v>
      </c>
      <c r="F216" s="188" t="str" cm="1">
        <f t="array" ref="F216">Common_InputFunctions.Utility_DisplayArrayInTable(Fertiliser_SourceData.Fertiliser_Products_Data5(),FertiliserProducts[[#Headers],[Company]], 121)</f>
        <v>kg</v>
      </c>
      <c r="G216" s="188" cm="1">
        <f t="array" ref="G216">Common_InputFunctions.Utility_DisplayArrayInTable(Fertiliser_SourceData.Fertiliser_Products_Data5(),FertiliserProducts[[#Headers],[Company]], 121)</f>
        <v>1</v>
      </c>
      <c r="H216" s="188" t="str" cm="1">
        <f t="array" ref="H216">Common_InputFunctions.Utility_DisplayArrayInTable(Fertiliser_SourceData.Fertiliser_Products_Data5(),FertiliserProducts[[#Headers],[Company]], 121)</f>
        <v/>
      </c>
      <c r="I216" s="188" t="str" cm="1">
        <f t="array" ref="I216">Common_InputFunctions.Utility_DisplayArrayInTable(Fertiliser_SourceData.Fertiliser_Products_Data5(),FertiliserProducts[[#Headers],[Company]], 121)</f>
        <v/>
      </c>
      <c r="J216" s="188" t="str" cm="1">
        <f t="array" ref="J216">Common_InputFunctions.Utility_DisplayArrayInTable(Fertiliser_SourceData.Fertiliser_Products_Data5(),FertiliserProducts[[#Headers],[Company]], 121)</f>
        <v/>
      </c>
      <c r="K216" s="188" cm="1">
        <f t="array" ref="K216">Common_InputFunctions.Utility_DisplayArrayInTable(Fertiliser_SourceData.Fertiliser_Products_Data5(),FertiliserProducts[[#Headers],[Company]], 121)</f>
        <v>13</v>
      </c>
      <c r="L216" s="188" cm="1">
        <f t="array" ref="L216">Common_InputFunctions.Utility_DisplayArrayInTable(Fertiliser_SourceData.Fertiliser_Products_Data5(),FertiliserProducts[[#Headers],[Company]], 121)</f>
        <v>5</v>
      </c>
      <c r="M216" s="188" cm="1">
        <f t="array" ref="M216">Common_InputFunctions.Utility_DisplayArrayInTable(Fertiliser_SourceData.Fertiliser_Products_Data5(),FertiliserProducts[[#Headers],[Company]], 121)</f>
        <v>24</v>
      </c>
      <c r="N216" s="188" cm="1">
        <f t="array" ref="N216">Common_InputFunctions.Utility_DisplayArrayInTable(Fertiliser_SourceData.Fertiliser_Products_Data5(),FertiliserProducts[[#Headers],[Company]], 121)</f>
        <v>5</v>
      </c>
      <c r="O216" s="188" t="str" cm="1">
        <f t="array" ref="O216">Common_InputFunctions.Utility_DisplayArrayInTable(Fertiliser_SourceData.Fertiliser_Products_Data5(),FertiliserProducts[[#Headers],[Company]], 121)</f>
        <v>Nitrogen - Generic</v>
      </c>
      <c r="P216" s="188" cm="1">
        <f t="array" ref="P216">Common_InputFunctions.Utility_DisplayArrayInTable(Fertiliser_SourceData.Fertiliser_Products_Data5(),FertiliserProducts[[#Headers],[Company]], 121)</f>
        <v>0.13</v>
      </c>
      <c r="Q216" s="188" t="str" cm="1">
        <f t="array" ref="Q216">Common_InputFunctions.Utility_DisplayArrayInTable(Fertiliser_SourceData.Fertiliser_Products_Data5(),FertiliserProducts[[#Headers],[Company]], 121)</f>
        <v>Phosphorus - Generic</v>
      </c>
      <c r="R216" s="188" cm="1">
        <f t="array" ref="R216">Common_InputFunctions.Utility_DisplayArrayInTable(Fertiliser_SourceData.Fertiliser_Products_Data5(),FertiliserProducts[[#Headers],[Company]], 121)</f>
        <v>0.05</v>
      </c>
      <c r="S216" s="188" t="str" cm="1">
        <f t="array" ref="S216">Common_InputFunctions.Utility_DisplayArrayInTable(Fertiliser_SourceData.Fertiliser_Products_Data5(),FertiliserProducts[[#Headers],[Company]], 121)</f>
        <v>Potassium - Generic</v>
      </c>
      <c r="T216" s="188" cm="1">
        <f t="array" ref="T216">Common_InputFunctions.Utility_DisplayArrayInTable(Fertiliser_SourceData.Fertiliser_Products_Data5(),FertiliserProducts[[#Headers],[Company]], 121)</f>
        <v>0.24</v>
      </c>
      <c r="U216" s="188" t="str" cm="1">
        <f t="array" ref="U216">Common_InputFunctions.Utility_DisplayArrayInTable(Fertiliser_SourceData.Fertiliser_Products_Data5(),FertiliserProducts[[#Headers],[Company]], 121)</f>
        <v>Sulfur - Generic</v>
      </c>
      <c r="V216" s="188" cm="1">
        <f t="array" ref="V216">Common_InputFunctions.Utility_DisplayArrayInTable(Fertiliser_SourceData.Fertiliser_Products_Data5(),FertiliserProducts[[#Headers],[Company]], 121)</f>
        <v>0.05</v>
      </c>
      <c r="W216" s="188" t="str" cm="1">
        <f t="array" ref="W216">Common_InputFunctions.Utility_DisplayArrayInTable(Fertiliser_SourceData.Fertiliser_Products_Data5(),FertiliserProducts[[#Headers],[Company]], 121)</f>
        <v/>
      </c>
      <c r="X216" s="188" t="str" cm="1">
        <f t="array" ref="X216">Common_InputFunctions.Utility_DisplayArrayInTable(Fertiliser_SourceData.Fertiliser_Products_Data5(),FertiliserProducts[[#Headers],[Company]], 121)</f>
        <v/>
      </c>
      <c r="Y216" s="188" t="str" cm="1">
        <f t="array" ref="Y216">Common_InputFunctions.Utility_DisplayArrayInTable(Fertiliser_SourceData.Fertiliser_Products_Data5(),FertiliserProducts[[#Headers],[Company]], 121)</f>
        <v/>
      </c>
      <c r="Z216" s="188" t="str" cm="1">
        <f t="array" ref="Z216">Common_InputFunctions.Utility_DisplayArrayInTable(Fertiliser_SourceData.Fertiliser_Products_Data5(),FertiliserProducts[[#Headers],[Company]], 121)</f>
        <v/>
      </c>
      <c r="AA216" s="188" t="str" cm="1">
        <f t="array" ref="AA216">Common_InputFunctions.Utility_DisplayArrayInTable(Fertiliser_SourceData.Fertiliser_Products_Data5(),FertiliserProducts[[#Headers],[Company]], 121)</f>
        <v/>
      </c>
      <c r="AB216" s="188" t="str" cm="1">
        <f t="array" ref="AB216">Common_InputFunctions.Utility_DisplayArrayInTable(Fertiliser_SourceData.Fertiliser_Products_Data5(),FertiliserProducts[[#Headers],[Company]], 121)</f>
        <v/>
      </c>
      <c r="AC216" s="188" t="str" cm="1">
        <f t="array" ref="AC216">Common_InputFunctions.Utility_DisplayArrayInTable(Fertiliser_SourceData.Fertiliser_Products_Data5(),FertiliserProducts[[#Headers],[Company]], 121)</f>
        <v/>
      </c>
      <c r="AD216" s="188" t="str" cm="1">
        <f t="array" ref="AD216">Common_InputFunctions.Utility_DisplayArrayInTable(Fertiliser_SourceData.Fertiliser_Products_Data5(),FertiliserProducts[[#Headers],[Company]], 121)</f>
        <v/>
      </c>
      <c r="AE216" s="188" t="str" cm="1">
        <f t="array" ref="AE216">Common_InputFunctions.Utility_DisplayArrayInTable(Fertiliser_SourceData.Fertiliser_Products_Data5(),FertiliserProducts[[#Headers],[Company]], 121)</f>
        <v/>
      </c>
      <c r="AF216" s="188" t="str" cm="1">
        <f t="array" ref="AF216">Common_InputFunctions.Utility_DisplayArrayInTable(Fertiliser_SourceData.Fertiliser_Products_Data5(),FertiliserProducts[[#Headers],[Company]], 121)</f>
        <v/>
      </c>
      <c r="AG216" s="188" t="str" cm="1">
        <f t="array" ref="AG216">Common_InputFunctions.Utility_DisplayArrayInTable(Fertiliser_SourceData.Fertiliser_Products_Data5(),FertiliserProducts[[#Headers],[Company]], 121)</f>
        <v/>
      </c>
      <c r="AH216" s="188" t="str" cm="1">
        <f t="array" ref="AH216">Common_InputFunctions.Utility_DisplayArrayInTable(Fertiliser_SourceData.Fertiliser_Products_Data5(),FertiliserProducts[[#Headers],[Company]], 121)</f>
        <v/>
      </c>
    </row>
    <row r="217" spans="4:34" x14ac:dyDescent="0.25">
      <c r="D217" s="188" t="str" cm="1">
        <f t="array" ref="D217">Common_InputFunctions.Utility_DisplayArrayInTable(Fertiliser_SourceData.Fertiliser_Products_Data5(),FertiliserProducts[[#Headers],[Company]], 121)</f>
        <v>Wengfu Australia</v>
      </c>
      <c r="E217" s="188" t="str" cm="1">
        <f t="array" ref="E217">Common_InputFunctions.Utility_DisplayArrayInTable(Fertiliser_SourceData.Fertiliser_Products_Data5(),FertiliserProducts[[#Headers],[Company]], 121)</f>
        <v>Wengfu DAP Hay Booster</v>
      </c>
      <c r="F217" s="188" t="str" cm="1">
        <f t="array" ref="F217">Common_InputFunctions.Utility_DisplayArrayInTable(Fertiliser_SourceData.Fertiliser_Products_Data5(),FertiliserProducts[[#Headers],[Company]], 121)</f>
        <v>kg</v>
      </c>
      <c r="G217" s="188" cm="1">
        <f t="array" ref="G217">Common_InputFunctions.Utility_DisplayArrayInTable(Fertiliser_SourceData.Fertiliser_Products_Data5(),FertiliserProducts[[#Headers],[Company]], 121)</f>
        <v>1</v>
      </c>
      <c r="H217" s="188" t="str" cm="1">
        <f t="array" ref="H217">Common_InputFunctions.Utility_DisplayArrayInTable(Fertiliser_SourceData.Fertiliser_Products_Data5(),FertiliserProducts[[#Headers],[Company]], 121)</f>
        <v/>
      </c>
      <c r="I217" s="188" t="str" cm="1">
        <f t="array" ref="I217">Common_InputFunctions.Utility_DisplayArrayInTable(Fertiliser_SourceData.Fertiliser_Products_Data5(),FertiliserProducts[[#Headers],[Company]], 121)</f>
        <v/>
      </c>
      <c r="J217" s="188" t="str" cm="1">
        <f t="array" ref="J217">Common_InputFunctions.Utility_DisplayArrayInTable(Fertiliser_SourceData.Fertiliser_Products_Data5(),FertiliserProducts[[#Headers],[Company]], 121)</f>
        <v/>
      </c>
      <c r="K217" s="188" cm="1">
        <f t="array" ref="K217">Common_InputFunctions.Utility_DisplayArrayInTable(Fertiliser_SourceData.Fertiliser_Products_Data5(),FertiliserProducts[[#Headers],[Company]], 121)</f>
        <v>11</v>
      </c>
      <c r="L217" s="188" cm="1">
        <f t="array" ref="L217">Common_InputFunctions.Utility_DisplayArrayInTable(Fertiliser_SourceData.Fertiliser_Products_Data5(),FertiliserProducts[[#Headers],[Company]], 121)</f>
        <v>5</v>
      </c>
      <c r="M217" s="188" cm="1">
        <f t="array" ref="M217">Common_InputFunctions.Utility_DisplayArrayInTable(Fertiliser_SourceData.Fertiliser_Products_Data5(),FertiliserProducts[[#Headers],[Company]], 121)</f>
        <v>24</v>
      </c>
      <c r="N217" s="188" cm="1">
        <f t="array" ref="N217">Common_InputFunctions.Utility_DisplayArrayInTable(Fertiliser_SourceData.Fertiliser_Products_Data5(),FertiliserProducts[[#Headers],[Company]], 121)</f>
        <v>4</v>
      </c>
      <c r="O217" s="188" t="str" cm="1">
        <f t="array" ref="O217">Common_InputFunctions.Utility_DisplayArrayInTable(Fertiliser_SourceData.Fertiliser_Products_Data5(),FertiliserProducts[[#Headers],[Company]], 121)</f>
        <v>Nitrogen - Generic</v>
      </c>
      <c r="P217" s="188" cm="1">
        <f t="array" ref="P217">Common_InputFunctions.Utility_DisplayArrayInTable(Fertiliser_SourceData.Fertiliser_Products_Data5(),FertiliserProducts[[#Headers],[Company]], 121)</f>
        <v>0.11</v>
      </c>
      <c r="Q217" s="188" t="str" cm="1">
        <f t="array" ref="Q217">Common_InputFunctions.Utility_DisplayArrayInTable(Fertiliser_SourceData.Fertiliser_Products_Data5(),FertiliserProducts[[#Headers],[Company]], 121)</f>
        <v>Phosphorus - Generic</v>
      </c>
      <c r="R217" s="188" cm="1">
        <f t="array" ref="R217">Common_InputFunctions.Utility_DisplayArrayInTable(Fertiliser_SourceData.Fertiliser_Products_Data5(),FertiliserProducts[[#Headers],[Company]], 121)</f>
        <v>0.05</v>
      </c>
      <c r="S217" s="188" t="str" cm="1">
        <f t="array" ref="S217">Common_InputFunctions.Utility_DisplayArrayInTable(Fertiliser_SourceData.Fertiliser_Products_Data5(),FertiliserProducts[[#Headers],[Company]], 121)</f>
        <v>Potassium - Generic</v>
      </c>
      <c r="T217" s="188" cm="1">
        <f t="array" ref="T217">Common_InputFunctions.Utility_DisplayArrayInTable(Fertiliser_SourceData.Fertiliser_Products_Data5(),FertiliserProducts[[#Headers],[Company]], 121)</f>
        <v>0.24</v>
      </c>
      <c r="U217" s="188" t="str" cm="1">
        <f t="array" ref="U217">Common_InputFunctions.Utility_DisplayArrayInTable(Fertiliser_SourceData.Fertiliser_Products_Data5(),FertiliserProducts[[#Headers],[Company]], 121)</f>
        <v>Sulfur - Generic</v>
      </c>
      <c r="V217" s="188" cm="1">
        <f t="array" ref="V217">Common_InputFunctions.Utility_DisplayArrayInTable(Fertiliser_SourceData.Fertiliser_Products_Data5(),FertiliserProducts[[#Headers],[Company]], 121)</f>
        <v>0.04</v>
      </c>
      <c r="W217" s="188" t="str" cm="1">
        <f t="array" ref="W217">Common_InputFunctions.Utility_DisplayArrayInTable(Fertiliser_SourceData.Fertiliser_Products_Data5(),FertiliserProducts[[#Headers],[Company]], 121)</f>
        <v/>
      </c>
      <c r="X217" s="188" t="str" cm="1">
        <f t="array" ref="X217">Common_InputFunctions.Utility_DisplayArrayInTable(Fertiliser_SourceData.Fertiliser_Products_Data5(),FertiliserProducts[[#Headers],[Company]], 121)</f>
        <v/>
      </c>
      <c r="Y217" s="188" t="str" cm="1">
        <f t="array" ref="Y217">Common_InputFunctions.Utility_DisplayArrayInTable(Fertiliser_SourceData.Fertiliser_Products_Data5(),FertiliserProducts[[#Headers],[Company]], 121)</f>
        <v/>
      </c>
      <c r="Z217" s="188" t="str" cm="1">
        <f t="array" ref="Z217">Common_InputFunctions.Utility_DisplayArrayInTable(Fertiliser_SourceData.Fertiliser_Products_Data5(),FertiliserProducts[[#Headers],[Company]], 121)</f>
        <v/>
      </c>
      <c r="AA217" s="188" t="str" cm="1">
        <f t="array" ref="AA217">Common_InputFunctions.Utility_DisplayArrayInTable(Fertiliser_SourceData.Fertiliser_Products_Data5(),FertiliserProducts[[#Headers],[Company]], 121)</f>
        <v/>
      </c>
      <c r="AB217" s="188" t="str" cm="1">
        <f t="array" ref="AB217">Common_InputFunctions.Utility_DisplayArrayInTable(Fertiliser_SourceData.Fertiliser_Products_Data5(),FertiliserProducts[[#Headers],[Company]], 121)</f>
        <v/>
      </c>
      <c r="AC217" s="188" t="str" cm="1">
        <f t="array" ref="AC217">Common_InputFunctions.Utility_DisplayArrayInTable(Fertiliser_SourceData.Fertiliser_Products_Data5(),FertiliserProducts[[#Headers],[Company]], 121)</f>
        <v/>
      </c>
      <c r="AD217" s="188" t="str" cm="1">
        <f t="array" ref="AD217">Common_InputFunctions.Utility_DisplayArrayInTable(Fertiliser_SourceData.Fertiliser_Products_Data5(),FertiliserProducts[[#Headers],[Company]], 121)</f>
        <v/>
      </c>
      <c r="AE217" s="188" t="str" cm="1">
        <f t="array" ref="AE217">Common_InputFunctions.Utility_DisplayArrayInTable(Fertiliser_SourceData.Fertiliser_Products_Data5(),FertiliserProducts[[#Headers],[Company]], 121)</f>
        <v/>
      </c>
      <c r="AF217" s="188" t="str" cm="1">
        <f t="array" ref="AF217">Common_InputFunctions.Utility_DisplayArrayInTable(Fertiliser_SourceData.Fertiliser_Products_Data5(),FertiliserProducts[[#Headers],[Company]], 121)</f>
        <v/>
      </c>
      <c r="AG217" s="188" t="str" cm="1">
        <f t="array" ref="AG217">Common_InputFunctions.Utility_DisplayArrayInTable(Fertiliser_SourceData.Fertiliser_Products_Data5(),FertiliserProducts[[#Headers],[Company]], 121)</f>
        <v/>
      </c>
      <c r="AH217" s="188" t="str" cm="1">
        <f t="array" ref="AH217">Common_InputFunctions.Utility_DisplayArrayInTable(Fertiliser_SourceData.Fertiliser_Products_Data5(),FertiliserProducts[[#Headers],[Company]], 121)</f>
        <v/>
      </c>
    </row>
    <row r="218" spans="4:34" x14ac:dyDescent="0.25">
      <c r="D218" s="188" t="str" cm="1">
        <f t="array" ref="D218">Common_InputFunctions.Utility_DisplayArrayInTable(Fertiliser_SourceData.Fertiliser_Products_Data5(),FertiliserProducts[[#Headers],[Company]], 121)</f>
        <v>Wengfu Australia</v>
      </c>
      <c r="E218" s="188" t="str" cm="1">
        <f t="array" ref="E218">Common_InputFunctions.Utility_DisplayArrayInTable(Fertiliser_SourceData.Fertiliser_Products_Data5(),FertiliserProducts[[#Headers],[Company]], 121)</f>
        <v>Wengfu MAP Hay Booster</v>
      </c>
      <c r="F218" s="188" t="str" cm="1">
        <f t="array" ref="F218">Common_InputFunctions.Utility_DisplayArrayInTable(Fertiliser_SourceData.Fertiliser_Products_Data5(),FertiliserProducts[[#Headers],[Company]], 121)</f>
        <v>kg</v>
      </c>
      <c r="G218" s="188" cm="1">
        <f t="array" ref="G218">Common_InputFunctions.Utility_DisplayArrayInTable(Fertiliser_SourceData.Fertiliser_Products_Data5(),FertiliserProducts[[#Headers],[Company]], 121)</f>
        <v>1</v>
      </c>
      <c r="H218" s="188" t="str" cm="1">
        <f t="array" ref="H218">Common_InputFunctions.Utility_DisplayArrayInTable(Fertiliser_SourceData.Fertiliser_Products_Data5(),FertiliserProducts[[#Headers],[Company]], 121)</f>
        <v/>
      </c>
      <c r="I218" s="188" t="str" cm="1">
        <f t="array" ref="I218">Common_InputFunctions.Utility_DisplayArrayInTable(Fertiliser_SourceData.Fertiliser_Products_Data5(),FertiliserProducts[[#Headers],[Company]], 121)</f>
        <v/>
      </c>
      <c r="J218" s="188" t="str" cm="1">
        <f t="array" ref="J218">Common_InputFunctions.Utility_DisplayArrayInTable(Fertiliser_SourceData.Fertiliser_Products_Data5(),FertiliserProducts[[#Headers],[Company]], 121)</f>
        <v/>
      </c>
      <c r="K218" s="188" cm="1">
        <f t="array" ref="K218">Common_InputFunctions.Utility_DisplayArrayInTable(Fertiliser_SourceData.Fertiliser_Products_Data5(),FertiliserProducts[[#Headers],[Company]], 121)</f>
        <v>11</v>
      </c>
      <c r="L218" s="188" cm="1">
        <f t="array" ref="L218">Common_InputFunctions.Utility_DisplayArrayInTable(Fertiliser_SourceData.Fertiliser_Products_Data5(),FertiliserProducts[[#Headers],[Company]], 121)</f>
        <v>8</v>
      </c>
      <c r="M218" s="188" cm="1">
        <f t="array" ref="M218">Common_InputFunctions.Utility_DisplayArrayInTable(Fertiliser_SourceData.Fertiliser_Products_Data5(),FertiliserProducts[[#Headers],[Company]], 121)</f>
        <v>20</v>
      </c>
      <c r="N218" s="188" cm="1">
        <f t="array" ref="N218">Common_InputFunctions.Utility_DisplayArrayInTable(Fertiliser_SourceData.Fertiliser_Products_Data5(),FertiliserProducts[[#Headers],[Company]], 121)</f>
        <v>6</v>
      </c>
      <c r="O218" s="188" t="str" cm="1">
        <f t="array" ref="O218">Common_InputFunctions.Utility_DisplayArrayInTable(Fertiliser_SourceData.Fertiliser_Products_Data5(),FertiliserProducts[[#Headers],[Company]], 121)</f>
        <v>Nitrogen - Generic</v>
      </c>
      <c r="P218" s="188" cm="1">
        <f t="array" ref="P218">Common_InputFunctions.Utility_DisplayArrayInTable(Fertiliser_SourceData.Fertiliser_Products_Data5(),FertiliserProducts[[#Headers],[Company]], 121)</f>
        <v>0.11</v>
      </c>
      <c r="Q218" s="188" t="str" cm="1">
        <f t="array" ref="Q218">Common_InputFunctions.Utility_DisplayArrayInTable(Fertiliser_SourceData.Fertiliser_Products_Data5(),FertiliserProducts[[#Headers],[Company]], 121)</f>
        <v>Phosphorus - Generic</v>
      </c>
      <c r="R218" s="188" cm="1">
        <f t="array" ref="R218">Common_InputFunctions.Utility_DisplayArrayInTable(Fertiliser_SourceData.Fertiliser_Products_Data5(),FertiliserProducts[[#Headers],[Company]], 121)</f>
        <v>0.08</v>
      </c>
      <c r="S218" s="188" t="str" cm="1">
        <f t="array" ref="S218">Common_InputFunctions.Utility_DisplayArrayInTable(Fertiliser_SourceData.Fertiliser_Products_Data5(),FertiliserProducts[[#Headers],[Company]], 121)</f>
        <v>Potassium - Generic</v>
      </c>
      <c r="T218" s="188" cm="1">
        <f t="array" ref="T218">Common_InputFunctions.Utility_DisplayArrayInTable(Fertiliser_SourceData.Fertiliser_Products_Data5(),FertiliserProducts[[#Headers],[Company]], 121)</f>
        <v>0.2</v>
      </c>
      <c r="U218" s="188" t="str" cm="1">
        <f t="array" ref="U218">Common_InputFunctions.Utility_DisplayArrayInTable(Fertiliser_SourceData.Fertiliser_Products_Data5(),FertiliserProducts[[#Headers],[Company]], 121)</f>
        <v>Sulfur - Generic</v>
      </c>
      <c r="V218" s="188" cm="1">
        <f t="array" ref="V218">Common_InputFunctions.Utility_DisplayArrayInTable(Fertiliser_SourceData.Fertiliser_Products_Data5(),FertiliserProducts[[#Headers],[Company]], 121)</f>
        <v>0.06</v>
      </c>
      <c r="W218" s="188" t="str" cm="1">
        <f t="array" ref="W218">Common_InputFunctions.Utility_DisplayArrayInTable(Fertiliser_SourceData.Fertiliser_Products_Data5(),FertiliserProducts[[#Headers],[Company]], 121)</f>
        <v/>
      </c>
      <c r="X218" s="188" t="str" cm="1">
        <f t="array" ref="X218">Common_InputFunctions.Utility_DisplayArrayInTable(Fertiliser_SourceData.Fertiliser_Products_Data5(),FertiliserProducts[[#Headers],[Company]], 121)</f>
        <v/>
      </c>
      <c r="Y218" s="188" t="str" cm="1">
        <f t="array" ref="Y218">Common_InputFunctions.Utility_DisplayArrayInTable(Fertiliser_SourceData.Fertiliser_Products_Data5(),FertiliserProducts[[#Headers],[Company]], 121)</f>
        <v/>
      </c>
      <c r="Z218" s="188" t="str" cm="1">
        <f t="array" ref="Z218">Common_InputFunctions.Utility_DisplayArrayInTable(Fertiliser_SourceData.Fertiliser_Products_Data5(),FertiliserProducts[[#Headers],[Company]], 121)</f>
        <v/>
      </c>
      <c r="AA218" s="188" t="str" cm="1">
        <f t="array" ref="AA218">Common_InputFunctions.Utility_DisplayArrayInTable(Fertiliser_SourceData.Fertiliser_Products_Data5(),FertiliserProducts[[#Headers],[Company]], 121)</f>
        <v/>
      </c>
      <c r="AB218" s="188" t="str" cm="1">
        <f t="array" ref="AB218">Common_InputFunctions.Utility_DisplayArrayInTable(Fertiliser_SourceData.Fertiliser_Products_Data5(),FertiliserProducts[[#Headers],[Company]], 121)</f>
        <v/>
      </c>
      <c r="AC218" s="188" t="str" cm="1">
        <f t="array" ref="AC218">Common_InputFunctions.Utility_DisplayArrayInTable(Fertiliser_SourceData.Fertiliser_Products_Data5(),FertiliserProducts[[#Headers],[Company]], 121)</f>
        <v/>
      </c>
      <c r="AD218" s="188" t="str" cm="1">
        <f t="array" ref="AD218">Common_InputFunctions.Utility_DisplayArrayInTable(Fertiliser_SourceData.Fertiliser_Products_Data5(),FertiliserProducts[[#Headers],[Company]], 121)</f>
        <v/>
      </c>
      <c r="AE218" s="188" t="str" cm="1">
        <f t="array" ref="AE218">Common_InputFunctions.Utility_DisplayArrayInTable(Fertiliser_SourceData.Fertiliser_Products_Data5(),FertiliserProducts[[#Headers],[Company]], 121)</f>
        <v/>
      </c>
      <c r="AF218" s="188" t="str" cm="1">
        <f t="array" ref="AF218">Common_InputFunctions.Utility_DisplayArrayInTable(Fertiliser_SourceData.Fertiliser_Products_Data5(),FertiliserProducts[[#Headers],[Company]], 121)</f>
        <v/>
      </c>
      <c r="AG218" s="188" t="str" cm="1">
        <f t="array" ref="AG218">Common_InputFunctions.Utility_DisplayArrayInTable(Fertiliser_SourceData.Fertiliser_Products_Data5(),FertiliserProducts[[#Headers],[Company]], 121)</f>
        <v/>
      </c>
      <c r="AH218" s="188" t="str" cm="1">
        <f t="array" ref="AH218">Common_InputFunctions.Utility_DisplayArrayInTable(Fertiliser_SourceData.Fertiliser_Products_Data5(),FertiliserProducts[[#Headers],[Company]], 121)</f>
        <v/>
      </c>
    </row>
    <row r="219" spans="4:34" x14ac:dyDescent="0.25">
      <c r="D219" s="188" t="str" cm="1">
        <f t="array" ref="D219">Common_InputFunctions.Utility_DisplayArrayInTable(Fertiliser_SourceData.Fertiliser_Products_Data5(),FertiliserProducts[[#Headers],[Company]], 121)</f>
        <v>Wengfu Australia</v>
      </c>
      <c r="E219" s="188" t="str" cm="1">
        <f t="array" ref="E219">Common_InputFunctions.Utility_DisplayArrayInTable(Fertiliser_SourceData.Fertiliser_Products_Data5(),FertiliserProducts[[#Headers],[Company]], 121)</f>
        <v>Wengfu Fodder Booster</v>
      </c>
      <c r="F219" s="188" t="str" cm="1">
        <f t="array" ref="F219">Common_InputFunctions.Utility_DisplayArrayInTable(Fertiliser_SourceData.Fertiliser_Products_Data5(),FertiliserProducts[[#Headers],[Company]], 121)</f>
        <v>kg</v>
      </c>
      <c r="G219" s="188" cm="1">
        <f t="array" ref="G219">Common_InputFunctions.Utility_DisplayArrayInTable(Fertiliser_SourceData.Fertiliser_Products_Data5(),FertiliserProducts[[#Headers],[Company]], 121)</f>
        <v>1</v>
      </c>
      <c r="H219" s="188" t="str" cm="1">
        <f t="array" ref="H219">Common_InputFunctions.Utility_DisplayArrayInTable(Fertiliser_SourceData.Fertiliser_Products_Data5(),FertiliserProducts[[#Headers],[Company]], 121)</f>
        <v/>
      </c>
      <c r="I219" s="188" t="str" cm="1">
        <f t="array" ref="I219">Common_InputFunctions.Utility_DisplayArrayInTable(Fertiliser_SourceData.Fertiliser_Products_Data5(),FertiliserProducts[[#Headers],[Company]], 121)</f>
        <v/>
      </c>
      <c r="J219" s="188" t="str" cm="1">
        <f t="array" ref="J219">Common_InputFunctions.Utility_DisplayArrayInTable(Fertiliser_SourceData.Fertiliser_Products_Data5(),FertiliserProducts[[#Headers],[Company]], 121)</f>
        <v/>
      </c>
      <c r="K219" s="188" cm="1">
        <f t="array" ref="K219">Common_InputFunctions.Utility_DisplayArrayInTable(Fertiliser_SourceData.Fertiliser_Products_Data5(),FertiliserProducts[[#Headers],[Company]], 121)</f>
        <v>9</v>
      </c>
      <c r="L219" s="188" cm="1">
        <f t="array" ref="L219">Common_InputFunctions.Utility_DisplayArrayInTable(Fertiliser_SourceData.Fertiliser_Products_Data5(),FertiliserProducts[[#Headers],[Company]], 121)</f>
        <v>4</v>
      </c>
      <c r="M219" s="188" cm="1">
        <f t="array" ref="M219">Common_InputFunctions.Utility_DisplayArrayInTable(Fertiliser_SourceData.Fertiliser_Products_Data5(),FertiliserProducts[[#Headers],[Company]], 121)</f>
        <v>5</v>
      </c>
      <c r="N219" s="188" cm="1">
        <f t="array" ref="N219">Common_InputFunctions.Utility_DisplayArrayInTable(Fertiliser_SourceData.Fertiliser_Products_Data5(),FertiliserProducts[[#Headers],[Company]], 121)</f>
        <v>15</v>
      </c>
      <c r="O219" s="188" t="str" cm="1">
        <f t="array" ref="O219">Common_InputFunctions.Utility_DisplayArrayInTable(Fertiliser_SourceData.Fertiliser_Products_Data5(),FertiliserProducts[[#Headers],[Company]], 121)</f>
        <v>Nitrogen - Generic</v>
      </c>
      <c r="P219" s="188" cm="1">
        <f t="array" ref="P219">Common_InputFunctions.Utility_DisplayArrayInTable(Fertiliser_SourceData.Fertiliser_Products_Data5(),FertiliserProducts[[#Headers],[Company]], 121)</f>
        <v>0.09</v>
      </c>
      <c r="Q219" s="188" t="str" cm="1">
        <f t="array" ref="Q219">Common_InputFunctions.Utility_DisplayArrayInTable(Fertiliser_SourceData.Fertiliser_Products_Data5(),FertiliserProducts[[#Headers],[Company]], 121)</f>
        <v>Phosphorus - Generic</v>
      </c>
      <c r="R219" s="188" cm="1">
        <f t="array" ref="R219">Common_InputFunctions.Utility_DisplayArrayInTable(Fertiliser_SourceData.Fertiliser_Products_Data5(),FertiliserProducts[[#Headers],[Company]], 121)</f>
        <v>0.04</v>
      </c>
      <c r="S219" s="188" t="str" cm="1">
        <f t="array" ref="S219">Common_InputFunctions.Utility_DisplayArrayInTable(Fertiliser_SourceData.Fertiliser_Products_Data5(),FertiliserProducts[[#Headers],[Company]], 121)</f>
        <v>Potassium - Generic</v>
      </c>
      <c r="T219" s="188" cm="1">
        <f t="array" ref="T219">Common_InputFunctions.Utility_DisplayArrayInTable(Fertiliser_SourceData.Fertiliser_Products_Data5(),FertiliserProducts[[#Headers],[Company]], 121)</f>
        <v>0.05</v>
      </c>
      <c r="U219" s="188" t="str" cm="1">
        <f t="array" ref="U219">Common_InputFunctions.Utility_DisplayArrayInTable(Fertiliser_SourceData.Fertiliser_Products_Data5(),FertiliserProducts[[#Headers],[Company]], 121)</f>
        <v>Sulfur - Generic</v>
      </c>
      <c r="V219" s="188" cm="1">
        <f t="array" ref="V219">Common_InputFunctions.Utility_DisplayArrayInTable(Fertiliser_SourceData.Fertiliser_Products_Data5(),FertiliserProducts[[#Headers],[Company]], 121)</f>
        <v>0.15</v>
      </c>
      <c r="W219" s="188" t="str" cm="1">
        <f t="array" ref="W219">Common_InputFunctions.Utility_DisplayArrayInTable(Fertiliser_SourceData.Fertiliser_Products_Data5(),FertiliserProducts[[#Headers],[Company]], 121)</f>
        <v/>
      </c>
      <c r="X219" s="188" t="str" cm="1">
        <f t="array" ref="X219">Common_InputFunctions.Utility_DisplayArrayInTable(Fertiliser_SourceData.Fertiliser_Products_Data5(),FertiliserProducts[[#Headers],[Company]], 121)</f>
        <v/>
      </c>
      <c r="Y219" s="188" t="str" cm="1">
        <f t="array" ref="Y219">Common_InputFunctions.Utility_DisplayArrayInTable(Fertiliser_SourceData.Fertiliser_Products_Data5(),FertiliserProducts[[#Headers],[Company]], 121)</f>
        <v/>
      </c>
      <c r="Z219" s="188" t="str" cm="1">
        <f t="array" ref="Z219">Common_InputFunctions.Utility_DisplayArrayInTable(Fertiliser_SourceData.Fertiliser_Products_Data5(),FertiliserProducts[[#Headers],[Company]], 121)</f>
        <v/>
      </c>
      <c r="AA219" s="188" t="str" cm="1">
        <f t="array" ref="AA219">Common_InputFunctions.Utility_DisplayArrayInTable(Fertiliser_SourceData.Fertiliser_Products_Data5(),FertiliserProducts[[#Headers],[Company]], 121)</f>
        <v/>
      </c>
      <c r="AB219" s="188" t="str" cm="1">
        <f t="array" ref="AB219">Common_InputFunctions.Utility_DisplayArrayInTable(Fertiliser_SourceData.Fertiliser_Products_Data5(),FertiliserProducts[[#Headers],[Company]], 121)</f>
        <v/>
      </c>
      <c r="AC219" s="188" t="str" cm="1">
        <f t="array" ref="AC219">Common_InputFunctions.Utility_DisplayArrayInTable(Fertiliser_SourceData.Fertiliser_Products_Data5(),FertiliserProducts[[#Headers],[Company]], 121)</f>
        <v/>
      </c>
      <c r="AD219" s="188" t="str" cm="1">
        <f t="array" ref="AD219">Common_InputFunctions.Utility_DisplayArrayInTable(Fertiliser_SourceData.Fertiliser_Products_Data5(),FertiliserProducts[[#Headers],[Company]], 121)</f>
        <v/>
      </c>
      <c r="AE219" s="188" t="str" cm="1">
        <f t="array" ref="AE219">Common_InputFunctions.Utility_DisplayArrayInTable(Fertiliser_SourceData.Fertiliser_Products_Data5(),FertiliserProducts[[#Headers],[Company]], 121)</f>
        <v/>
      </c>
      <c r="AF219" s="188" t="str" cm="1">
        <f t="array" ref="AF219">Common_InputFunctions.Utility_DisplayArrayInTable(Fertiliser_SourceData.Fertiliser_Products_Data5(),FertiliserProducts[[#Headers],[Company]], 121)</f>
        <v/>
      </c>
      <c r="AG219" s="188" t="str" cm="1">
        <f t="array" ref="AG219">Common_InputFunctions.Utility_DisplayArrayInTable(Fertiliser_SourceData.Fertiliser_Products_Data5(),FertiliserProducts[[#Headers],[Company]], 121)</f>
        <v/>
      </c>
      <c r="AH219" s="188" t="str" cm="1">
        <f t="array" ref="AH219">Common_InputFunctions.Utility_DisplayArrayInTable(Fertiliser_SourceData.Fertiliser_Products_Data5(),FertiliserProducts[[#Headers],[Company]], 121)</f>
        <v/>
      </c>
    </row>
    <row r="220" spans="4:34" x14ac:dyDescent="0.25">
      <c r="D220" s="188" t="str" cm="1">
        <f t="array" ref="D220">Common_InputFunctions.Utility_DisplayArrayInTable(Fertiliser_SourceData.Fertiliser_Products_Data5(),FertiliserProducts[[#Headers],[Company]], 121)</f>
        <v>CSBP</v>
      </c>
      <c r="E220" s="188" t="str" cm="1">
        <f t="array" ref="E220">Common_InputFunctions.Utility_DisplayArrayInTable(Fertiliser_SourceData.Fertiliser_Products_Data5(),FertiliserProducts[[#Headers],[Company]], 121)</f>
        <v>K-Till Extra</v>
      </c>
      <c r="F220" s="188" t="str" cm="1">
        <f t="array" ref="F220">Common_InputFunctions.Utility_DisplayArrayInTable(Fertiliser_SourceData.Fertiliser_Products_Data5(),FertiliserProducts[[#Headers],[Company]], 121)</f>
        <v>kg</v>
      </c>
      <c r="G220" s="188" cm="1">
        <f t="array" ref="G220">Common_InputFunctions.Utility_DisplayArrayInTable(Fertiliser_SourceData.Fertiliser_Products_Data5(),FertiliserProducts[[#Headers],[Company]], 121)</f>
        <v>1</v>
      </c>
      <c r="H220" s="188" t="str" cm="1">
        <f t="array" ref="H220">Common_InputFunctions.Utility_DisplayArrayInTable(Fertiliser_SourceData.Fertiliser_Products_Data5(),FertiliserProducts[[#Headers],[Company]], 121)</f>
        <v/>
      </c>
      <c r="I220" s="188" t="str" cm="1">
        <f t="array" ref="I220">Common_InputFunctions.Utility_DisplayArrayInTable(Fertiliser_SourceData.Fertiliser_Products_Data5(),FertiliserProducts[[#Headers],[Company]], 121)</f>
        <v/>
      </c>
      <c r="J220" s="188" t="str" cm="1">
        <f t="array" ref="J220">Common_InputFunctions.Utility_DisplayArrayInTable(Fertiliser_SourceData.Fertiliser_Products_Data5(),FertiliserProducts[[#Headers],[Company]], 121)</f>
        <v/>
      </c>
      <c r="K220" s="188" cm="1">
        <f t="array" ref="K220">Common_InputFunctions.Utility_DisplayArrayInTable(Fertiliser_SourceData.Fertiliser_Products_Data5(),FertiliserProducts[[#Headers],[Company]], 121)</f>
        <v>10.73</v>
      </c>
      <c r="L220" s="188" cm="1">
        <f t="array" ref="L220">Common_InputFunctions.Utility_DisplayArrayInTable(Fertiliser_SourceData.Fertiliser_Products_Data5(),FertiliserProducts[[#Headers],[Company]], 121)</f>
        <v>10.95</v>
      </c>
      <c r="M220" s="188" cm="1">
        <f t="array" ref="M220">Common_InputFunctions.Utility_DisplayArrayInTable(Fertiliser_SourceData.Fertiliser_Products_Data5(),FertiliserProducts[[#Headers],[Company]], 121)</f>
        <v>11.35</v>
      </c>
      <c r="N220" s="188" cm="1">
        <f t="array" ref="N220">Common_InputFunctions.Utility_DisplayArrayInTable(Fertiliser_SourceData.Fertiliser_Products_Data5(),FertiliserProducts[[#Headers],[Company]], 121)</f>
        <v>6.55</v>
      </c>
      <c r="O220" s="188" t="str" cm="1">
        <f t="array" ref="O220">Common_InputFunctions.Utility_DisplayArrayInTable(Fertiliser_SourceData.Fertiliser_Products_Data5(),FertiliserProducts[[#Headers],[Company]], 121)</f>
        <v>Monoammonium phosphate (MAP)</v>
      </c>
      <c r="P220" s="188" cm="1">
        <f t="array" ref="P220">Common_InputFunctions.Utility_DisplayArrayInTable(Fertiliser_SourceData.Fertiliser_Products_Data5(),FertiliserProducts[[#Headers],[Company]], 121)</f>
        <v>0.5</v>
      </c>
      <c r="Q220" s="188" t="str" cm="1">
        <f t="array" ref="Q220">Common_InputFunctions.Utility_DisplayArrayInTable(Fertiliser_SourceData.Fertiliser_Products_Data5(),FertiliserProducts[[#Headers],[Company]], 121)</f>
        <v>Sulphate of ammonia (SOA)</v>
      </c>
      <c r="R220" s="188" cm="1">
        <f t="array" ref="R220">Common_InputFunctions.Utility_DisplayArrayInTable(Fertiliser_SourceData.Fertiliser_Products_Data5(),FertiliserProducts[[#Headers],[Company]], 121)</f>
        <v>0.27300000000000002</v>
      </c>
      <c r="S220" s="188" t="str" cm="1">
        <f t="array" ref="S220">Common_InputFunctions.Utility_DisplayArrayInTable(Fertiliser_SourceData.Fertiliser_Products_Data5(),FertiliserProducts[[#Headers],[Company]], 121)</f>
        <v>Muriate of potash (MOP)</v>
      </c>
      <c r="T220" s="188" cm="1">
        <f t="array" ref="T220">Common_InputFunctions.Utility_DisplayArrayInTable(Fertiliser_SourceData.Fertiliser_Products_Data5(),FertiliserProducts[[#Headers],[Company]], 121)</f>
        <v>0.22700000000000001</v>
      </c>
      <c r="U220" s="188" t="str" cm="1">
        <f t="array" ref="U220">Common_InputFunctions.Utility_DisplayArrayInTable(Fertiliser_SourceData.Fertiliser_Products_Data5(),FertiliserProducts[[#Headers],[Company]], 121)</f>
        <v>Copper</v>
      </c>
      <c r="V220" s="188" t="str" cm="1">
        <f t="array" ref="V220">Common_InputFunctions.Utility_DisplayArrayInTable(Fertiliser_SourceData.Fertiliser_Products_Data5(),FertiliserProducts[[#Headers],[Company]], 121)</f>
        <v>No data</v>
      </c>
      <c r="W220" s="188" t="str" cm="1">
        <f t="array" ref="W220">Common_InputFunctions.Utility_DisplayArrayInTable(Fertiliser_SourceData.Fertiliser_Products_Data5(),FertiliserProducts[[#Headers],[Company]], 121)</f>
        <v>Zinc</v>
      </c>
      <c r="X220" s="188" t="str" cm="1">
        <f t="array" ref="X220">Common_InputFunctions.Utility_DisplayArrayInTable(Fertiliser_SourceData.Fertiliser_Products_Data5(),FertiliserProducts[[#Headers],[Company]], 121)</f>
        <v>No data</v>
      </c>
      <c r="Y220" s="188" t="str" cm="1">
        <f t="array" ref="Y220">Common_InputFunctions.Utility_DisplayArrayInTable(Fertiliser_SourceData.Fertiliser_Products_Data5(),FertiliserProducts[[#Headers],[Company]], 121)</f>
        <v/>
      </c>
      <c r="Z220" s="188" t="str" cm="1">
        <f t="array" ref="Z220">Common_InputFunctions.Utility_DisplayArrayInTable(Fertiliser_SourceData.Fertiliser_Products_Data5(),FertiliserProducts[[#Headers],[Company]], 121)</f>
        <v/>
      </c>
      <c r="AA220" s="188" t="str" cm="1">
        <f t="array" ref="AA220">Common_InputFunctions.Utility_DisplayArrayInTable(Fertiliser_SourceData.Fertiliser_Products_Data5(),FertiliserProducts[[#Headers],[Company]], 121)</f>
        <v/>
      </c>
      <c r="AB220" s="188" t="str" cm="1">
        <f t="array" ref="AB220">Common_InputFunctions.Utility_DisplayArrayInTable(Fertiliser_SourceData.Fertiliser_Products_Data5(),FertiliserProducts[[#Headers],[Company]], 121)</f>
        <v/>
      </c>
      <c r="AC220" s="188" t="str" cm="1">
        <f t="array" ref="AC220">Common_InputFunctions.Utility_DisplayArrayInTable(Fertiliser_SourceData.Fertiliser_Products_Data5(),FertiliserProducts[[#Headers],[Company]], 121)</f>
        <v/>
      </c>
      <c r="AD220" s="188" t="str" cm="1">
        <f t="array" ref="AD220">Common_InputFunctions.Utility_DisplayArrayInTable(Fertiliser_SourceData.Fertiliser_Products_Data5(),FertiliserProducts[[#Headers],[Company]], 121)</f>
        <v/>
      </c>
      <c r="AE220" s="188" t="str" cm="1">
        <f t="array" ref="AE220">Common_InputFunctions.Utility_DisplayArrayInTable(Fertiliser_SourceData.Fertiliser_Products_Data5(),FertiliserProducts[[#Headers],[Company]], 121)</f>
        <v/>
      </c>
      <c r="AF220" s="188" t="str" cm="1">
        <f t="array" ref="AF220">Common_InputFunctions.Utility_DisplayArrayInTable(Fertiliser_SourceData.Fertiliser_Products_Data5(),FertiliserProducts[[#Headers],[Company]], 121)</f>
        <v/>
      </c>
      <c r="AG220" s="188" t="str" cm="1">
        <f t="array" ref="AG220">Common_InputFunctions.Utility_DisplayArrayInTable(Fertiliser_SourceData.Fertiliser_Products_Data5(),FertiliserProducts[[#Headers],[Company]], 121)</f>
        <v/>
      </c>
      <c r="AH220" s="188" t="str" cm="1">
        <f t="array" ref="AH220">Common_InputFunctions.Utility_DisplayArrayInTable(Fertiliser_SourceData.Fertiliser_Products_Data5(),FertiliserProducts[[#Headers],[Company]], 121)</f>
        <v/>
      </c>
    </row>
    <row r="221" spans="4:34" x14ac:dyDescent="0.25">
      <c r="D221" s="188" t="str" cm="1">
        <f t="array" ref="D221">Common_InputFunctions.Utility_DisplayArrayInTable(Fertiliser_SourceData.Fertiliser_Products_Data5(),FertiliserProducts[[#Headers],[Company]], 121)</f>
        <v>CSBP</v>
      </c>
      <c r="E221" s="188" t="str" cm="1">
        <f t="array" ref="E221">Common_InputFunctions.Utility_DisplayArrayInTable(Fertiliser_SourceData.Fertiliser_Products_Data5(),FertiliserProducts[[#Headers],[Company]], 121)</f>
        <v>Agras Extra</v>
      </c>
      <c r="F221" s="188" t="str" cm="1">
        <f t="array" ref="F221">Common_InputFunctions.Utility_DisplayArrayInTable(Fertiliser_SourceData.Fertiliser_Products_Data5(),FertiliserProducts[[#Headers],[Company]], 121)</f>
        <v>kg</v>
      </c>
      <c r="G221" s="188" cm="1">
        <f t="array" ref="G221">Common_InputFunctions.Utility_DisplayArrayInTable(Fertiliser_SourceData.Fertiliser_Products_Data5(),FertiliserProducts[[#Headers],[Company]], 121)</f>
        <v>1</v>
      </c>
      <c r="H221" s="188" t="str" cm="1">
        <f t="array" ref="H221">Common_InputFunctions.Utility_DisplayArrayInTable(Fertiliser_SourceData.Fertiliser_Products_Data5(),FertiliserProducts[[#Headers],[Company]], 121)</f>
        <v/>
      </c>
      <c r="I221" s="188" t="str" cm="1">
        <f t="array" ref="I221">Common_InputFunctions.Utility_DisplayArrayInTable(Fertiliser_SourceData.Fertiliser_Products_Data5(),FertiliserProducts[[#Headers],[Company]], 121)</f>
        <v/>
      </c>
      <c r="J221" s="188" t="str" cm="1">
        <f t="array" ref="J221">Common_InputFunctions.Utility_DisplayArrayInTable(Fertiliser_SourceData.Fertiliser_Products_Data5(),FertiliserProducts[[#Headers],[Company]], 121)</f>
        <v/>
      </c>
      <c r="K221" s="188" cm="1">
        <f t="array" ref="K221">Common_InputFunctions.Utility_DisplayArrayInTable(Fertiliser_SourceData.Fertiliser_Products_Data5(),FertiliserProducts[[#Headers],[Company]], 121)</f>
        <v>16.95</v>
      </c>
      <c r="L221" s="188" cm="1">
        <f t="array" ref="L221">Common_InputFunctions.Utility_DisplayArrayInTable(Fertiliser_SourceData.Fertiliser_Products_Data5(),FertiliserProducts[[#Headers],[Company]], 121)</f>
        <v>8.06</v>
      </c>
      <c r="M221" s="188" t="str" cm="1">
        <f t="array" ref="M221">Common_InputFunctions.Utility_DisplayArrayInTable(Fertiliser_SourceData.Fertiliser_Products_Data5(),FertiliserProducts[[#Headers],[Company]], 121)</f>
        <v/>
      </c>
      <c r="N221" s="188" cm="1">
        <f t="array" ref="N221">Common_InputFunctions.Utility_DisplayArrayInTable(Fertiliser_SourceData.Fertiliser_Products_Data5(),FertiliserProducts[[#Headers],[Company]], 121)</f>
        <v>15.17</v>
      </c>
      <c r="O221" s="188" t="str" cm="1">
        <f t="array" ref="O221">Common_InputFunctions.Utility_DisplayArrayInTable(Fertiliser_SourceData.Fertiliser_Products_Data5(),FertiliserProducts[[#Headers],[Company]], 121)</f>
        <v>Sulphate of ammonia (SOA)</v>
      </c>
      <c r="P221" s="188" cm="1">
        <f t="array" ref="P221">Common_InputFunctions.Utility_DisplayArrayInTable(Fertiliser_SourceData.Fertiliser_Products_Data5(),FertiliserProducts[[#Headers],[Company]], 121)</f>
        <v>0.63200000000000001</v>
      </c>
      <c r="Q221" s="188" t="str" cm="1">
        <f t="array" ref="Q221">Common_InputFunctions.Utility_DisplayArrayInTable(Fertiliser_SourceData.Fertiliser_Products_Data5(),FertiliserProducts[[#Headers],[Company]], 121)</f>
        <v>Monoammonium phosphate (MAP)</v>
      </c>
      <c r="R221" s="188" cm="1">
        <f t="array" ref="R221">Common_InputFunctions.Utility_DisplayArrayInTable(Fertiliser_SourceData.Fertiliser_Products_Data5(),FertiliserProducts[[#Headers],[Company]], 121)</f>
        <v>0.36799999999999999</v>
      </c>
      <c r="S221" s="188" t="str" cm="1">
        <f t="array" ref="S221">Common_InputFunctions.Utility_DisplayArrayInTable(Fertiliser_SourceData.Fertiliser_Products_Data5(),FertiliserProducts[[#Headers],[Company]], 121)</f>
        <v>Zinc</v>
      </c>
      <c r="T221" s="188" t="str" cm="1">
        <f t="array" ref="T221">Common_InputFunctions.Utility_DisplayArrayInTable(Fertiliser_SourceData.Fertiliser_Products_Data5(),FertiliserProducts[[#Headers],[Company]], 121)</f>
        <v>No data</v>
      </c>
      <c r="U221" s="188" t="str" cm="1">
        <f t="array" ref="U221">Common_InputFunctions.Utility_DisplayArrayInTable(Fertiliser_SourceData.Fertiliser_Products_Data5(),FertiliserProducts[[#Headers],[Company]], 121)</f>
        <v>Copper</v>
      </c>
      <c r="V221" s="188" t="str" cm="1">
        <f t="array" ref="V221">Common_InputFunctions.Utility_DisplayArrayInTable(Fertiliser_SourceData.Fertiliser_Products_Data5(),FertiliserProducts[[#Headers],[Company]], 121)</f>
        <v>No data</v>
      </c>
      <c r="W221" s="188" t="str" cm="1">
        <f t="array" ref="W221">Common_InputFunctions.Utility_DisplayArrayInTable(Fertiliser_SourceData.Fertiliser_Products_Data5(),FertiliserProducts[[#Headers],[Company]], 121)</f>
        <v>Molybdenum</v>
      </c>
      <c r="X221" s="188" t="str" cm="1">
        <f t="array" ref="X221">Common_InputFunctions.Utility_DisplayArrayInTable(Fertiliser_SourceData.Fertiliser_Products_Data5(),FertiliserProducts[[#Headers],[Company]], 121)</f>
        <v>No data</v>
      </c>
      <c r="Y221" s="188" t="str" cm="1">
        <f t="array" ref="Y221">Common_InputFunctions.Utility_DisplayArrayInTable(Fertiliser_SourceData.Fertiliser_Products_Data5(),FertiliserProducts[[#Headers],[Company]], 121)</f>
        <v>Cobalt</v>
      </c>
      <c r="Z221" s="188" t="str" cm="1">
        <f t="array" ref="Z221">Common_InputFunctions.Utility_DisplayArrayInTable(Fertiliser_SourceData.Fertiliser_Products_Data5(),FertiliserProducts[[#Headers],[Company]], 121)</f>
        <v>No data</v>
      </c>
      <c r="AA221" s="188" t="str" cm="1">
        <f t="array" ref="AA221">Common_InputFunctions.Utility_DisplayArrayInTable(Fertiliser_SourceData.Fertiliser_Products_Data5(),FertiliserProducts[[#Headers],[Company]], 121)</f>
        <v/>
      </c>
      <c r="AB221" s="188" t="str" cm="1">
        <f t="array" ref="AB221">Common_InputFunctions.Utility_DisplayArrayInTable(Fertiliser_SourceData.Fertiliser_Products_Data5(),FertiliserProducts[[#Headers],[Company]], 121)</f>
        <v/>
      </c>
      <c r="AC221" s="188" t="str" cm="1">
        <f t="array" ref="AC221">Common_InputFunctions.Utility_DisplayArrayInTable(Fertiliser_SourceData.Fertiliser_Products_Data5(),FertiliserProducts[[#Headers],[Company]], 121)</f>
        <v/>
      </c>
      <c r="AD221" s="188" t="str" cm="1">
        <f t="array" ref="AD221">Common_InputFunctions.Utility_DisplayArrayInTable(Fertiliser_SourceData.Fertiliser_Products_Data5(),FertiliserProducts[[#Headers],[Company]], 121)</f>
        <v/>
      </c>
      <c r="AE221" s="188" t="str" cm="1">
        <f t="array" ref="AE221">Common_InputFunctions.Utility_DisplayArrayInTable(Fertiliser_SourceData.Fertiliser_Products_Data5(),FertiliserProducts[[#Headers],[Company]], 121)</f>
        <v/>
      </c>
      <c r="AF221" s="188" t="str" cm="1">
        <f t="array" ref="AF221">Common_InputFunctions.Utility_DisplayArrayInTable(Fertiliser_SourceData.Fertiliser_Products_Data5(),FertiliserProducts[[#Headers],[Company]], 121)</f>
        <v/>
      </c>
      <c r="AG221" s="188" t="str" cm="1">
        <f t="array" ref="AG221">Common_InputFunctions.Utility_DisplayArrayInTable(Fertiliser_SourceData.Fertiliser_Products_Data5(),FertiliserProducts[[#Headers],[Company]], 121)</f>
        <v/>
      </c>
      <c r="AH221" s="188" t="str" cm="1">
        <f t="array" ref="AH221">Common_InputFunctions.Utility_DisplayArrayInTable(Fertiliser_SourceData.Fertiliser_Products_Data5(),FertiliserProducts[[#Headers],[Company]], 121)</f>
        <v/>
      </c>
    </row>
    <row r="222" spans="4:34" x14ac:dyDescent="0.25">
      <c r="D222" s="188" t="str" cm="1">
        <f t="array" ref="D222">Common_InputFunctions.Utility_DisplayArrayInTable(Fertiliser_SourceData.Fertiliser_Products_Data5(),FertiliserProducts[[#Headers],[Company]], 121)</f>
        <v>CSBP</v>
      </c>
      <c r="E222" s="188" t="str" cm="1">
        <f t="array" ref="E222">Common_InputFunctions.Utility_DisplayArrayInTable(Fertiliser_SourceData.Fertiliser_Products_Data5(),FertiliserProducts[[#Headers],[Company]], 121)</f>
        <v>Super Copper Zinc Moly</v>
      </c>
      <c r="F222" s="188" t="str" cm="1">
        <f t="array" ref="F222">Common_InputFunctions.Utility_DisplayArrayInTable(Fertiliser_SourceData.Fertiliser_Products_Data5(),FertiliserProducts[[#Headers],[Company]], 121)</f>
        <v>kg</v>
      </c>
      <c r="G222" s="188" cm="1">
        <f t="array" ref="G222">Common_InputFunctions.Utility_DisplayArrayInTable(Fertiliser_SourceData.Fertiliser_Products_Data5(),FertiliserProducts[[#Headers],[Company]], 121)</f>
        <v>1</v>
      </c>
      <c r="H222" s="188" t="str" cm="1">
        <f t="array" ref="H222">Common_InputFunctions.Utility_DisplayArrayInTable(Fertiliser_SourceData.Fertiliser_Products_Data5(),FertiliserProducts[[#Headers],[Company]], 121)</f>
        <v/>
      </c>
      <c r="I222" s="188" t="str" cm="1">
        <f t="array" ref="I222">Common_InputFunctions.Utility_DisplayArrayInTable(Fertiliser_SourceData.Fertiliser_Products_Data5(),FertiliserProducts[[#Headers],[Company]], 121)</f>
        <v/>
      </c>
      <c r="J222" s="188" t="str" cm="1">
        <f t="array" ref="J222">Common_InputFunctions.Utility_DisplayArrayInTable(Fertiliser_SourceData.Fertiliser_Products_Data5(),FertiliserProducts[[#Headers],[Company]], 121)</f>
        <v/>
      </c>
      <c r="K222" s="188" t="str" cm="1">
        <f t="array" ref="K222">Common_InputFunctions.Utility_DisplayArrayInTable(Fertiliser_SourceData.Fertiliser_Products_Data5(),FertiliserProducts[[#Headers],[Company]], 121)</f>
        <v/>
      </c>
      <c r="L222" s="188" cm="1">
        <f t="array" ref="L222">Common_InputFunctions.Utility_DisplayArrayInTable(Fertiliser_SourceData.Fertiliser_Products_Data5(),FertiliserProducts[[#Headers],[Company]], 121)</f>
        <v>8.8000000000000007</v>
      </c>
      <c r="M222" s="188" t="str" cm="1">
        <f t="array" ref="M222">Common_InputFunctions.Utility_DisplayArrayInTable(Fertiliser_SourceData.Fertiliser_Products_Data5(),FertiliserProducts[[#Headers],[Company]], 121)</f>
        <v/>
      </c>
      <c r="N222" s="188" cm="1">
        <f t="array" ref="N222">Common_InputFunctions.Utility_DisplayArrayInTable(Fertiliser_SourceData.Fertiliser_Products_Data5(),FertiliserProducts[[#Headers],[Company]], 121)</f>
        <v>11</v>
      </c>
      <c r="O222" s="188" t="str" cm="1">
        <f t="array" ref="O222">Common_InputFunctions.Utility_DisplayArrayInTable(Fertiliser_SourceData.Fertiliser_Products_Data5(),FertiliserProducts[[#Headers],[Company]], 121)</f>
        <v>Single superphosphate (SSP)</v>
      </c>
      <c r="P222" s="188" cm="1">
        <f t="array" ref="P222">Common_InputFunctions.Utility_DisplayArrayInTable(Fertiliser_SourceData.Fertiliser_Products_Data5(),FertiliserProducts[[#Headers],[Company]], 121)</f>
        <v>1</v>
      </c>
      <c r="Q222" s="188" t="str" cm="1">
        <f t="array" ref="Q222">Common_InputFunctions.Utility_DisplayArrayInTable(Fertiliser_SourceData.Fertiliser_Products_Data5(),FertiliserProducts[[#Headers],[Company]], 121)</f>
        <v>Copper</v>
      </c>
      <c r="R222" s="188" cm="1">
        <f t="array" ref="R222">Common_InputFunctions.Utility_DisplayArrayInTable(Fertiliser_SourceData.Fertiliser_Products_Data5(),FertiliserProducts[[#Headers],[Company]], 121)</f>
        <v>6.0000000000000001E-3</v>
      </c>
      <c r="S222" s="188" t="str" cm="1">
        <f t="array" ref="S222">Common_InputFunctions.Utility_DisplayArrayInTable(Fertiliser_SourceData.Fertiliser_Products_Data5(),FertiliserProducts[[#Headers],[Company]], 121)</f>
        <v>Zinc</v>
      </c>
      <c r="T222" s="188" cm="1">
        <f t="array" ref="T222">Common_InputFunctions.Utility_DisplayArrayInTable(Fertiliser_SourceData.Fertiliser_Products_Data5(),FertiliserProducts[[#Headers],[Company]], 121)</f>
        <v>3.0000000000000001E-3</v>
      </c>
      <c r="U222" s="188" t="str" cm="1">
        <f t="array" ref="U222">Common_InputFunctions.Utility_DisplayArrayInTable(Fertiliser_SourceData.Fertiliser_Products_Data5(),FertiliserProducts[[#Headers],[Company]], 121)</f>
        <v>Molybdenum</v>
      </c>
      <c r="V222" s="188" cm="1">
        <f t="array" ref="V222">Common_InputFunctions.Utility_DisplayArrayInTable(Fertiliser_SourceData.Fertiliser_Products_Data5(),FertiliserProducts[[#Headers],[Company]], 121)</f>
        <v>5.9999999999999995E-4</v>
      </c>
      <c r="W222" s="188" t="str" cm="1">
        <f t="array" ref="W222">Common_InputFunctions.Utility_DisplayArrayInTable(Fertiliser_SourceData.Fertiliser_Products_Data5(),FertiliserProducts[[#Headers],[Company]], 121)</f>
        <v/>
      </c>
      <c r="X222" s="188" t="str" cm="1">
        <f t="array" ref="X222">Common_InputFunctions.Utility_DisplayArrayInTable(Fertiliser_SourceData.Fertiliser_Products_Data5(),FertiliserProducts[[#Headers],[Company]], 121)</f>
        <v/>
      </c>
      <c r="Y222" s="188" t="str" cm="1">
        <f t="array" ref="Y222">Common_InputFunctions.Utility_DisplayArrayInTable(Fertiliser_SourceData.Fertiliser_Products_Data5(),FertiliserProducts[[#Headers],[Company]], 121)</f>
        <v/>
      </c>
      <c r="Z222" s="188" t="str" cm="1">
        <f t="array" ref="Z222">Common_InputFunctions.Utility_DisplayArrayInTable(Fertiliser_SourceData.Fertiliser_Products_Data5(),FertiliserProducts[[#Headers],[Company]], 121)</f>
        <v/>
      </c>
      <c r="AA222" s="188" t="str" cm="1">
        <f t="array" ref="AA222">Common_InputFunctions.Utility_DisplayArrayInTable(Fertiliser_SourceData.Fertiliser_Products_Data5(),FertiliserProducts[[#Headers],[Company]], 121)</f>
        <v/>
      </c>
      <c r="AB222" s="188" t="str" cm="1">
        <f t="array" ref="AB222">Common_InputFunctions.Utility_DisplayArrayInTable(Fertiliser_SourceData.Fertiliser_Products_Data5(),FertiliserProducts[[#Headers],[Company]], 121)</f>
        <v/>
      </c>
      <c r="AC222" s="188" t="str" cm="1">
        <f t="array" ref="AC222">Common_InputFunctions.Utility_DisplayArrayInTable(Fertiliser_SourceData.Fertiliser_Products_Data5(),FertiliserProducts[[#Headers],[Company]], 121)</f>
        <v/>
      </c>
      <c r="AD222" s="188" t="str" cm="1">
        <f t="array" ref="AD222">Common_InputFunctions.Utility_DisplayArrayInTable(Fertiliser_SourceData.Fertiliser_Products_Data5(),FertiliserProducts[[#Headers],[Company]], 121)</f>
        <v/>
      </c>
      <c r="AE222" s="188" t="str" cm="1">
        <f t="array" ref="AE222">Common_InputFunctions.Utility_DisplayArrayInTable(Fertiliser_SourceData.Fertiliser_Products_Data5(),FertiliserProducts[[#Headers],[Company]], 121)</f>
        <v/>
      </c>
      <c r="AF222" s="188" t="str" cm="1">
        <f t="array" ref="AF222">Common_InputFunctions.Utility_DisplayArrayInTable(Fertiliser_SourceData.Fertiliser_Products_Data5(),FertiliserProducts[[#Headers],[Company]], 121)</f>
        <v/>
      </c>
      <c r="AG222" s="188" t="str" cm="1">
        <f t="array" ref="AG222">Common_InputFunctions.Utility_DisplayArrayInTable(Fertiliser_SourceData.Fertiliser_Products_Data5(),FertiliserProducts[[#Headers],[Company]], 121)</f>
        <v/>
      </c>
      <c r="AH222" s="188" t="str" cm="1">
        <f t="array" ref="AH222">Common_InputFunctions.Utility_DisplayArrayInTable(Fertiliser_SourceData.Fertiliser_Products_Data5(),FertiliserProducts[[#Headers],[Company]], 121)</f>
        <v/>
      </c>
    </row>
    <row r="223" spans="4:34" x14ac:dyDescent="0.25">
      <c r="D223" s="188" t="str" cm="1">
        <f t="array" ref="D223">Common_InputFunctions.Utility_DisplayArrayInTable(Fertiliser_SourceData.Fertiliser_Products_Data5(),FertiliserProducts[[#Headers],[Company]], 121)</f>
        <v>CSBP</v>
      </c>
      <c r="E223" s="188" t="str" cm="1">
        <f t="array" ref="E223">Common_InputFunctions.Utility_DisplayArrayInTable(Fertiliser_SourceData.Fertiliser_Products_Data5(),FertiliserProducts[[#Headers],[Company]], 121)</f>
        <v>Flexi-N</v>
      </c>
      <c r="F223" s="188" t="str" cm="1">
        <f t="array" ref="F223">Common_InputFunctions.Utility_DisplayArrayInTable(Fertiliser_SourceData.Fertiliser_Products_Data5(),FertiliserProducts[[#Headers],[Company]], 121)</f>
        <v>L</v>
      </c>
      <c r="G223" s="188" cm="1">
        <f t="array" ref="G223">Common_InputFunctions.Utility_DisplayArrayInTable(Fertiliser_SourceData.Fertiliser_Products_Data5(),FertiliserProducts[[#Headers],[Company]], 121)</f>
        <v>1.32</v>
      </c>
      <c r="H223" s="188" t="str" cm="1">
        <f t="array" ref="H223">Common_InputFunctions.Utility_DisplayArrayInTable(Fertiliser_SourceData.Fertiliser_Products_Data5(),FertiliserProducts[[#Headers],[Company]], 121)</f>
        <v/>
      </c>
      <c r="I223" s="188" t="str" cm="1">
        <f t="array" ref="I223">Common_InputFunctions.Utility_DisplayArrayInTable(Fertiliser_SourceData.Fertiliser_Products_Data5(),FertiliserProducts[[#Headers],[Company]], 121)</f>
        <v/>
      </c>
      <c r="J223" s="188" t="str" cm="1">
        <f t="array" ref="J223">Common_InputFunctions.Utility_DisplayArrayInTable(Fertiliser_SourceData.Fertiliser_Products_Data5(),FertiliserProducts[[#Headers],[Company]], 121)</f>
        <v/>
      </c>
      <c r="K223" s="188" cm="1">
        <f t="array" ref="K223">Common_InputFunctions.Utility_DisplayArrayInTable(Fertiliser_SourceData.Fertiliser_Products_Data5(),FertiliserProducts[[#Headers],[Company]], 121)</f>
        <v>32</v>
      </c>
      <c r="L223" s="188" t="str" cm="1">
        <f t="array" ref="L223">Common_InputFunctions.Utility_DisplayArrayInTable(Fertiliser_SourceData.Fertiliser_Products_Data5(),FertiliserProducts[[#Headers],[Company]], 121)</f>
        <v/>
      </c>
      <c r="M223" s="188" t="str" cm="1">
        <f t="array" ref="M223">Common_InputFunctions.Utility_DisplayArrayInTable(Fertiliser_SourceData.Fertiliser_Products_Data5(),FertiliserProducts[[#Headers],[Company]], 121)</f>
        <v/>
      </c>
      <c r="N223" s="188" t="str" cm="1">
        <f t="array" ref="N223">Common_InputFunctions.Utility_DisplayArrayInTable(Fertiliser_SourceData.Fertiliser_Products_Data5(),FertiliserProducts[[#Headers],[Company]], 121)</f>
        <v/>
      </c>
      <c r="O223" s="188" t="str" cm="1">
        <f t="array" ref="O223">Common_InputFunctions.Utility_DisplayArrayInTable(Fertiliser_SourceData.Fertiliser_Products_Data5(),FertiliserProducts[[#Headers],[Company]], 121)</f>
        <v>Urea-ammonium nitrate (UAN)</v>
      </c>
      <c r="P223" s="188" cm="1">
        <f t="array" ref="P223">Common_InputFunctions.Utility_DisplayArrayInTable(Fertiliser_SourceData.Fertiliser_Products_Data5(),FertiliserProducts[[#Headers],[Company]], 121)</f>
        <v>1</v>
      </c>
      <c r="Q223" s="188" t="str" cm="1">
        <f t="array" ref="Q223">Common_InputFunctions.Utility_DisplayArrayInTable(Fertiliser_SourceData.Fertiliser_Products_Data5(),FertiliserProducts[[#Headers],[Company]], 121)</f>
        <v/>
      </c>
      <c r="R223" s="188" t="str" cm="1">
        <f t="array" ref="R223">Common_InputFunctions.Utility_DisplayArrayInTable(Fertiliser_SourceData.Fertiliser_Products_Data5(),FertiliserProducts[[#Headers],[Company]], 121)</f>
        <v/>
      </c>
      <c r="S223" s="188" t="str" cm="1">
        <f t="array" ref="S223">Common_InputFunctions.Utility_DisplayArrayInTable(Fertiliser_SourceData.Fertiliser_Products_Data5(),FertiliserProducts[[#Headers],[Company]], 121)</f>
        <v/>
      </c>
      <c r="T223" s="188" t="str" cm="1">
        <f t="array" ref="T223">Common_InputFunctions.Utility_DisplayArrayInTable(Fertiliser_SourceData.Fertiliser_Products_Data5(),FertiliserProducts[[#Headers],[Company]], 121)</f>
        <v/>
      </c>
      <c r="U223" s="188" t="str" cm="1">
        <f t="array" ref="U223">Common_InputFunctions.Utility_DisplayArrayInTable(Fertiliser_SourceData.Fertiliser_Products_Data5(),FertiliserProducts[[#Headers],[Company]], 121)</f>
        <v/>
      </c>
      <c r="V223" s="188" t="str" cm="1">
        <f t="array" ref="V223">Common_InputFunctions.Utility_DisplayArrayInTable(Fertiliser_SourceData.Fertiliser_Products_Data5(),FertiliserProducts[[#Headers],[Company]], 121)</f>
        <v/>
      </c>
      <c r="W223" s="188" t="str" cm="1">
        <f t="array" ref="W223">Common_InputFunctions.Utility_DisplayArrayInTable(Fertiliser_SourceData.Fertiliser_Products_Data5(),FertiliserProducts[[#Headers],[Company]], 121)</f>
        <v/>
      </c>
      <c r="X223" s="188" t="str" cm="1">
        <f t="array" ref="X223">Common_InputFunctions.Utility_DisplayArrayInTable(Fertiliser_SourceData.Fertiliser_Products_Data5(),FertiliserProducts[[#Headers],[Company]], 121)</f>
        <v/>
      </c>
      <c r="Y223" s="188" t="str" cm="1">
        <f t="array" ref="Y223">Common_InputFunctions.Utility_DisplayArrayInTable(Fertiliser_SourceData.Fertiliser_Products_Data5(),FertiliserProducts[[#Headers],[Company]], 121)</f>
        <v/>
      </c>
      <c r="Z223" s="188" t="str" cm="1">
        <f t="array" ref="Z223">Common_InputFunctions.Utility_DisplayArrayInTable(Fertiliser_SourceData.Fertiliser_Products_Data5(),FertiliserProducts[[#Headers],[Company]], 121)</f>
        <v/>
      </c>
      <c r="AA223" s="188" t="str" cm="1">
        <f t="array" ref="AA223">Common_InputFunctions.Utility_DisplayArrayInTable(Fertiliser_SourceData.Fertiliser_Products_Data5(),FertiliserProducts[[#Headers],[Company]], 121)</f>
        <v/>
      </c>
      <c r="AB223" s="188" t="str" cm="1">
        <f t="array" ref="AB223">Common_InputFunctions.Utility_DisplayArrayInTable(Fertiliser_SourceData.Fertiliser_Products_Data5(),FertiliserProducts[[#Headers],[Company]], 121)</f>
        <v/>
      </c>
      <c r="AC223" s="188" t="str" cm="1">
        <f t="array" ref="AC223">Common_InputFunctions.Utility_DisplayArrayInTable(Fertiliser_SourceData.Fertiliser_Products_Data5(),FertiliserProducts[[#Headers],[Company]], 121)</f>
        <v/>
      </c>
      <c r="AD223" s="188" t="str" cm="1">
        <f t="array" ref="AD223">Common_InputFunctions.Utility_DisplayArrayInTable(Fertiliser_SourceData.Fertiliser_Products_Data5(),FertiliserProducts[[#Headers],[Company]], 121)</f>
        <v/>
      </c>
      <c r="AE223" s="188" t="str" cm="1">
        <f t="array" ref="AE223">Common_InputFunctions.Utility_DisplayArrayInTable(Fertiliser_SourceData.Fertiliser_Products_Data5(),FertiliserProducts[[#Headers],[Company]], 121)</f>
        <v/>
      </c>
      <c r="AF223" s="188" t="str" cm="1">
        <f t="array" ref="AF223">Common_InputFunctions.Utility_DisplayArrayInTable(Fertiliser_SourceData.Fertiliser_Products_Data5(),FertiliserProducts[[#Headers],[Company]], 121)</f>
        <v/>
      </c>
      <c r="AG223" s="188" t="str" cm="1">
        <f t="array" ref="AG223">Common_InputFunctions.Utility_DisplayArrayInTable(Fertiliser_SourceData.Fertiliser_Products_Data5(),FertiliserProducts[[#Headers],[Company]], 121)</f>
        <v/>
      </c>
      <c r="AH223" s="188"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A8BC6-42C3-4D20-A2D5-19EBC519B77D}">
  <dimension ref="A1:AI165"/>
  <sheetViews>
    <sheetView showGridLines="0" topLeftCell="A138"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850</v>
      </c>
      <c r="AG1"/>
      <c r="AH1"/>
      <c r="AI1"/>
    </row>
    <row r="2" spans="1:35" s="3" customFormat="1" ht="20.100000000000001" customHeight="1" x14ac:dyDescent="0.25">
      <c r="A2"/>
      <c r="AG2"/>
      <c r="AH2"/>
      <c r="AI2"/>
    </row>
    <row r="3" spans="1:35" ht="20.100000000000001" customHeight="1" x14ac:dyDescent="0.25">
      <c r="A3" s="5"/>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row>
    <row r="5" spans="1:35" ht="20.100000000000001" customHeight="1" x14ac:dyDescent="0.25">
      <c r="A5" s="5"/>
      <c r="D5" s="2" t="str" cm="1">
        <f t="array" ref="D5">Fuel_SourceData.Fuel_Scope1Scope3EmissionFactorsTransport_Title()</f>
        <v>Fuel scope 1 and 3 emission factors - Transport</v>
      </c>
      <c r="E5" s="179"/>
      <c r="F5" s="179"/>
      <c r="G5" s="179"/>
      <c r="H5" s="179"/>
      <c r="I5" s="179"/>
      <c r="J5" s="179"/>
      <c r="K5" s="179"/>
      <c r="L5" s="17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9"/>
      <c r="F6" s="179"/>
      <c r="G6" s="179"/>
      <c r="H6" s="179"/>
      <c r="I6" s="179"/>
      <c r="J6" s="179"/>
      <c r="K6" s="179"/>
      <c r="L6" s="179"/>
    </row>
    <row r="7" spans="1:35" ht="20.100000000000001" customHeight="1" x14ac:dyDescent="0.25">
      <c r="D7" s="27" t="str" cm="1">
        <f t="array" ref="D7">Fuel_SourceData.Fuel_Scope1Scope3EmissionFactorsTransport_Source()</f>
        <v>Australian National Greenhouse Accounts Factors 2025 - Table 9</v>
      </c>
      <c r="E7" s="179"/>
      <c r="F7" s="179"/>
      <c r="G7" s="179"/>
      <c r="H7" s="179"/>
      <c r="I7" s="179"/>
      <c r="J7" s="179"/>
      <c r="K7" s="179"/>
      <c r="L7" s="179"/>
    </row>
    <row r="8" spans="1:35" ht="20.100000000000001" customHeight="1" x14ac:dyDescent="0.25">
      <c r="A8" s="7"/>
      <c r="D8" s="36" t="str" cm="1">
        <f t="array" ref="D8">"⚠️" &amp; Fuel_SourceData.Fuel_Scope1Scope3EmissionFactorsTransport_Variation()</f>
        <v>⚠️VARIATION OF SOURCE DATA: 'NE' values returned as zero for calculations.</v>
      </c>
      <c r="E8" s="179"/>
      <c r="F8" s="179"/>
      <c r="G8" s="179"/>
      <c r="H8" s="179"/>
      <c r="I8" s="179"/>
      <c r="J8" s="179"/>
      <c r="K8" s="179"/>
      <c r="L8" s="179"/>
    </row>
    <row r="9" spans="1:35" ht="20.100000000000001" customHeight="1" x14ac:dyDescent="0.25">
      <c r="A9" s="5"/>
      <c r="D9" s="228" t="s">
        <v>851</v>
      </c>
      <c r="E9" s="228" t="s">
        <v>852</v>
      </c>
      <c r="F9" s="228" t="s">
        <v>853</v>
      </c>
      <c r="G9" s="228" t="s">
        <v>854</v>
      </c>
      <c r="H9" s="228" t="s">
        <v>855</v>
      </c>
      <c r="I9" s="228" t="s">
        <v>856</v>
      </c>
      <c r="J9" s="228" t="s">
        <v>857</v>
      </c>
      <c r="K9" s="228" t="s">
        <v>858</v>
      </c>
      <c r="L9" s="228" t="s">
        <v>859</v>
      </c>
    </row>
    <row r="10" spans="1:35" ht="20.100000000000001" customHeight="1" x14ac:dyDescent="0.25">
      <c r="A10" s="5"/>
      <c r="D10" s="229" t="str" cm="1">
        <f t="array" ref="D10">Common_InputFunctions.Utility_DisplayArrayInTable(Fuel_SourceData.Fuel_Scope1Scope3EmissionFactorsTransport_Data(), Table_Fuel_EFs_Transport[[#Headers],[Transport type]], 0)</f>
        <v>Cars and light commercial vehicles</v>
      </c>
      <c r="E10" s="229" t="str" cm="1">
        <f t="array" ref="E10">Common_InputFunctions.Utility_DisplayArrayInTable(Fuel_SourceData.Fuel_Scope1Scope3EmissionFactorsTransport_Data(), Table_Fuel_EFs_Transport[[#Headers],[Transport type]], 0)</f>
        <v>Gasoline</v>
      </c>
      <c r="F10" s="229" cm="1">
        <f t="array" ref="F10">Common_InputFunctions.Utility_DisplayArrayInTable(Fuel_SourceData.Fuel_Scope1Scope3EmissionFactorsTransport_Data(), Table_Fuel_EFs_Transport[[#Headers],[Transport type]], 0)</f>
        <v>34.200000000000003</v>
      </c>
      <c r="G10" s="229" t="str" cm="1">
        <f t="array" ref="G10">Common_InputFunctions.Utility_DisplayArrayInTable(Fuel_SourceData.Fuel_Scope1Scope3EmissionFactorsTransport_Data(), Table_Fuel_EFs_Transport[[#Headers],[Transport type]], 0)</f>
        <v>kl</v>
      </c>
      <c r="H10" s="229" cm="1">
        <f t="array" ref="H10">Common_InputFunctions.Utility_DisplayArrayInTable(Fuel_SourceData.Fuel_Scope1Scope3EmissionFactorsTransport_Data(), Table_Fuel_EFs_Transport[[#Headers],[Transport type]], 0)</f>
        <v>67.400000000000006</v>
      </c>
      <c r="I10" s="229" cm="1">
        <f t="array" ref="I10">Common_InputFunctions.Utility_DisplayArrayInTable(Fuel_SourceData.Fuel_Scope1Scope3EmissionFactorsTransport_Data(), Table_Fuel_EFs_Transport[[#Headers],[Transport type]], 0)</f>
        <v>0.02</v>
      </c>
      <c r="J10" s="229" cm="1">
        <f t="array" ref="J10">Common_InputFunctions.Utility_DisplayArrayInTable(Fuel_SourceData.Fuel_Scope1Scope3EmissionFactorsTransport_Data(), Table_Fuel_EFs_Transport[[#Headers],[Transport type]], 0)</f>
        <v>0.2</v>
      </c>
      <c r="K10" s="229" cm="1">
        <f t="array" ref="K10">Common_InputFunctions.Utility_DisplayArrayInTable(Fuel_SourceData.Fuel_Scope1Scope3EmissionFactorsTransport_Data(), Table_Fuel_EFs_Transport[[#Headers],[Transport type]], 0)</f>
        <v>67.62</v>
      </c>
      <c r="L10" s="229" cm="1">
        <f t="array" ref="L10">Common_InputFunctions.Utility_DisplayArrayInTable(Fuel_SourceData.Fuel_Scope1Scope3EmissionFactorsTransport_Data(), Table_Fuel_EFs_Transport[[#Headers],[Transport type]], 0)</f>
        <v>17.2</v>
      </c>
    </row>
    <row r="11" spans="1:35" ht="20.100000000000001" customHeight="1" x14ac:dyDescent="0.25">
      <c r="A11" s="5"/>
      <c r="D11" s="229" t="str" cm="1">
        <f t="array" ref="D11">Common_InputFunctions.Utility_DisplayArrayInTable(Fuel_SourceData.Fuel_Scope1Scope3EmissionFactorsTransport_Data(), Table_Fuel_EFs_Transport[[#Headers],[Transport type]], 0)</f>
        <v>Cars and light commercial vehicles</v>
      </c>
      <c r="E11" s="229" t="str" cm="1">
        <f t="array" ref="E11">Common_InputFunctions.Utility_DisplayArrayInTable(Fuel_SourceData.Fuel_Scope1Scope3EmissionFactorsTransport_Data(), Table_Fuel_EFs_Transport[[#Headers],[Transport type]], 0)</f>
        <v>Diesel oil</v>
      </c>
      <c r="F11" s="229" cm="1">
        <f t="array" ref="F11">Common_InputFunctions.Utility_DisplayArrayInTable(Fuel_SourceData.Fuel_Scope1Scope3EmissionFactorsTransport_Data(), Table_Fuel_EFs_Transport[[#Headers],[Transport type]], 0)</f>
        <v>38.6</v>
      </c>
      <c r="G11" s="229" t="str" cm="1">
        <f t="array" ref="G11">Common_InputFunctions.Utility_DisplayArrayInTable(Fuel_SourceData.Fuel_Scope1Scope3EmissionFactorsTransport_Data(), Table_Fuel_EFs_Transport[[#Headers],[Transport type]], 0)</f>
        <v>kl</v>
      </c>
      <c r="H11" s="229" cm="1">
        <f t="array" ref="H11">Common_InputFunctions.Utility_DisplayArrayInTable(Fuel_SourceData.Fuel_Scope1Scope3EmissionFactorsTransport_Data(), Table_Fuel_EFs_Transport[[#Headers],[Transport type]], 0)</f>
        <v>69.900000000000006</v>
      </c>
      <c r="I11" s="229" cm="1">
        <f t="array" ref="I11">Common_InputFunctions.Utility_DisplayArrayInTable(Fuel_SourceData.Fuel_Scope1Scope3EmissionFactorsTransport_Data(), Table_Fuel_EFs_Transport[[#Headers],[Transport type]], 0)</f>
        <v>0.01</v>
      </c>
      <c r="J11" s="229" cm="1">
        <f t="array" ref="J11">Common_InputFunctions.Utility_DisplayArrayInTable(Fuel_SourceData.Fuel_Scope1Scope3EmissionFactorsTransport_Data(), Table_Fuel_EFs_Transport[[#Headers],[Transport type]], 0)</f>
        <v>0.5</v>
      </c>
      <c r="K11" s="229" cm="1">
        <f t="array" ref="K11">Common_InputFunctions.Utility_DisplayArrayInTable(Fuel_SourceData.Fuel_Scope1Scope3EmissionFactorsTransport_Data(), Table_Fuel_EFs_Transport[[#Headers],[Transport type]], 0)</f>
        <v>70.41</v>
      </c>
      <c r="L11" s="229" cm="1">
        <f t="array" ref="L11">Common_InputFunctions.Utility_DisplayArrayInTable(Fuel_SourceData.Fuel_Scope1Scope3EmissionFactorsTransport_Data(), Table_Fuel_EFs_Transport[[#Headers],[Transport type]], 0)</f>
        <v>17.3</v>
      </c>
    </row>
    <row r="12" spans="1:35" ht="20.100000000000001" customHeight="1" x14ac:dyDescent="0.25">
      <c r="A12" s="5"/>
      <c r="D12" s="229" t="str" cm="1">
        <f t="array" ref="D12">Common_InputFunctions.Utility_DisplayArrayInTable(Fuel_SourceData.Fuel_Scope1Scope3EmissionFactorsTransport_Data(), Table_Fuel_EFs_Transport[[#Headers],[Transport type]], 0)</f>
        <v>Cars and light commercial vehicles</v>
      </c>
      <c r="E12" s="229" t="str" cm="1">
        <f t="array" ref="E12">Common_InputFunctions.Utility_DisplayArrayInTable(Fuel_SourceData.Fuel_Scope1Scope3EmissionFactorsTransport_Data(), Table_Fuel_EFs_Transport[[#Headers],[Transport type]], 0)</f>
        <v>Liquefied petroleum gas (LPG)</v>
      </c>
      <c r="F12" s="229" cm="1">
        <f t="array" ref="F12">Common_InputFunctions.Utility_DisplayArrayInTable(Fuel_SourceData.Fuel_Scope1Scope3EmissionFactorsTransport_Data(), Table_Fuel_EFs_Transport[[#Headers],[Transport type]], 0)</f>
        <v>26.2</v>
      </c>
      <c r="G12" s="229" t="str" cm="1">
        <f t="array" ref="G12">Common_InputFunctions.Utility_DisplayArrayInTable(Fuel_SourceData.Fuel_Scope1Scope3EmissionFactorsTransport_Data(), Table_Fuel_EFs_Transport[[#Headers],[Transport type]], 0)</f>
        <v>kl</v>
      </c>
      <c r="H12" s="229" cm="1">
        <f t="array" ref="H12">Common_InputFunctions.Utility_DisplayArrayInTable(Fuel_SourceData.Fuel_Scope1Scope3EmissionFactorsTransport_Data(), Table_Fuel_EFs_Transport[[#Headers],[Transport type]], 0)</f>
        <v>60.2</v>
      </c>
      <c r="I12" s="229" cm="1">
        <f t="array" ref="I12">Common_InputFunctions.Utility_DisplayArrayInTable(Fuel_SourceData.Fuel_Scope1Scope3EmissionFactorsTransport_Data(), Table_Fuel_EFs_Transport[[#Headers],[Transport type]], 0)</f>
        <v>0.5</v>
      </c>
      <c r="J12" s="229" cm="1">
        <f t="array" ref="J12">Common_InputFunctions.Utility_DisplayArrayInTable(Fuel_SourceData.Fuel_Scope1Scope3EmissionFactorsTransport_Data(), Table_Fuel_EFs_Transport[[#Headers],[Transport type]], 0)</f>
        <v>0.3</v>
      </c>
      <c r="K12" s="229" cm="1">
        <f t="array" ref="K12">Common_InputFunctions.Utility_DisplayArrayInTable(Fuel_SourceData.Fuel_Scope1Scope3EmissionFactorsTransport_Data(), Table_Fuel_EFs_Transport[[#Headers],[Transport type]], 0)</f>
        <v>61</v>
      </c>
      <c r="L12" s="229" cm="1">
        <f t="array" ref="L12">Common_InputFunctions.Utility_DisplayArrayInTable(Fuel_SourceData.Fuel_Scope1Scope3EmissionFactorsTransport_Data(), Table_Fuel_EFs_Transport[[#Headers],[Transport type]], 0)</f>
        <v>20.2</v>
      </c>
    </row>
    <row r="13" spans="1:35" ht="20.100000000000001" customHeight="1" x14ac:dyDescent="0.25">
      <c r="A13" s="5"/>
      <c r="D13" s="229" t="str" cm="1">
        <f t="array" ref="D13">Common_InputFunctions.Utility_DisplayArrayInTable(Fuel_SourceData.Fuel_Scope1Scope3EmissionFactorsTransport_Data(), Table_Fuel_EFs_Transport[[#Headers],[Transport type]], 0)</f>
        <v>Cars and light commercial vehicles</v>
      </c>
      <c r="E13" s="229" t="str" cm="1">
        <f t="array" ref="E13">Common_InputFunctions.Utility_DisplayArrayInTable(Fuel_SourceData.Fuel_Scope1Scope3EmissionFactorsTransport_Data(), Table_Fuel_EFs_Transport[[#Headers],[Transport type]], 0)</f>
        <v>Fuel oil</v>
      </c>
      <c r="F13" s="229" cm="1">
        <f t="array" ref="F13">Common_InputFunctions.Utility_DisplayArrayInTable(Fuel_SourceData.Fuel_Scope1Scope3EmissionFactorsTransport_Data(), Table_Fuel_EFs_Transport[[#Headers],[Transport type]], 0)</f>
        <v>39.700000000000003</v>
      </c>
      <c r="G13" s="229" t="str" cm="1">
        <f t="array" ref="G13">Common_InputFunctions.Utility_DisplayArrayInTable(Fuel_SourceData.Fuel_Scope1Scope3EmissionFactorsTransport_Data(), Table_Fuel_EFs_Transport[[#Headers],[Transport type]], 0)</f>
        <v>kl</v>
      </c>
      <c r="H13" s="229" cm="1">
        <f t="array" ref="H13">Common_InputFunctions.Utility_DisplayArrayInTable(Fuel_SourceData.Fuel_Scope1Scope3EmissionFactorsTransport_Data(), Table_Fuel_EFs_Transport[[#Headers],[Transport type]], 0)</f>
        <v>73.599999999999994</v>
      </c>
      <c r="I13" s="229" cm="1">
        <f t="array" ref="I13">Common_InputFunctions.Utility_DisplayArrayInTable(Fuel_SourceData.Fuel_Scope1Scope3EmissionFactorsTransport_Data(), Table_Fuel_EFs_Transport[[#Headers],[Transport type]], 0)</f>
        <v>0.08</v>
      </c>
      <c r="J13" s="229" cm="1">
        <f t="array" ref="J13">Common_InputFunctions.Utility_DisplayArrayInTable(Fuel_SourceData.Fuel_Scope1Scope3EmissionFactorsTransport_Data(), Table_Fuel_EFs_Transport[[#Headers],[Transport type]], 0)</f>
        <v>0.5</v>
      </c>
      <c r="K13" s="229" cm="1">
        <f t="array" ref="K13">Common_InputFunctions.Utility_DisplayArrayInTable(Fuel_SourceData.Fuel_Scope1Scope3EmissionFactorsTransport_Data(), Table_Fuel_EFs_Transport[[#Headers],[Transport type]], 0)</f>
        <v>74.180000000000007</v>
      </c>
      <c r="L13" s="229" cm="1">
        <f t="array" ref="L13">Common_InputFunctions.Utility_DisplayArrayInTable(Fuel_SourceData.Fuel_Scope1Scope3EmissionFactorsTransport_Data(), Table_Fuel_EFs_Transport[[#Headers],[Transport type]], 0)</f>
        <v>18</v>
      </c>
    </row>
    <row r="14" spans="1:35" ht="20.100000000000001" customHeight="1" x14ac:dyDescent="0.25">
      <c r="A14" s="5"/>
      <c r="D14" s="229" t="str" cm="1">
        <f t="array" ref="D14">Common_InputFunctions.Utility_DisplayArrayInTable(Fuel_SourceData.Fuel_Scope1Scope3EmissionFactorsTransport_Data(), Table_Fuel_EFs_Transport[[#Headers],[Transport type]], 0)</f>
        <v>Cars and light commercial vehicles</v>
      </c>
      <c r="E14" s="229" t="str" cm="1">
        <f t="array" ref="E14">Common_InputFunctions.Utility_DisplayArrayInTable(Fuel_SourceData.Fuel_Scope1Scope3EmissionFactorsTransport_Data(), Table_Fuel_EFs_Transport[[#Headers],[Transport type]], 0)</f>
        <v>Ethanol</v>
      </c>
      <c r="F14" s="229" cm="1">
        <f t="array" ref="F14">Common_InputFunctions.Utility_DisplayArrayInTable(Fuel_SourceData.Fuel_Scope1Scope3EmissionFactorsTransport_Data(), Table_Fuel_EFs_Transport[[#Headers],[Transport type]], 0)</f>
        <v>23.4</v>
      </c>
      <c r="G14" s="229" t="str" cm="1">
        <f t="array" ref="G14">Common_InputFunctions.Utility_DisplayArrayInTable(Fuel_SourceData.Fuel_Scope1Scope3EmissionFactorsTransport_Data(), Table_Fuel_EFs_Transport[[#Headers],[Transport type]], 0)</f>
        <v>kl</v>
      </c>
      <c r="H14" s="229" cm="1">
        <f t="array" ref="H14">Common_InputFunctions.Utility_DisplayArrayInTable(Fuel_SourceData.Fuel_Scope1Scope3EmissionFactorsTransport_Data(), Table_Fuel_EFs_Transport[[#Headers],[Transport type]], 0)</f>
        <v>0</v>
      </c>
      <c r="I14" s="229" cm="1">
        <f t="array" ref="I14">Common_InputFunctions.Utility_DisplayArrayInTable(Fuel_SourceData.Fuel_Scope1Scope3EmissionFactorsTransport_Data(), Table_Fuel_EFs_Transport[[#Headers],[Transport type]], 0)</f>
        <v>0.2</v>
      </c>
      <c r="J14" s="229" cm="1">
        <f t="array" ref="J14">Common_InputFunctions.Utility_DisplayArrayInTable(Fuel_SourceData.Fuel_Scope1Scope3EmissionFactorsTransport_Data(), Table_Fuel_EFs_Transport[[#Headers],[Transport type]], 0)</f>
        <v>0.2</v>
      </c>
      <c r="K14" s="229" cm="1">
        <f t="array" ref="K14">Common_InputFunctions.Utility_DisplayArrayInTable(Fuel_SourceData.Fuel_Scope1Scope3EmissionFactorsTransport_Data(), Table_Fuel_EFs_Transport[[#Headers],[Transport type]], 0)</f>
        <v>0.4</v>
      </c>
      <c r="L14" s="229" t="str" cm="1">
        <f t="array" ref="L14">Common_InputFunctions.Utility_DisplayArrayInTable(Fuel_SourceData.Fuel_Scope1Scope3EmissionFactorsTransport_Data(), Table_Fuel_EFs_Transport[[#Headers],[Transport type]], 0)</f>
        <v>NE</v>
      </c>
    </row>
    <row r="15" spans="1:35" ht="20.100000000000001" customHeight="1" x14ac:dyDescent="0.25">
      <c r="A15" s="5"/>
      <c r="D15" s="229" t="str" cm="1">
        <f t="array" ref="D15">Common_InputFunctions.Utility_DisplayArrayInTable(Fuel_SourceData.Fuel_Scope1Scope3EmissionFactorsTransport_Data(), Table_Fuel_EFs_Transport[[#Headers],[Transport type]], 0)</f>
        <v>Cars and light commercial vehicles</v>
      </c>
      <c r="E15" s="229" t="str" cm="1">
        <f t="array" ref="E15">Common_InputFunctions.Utility_DisplayArrayInTable(Fuel_SourceData.Fuel_Scope1Scope3EmissionFactorsTransport_Data(), Table_Fuel_EFs_Transport[[#Headers],[Transport type]], 0)</f>
        <v>Biodiesel</v>
      </c>
      <c r="F15" s="229" cm="1">
        <f t="array" ref="F15">Common_InputFunctions.Utility_DisplayArrayInTable(Fuel_SourceData.Fuel_Scope1Scope3EmissionFactorsTransport_Data(), Table_Fuel_EFs_Transport[[#Headers],[Transport type]], 0)</f>
        <v>34.6</v>
      </c>
      <c r="G15" s="229" t="str" cm="1">
        <f t="array" ref="G15">Common_InputFunctions.Utility_DisplayArrayInTable(Fuel_SourceData.Fuel_Scope1Scope3EmissionFactorsTransport_Data(), Table_Fuel_EFs_Transport[[#Headers],[Transport type]], 0)</f>
        <v>kl</v>
      </c>
      <c r="H15" s="229" cm="1">
        <f t="array" ref="H15">Common_InputFunctions.Utility_DisplayArrayInTable(Fuel_SourceData.Fuel_Scope1Scope3EmissionFactorsTransport_Data(), Table_Fuel_EFs_Transport[[#Headers],[Transport type]], 0)</f>
        <v>0</v>
      </c>
      <c r="I15" s="229" cm="1">
        <f t="array" ref="I15">Common_InputFunctions.Utility_DisplayArrayInTable(Fuel_SourceData.Fuel_Scope1Scope3EmissionFactorsTransport_Data(), Table_Fuel_EFs_Transport[[#Headers],[Transport type]], 0)</f>
        <v>0.8</v>
      </c>
      <c r="J15" s="229" cm="1">
        <f t="array" ref="J15">Common_InputFunctions.Utility_DisplayArrayInTable(Fuel_SourceData.Fuel_Scope1Scope3EmissionFactorsTransport_Data(), Table_Fuel_EFs_Transport[[#Headers],[Transport type]], 0)</f>
        <v>1.7</v>
      </c>
      <c r="K15" s="229" cm="1">
        <f t="array" ref="K15">Common_InputFunctions.Utility_DisplayArrayInTable(Fuel_SourceData.Fuel_Scope1Scope3EmissionFactorsTransport_Data(), Table_Fuel_EFs_Transport[[#Headers],[Transport type]], 0)</f>
        <v>2.5</v>
      </c>
      <c r="L15" s="229" t="str" cm="1">
        <f t="array" ref="L15">Common_InputFunctions.Utility_DisplayArrayInTable(Fuel_SourceData.Fuel_Scope1Scope3EmissionFactorsTransport_Data(), Table_Fuel_EFs_Transport[[#Headers],[Transport type]], 0)</f>
        <v>NE</v>
      </c>
    </row>
    <row r="16" spans="1:35" ht="20.100000000000001" customHeight="1" x14ac:dyDescent="0.25">
      <c r="A16" s="5"/>
      <c r="D16" s="229" t="str" cm="1">
        <f t="array" ref="D16">Common_InputFunctions.Utility_DisplayArrayInTable(Fuel_SourceData.Fuel_Scope1Scope3EmissionFactorsTransport_Data(), Table_Fuel_EFs_Transport[[#Headers],[Transport type]], 0)</f>
        <v>Cars and light commercial vehicles</v>
      </c>
      <c r="E16" s="229" t="str" cm="1">
        <f t="array" ref="E16">Common_InputFunctions.Utility_DisplayArrayInTable(Fuel_SourceData.Fuel_Scope1Scope3EmissionFactorsTransport_Data(), Table_Fuel_EFs_Transport[[#Headers],[Transport type]], 0)</f>
        <v>Renewable diesel</v>
      </c>
      <c r="F16" s="229" cm="1">
        <f t="array" ref="F16">Common_InputFunctions.Utility_DisplayArrayInTable(Fuel_SourceData.Fuel_Scope1Scope3EmissionFactorsTransport_Data(), Table_Fuel_EFs_Transport[[#Headers],[Transport type]], 0)</f>
        <v>38.6</v>
      </c>
      <c r="G16" s="229" t="str" cm="1">
        <f t="array" ref="G16">Common_InputFunctions.Utility_DisplayArrayInTable(Fuel_SourceData.Fuel_Scope1Scope3EmissionFactorsTransport_Data(), Table_Fuel_EFs_Transport[[#Headers],[Transport type]], 0)</f>
        <v>kl</v>
      </c>
      <c r="H16" s="229" cm="1">
        <f t="array" ref="H16">Common_InputFunctions.Utility_DisplayArrayInTable(Fuel_SourceData.Fuel_Scope1Scope3EmissionFactorsTransport_Data(), Table_Fuel_EFs_Transport[[#Headers],[Transport type]], 0)</f>
        <v>0</v>
      </c>
      <c r="I16" s="229" cm="1">
        <f t="array" ref="I16">Common_InputFunctions.Utility_DisplayArrayInTable(Fuel_SourceData.Fuel_Scope1Scope3EmissionFactorsTransport_Data(), Table_Fuel_EFs_Transport[[#Headers],[Transport type]], 0)</f>
        <v>0.01</v>
      </c>
      <c r="J16" s="229" cm="1">
        <f t="array" ref="J16">Common_InputFunctions.Utility_DisplayArrayInTable(Fuel_SourceData.Fuel_Scope1Scope3EmissionFactorsTransport_Data(), Table_Fuel_EFs_Transport[[#Headers],[Transport type]], 0)</f>
        <v>0.5</v>
      </c>
      <c r="K16" s="229" cm="1">
        <f t="array" ref="K16">Common_InputFunctions.Utility_DisplayArrayInTable(Fuel_SourceData.Fuel_Scope1Scope3EmissionFactorsTransport_Data(), Table_Fuel_EFs_Transport[[#Headers],[Transport type]], 0)</f>
        <v>0.51</v>
      </c>
      <c r="L16" s="229" t="str" cm="1">
        <f t="array" ref="L16">Common_InputFunctions.Utility_DisplayArrayInTable(Fuel_SourceData.Fuel_Scope1Scope3EmissionFactorsTransport_Data(), Table_Fuel_EFs_Transport[[#Headers],[Transport type]], 0)</f>
        <v>NE</v>
      </c>
    </row>
    <row r="17" spans="1:12" ht="20.100000000000001" customHeight="1" x14ac:dyDescent="0.25">
      <c r="A17" s="5"/>
      <c r="D17" s="229" t="str" cm="1">
        <f t="array" ref="D17">Common_InputFunctions.Utility_DisplayArrayInTable(Fuel_SourceData.Fuel_Scope1Scope3EmissionFactorsTransport_Data(), Table_Fuel_EFs_Transport[[#Headers],[Transport type]], 0)</f>
        <v>Cars and light commercial vehicles</v>
      </c>
      <c r="E17" s="229" t="str" cm="1">
        <f t="array" ref="E17">Common_InputFunctions.Utility_DisplayArrayInTable(Fuel_SourceData.Fuel_Scope1Scope3EmissionFactorsTransport_Data(), Table_Fuel_EFs_Transport[[#Headers],[Transport type]], 0)</f>
        <v>Other biofuels</v>
      </c>
      <c r="F17" s="229" cm="1">
        <f t="array" ref="F17">Common_InputFunctions.Utility_DisplayArrayInTable(Fuel_SourceData.Fuel_Scope1Scope3EmissionFactorsTransport_Data(), Table_Fuel_EFs_Transport[[#Headers],[Transport type]], 0)</f>
        <v>23.4</v>
      </c>
      <c r="G17" s="229" t="str" cm="1">
        <f t="array" ref="G17">Common_InputFunctions.Utility_DisplayArrayInTable(Fuel_SourceData.Fuel_Scope1Scope3EmissionFactorsTransport_Data(), Table_Fuel_EFs_Transport[[#Headers],[Transport type]], 0)</f>
        <v>kl</v>
      </c>
      <c r="H17" s="229" cm="1">
        <f t="array" ref="H17">Common_InputFunctions.Utility_DisplayArrayInTable(Fuel_SourceData.Fuel_Scope1Scope3EmissionFactorsTransport_Data(), Table_Fuel_EFs_Transport[[#Headers],[Transport type]], 0)</f>
        <v>0</v>
      </c>
      <c r="I17" s="229" cm="1">
        <f t="array" ref="I17">Common_InputFunctions.Utility_DisplayArrayInTable(Fuel_SourceData.Fuel_Scope1Scope3EmissionFactorsTransport_Data(), Table_Fuel_EFs_Transport[[#Headers],[Transport type]], 0)</f>
        <v>0.8</v>
      </c>
      <c r="J17" s="229" cm="1">
        <f t="array" ref="J17">Common_InputFunctions.Utility_DisplayArrayInTable(Fuel_SourceData.Fuel_Scope1Scope3EmissionFactorsTransport_Data(), Table_Fuel_EFs_Transport[[#Headers],[Transport type]], 0)</f>
        <v>1.7</v>
      </c>
      <c r="K17" s="229" cm="1">
        <f t="array" ref="K17">Common_InputFunctions.Utility_DisplayArrayInTable(Fuel_SourceData.Fuel_Scope1Scope3EmissionFactorsTransport_Data(), Table_Fuel_EFs_Transport[[#Headers],[Transport type]], 0)</f>
        <v>2.5</v>
      </c>
      <c r="L17" s="229" t="str" cm="1">
        <f t="array" ref="L17">Common_InputFunctions.Utility_DisplayArrayInTable(Fuel_SourceData.Fuel_Scope1Scope3EmissionFactorsTransport_Data(), Table_Fuel_EFs_Transport[[#Headers],[Transport type]], 0)</f>
        <v>NE</v>
      </c>
    </row>
    <row r="18" spans="1:12" ht="20.100000000000001" customHeight="1" x14ac:dyDescent="0.25">
      <c r="A18" s="5"/>
      <c r="D18" s="229" t="str" cm="1">
        <f t="array" ref="D18">Common_InputFunctions.Utility_DisplayArrayInTable(Fuel_SourceData.Fuel_Scope1Scope3EmissionFactorsTransport_Data(), Table_Fuel_EFs_Transport[[#Headers],[Transport type]], 0)</f>
        <v>Light duty vehicles</v>
      </c>
      <c r="E18" s="229" t="str" cm="1">
        <f t="array" ref="E18">Common_InputFunctions.Utility_DisplayArrayInTable(Fuel_SourceData.Fuel_Scope1Scope3EmissionFactorsTransport_Data(), Table_Fuel_EFs_Transport[[#Headers],[Transport type]], 0)</f>
        <v>Compressed natural gas</v>
      </c>
      <c r="F18" s="229" cm="1">
        <f t="array" ref="F18">Common_InputFunctions.Utility_DisplayArrayInTable(Fuel_SourceData.Fuel_Scope1Scope3EmissionFactorsTransport_Data(), Table_Fuel_EFs_Transport[[#Headers],[Transport type]], 0)</f>
        <v>3.9300000000000002E-2</v>
      </c>
      <c r="G18" s="229" t="str" cm="1">
        <f t="array" ref="G18">Common_InputFunctions.Utility_DisplayArrayInTable(Fuel_SourceData.Fuel_Scope1Scope3EmissionFactorsTransport_Data(), Table_Fuel_EFs_Transport[[#Headers],[Transport type]], 0)</f>
        <v>m3</v>
      </c>
      <c r="H18" s="229" cm="1">
        <f t="array" ref="H18">Common_InputFunctions.Utility_DisplayArrayInTable(Fuel_SourceData.Fuel_Scope1Scope3EmissionFactorsTransport_Data(), Table_Fuel_EFs_Transport[[#Headers],[Transport type]], 0)</f>
        <v>51.4</v>
      </c>
      <c r="I18" s="229" cm="1">
        <f t="array" ref="I18">Common_InputFunctions.Utility_DisplayArrayInTable(Fuel_SourceData.Fuel_Scope1Scope3EmissionFactorsTransport_Data(), Table_Fuel_EFs_Transport[[#Headers],[Transport type]], 0)</f>
        <v>7.3</v>
      </c>
      <c r="J18" s="229" cm="1">
        <f t="array" ref="J18">Common_InputFunctions.Utility_DisplayArrayInTable(Fuel_SourceData.Fuel_Scope1Scope3EmissionFactorsTransport_Data(), Table_Fuel_EFs_Transport[[#Headers],[Transport type]], 0)</f>
        <v>0.3</v>
      </c>
      <c r="K18" s="229" cm="1">
        <f t="array" ref="K18">Common_InputFunctions.Utility_DisplayArrayInTable(Fuel_SourceData.Fuel_Scope1Scope3EmissionFactorsTransport_Data(), Table_Fuel_EFs_Transport[[#Headers],[Transport type]], 0)</f>
        <v>59</v>
      </c>
      <c r="L18" s="229" cm="1">
        <f t="array" ref="L18">Common_InputFunctions.Utility_DisplayArrayInTable(Fuel_SourceData.Fuel_Scope1Scope3EmissionFactorsTransport_Data(), Table_Fuel_EFs_Transport[[#Headers],[Transport type]], 0)</f>
        <v>18</v>
      </c>
    </row>
    <row r="19" spans="1:12" ht="20.100000000000001" customHeight="1" x14ac:dyDescent="0.25">
      <c r="A19" s="5"/>
      <c r="D19" s="229" t="str" cm="1">
        <f t="array" ref="D19">Common_InputFunctions.Utility_DisplayArrayInTable(Fuel_SourceData.Fuel_Scope1Scope3EmissionFactorsTransport_Data(), Table_Fuel_EFs_Transport[[#Headers],[Transport type]], 0)</f>
        <v>Light duty vehicles</v>
      </c>
      <c r="E19" s="229" t="str" cm="1">
        <f t="array" ref="E19">Common_InputFunctions.Utility_DisplayArrayInTable(Fuel_SourceData.Fuel_Scope1Scope3EmissionFactorsTransport_Data(), Table_Fuel_EFs_Transport[[#Headers],[Transport type]], 0)</f>
        <v>Liquefied natural gas</v>
      </c>
      <c r="F19" s="229" cm="1">
        <f t="array" ref="F19">Common_InputFunctions.Utility_DisplayArrayInTable(Fuel_SourceData.Fuel_Scope1Scope3EmissionFactorsTransport_Data(), Table_Fuel_EFs_Transport[[#Headers],[Transport type]], 0)</f>
        <v>25.3</v>
      </c>
      <c r="G19" s="229" t="str" cm="1">
        <f t="array" ref="G19">Common_InputFunctions.Utility_DisplayArrayInTable(Fuel_SourceData.Fuel_Scope1Scope3EmissionFactorsTransport_Data(), Table_Fuel_EFs_Transport[[#Headers],[Transport type]], 0)</f>
        <v>kl</v>
      </c>
      <c r="H19" s="229" cm="1">
        <f t="array" ref="H19">Common_InputFunctions.Utility_DisplayArrayInTable(Fuel_SourceData.Fuel_Scope1Scope3EmissionFactorsTransport_Data(), Table_Fuel_EFs_Transport[[#Headers],[Transport type]], 0)</f>
        <v>51.4</v>
      </c>
      <c r="I19" s="229" cm="1">
        <f t="array" ref="I19">Common_InputFunctions.Utility_DisplayArrayInTable(Fuel_SourceData.Fuel_Scope1Scope3EmissionFactorsTransport_Data(), Table_Fuel_EFs_Transport[[#Headers],[Transport type]], 0)</f>
        <v>7.3</v>
      </c>
      <c r="J19" s="229" cm="1">
        <f t="array" ref="J19">Common_InputFunctions.Utility_DisplayArrayInTable(Fuel_SourceData.Fuel_Scope1Scope3EmissionFactorsTransport_Data(), Table_Fuel_EFs_Transport[[#Headers],[Transport type]], 0)</f>
        <v>0.3</v>
      </c>
      <c r="K19" s="229" cm="1">
        <f t="array" ref="K19">Common_InputFunctions.Utility_DisplayArrayInTable(Fuel_SourceData.Fuel_Scope1Scope3EmissionFactorsTransport_Data(), Table_Fuel_EFs_Transport[[#Headers],[Transport type]], 0)</f>
        <v>59</v>
      </c>
      <c r="L19" s="229" cm="1">
        <f t="array" ref="L19">Common_InputFunctions.Utility_DisplayArrayInTable(Fuel_SourceData.Fuel_Scope1Scope3EmissionFactorsTransport_Data(), Table_Fuel_EFs_Transport[[#Headers],[Transport type]], 0)</f>
        <v>18</v>
      </c>
    </row>
    <row r="20" spans="1:12" ht="20.100000000000001" customHeight="1" x14ac:dyDescent="0.25">
      <c r="A20" s="5"/>
      <c r="D20" s="229" t="str" cm="1">
        <f t="array" ref="D20">Common_InputFunctions.Utility_DisplayArrayInTable(Fuel_SourceData.Fuel_Scope1Scope3EmissionFactorsTransport_Data(), Table_Fuel_EFs_Transport[[#Headers],[Transport type]], 0)</f>
        <v>Heavy duty vehicles</v>
      </c>
      <c r="E20" s="229" t="str" cm="1">
        <f t="array" ref="E20">Common_InputFunctions.Utility_DisplayArrayInTable(Fuel_SourceData.Fuel_Scope1Scope3EmissionFactorsTransport_Data(), Table_Fuel_EFs_Transport[[#Headers],[Transport type]], 0)</f>
        <v>Compressed natural gas</v>
      </c>
      <c r="F20" s="229" cm="1">
        <f t="array" ref="F20">Common_InputFunctions.Utility_DisplayArrayInTable(Fuel_SourceData.Fuel_Scope1Scope3EmissionFactorsTransport_Data(), Table_Fuel_EFs_Transport[[#Headers],[Transport type]], 0)</f>
        <v>3.9300000000000002E-2</v>
      </c>
      <c r="G20" s="229" t="str" cm="1">
        <f t="array" ref="G20">Common_InputFunctions.Utility_DisplayArrayInTable(Fuel_SourceData.Fuel_Scope1Scope3EmissionFactorsTransport_Data(), Table_Fuel_EFs_Transport[[#Headers],[Transport type]], 0)</f>
        <v>m3</v>
      </c>
      <c r="H20" s="229" cm="1">
        <f t="array" ref="H20">Common_InputFunctions.Utility_DisplayArrayInTable(Fuel_SourceData.Fuel_Scope1Scope3EmissionFactorsTransport_Data(), Table_Fuel_EFs_Transport[[#Headers],[Transport type]], 0)</f>
        <v>51.4</v>
      </c>
      <c r="I20" s="229" cm="1">
        <f t="array" ref="I20">Common_InputFunctions.Utility_DisplayArrayInTable(Fuel_SourceData.Fuel_Scope1Scope3EmissionFactorsTransport_Data(), Table_Fuel_EFs_Transport[[#Headers],[Transport type]], 0)</f>
        <v>2.8</v>
      </c>
      <c r="J20" s="229" cm="1">
        <f t="array" ref="J20">Common_InputFunctions.Utility_DisplayArrayInTable(Fuel_SourceData.Fuel_Scope1Scope3EmissionFactorsTransport_Data(), Table_Fuel_EFs_Transport[[#Headers],[Transport type]], 0)</f>
        <v>0.3</v>
      </c>
      <c r="K20" s="229" cm="1">
        <f t="array" ref="K20">Common_InputFunctions.Utility_DisplayArrayInTable(Fuel_SourceData.Fuel_Scope1Scope3EmissionFactorsTransport_Data(), Table_Fuel_EFs_Transport[[#Headers],[Transport type]], 0)</f>
        <v>54.5</v>
      </c>
      <c r="L20" s="229" cm="1">
        <f t="array" ref="L20">Common_InputFunctions.Utility_DisplayArrayInTable(Fuel_SourceData.Fuel_Scope1Scope3EmissionFactorsTransport_Data(), Table_Fuel_EFs_Transport[[#Headers],[Transport type]], 0)</f>
        <v>18</v>
      </c>
    </row>
    <row r="21" spans="1:12" ht="20.100000000000001" customHeight="1" x14ac:dyDescent="0.25">
      <c r="A21" s="5"/>
      <c r="D21" s="229" t="str" cm="1">
        <f t="array" ref="D21">Common_InputFunctions.Utility_DisplayArrayInTable(Fuel_SourceData.Fuel_Scope1Scope3EmissionFactorsTransport_Data(), Table_Fuel_EFs_Transport[[#Headers],[Transport type]], 0)</f>
        <v>Heavy duty vehicles</v>
      </c>
      <c r="E21" s="229" t="str" cm="1">
        <f t="array" ref="E21">Common_InputFunctions.Utility_DisplayArrayInTable(Fuel_SourceData.Fuel_Scope1Scope3EmissionFactorsTransport_Data(), Table_Fuel_EFs_Transport[[#Headers],[Transport type]], 0)</f>
        <v>Liquefied natural gas</v>
      </c>
      <c r="F21" s="229" cm="1">
        <f t="array" ref="F21">Common_InputFunctions.Utility_DisplayArrayInTable(Fuel_SourceData.Fuel_Scope1Scope3EmissionFactorsTransport_Data(), Table_Fuel_EFs_Transport[[#Headers],[Transport type]], 0)</f>
        <v>25.3</v>
      </c>
      <c r="G21" s="229" t="str" cm="1">
        <f t="array" ref="G21">Common_InputFunctions.Utility_DisplayArrayInTable(Fuel_SourceData.Fuel_Scope1Scope3EmissionFactorsTransport_Data(), Table_Fuel_EFs_Transport[[#Headers],[Transport type]], 0)</f>
        <v>kl</v>
      </c>
      <c r="H21" s="229" cm="1">
        <f t="array" ref="H21">Common_InputFunctions.Utility_DisplayArrayInTable(Fuel_SourceData.Fuel_Scope1Scope3EmissionFactorsTransport_Data(), Table_Fuel_EFs_Transport[[#Headers],[Transport type]], 0)</f>
        <v>51.4</v>
      </c>
      <c r="I21" s="229" cm="1">
        <f t="array" ref="I21">Common_InputFunctions.Utility_DisplayArrayInTable(Fuel_SourceData.Fuel_Scope1Scope3EmissionFactorsTransport_Data(), Table_Fuel_EFs_Transport[[#Headers],[Transport type]], 0)</f>
        <v>2.8</v>
      </c>
      <c r="J21" s="229" cm="1">
        <f t="array" ref="J21">Common_InputFunctions.Utility_DisplayArrayInTable(Fuel_SourceData.Fuel_Scope1Scope3EmissionFactorsTransport_Data(), Table_Fuel_EFs_Transport[[#Headers],[Transport type]], 0)</f>
        <v>0.3</v>
      </c>
      <c r="K21" s="229" cm="1">
        <f t="array" ref="K21">Common_InputFunctions.Utility_DisplayArrayInTable(Fuel_SourceData.Fuel_Scope1Scope3EmissionFactorsTransport_Data(), Table_Fuel_EFs_Transport[[#Headers],[Transport type]], 0)</f>
        <v>54.5</v>
      </c>
      <c r="L21" s="229" cm="1">
        <f t="array" ref="L21">Common_InputFunctions.Utility_DisplayArrayInTable(Fuel_SourceData.Fuel_Scope1Scope3EmissionFactorsTransport_Data(), Table_Fuel_EFs_Transport[[#Headers],[Transport type]], 0)</f>
        <v>18</v>
      </c>
    </row>
    <row r="22" spans="1:12" ht="20.100000000000001" customHeight="1" x14ac:dyDescent="0.25">
      <c r="A22" s="5"/>
      <c r="D22" s="229" t="str" cm="1">
        <f t="array" ref="D22">Common_InputFunctions.Utility_DisplayArrayInTable(Fuel_SourceData.Fuel_Scope1Scope3EmissionFactorsTransport_Data(), Table_Fuel_EFs_Transport[[#Headers],[Transport type]], 0)</f>
        <v>Heavy duty vehicles</v>
      </c>
      <c r="E22" s="229" t="str" cm="1">
        <f t="array" ref="E22">Common_InputFunctions.Utility_DisplayArrayInTable(Fuel_SourceData.Fuel_Scope1Scope3EmissionFactorsTransport_Data(), Table_Fuel_EFs_Transport[[#Headers],[Transport type]], 0)</f>
        <v>Diesel oil - Euro iv or higher</v>
      </c>
      <c r="F22" s="229" cm="1">
        <f t="array" ref="F22">Common_InputFunctions.Utility_DisplayArrayInTable(Fuel_SourceData.Fuel_Scope1Scope3EmissionFactorsTransport_Data(), Table_Fuel_EFs_Transport[[#Headers],[Transport type]], 0)</f>
        <v>38.6</v>
      </c>
      <c r="G22" s="229" t="str" cm="1">
        <f t="array" ref="G22">Common_InputFunctions.Utility_DisplayArrayInTable(Fuel_SourceData.Fuel_Scope1Scope3EmissionFactorsTransport_Data(), Table_Fuel_EFs_Transport[[#Headers],[Transport type]], 0)</f>
        <v>kl</v>
      </c>
      <c r="H22" s="229" cm="1">
        <f t="array" ref="H22">Common_InputFunctions.Utility_DisplayArrayInTable(Fuel_SourceData.Fuel_Scope1Scope3EmissionFactorsTransport_Data(), Table_Fuel_EFs_Transport[[#Headers],[Transport type]], 0)</f>
        <v>69.900000000000006</v>
      </c>
      <c r="I22" s="229" cm="1">
        <f t="array" ref="I22">Common_InputFunctions.Utility_DisplayArrayInTable(Fuel_SourceData.Fuel_Scope1Scope3EmissionFactorsTransport_Data(), Table_Fuel_EFs_Transport[[#Headers],[Transport type]], 0)</f>
        <v>7.0000000000000007E-2</v>
      </c>
      <c r="J22" s="229" cm="1">
        <f t="array" ref="J22">Common_InputFunctions.Utility_DisplayArrayInTable(Fuel_SourceData.Fuel_Scope1Scope3EmissionFactorsTransport_Data(), Table_Fuel_EFs_Transport[[#Headers],[Transport type]], 0)</f>
        <v>0.4</v>
      </c>
      <c r="K22" s="229" cm="1">
        <f t="array" ref="K22">Common_InputFunctions.Utility_DisplayArrayInTable(Fuel_SourceData.Fuel_Scope1Scope3EmissionFactorsTransport_Data(), Table_Fuel_EFs_Transport[[#Headers],[Transport type]], 0)</f>
        <v>70.37</v>
      </c>
      <c r="L22" s="229" cm="1">
        <f t="array" ref="L22">Common_InputFunctions.Utility_DisplayArrayInTable(Fuel_SourceData.Fuel_Scope1Scope3EmissionFactorsTransport_Data(), Table_Fuel_EFs_Transport[[#Headers],[Transport type]], 0)</f>
        <v>17.3</v>
      </c>
    </row>
    <row r="23" spans="1:12" ht="20.100000000000001" customHeight="1" x14ac:dyDescent="0.25">
      <c r="A23" s="5"/>
      <c r="D23" s="229" t="str" cm="1">
        <f t="array" ref="D23">Common_InputFunctions.Utility_DisplayArrayInTable(Fuel_SourceData.Fuel_Scope1Scope3EmissionFactorsTransport_Data(), Table_Fuel_EFs_Transport[[#Headers],[Transport type]], 0)</f>
        <v>Heavy duty vehicles</v>
      </c>
      <c r="E23" s="229" t="str" cm="1">
        <f t="array" ref="E23">Common_InputFunctions.Utility_DisplayArrayInTable(Fuel_SourceData.Fuel_Scope1Scope3EmissionFactorsTransport_Data(), Table_Fuel_EFs_Transport[[#Headers],[Transport type]], 0)</f>
        <v>Diesel oil - Euro iii</v>
      </c>
      <c r="F23" s="229" cm="1">
        <f t="array" ref="F23">Common_InputFunctions.Utility_DisplayArrayInTable(Fuel_SourceData.Fuel_Scope1Scope3EmissionFactorsTransport_Data(), Table_Fuel_EFs_Transport[[#Headers],[Transport type]], 0)</f>
        <v>38.6</v>
      </c>
      <c r="G23" s="229" t="str" cm="1">
        <f t="array" ref="G23">Common_InputFunctions.Utility_DisplayArrayInTable(Fuel_SourceData.Fuel_Scope1Scope3EmissionFactorsTransport_Data(), Table_Fuel_EFs_Transport[[#Headers],[Transport type]], 0)</f>
        <v>kl</v>
      </c>
      <c r="H23" s="229" cm="1">
        <f t="array" ref="H23">Common_InputFunctions.Utility_DisplayArrayInTable(Fuel_SourceData.Fuel_Scope1Scope3EmissionFactorsTransport_Data(), Table_Fuel_EFs_Transport[[#Headers],[Transport type]], 0)</f>
        <v>69.900000000000006</v>
      </c>
      <c r="I23" s="229" cm="1">
        <f t="array" ref="I23">Common_InputFunctions.Utility_DisplayArrayInTable(Fuel_SourceData.Fuel_Scope1Scope3EmissionFactorsTransport_Data(), Table_Fuel_EFs_Transport[[#Headers],[Transport type]], 0)</f>
        <v>0.1</v>
      </c>
      <c r="J23" s="229" cm="1">
        <f t="array" ref="J23">Common_InputFunctions.Utility_DisplayArrayInTable(Fuel_SourceData.Fuel_Scope1Scope3EmissionFactorsTransport_Data(), Table_Fuel_EFs_Transport[[#Headers],[Transport type]], 0)</f>
        <v>0.4</v>
      </c>
      <c r="K23" s="229" cm="1">
        <f t="array" ref="K23">Common_InputFunctions.Utility_DisplayArrayInTable(Fuel_SourceData.Fuel_Scope1Scope3EmissionFactorsTransport_Data(), Table_Fuel_EFs_Transport[[#Headers],[Transport type]], 0)</f>
        <v>70.400000000000006</v>
      </c>
      <c r="L23" s="229" cm="1">
        <f t="array" ref="L23">Common_InputFunctions.Utility_DisplayArrayInTable(Fuel_SourceData.Fuel_Scope1Scope3EmissionFactorsTransport_Data(), Table_Fuel_EFs_Transport[[#Headers],[Transport type]], 0)</f>
        <v>17.3</v>
      </c>
    </row>
    <row r="24" spans="1:12" ht="20.100000000000001" customHeight="1" x14ac:dyDescent="0.25">
      <c r="A24" s="5"/>
      <c r="D24" s="229" t="str" cm="1">
        <f t="array" ref="D24">Common_InputFunctions.Utility_DisplayArrayInTable(Fuel_SourceData.Fuel_Scope1Scope3EmissionFactorsTransport_Data(), Table_Fuel_EFs_Transport[[#Headers],[Transport type]], 0)</f>
        <v>Heavy duty vehicles</v>
      </c>
      <c r="E24" s="229" t="str" cm="1">
        <f t="array" ref="E24">Common_InputFunctions.Utility_DisplayArrayInTable(Fuel_SourceData.Fuel_Scope1Scope3EmissionFactorsTransport_Data(), Table_Fuel_EFs_Transport[[#Headers],[Transport type]], 0)</f>
        <v>Diesel oil - Euro i</v>
      </c>
      <c r="F24" s="229" cm="1">
        <f t="array" ref="F24">Common_InputFunctions.Utility_DisplayArrayInTable(Fuel_SourceData.Fuel_Scope1Scope3EmissionFactorsTransport_Data(), Table_Fuel_EFs_Transport[[#Headers],[Transport type]], 0)</f>
        <v>38.6</v>
      </c>
      <c r="G24" s="229" t="str" cm="1">
        <f t="array" ref="G24">Common_InputFunctions.Utility_DisplayArrayInTable(Fuel_SourceData.Fuel_Scope1Scope3EmissionFactorsTransport_Data(), Table_Fuel_EFs_Transport[[#Headers],[Transport type]], 0)</f>
        <v>kl</v>
      </c>
      <c r="H24" s="229" cm="1">
        <f t="array" ref="H24">Common_InputFunctions.Utility_DisplayArrayInTable(Fuel_SourceData.Fuel_Scope1Scope3EmissionFactorsTransport_Data(), Table_Fuel_EFs_Transport[[#Headers],[Transport type]], 0)</f>
        <v>69.900000000000006</v>
      </c>
      <c r="I24" s="229" cm="1">
        <f t="array" ref="I24">Common_InputFunctions.Utility_DisplayArrayInTable(Fuel_SourceData.Fuel_Scope1Scope3EmissionFactorsTransport_Data(), Table_Fuel_EFs_Transport[[#Headers],[Transport type]], 0)</f>
        <v>0.2</v>
      </c>
      <c r="J24" s="229" cm="1">
        <f t="array" ref="J24">Common_InputFunctions.Utility_DisplayArrayInTable(Fuel_SourceData.Fuel_Scope1Scope3EmissionFactorsTransport_Data(), Table_Fuel_EFs_Transport[[#Headers],[Transport type]], 0)</f>
        <v>0.4</v>
      </c>
      <c r="K24" s="229" cm="1">
        <f t="array" ref="K24">Common_InputFunctions.Utility_DisplayArrayInTable(Fuel_SourceData.Fuel_Scope1Scope3EmissionFactorsTransport_Data(), Table_Fuel_EFs_Transport[[#Headers],[Transport type]], 0)</f>
        <v>70.5</v>
      </c>
      <c r="L24" s="229" cm="1">
        <f t="array" ref="L24">Common_InputFunctions.Utility_DisplayArrayInTable(Fuel_SourceData.Fuel_Scope1Scope3EmissionFactorsTransport_Data(), Table_Fuel_EFs_Transport[[#Headers],[Transport type]], 0)</f>
        <v>17.3</v>
      </c>
    </row>
    <row r="25" spans="1:12" ht="20.100000000000001" customHeight="1" x14ac:dyDescent="0.25">
      <c r="A25" s="5"/>
      <c r="D25" s="229" t="str" cm="1">
        <f t="array" ref="D25">Common_InputFunctions.Utility_DisplayArrayInTable(Fuel_SourceData.Fuel_Scope1Scope3EmissionFactorsTransport_Data(), Table_Fuel_EFs_Transport[[#Headers],[Transport type]], 0)</f>
        <v>Heavy duty vehicles</v>
      </c>
      <c r="E25" s="229" t="str" cm="1">
        <f t="array" ref="E25">Common_InputFunctions.Utility_DisplayArrayInTable(Fuel_SourceData.Fuel_Scope1Scope3EmissionFactorsTransport_Data(), Table_Fuel_EFs_Transport[[#Headers],[Transport type]], 0)</f>
        <v>Renewable diesel – Euro iv or higher</v>
      </c>
      <c r="F25" s="229" cm="1">
        <f t="array" ref="F25">Common_InputFunctions.Utility_DisplayArrayInTable(Fuel_SourceData.Fuel_Scope1Scope3EmissionFactorsTransport_Data(), Table_Fuel_EFs_Transport[[#Headers],[Transport type]], 0)</f>
        <v>38.6</v>
      </c>
      <c r="G25" s="229" t="str" cm="1">
        <f t="array" ref="G25">Common_InputFunctions.Utility_DisplayArrayInTable(Fuel_SourceData.Fuel_Scope1Scope3EmissionFactorsTransport_Data(), Table_Fuel_EFs_Transport[[#Headers],[Transport type]], 0)</f>
        <v>kl</v>
      </c>
      <c r="H25" s="229" cm="1">
        <f t="array" ref="H25">Common_InputFunctions.Utility_DisplayArrayInTable(Fuel_SourceData.Fuel_Scope1Scope3EmissionFactorsTransport_Data(), Table_Fuel_EFs_Transport[[#Headers],[Transport type]], 0)</f>
        <v>0</v>
      </c>
      <c r="I25" s="229" cm="1">
        <f t="array" ref="I25">Common_InputFunctions.Utility_DisplayArrayInTable(Fuel_SourceData.Fuel_Scope1Scope3EmissionFactorsTransport_Data(), Table_Fuel_EFs_Transport[[#Headers],[Transport type]], 0)</f>
        <v>7.0000000000000007E-2</v>
      </c>
      <c r="J25" s="229" cm="1">
        <f t="array" ref="J25">Common_InputFunctions.Utility_DisplayArrayInTable(Fuel_SourceData.Fuel_Scope1Scope3EmissionFactorsTransport_Data(), Table_Fuel_EFs_Transport[[#Headers],[Transport type]], 0)</f>
        <v>0.4</v>
      </c>
      <c r="K25" s="229" cm="1">
        <f t="array" ref="K25">Common_InputFunctions.Utility_DisplayArrayInTable(Fuel_SourceData.Fuel_Scope1Scope3EmissionFactorsTransport_Data(), Table_Fuel_EFs_Transport[[#Headers],[Transport type]], 0)</f>
        <v>0.47</v>
      </c>
      <c r="L25" s="229" t="str" cm="1">
        <f t="array" ref="L25">Common_InputFunctions.Utility_DisplayArrayInTable(Fuel_SourceData.Fuel_Scope1Scope3EmissionFactorsTransport_Data(), Table_Fuel_EFs_Transport[[#Headers],[Transport type]], 0)</f>
        <v>NE</v>
      </c>
    </row>
    <row r="26" spans="1:12" ht="20.100000000000001" customHeight="1" x14ac:dyDescent="0.25">
      <c r="A26" s="5"/>
      <c r="D26" s="229" t="str" cm="1">
        <f t="array" ref="D26">Common_InputFunctions.Utility_DisplayArrayInTable(Fuel_SourceData.Fuel_Scope1Scope3EmissionFactorsTransport_Data(), Table_Fuel_EFs_Transport[[#Headers],[Transport type]], 0)</f>
        <v>Heavy duty vehicles</v>
      </c>
      <c r="E26" s="229" t="str" cm="1">
        <f t="array" ref="E26">Common_InputFunctions.Utility_DisplayArrayInTable(Fuel_SourceData.Fuel_Scope1Scope3EmissionFactorsTransport_Data(), Table_Fuel_EFs_Transport[[#Headers],[Transport type]], 0)</f>
        <v>Renewable diesel – Euro iii</v>
      </c>
      <c r="F26" s="229" cm="1">
        <f t="array" ref="F26">Common_InputFunctions.Utility_DisplayArrayInTable(Fuel_SourceData.Fuel_Scope1Scope3EmissionFactorsTransport_Data(), Table_Fuel_EFs_Transport[[#Headers],[Transport type]], 0)</f>
        <v>38.6</v>
      </c>
      <c r="G26" s="229" t="str" cm="1">
        <f t="array" ref="G26">Common_InputFunctions.Utility_DisplayArrayInTable(Fuel_SourceData.Fuel_Scope1Scope3EmissionFactorsTransport_Data(), Table_Fuel_EFs_Transport[[#Headers],[Transport type]], 0)</f>
        <v>kl</v>
      </c>
      <c r="H26" s="229" cm="1">
        <f t="array" ref="H26">Common_InputFunctions.Utility_DisplayArrayInTable(Fuel_SourceData.Fuel_Scope1Scope3EmissionFactorsTransport_Data(), Table_Fuel_EFs_Transport[[#Headers],[Transport type]], 0)</f>
        <v>0</v>
      </c>
      <c r="I26" s="229" cm="1">
        <f t="array" ref="I26">Common_InputFunctions.Utility_DisplayArrayInTable(Fuel_SourceData.Fuel_Scope1Scope3EmissionFactorsTransport_Data(), Table_Fuel_EFs_Transport[[#Headers],[Transport type]], 0)</f>
        <v>0.1</v>
      </c>
      <c r="J26" s="229" cm="1">
        <f t="array" ref="J26">Common_InputFunctions.Utility_DisplayArrayInTable(Fuel_SourceData.Fuel_Scope1Scope3EmissionFactorsTransport_Data(), Table_Fuel_EFs_Transport[[#Headers],[Transport type]], 0)</f>
        <v>0.4</v>
      </c>
      <c r="K26" s="229" cm="1">
        <f t="array" ref="K26">Common_InputFunctions.Utility_DisplayArrayInTable(Fuel_SourceData.Fuel_Scope1Scope3EmissionFactorsTransport_Data(), Table_Fuel_EFs_Transport[[#Headers],[Transport type]], 0)</f>
        <v>0.5</v>
      </c>
      <c r="L26" s="229" t="str" cm="1">
        <f t="array" ref="L26">Common_InputFunctions.Utility_DisplayArrayInTable(Fuel_SourceData.Fuel_Scope1Scope3EmissionFactorsTransport_Data(), Table_Fuel_EFs_Transport[[#Headers],[Transport type]], 0)</f>
        <v>NE</v>
      </c>
    </row>
    <row r="27" spans="1:12" ht="20.100000000000001" customHeight="1" x14ac:dyDescent="0.25">
      <c r="D27" s="229" t="str" cm="1">
        <f t="array" ref="D27">Common_InputFunctions.Utility_DisplayArrayInTable(Fuel_SourceData.Fuel_Scope1Scope3EmissionFactorsTransport_Data(), Table_Fuel_EFs_Transport[[#Headers],[Transport type]], 0)</f>
        <v>Heavy duty vehicles</v>
      </c>
      <c r="E27" s="229" t="str" cm="1">
        <f t="array" ref="E27">Common_InputFunctions.Utility_DisplayArrayInTable(Fuel_SourceData.Fuel_Scope1Scope3EmissionFactorsTransport_Data(), Table_Fuel_EFs_Transport[[#Headers],[Transport type]], 0)</f>
        <v>Renewable diesel – Euro i</v>
      </c>
      <c r="F27" s="229" cm="1">
        <f t="array" ref="F27">Common_InputFunctions.Utility_DisplayArrayInTable(Fuel_SourceData.Fuel_Scope1Scope3EmissionFactorsTransport_Data(), Table_Fuel_EFs_Transport[[#Headers],[Transport type]], 0)</f>
        <v>38.6</v>
      </c>
      <c r="G27" s="229" t="str" cm="1">
        <f t="array" ref="G27">Common_InputFunctions.Utility_DisplayArrayInTable(Fuel_SourceData.Fuel_Scope1Scope3EmissionFactorsTransport_Data(), Table_Fuel_EFs_Transport[[#Headers],[Transport type]], 0)</f>
        <v>kl</v>
      </c>
      <c r="H27" s="229" cm="1">
        <f t="array" ref="H27">Common_InputFunctions.Utility_DisplayArrayInTable(Fuel_SourceData.Fuel_Scope1Scope3EmissionFactorsTransport_Data(), Table_Fuel_EFs_Transport[[#Headers],[Transport type]], 0)</f>
        <v>0</v>
      </c>
      <c r="I27" s="229" cm="1">
        <f t="array" ref="I27">Common_InputFunctions.Utility_DisplayArrayInTable(Fuel_SourceData.Fuel_Scope1Scope3EmissionFactorsTransport_Data(), Table_Fuel_EFs_Transport[[#Headers],[Transport type]], 0)</f>
        <v>0.2</v>
      </c>
      <c r="J27" s="229" cm="1">
        <f t="array" ref="J27">Common_InputFunctions.Utility_DisplayArrayInTable(Fuel_SourceData.Fuel_Scope1Scope3EmissionFactorsTransport_Data(), Table_Fuel_EFs_Transport[[#Headers],[Transport type]], 0)</f>
        <v>0.4</v>
      </c>
      <c r="K27" s="229" cm="1">
        <f t="array" ref="K27">Common_InputFunctions.Utility_DisplayArrayInTable(Fuel_SourceData.Fuel_Scope1Scope3EmissionFactorsTransport_Data(), Table_Fuel_EFs_Transport[[#Headers],[Transport type]], 0)</f>
        <v>0.6</v>
      </c>
      <c r="L27" s="229" t="str" cm="1">
        <f t="array" ref="L27">Common_InputFunctions.Utility_DisplayArrayInTable(Fuel_SourceData.Fuel_Scope1Scope3EmissionFactorsTransport_Data(), Table_Fuel_EFs_Transport[[#Headers],[Transport type]], 0)</f>
        <v>NE</v>
      </c>
    </row>
    <row r="28" spans="1:12" ht="20.100000000000001" customHeight="1" x14ac:dyDescent="0.25">
      <c r="D28" s="229" t="str" cm="1">
        <f t="array" ref="D28">Common_InputFunctions.Utility_DisplayArrayInTable(Fuel_SourceData.Fuel_Scope1Scope3EmissionFactorsTransport_Data(), Table_Fuel_EFs_Transport[[#Headers],[Transport type]], 0)</f>
        <v>Aviation</v>
      </c>
      <c r="E28" s="229" t="str" cm="1">
        <f t="array" ref="E28">Common_InputFunctions.Utility_DisplayArrayInTable(Fuel_SourceData.Fuel_Scope1Scope3EmissionFactorsTransport_Data(), Table_Fuel_EFs_Transport[[#Headers],[Transport type]], 0)</f>
        <v>Gasoline for use as fuel in an aircraft</v>
      </c>
      <c r="F28" s="229" cm="1">
        <f t="array" ref="F28">Common_InputFunctions.Utility_DisplayArrayInTable(Fuel_SourceData.Fuel_Scope1Scope3EmissionFactorsTransport_Data(), Table_Fuel_EFs_Transport[[#Headers],[Transport type]], 0)</f>
        <v>33.1</v>
      </c>
      <c r="G28" s="229" t="str" cm="1">
        <f t="array" ref="G28">Common_InputFunctions.Utility_DisplayArrayInTable(Fuel_SourceData.Fuel_Scope1Scope3EmissionFactorsTransport_Data(), Table_Fuel_EFs_Transport[[#Headers],[Transport type]], 0)</f>
        <v>kl</v>
      </c>
      <c r="H28" s="229" cm="1">
        <f t="array" ref="H28">Common_InputFunctions.Utility_DisplayArrayInTable(Fuel_SourceData.Fuel_Scope1Scope3EmissionFactorsTransport_Data(), Table_Fuel_EFs_Transport[[#Headers],[Transport type]], 0)</f>
        <v>67</v>
      </c>
      <c r="I28" s="229" cm="1">
        <f t="array" ref="I28">Common_InputFunctions.Utility_DisplayArrayInTable(Fuel_SourceData.Fuel_Scope1Scope3EmissionFactorsTransport_Data(), Table_Fuel_EFs_Transport[[#Headers],[Transport type]], 0)</f>
        <v>0.06</v>
      </c>
      <c r="J28" s="229" cm="1">
        <f t="array" ref="J28">Common_InputFunctions.Utility_DisplayArrayInTable(Fuel_SourceData.Fuel_Scope1Scope3EmissionFactorsTransport_Data(), Table_Fuel_EFs_Transport[[#Headers],[Transport type]], 0)</f>
        <v>0.6</v>
      </c>
      <c r="K28" s="229" cm="1">
        <f t="array" ref="K28">Common_InputFunctions.Utility_DisplayArrayInTable(Fuel_SourceData.Fuel_Scope1Scope3EmissionFactorsTransport_Data(), Table_Fuel_EFs_Transport[[#Headers],[Transport type]], 0)</f>
        <v>67.66</v>
      </c>
      <c r="L28" s="229" cm="1">
        <f t="array" ref="L28">Common_InputFunctions.Utility_DisplayArrayInTable(Fuel_SourceData.Fuel_Scope1Scope3EmissionFactorsTransport_Data(), Table_Fuel_EFs_Transport[[#Headers],[Transport type]], 0)</f>
        <v>18</v>
      </c>
    </row>
    <row r="29" spans="1:12" ht="20.100000000000001" customHeight="1" x14ac:dyDescent="0.25">
      <c r="A29" s="6"/>
      <c r="D29" s="229" t="str" cm="1">
        <f t="array" ref="D29">Common_InputFunctions.Utility_DisplayArrayInTable(Fuel_SourceData.Fuel_Scope1Scope3EmissionFactorsTransport_Data(), Table_Fuel_EFs_Transport[[#Headers],[Transport type]], 0)</f>
        <v>Aviation</v>
      </c>
      <c r="E29" s="229" t="str" cm="1">
        <f t="array" ref="E29">Common_InputFunctions.Utility_DisplayArrayInTable(Fuel_SourceData.Fuel_Scope1Scope3EmissionFactorsTransport_Data(), Table_Fuel_EFs_Transport[[#Headers],[Transport type]], 0)</f>
        <v>Kerosene for use as fuel in an aircraft</v>
      </c>
      <c r="F29" s="229" cm="1">
        <f t="array" ref="F29">Common_InputFunctions.Utility_DisplayArrayInTable(Fuel_SourceData.Fuel_Scope1Scope3EmissionFactorsTransport_Data(), Table_Fuel_EFs_Transport[[#Headers],[Transport type]], 0)</f>
        <v>36.799999999999997</v>
      </c>
      <c r="G29" s="229" t="str" cm="1">
        <f t="array" ref="G29">Common_InputFunctions.Utility_DisplayArrayInTable(Fuel_SourceData.Fuel_Scope1Scope3EmissionFactorsTransport_Data(), Table_Fuel_EFs_Transport[[#Headers],[Transport type]], 0)</f>
        <v>kl</v>
      </c>
      <c r="H29" s="229" cm="1">
        <f t="array" ref="H29">Common_InputFunctions.Utility_DisplayArrayInTable(Fuel_SourceData.Fuel_Scope1Scope3EmissionFactorsTransport_Data(), Table_Fuel_EFs_Transport[[#Headers],[Transport type]], 0)</f>
        <v>69.599999999999994</v>
      </c>
      <c r="I29" s="229" cm="1">
        <f t="array" ref="I29">Common_InputFunctions.Utility_DisplayArrayInTable(Fuel_SourceData.Fuel_Scope1Scope3EmissionFactorsTransport_Data(), Table_Fuel_EFs_Transport[[#Headers],[Transport type]], 0)</f>
        <v>0.01</v>
      </c>
      <c r="J29" s="229" cm="1">
        <f t="array" ref="J29">Common_InputFunctions.Utility_DisplayArrayInTable(Fuel_SourceData.Fuel_Scope1Scope3EmissionFactorsTransport_Data(), Table_Fuel_EFs_Transport[[#Headers],[Transport type]], 0)</f>
        <v>0.6</v>
      </c>
      <c r="K29" s="229" cm="1">
        <f t="array" ref="K29">Common_InputFunctions.Utility_DisplayArrayInTable(Fuel_SourceData.Fuel_Scope1Scope3EmissionFactorsTransport_Data(), Table_Fuel_EFs_Transport[[#Headers],[Transport type]], 0)</f>
        <v>70.209999999999994</v>
      </c>
      <c r="L29" s="229" cm="1">
        <f t="array" ref="L29">Common_InputFunctions.Utility_DisplayArrayInTable(Fuel_SourceData.Fuel_Scope1Scope3EmissionFactorsTransport_Data(), Table_Fuel_EFs_Transport[[#Headers],[Transport type]], 0)</f>
        <v>18</v>
      </c>
    </row>
    <row r="30" spans="1:12" ht="20.100000000000001" customHeight="1" x14ac:dyDescent="0.25">
      <c r="A30" s="5"/>
      <c r="D30" s="229" t="str" cm="1">
        <f t="array" ref="D30">Common_InputFunctions.Utility_DisplayArrayInTable(Fuel_SourceData.Fuel_Scope1Scope3EmissionFactorsTransport_Data(), Table_Fuel_EFs_Transport[[#Headers],[Transport type]], 0)</f>
        <v>Aviation</v>
      </c>
      <c r="E30" s="229" t="str" cm="1">
        <f t="array" ref="E30">Common_InputFunctions.Utility_DisplayArrayInTable(Fuel_SourceData.Fuel_Scope1Scope3EmissionFactorsTransport_Data(), Table_Fuel_EFs_Transport[[#Headers],[Transport type]], 0)</f>
        <v>Renewable aviation kerosene</v>
      </c>
      <c r="F30" s="229" cm="1">
        <f t="array" ref="F30">Common_InputFunctions.Utility_DisplayArrayInTable(Fuel_SourceData.Fuel_Scope1Scope3EmissionFactorsTransport_Data(), Table_Fuel_EFs_Transport[[#Headers],[Transport type]], 0)</f>
        <v>36.799999999999997</v>
      </c>
      <c r="G30" s="229" t="str" cm="1">
        <f t="array" ref="G30">Common_InputFunctions.Utility_DisplayArrayInTable(Fuel_SourceData.Fuel_Scope1Scope3EmissionFactorsTransport_Data(), Table_Fuel_EFs_Transport[[#Headers],[Transport type]], 0)</f>
        <v>kl</v>
      </c>
      <c r="H30" s="229" cm="1">
        <f t="array" ref="H30">Common_InputFunctions.Utility_DisplayArrayInTable(Fuel_SourceData.Fuel_Scope1Scope3EmissionFactorsTransport_Data(), Table_Fuel_EFs_Transport[[#Headers],[Transport type]], 0)</f>
        <v>0</v>
      </c>
      <c r="I30" s="229" cm="1">
        <f t="array" ref="I30">Common_InputFunctions.Utility_DisplayArrayInTable(Fuel_SourceData.Fuel_Scope1Scope3EmissionFactorsTransport_Data(), Table_Fuel_EFs_Transport[[#Headers],[Transport type]], 0)</f>
        <v>0.01</v>
      </c>
      <c r="J30" s="229" cm="1">
        <f t="array" ref="J30">Common_InputFunctions.Utility_DisplayArrayInTable(Fuel_SourceData.Fuel_Scope1Scope3EmissionFactorsTransport_Data(), Table_Fuel_EFs_Transport[[#Headers],[Transport type]], 0)</f>
        <v>0.6</v>
      </c>
      <c r="K30" s="229" cm="1">
        <f t="array" ref="K30">Common_InputFunctions.Utility_DisplayArrayInTable(Fuel_SourceData.Fuel_Scope1Scope3EmissionFactorsTransport_Data(), Table_Fuel_EFs_Transport[[#Headers],[Transport type]], 0)</f>
        <v>0.61</v>
      </c>
      <c r="L30" s="229" t="str" cm="1">
        <f t="array" ref="L30">Common_InputFunctions.Utility_DisplayArrayInTable(Fuel_SourceData.Fuel_Scope1Scope3EmissionFactorsTransport_Data(), Table_Fuel_EFs_Transport[[#Headers],[Transport type]], 0)</f>
        <v>NE</v>
      </c>
    </row>
    <row r="31" spans="1:12" ht="20.100000000000001" customHeight="1" x14ac:dyDescent="0.25">
      <c r="A31" s="5"/>
      <c r="D31" s="229" t="str" cm="1">
        <f t="array" ref="D31">Common_InputFunctions.Utility_DisplayArrayInTable(Fuel_SourceData.Fuel_Scope1Scope3EmissionFactorsTransport_Data(), Table_Fuel_EFs_Transport[[#Headers],[Transport type]], 0)</f>
        <v>Vessels</v>
      </c>
      <c r="E31" s="229" t="str" cm="1">
        <f t="array" ref="E31">Common_InputFunctions.Utility_DisplayArrayInTable(Fuel_SourceData.Fuel_Scope1Scope3EmissionFactorsTransport_Data(), Table_Fuel_EFs_Transport[[#Headers],[Transport type]], 0)</f>
        <v>Gasoline</v>
      </c>
      <c r="F31" s="229" cm="1">
        <f t="array" ref="F31">Common_InputFunctions.Utility_DisplayArrayInTable(Fuel_SourceData.Fuel_Scope1Scope3EmissionFactorsTransport_Data(), Table_Fuel_EFs_Transport[[#Headers],[Transport type]], 0)</f>
        <v>34.200000000000003</v>
      </c>
      <c r="G31" s="229" t="str" cm="1">
        <f t="array" ref="G31">Common_InputFunctions.Utility_DisplayArrayInTable(Fuel_SourceData.Fuel_Scope1Scope3EmissionFactorsTransport_Data(), Table_Fuel_EFs_Transport[[#Headers],[Transport type]], 0)</f>
        <v>kL</v>
      </c>
      <c r="H31" s="229" cm="1">
        <f t="array" ref="H31">Common_InputFunctions.Utility_DisplayArrayInTable(Fuel_SourceData.Fuel_Scope1Scope3EmissionFactorsTransport_Data(), Table_Fuel_EFs_Transport[[#Headers],[Transport type]], 0)</f>
        <v>67.400000000000006</v>
      </c>
      <c r="I31" s="229" cm="1">
        <f t="array" ref="I31">Common_InputFunctions.Utility_DisplayArrayInTable(Fuel_SourceData.Fuel_Scope1Scope3EmissionFactorsTransport_Data(), Table_Fuel_EFs_Transport[[#Headers],[Transport type]], 0)</f>
        <v>10.1</v>
      </c>
      <c r="J31" s="229" cm="1">
        <f t="array" ref="J31">Common_InputFunctions.Utility_DisplayArrayInTable(Fuel_SourceData.Fuel_Scope1Scope3EmissionFactorsTransport_Data(), Table_Fuel_EFs_Transport[[#Headers],[Transport type]], 0)</f>
        <v>0.3</v>
      </c>
      <c r="K31" s="229" t="str" cm="1">
        <f t="array" ref="K31">Common_InputFunctions.Utility_DisplayArrayInTable(Fuel_SourceData.Fuel_Scope1Scope3EmissionFactorsTransport_Data(), Table_Fuel_EFs_Transport[[#Headers],[Transport type]], 0)</f>
        <v/>
      </c>
      <c r="L31" s="229" cm="1">
        <f t="array" ref="L31">Common_InputFunctions.Utility_DisplayArrayInTable(Fuel_SourceData.Fuel_Scope1Scope3EmissionFactorsTransport_Data(), Table_Fuel_EFs_Transport[[#Headers],[Transport type]], 0)</f>
        <v>17.2</v>
      </c>
    </row>
    <row r="32" spans="1:12" ht="20.100000000000001" customHeight="1" x14ac:dyDescent="0.25">
      <c r="A32" s="5"/>
      <c r="D32" s="230" t="str" cm="1">
        <f t="array" ref="D32">Common_InputFunctions.Utility_DisplayArrayInTable(Fuel_SourceData.Fuel_Scope1Scope3EmissionFactorsTransport_Data(), Table_Fuel_EFs_Transport[[#Headers],[Transport type]], 0)</f>
        <v>Vessels</v>
      </c>
      <c r="E32" s="230" t="str" cm="1">
        <f t="array" ref="E32">Common_InputFunctions.Utility_DisplayArrayInTable(Fuel_SourceData.Fuel_Scope1Scope3EmissionFactorsTransport_Data(), Table_Fuel_EFs_Transport[[#Headers],[Transport type]], 0)</f>
        <v>Diesel oil</v>
      </c>
      <c r="F32" s="230" cm="1">
        <f t="array" ref="F32">Common_InputFunctions.Utility_DisplayArrayInTable(Fuel_SourceData.Fuel_Scope1Scope3EmissionFactorsTransport_Data(), Table_Fuel_EFs_Transport[[#Headers],[Transport type]], 0)</f>
        <v>38.6</v>
      </c>
      <c r="G32" s="230" t="str" cm="1">
        <f t="array" ref="G32">Common_InputFunctions.Utility_DisplayArrayInTable(Fuel_SourceData.Fuel_Scope1Scope3EmissionFactorsTransport_Data(), Table_Fuel_EFs_Transport[[#Headers],[Transport type]], 0)</f>
        <v>kL</v>
      </c>
      <c r="H32" s="230" cm="1">
        <f t="array" ref="H32">Common_InputFunctions.Utility_DisplayArrayInTable(Fuel_SourceData.Fuel_Scope1Scope3EmissionFactorsTransport_Data(), Table_Fuel_EFs_Transport[[#Headers],[Transport type]], 0)</f>
        <v>69.900000000000006</v>
      </c>
      <c r="I32" s="230" cm="1">
        <f t="array" ref="I32">Common_InputFunctions.Utility_DisplayArrayInTable(Fuel_SourceData.Fuel_Scope1Scope3EmissionFactorsTransport_Data(), Table_Fuel_EFs_Transport[[#Headers],[Transport type]], 0)</f>
        <v>0.2</v>
      </c>
      <c r="J32" s="230" cm="1">
        <f t="array" ref="J32">Common_InputFunctions.Utility_DisplayArrayInTable(Fuel_SourceData.Fuel_Scope1Scope3EmissionFactorsTransport_Data(), Table_Fuel_EFs_Transport[[#Headers],[Transport type]], 0)</f>
        <v>0.5</v>
      </c>
      <c r="K32" s="230" t="str" cm="1">
        <f t="array" ref="K32">Common_InputFunctions.Utility_DisplayArrayInTable(Fuel_SourceData.Fuel_Scope1Scope3EmissionFactorsTransport_Data(), Table_Fuel_EFs_Transport[[#Headers],[Transport type]], 0)</f>
        <v/>
      </c>
      <c r="L32" s="230" cm="1">
        <f t="array" ref="L32">Common_InputFunctions.Utility_DisplayArrayInTable(Fuel_SourceData.Fuel_Scope1Scope3EmissionFactorsTransport_Data(), Table_Fuel_EFs_Transport[[#Headers],[Transport type]], 0)</f>
        <v>17.3</v>
      </c>
    </row>
    <row r="33" spans="1:12" ht="20.100000000000001" customHeight="1" x14ac:dyDescent="0.25">
      <c r="A33" s="5"/>
      <c r="D33" s="230" t="str" cm="1">
        <f t="array" ref="D33">Common_InputFunctions.Utility_DisplayArrayInTable(Fuel_SourceData.Fuel_Scope1Scope3EmissionFactorsTransport_Data(), Table_Fuel_EFs_Transport[[#Headers],[Transport type]], 0)</f>
        <v>Vessels</v>
      </c>
      <c r="E33" s="230" t="str" cm="1">
        <f t="array" ref="E33">Common_InputFunctions.Utility_DisplayArrayInTable(Fuel_SourceData.Fuel_Scope1Scope3EmissionFactorsTransport_Data(), Table_Fuel_EFs_Transport[[#Headers],[Transport type]], 0)</f>
        <v>Fuel Oil</v>
      </c>
      <c r="F33" s="230" cm="1">
        <f t="array" ref="F33">Common_InputFunctions.Utility_DisplayArrayInTable(Fuel_SourceData.Fuel_Scope1Scope3EmissionFactorsTransport_Data(), Table_Fuel_EFs_Transport[[#Headers],[Transport type]], 0)</f>
        <v>39.700000000000003</v>
      </c>
      <c r="G33" s="230" t="str" cm="1">
        <f t="array" ref="G33">Common_InputFunctions.Utility_DisplayArrayInTable(Fuel_SourceData.Fuel_Scope1Scope3EmissionFactorsTransport_Data(), Table_Fuel_EFs_Transport[[#Headers],[Transport type]], 0)</f>
        <v>kL</v>
      </c>
      <c r="H33" s="230" cm="1">
        <f t="array" ref="H33">Common_InputFunctions.Utility_DisplayArrayInTable(Fuel_SourceData.Fuel_Scope1Scope3EmissionFactorsTransport_Data(), Table_Fuel_EFs_Transport[[#Headers],[Transport type]], 0)</f>
        <v>73.599999999999994</v>
      </c>
      <c r="I33" s="230" cm="1">
        <f t="array" ref="I33">Common_InputFunctions.Utility_DisplayArrayInTable(Fuel_SourceData.Fuel_Scope1Scope3EmissionFactorsTransport_Data(), Table_Fuel_EFs_Transport[[#Headers],[Transport type]], 0)</f>
        <v>0.2</v>
      </c>
      <c r="J33" s="230" cm="1">
        <f t="array" ref="J33">Common_InputFunctions.Utility_DisplayArrayInTable(Fuel_SourceData.Fuel_Scope1Scope3EmissionFactorsTransport_Data(), Table_Fuel_EFs_Transport[[#Headers],[Transport type]], 0)</f>
        <v>0.5</v>
      </c>
      <c r="K33" s="230" t="str" cm="1">
        <f t="array" ref="K33">Common_InputFunctions.Utility_DisplayArrayInTable(Fuel_SourceData.Fuel_Scope1Scope3EmissionFactorsTransport_Data(), Table_Fuel_EFs_Transport[[#Headers],[Transport type]], 0)</f>
        <v/>
      </c>
      <c r="L33" s="230" cm="1">
        <f t="array" ref="L33">Common_InputFunctions.Utility_DisplayArrayInTable(Fuel_SourceData.Fuel_Scope1Scope3EmissionFactorsTransport_Data(), Table_Fuel_EFs_Transport[[#Headers],[Transport type]], 0)</f>
        <v>18</v>
      </c>
    </row>
    <row r="34" spans="1:12" ht="20.100000000000001" customHeight="1" x14ac:dyDescent="0.25">
      <c r="A34" s="5"/>
      <c r="D34" s="230" t="str" cm="1">
        <f t="array" ref="D34">Common_InputFunctions.Utility_DisplayArrayInTable(Fuel_SourceData.Fuel_Scope1Scope3EmissionFactorsTransport_Data(), Table_Fuel_EFs_Transport[[#Headers],[Transport type]], 0)</f>
        <v>Off-road Agriculture and forestry equipment</v>
      </c>
      <c r="E34" s="230" t="str" cm="1">
        <f t="array" ref="E34">Common_InputFunctions.Utility_DisplayArrayInTable(Fuel_SourceData.Fuel_Scope1Scope3EmissionFactorsTransport_Data(), Table_Fuel_EFs_Transport[[#Headers],[Transport type]], 0)</f>
        <v>Diesel oil</v>
      </c>
      <c r="F34" s="230" cm="1">
        <f t="array" ref="F34">Common_InputFunctions.Utility_DisplayArrayInTable(Fuel_SourceData.Fuel_Scope1Scope3EmissionFactorsTransport_Data(), Table_Fuel_EFs_Transport[[#Headers],[Transport type]], 0)</f>
        <v>38.6</v>
      </c>
      <c r="G34" s="230" t="str" cm="1">
        <f t="array" ref="G34">Common_InputFunctions.Utility_DisplayArrayInTable(Fuel_SourceData.Fuel_Scope1Scope3EmissionFactorsTransport_Data(), Table_Fuel_EFs_Transport[[#Headers],[Transport type]], 0)</f>
        <v>kL</v>
      </c>
      <c r="H34" s="230" cm="1">
        <f t="array" ref="H34">Common_InputFunctions.Utility_DisplayArrayInTable(Fuel_SourceData.Fuel_Scope1Scope3EmissionFactorsTransport_Data(), Table_Fuel_EFs_Transport[[#Headers],[Transport type]], 0)</f>
        <v>69.900000000000006</v>
      </c>
      <c r="I34" s="230" cm="1">
        <f t="array" ref="I34">Common_InputFunctions.Utility_DisplayArrayInTable(Fuel_SourceData.Fuel_Scope1Scope3EmissionFactorsTransport_Data(), Table_Fuel_EFs_Transport[[#Headers],[Transport type]], 0)</f>
        <v>0.3</v>
      </c>
      <c r="J34" s="230" cm="1">
        <f t="array" ref="J34">Common_InputFunctions.Utility_DisplayArrayInTable(Fuel_SourceData.Fuel_Scope1Scope3EmissionFactorsTransport_Data(), Table_Fuel_EFs_Transport[[#Headers],[Transport type]], 0)</f>
        <v>0.5</v>
      </c>
      <c r="K34" s="230" t="str" cm="1">
        <f t="array" ref="K34">Common_InputFunctions.Utility_DisplayArrayInTable(Fuel_SourceData.Fuel_Scope1Scope3EmissionFactorsTransport_Data(), Table_Fuel_EFs_Transport[[#Headers],[Transport type]], 0)</f>
        <v/>
      </c>
      <c r="L34" s="230" cm="1">
        <f t="array" ref="L34">Common_InputFunctions.Utility_DisplayArrayInTable(Fuel_SourceData.Fuel_Scope1Scope3EmissionFactorsTransport_Data(), Table_Fuel_EFs_Transport[[#Headers],[Transport type]], 0)</f>
        <v>17.3</v>
      </c>
    </row>
    <row r="35" spans="1:12" ht="20.100000000000001" customHeight="1" x14ac:dyDescent="0.25">
      <c r="A35" s="5"/>
    </row>
    <row r="36" spans="1:12" ht="20.100000000000001" customHeight="1" x14ac:dyDescent="0.25">
      <c r="A36" s="5"/>
    </row>
    <row r="37" spans="1:12" ht="20.100000000000001" customHeight="1" x14ac:dyDescent="0.25">
      <c r="A37" s="5"/>
      <c r="D37" s="2" t="str" cm="1">
        <f t="array" ref="D37">Fuel_SourceData.Fuel_Scope1Scope3EmissionFactorsTransportOffRoad_Title()</f>
        <v>Fuel scope 1 and 3 emission factors - Off-road equipment and vessels</v>
      </c>
    </row>
    <row r="38" spans="1:12" ht="20.100000000000001" customHeight="1" x14ac:dyDescent="0.25">
      <c r="A38" s="5"/>
      <c r="D38" s="27" t="str" cm="1">
        <f t="array" ref="D38">Fuel_SourceData.Fuel_Scope1Scope3EmissionFactorsTransportOffRoad_Source()</f>
        <v>VEERG 2026: Table A.4.2.1</v>
      </c>
    </row>
    <row r="39" spans="1:12" ht="20.100000000000001" customHeight="1" x14ac:dyDescent="0.25">
      <c r="A39" s="5"/>
      <c r="D39" s="30" t="s">
        <v>860</v>
      </c>
      <c r="E39" s="30" t="s">
        <v>861</v>
      </c>
      <c r="F39" s="30" t="s">
        <v>862</v>
      </c>
      <c r="G39" s="30" t="s">
        <v>863</v>
      </c>
      <c r="H39" s="30" t="s">
        <v>864</v>
      </c>
      <c r="I39" s="30" t="s">
        <v>865</v>
      </c>
      <c r="J39" s="30" t="s">
        <v>866</v>
      </c>
    </row>
    <row r="40" spans="1:12" ht="20.100000000000001" customHeight="1" x14ac:dyDescent="0.25">
      <c r="A40" s="5"/>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row>
    <row r="45" spans="1:12" ht="20.100000000000001" customHeight="1" x14ac:dyDescent="0.25">
      <c r="A45" s="5"/>
    </row>
    <row r="46" spans="1:12" ht="20.100000000000001" customHeight="1" x14ac:dyDescent="0.25">
      <c r="A46" s="5"/>
    </row>
    <row r="47" spans="1:12" ht="20.100000000000001" customHeight="1" x14ac:dyDescent="0.25">
      <c r="A47" s="5"/>
    </row>
    <row r="48" spans="1:12" ht="20.100000000000001" customHeight="1" x14ac:dyDescent="0.25">
      <c r="A48" s="5"/>
    </row>
    <row r="49" spans="1:12" ht="20.100000000000001" customHeight="1" x14ac:dyDescent="0.25">
      <c r="D49" s="2" t="str" cm="1">
        <f t="array" ref="D49">Fuel_SourceData.Fuel_Scope1Scope3EmissionFactorsStationaryLiquid_Title()</f>
        <v>Fuel scope 1 and 3 emission factors - Stationary liquid fuels</v>
      </c>
      <c r="E49" s="179"/>
      <c r="F49" s="179"/>
      <c r="G49" s="179"/>
      <c r="H49" s="179"/>
      <c r="I49" s="179"/>
      <c r="J49" s="179"/>
      <c r="K49" s="179"/>
      <c r="L49" s="179"/>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9"/>
      <c r="F50" s="179"/>
      <c r="G50" s="179"/>
      <c r="H50" s="179"/>
      <c r="I50" s="179"/>
      <c r="J50" s="179"/>
      <c r="K50" s="179"/>
      <c r="L50" s="179"/>
    </row>
    <row r="51" spans="1:12" ht="20.100000000000001" customHeight="1" x14ac:dyDescent="0.25">
      <c r="A51" s="100"/>
      <c r="D51" s="27" t="str" cm="1">
        <f t="array" ref="D51">Fuel_SourceData.Fuel_Scope1Scope3EmissionFactorsStationaryLiquid_Source()</f>
        <v>Australian National Greenhouse Accounts Factors 2025 - Table 8</v>
      </c>
      <c r="E51" s="179"/>
      <c r="F51" s="179"/>
      <c r="G51" s="179"/>
      <c r="H51" s="179"/>
      <c r="I51" s="179"/>
      <c r="J51" s="179"/>
      <c r="K51" s="179"/>
      <c r="L51" s="179"/>
    </row>
    <row r="52" spans="1:12" ht="20.100000000000001" customHeight="1" x14ac:dyDescent="0.25">
      <c r="A52" s="5"/>
      <c r="D52" s="36" t="str" cm="1">
        <f t="array" ref="D52">"⚠️" &amp; Fuel_SourceData.Fuel_Scope1Scope3EmissionFactorsStationaryLiquid_Variation()</f>
        <v>⚠️VARIATION OF SOURCE DATA: 'NE' values returned as zero for calculations.</v>
      </c>
      <c r="E52" s="179"/>
      <c r="F52" s="179"/>
      <c r="G52" s="179"/>
      <c r="H52" s="179"/>
      <c r="I52" s="179"/>
      <c r="J52" s="179"/>
      <c r="K52" s="179"/>
      <c r="L52" s="179"/>
    </row>
    <row r="53" spans="1:12" ht="20.100000000000001" customHeight="1" x14ac:dyDescent="0.25">
      <c r="A53" s="5"/>
      <c r="D53" s="197" t="s">
        <v>852</v>
      </c>
      <c r="E53" s="228" t="s">
        <v>853</v>
      </c>
      <c r="F53" s="197" t="s">
        <v>854</v>
      </c>
      <c r="G53" s="228" t="s">
        <v>855</v>
      </c>
      <c r="H53" s="228" t="s">
        <v>856</v>
      </c>
      <c r="I53" s="228" t="s">
        <v>857</v>
      </c>
      <c r="J53" s="228" t="s">
        <v>858</v>
      </c>
      <c r="K53" s="228" t="s">
        <v>859</v>
      </c>
      <c r="L53" s="179"/>
    </row>
    <row r="54" spans="1:12" ht="20.100000000000001" customHeight="1" x14ac:dyDescent="0.25">
      <c r="A54" s="5"/>
      <c r="D54" s="23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1" cm="1">
        <f t="array" ref="E54">Common_InputFunctions.Utility_DisplayArrayInTable(Fuel_SourceData.Fuel_Scope1Scope3EmissionFactorsStationaryLiquid_Data(), Table_Fuel_EFs_StationaryLiquid[[#Headers],[Fuel combusted]],0)</f>
        <v>38.799999999999997</v>
      </c>
      <c r="F54" s="231" t="str" cm="1">
        <f t="array" ref="F54">Common_InputFunctions.Utility_DisplayArrayInTable(Fuel_SourceData.Fuel_Scope1Scope3EmissionFactorsStationaryLiquid_Data(), Table_Fuel_EFs_StationaryLiquid[[#Headers],[Fuel combusted]],0)</f>
        <v>kl</v>
      </c>
      <c r="G54" s="231" cm="1">
        <f t="array" ref="G54">Common_InputFunctions.Utility_DisplayArrayInTable(Fuel_SourceData.Fuel_Scope1Scope3EmissionFactorsStationaryLiquid_Data(), Table_Fuel_EFs_StationaryLiquid[[#Headers],[Fuel combusted]],0)</f>
        <v>13.9</v>
      </c>
      <c r="H54" s="231" cm="1">
        <f t="array" ref="H54">Common_InputFunctions.Utility_DisplayArrayInTable(Fuel_SourceData.Fuel_Scope1Scope3EmissionFactorsStationaryLiquid_Data(), Table_Fuel_EFs_StationaryLiquid[[#Headers],[Fuel combusted]],0)</f>
        <v>0</v>
      </c>
      <c r="I54" s="231" cm="1">
        <f t="array" ref="I54">Common_InputFunctions.Utility_DisplayArrayInTable(Fuel_SourceData.Fuel_Scope1Scope3EmissionFactorsStationaryLiquid_Data(), Table_Fuel_EFs_StationaryLiquid[[#Headers],[Fuel combusted]],0)</f>
        <v>0</v>
      </c>
      <c r="J54" s="231" cm="1">
        <f t="array" ref="J54">Common_InputFunctions.Utility_DisplayArrayInTable(Fuel_SourceData.Fuel_Scope1Scope3EmissionFactorsStationaryLiquid_Data(), Table_Fuel_EFs_StationaryLiquid[[#Headers],[Fuel combusted]],0)</f>
        <v>13.9</v>
      </c>
      <c r="K54" s="231" cm="1">
        <f t="array" ref="K54">Common_InputFunctions.Utility_DisplayArrayInTable(Fuel_SourceData.Fuel_Scope1Scope3EmissionFactorsStationaryLiquid_Data(), Table_Fuel_EFs_StationaryLiquid[[#Headers],[Fuel combusted]],0)</f>
        <v>18</v>
      </c>
      <c r="L54" s="179"/>
    </row>
    <row r="55" spans="1:12" ht="20.100000000000001" customHeight="1" x14ac:dyDescent="0.25">
      <c r="A55" s="5"/>
      <c r="D55" s="231" t="str" cm="1">
        <f t="array" ref="D55">Common_InputFunctions.Utility_DisplayArrayInTable(Fuel_SourceData.Fuel_Scope1Scope3EmissionFactorsStationaryLiquid_Data(), Table_Fuel_EFs_StationaryLiquid[[#Headers],[Fuel combusted]],0)</f>
        <v>Petroleum based greases</v>
      </c>
      <c r="E55" s="231" cm="1">
        <f t="array" ref="E55">Common_InputFunctions.Utility_DisplayArrayInTable(Fuel_SourceData.Fuel_Scope1Scope3EmissionFactorsStationaryLiquid_Data(), Table_Fuel_EFs_StationaryLiquid[[#Headers],[Fuel combusted]],0)</f>
        <v>38.799999999999997</v>
      </c>
      <c r="F55" s="231" t="str" cm="1">
        <f t="array" ref="F55">Common_InputFunctions.Utility_DisplayArrayInTable(Fuel_SourceData.Fuel_Scope1Scope3EmissionFactorsStationaryLiquid_Data(), Table_Fuel_EFs_StationaryLiquid[[#Headers],[Fuel combusted]],0)</f>
        <v>kl</v>
      </c>
      <c r="G55" s="231" cm="1">
        <f t="array" ref="G55">Common_InputFunctions.Utility_DisplayArrayInTable(Fuel_SourceData.Fuel_Scope1Scope3EmissionFactorsStationaryLiquid_Data(), Table_Fuel_EFs_StationaryLiquid[[#Headers],[Fuel combusted]],0)</f>
        <v>3.5</v>
      </c>
      <c r="H55" s="231" cm="1">
        <f t="array" ref="H55">Common_InputFunctions.Utility_DisplayArrayInTable(Fuel_SourceData.Fuel_Scope1Scope3EmissionFactorsStationaryLiquid_Data(), Table_Fuel_EFs_StationaryLiquid[[#Headers],[Fuel combusted]],0)</f>
        <v>0</v>
      </c>
      <c r="I55" s="231" cm="1">
        <f t="array" ref="I55">Common_InputFunctions.Utility_DisplayArrayInTable(Fuel_SourceData.Fuel_Scope1Scope3EmissionFactorsStationaryLiquid_Data(), Table_Fuel_EFs_StationaryLiquid[[#Headers],[Fuel combusted]],0)</f>
        <v>0</v>
      </c>
      <c r="J55" s="231" cm="1">
        <f t="array" ref="J55">Common_InputFunctions.Utility_DisplayArrayInTable(Fuel_SourceData.Fuel_Scope1Scope3EmissionFactorsStationaryLiquid_Data(), Table_Fuel_EFs_StationaryLiquid[[#Headers],[Fuel combusted]],0)</f>
        <v>3.5</v>
      </c>
      <c r="K55" s="231" cm="1">
        <f t="array" ref="K55">Common_InputFunctions.Utility_DisplayArrayInTable(Fuel_SourceData.Fuel_Scope1Scope3EmissionFactorsStationaryLiquid_Data(), Table_Fuel_EFs_StationaryLiquid[[#Headers],[Fuel combusted]],0)</f>
        <v>18</v>
      </c>
      <c r="L55" s="179"/>
    </row>
    <row r="56" spans="1:12" ht="20.100000000000001" customHeight="1" x14ac:dyDescent="0.25">
      <c r="A56" s="5"/>
      <c r="D56" s="231" t="str" cm="1">
        <f t="array" ref="D56">Common_InputFunctions.Utility_DisplayArrayInTable(Fuel_SourceData.Fuel_Scope1Scope3EmissionFactorsStationaryLiquid_Data(), Table_Fuel_EFs_StationaryLiquid[[#Headers],[Fuel combusted]],0)</f>
        <v>Crude oil including crude oil condensates</v>
      </c>
      <c r="E56" s="231" cm="1">
        <f t="array" ref="E56">Common_InputFunctions.Utility_DisplayArrayInTable(Fuel_SourceData.Fuel_Scope1Scope3EmissionFactorsStationaryLiquid_Data(), Table_Fuel_EFs_StationaryLiquid[[#Headers],[Fuel combusted]],0)</f>
        <v>45.3</v>
      </c>
      <c r="F56" s="231" t="str" cm="1">
        <f t="array" ref="F56">Common_InputFunctions.Utility_DisplayArrayInTable(Fuel_SourceData.Fuel_Scope1Scope3EmissionFactorsStationaryLiquid_Data(), Table_Fuel_EFs_StationaryLiquid[[#Headers],[Fuel combusted]],0)</f>
        <v>t</v>
      </c>
      <c r="G56" s="231" cm="1">
        <f t="array" ref="G56">Common_InputFunctions.Utility_DisplayArrayInTable(Fuel_SourceData.Fuel_Scope1Scope3EmissionFactorsStationaryLiquid_Data(), Table_Fuel_EFs_StationaryLiquid[[#Headers],[Fuel combusted]],0)</f>
        <v>69.599999999999994</v>
      </c>
      <c r="H56" s="231" cm="1">
        <f t="array" ref="H56">Common_InputFunctions.Utility_DisplayArrayInTable(Fuel_SourceData.Fuel_Scope1Scope3EmissionFactorsStationaryLiquid_Data(), Table_Fuel_EFs_StationaryLiquid[[#Headers],[Fuel combusted]],0)</f>
        <v>0.08</v>
      </c>
      <c r="I56" s="231" cm="1">
        <f t="array" ref="I56">Common_InputFunctions.Utility_DisplayArrayInTable(Fuel_SourceData.Fuel_Scope1Scope3EmissionFactorsStationaryLiquid_Data(), Table_Fuel_EFs_StationaryLiquid[[#Headers],[Fuel combusted]],0)</f>
        <v>0.2</v>
      </c>
      <c r="J56" s="231" cm="1">
        <f t="array" ref="J56">Common_InputFunctions.Utility_DisplayArrayInTable(Fuel_SourceData.Fuel_Scope1Scope3EmissionFactorsStationaryLiquid_Data(), Table_Fuel_EFs_StationaryLiquid[[#Headers],[Fuel combusted]],0)</f>
        <v>69.88</v>
      </c>
      <c r="K56" s="231" t="str" cm="1">
        <f t="array" ref="K56">Common_InputFunctions.Utility_DisplayArrayInTable(Fuel_SourceData.Fuel_Scope1Scope3EmissionFactorsStationaryLiquid_Data(), Table_Fuel_EFs_StationaryLiquid[[#Headers],[Fuel combusted]],0)</f>
        <v>NE</v>
      </c>
      <c r="L56" s="179"/>
    </row>
    <row r="57" spans="1:12" ht="20.100000000000001" customHeight="1" x14ac:dyDescent="0.25">
      <c r="A57" s="101"/>
      <c r="D57" s="231" t="str" cm="1">
        <f t="array" ref="D57">Common_InputFunctions.Utility_DisplayArrayInTable(Fuel_SourceData.Fuel_Scope1Scope3EmissionFactorsStationaryLiquid_Data(), Table_Fuel_EFs_StationaryLiquid[[#Headers],[Fuel combusted]],0)</f>
        <v>Other natural gas liquids</v>
      </c>
      <c r="E57" s="231" cm="1">
        <f t="array" ref="E57">Common_InputFunctions.Utility_DisplayArrayInTable(Fuel_SourceData.Fuel_Scope1Scope3EmissionFactorsStationaryLiquid_Data(), Table_Fuel_EFs_StationaryLiquid[[#Headers],[Fuel combusted]],0)</f>
        <v>46.5</v>
      </c>
      <c r="F57" s="231" t="str" cm="1">
        <f t="array" ref="F57">Common_InputFunctions.Utility_DisplayArrayInTable(Fuel_SourceData.Fuel_Scope1Scope3EmissionFactorsStationaryLiquid_Data(), Table_Fuel_EFs_StationaryLiquid[[#Headers],[Fuel combusted]],0)</f>
        <v>t</v>
      </c>
      <c r="G57" s="231" cm="1">
        <f t="array" ref="G57">Common_InputFunctions.Utility_DisplayArrayInTable(Fuel_SourceData.Fuel_Scope1Scope3EmissionFactorsStationaryLiquid_Data(), Table_Fuel_EFs_StationaryLiquid[[#Headers],[Fuel combusted]],0)</f>
        <v>61</v>
      </c>
      <c r="H57" s="231" cm="1">
        <f t="array" ref="H57">Common_InputFunctions.Utility_DisplayArrayInTable(Fuel_SourceData.Fuel_Scope1Scope3EmissionFactorsStationaryLiquid_Data(), Table_Fuel_EFs_StationaryLiquid[[#Headers],[Fuel combusted]],0)</f>
        <v>0.08</v>
      </c>
      <c r="I57" s="231" cm="1">
        <f t="array" ref="I57">Common_InputFunctions.Utility_DisplayArrayInTable(Fuel_SourceData.Fuel_Scope1Scope3EmissionFactorsStationaryLiquid_Data(), Table_Fuel_EFs_StationaryLiquid[[#Headers],[Fuel combusted]],0)</f>
        <v>0.2</v>
      </c>
      <c r="J57" s="231" cm="1">
        <f t="array" ref="J57">Common_InputFunctions.Utility_DisplayArrayInTable(Fuel_SourceData.Fuel_Scope1Scope3EmissionFactorsStationaryLiquid_Data(), Table_Fuel_EFs_StationaryLiquid[[#Headers],[Fuel combusted]],0)</f>
        <v>61.28</v>
      </c>
      <c r="K57" s="231" t="str" cm="1">
        <f t="array" ref="K57">Common_InputFunctions.Utility_DisplayArrayInTable(Fuel_SourceData.Fuel_Scope1Scope3EmissionFactorsStationaryLiquid_Data(), Table_Fuel_EFs_StationaryLiquid[[#Headers],[Fuel combusted]],0)</f>
        <v>NE</v>
      </c>
      <c r="L57" s="179"/>
    </row>
    <row r="58" spans="1:12" ht="20.100000000000001" customHeight="1" x14ac:dyDescent="0.25">
      <c r="A58" s="5"/>
      <c r="D58" s="23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1" cm="1">
        <f t="array" ref="E58">Common_InputFunctions.Utility_DisplayArrayInTable(Fuel_SourceData.Fuel_Scope1Scope3EmissionFactorsStationaryLiquid_Data(), Table_Fuel_EFs_StationaryLiquid[[#Headers],[Fuel combusted]],0)</f>
        <v>34.200000000000003</v>
      </c>
      <c r="F58" s="231" t="str" cm="1">
        <f t="array" ref="F58">Common_InputFunctions.Utility_DisplayArrayInTable(Fuel_SourceData.Fuel_Scope1Scope3EmissionFactorsStationaryLiquid_Data(), Table_Fuel_EFs_StationaryLiquid[[#Headers],[Fuel combusted]],0)</f>
        <v>kL</v>
      </c>
      <c r="G58" s="231" cm="1">
        <f t="array" ref="G58">Common_InputFunctions.Utility_DisplayArrayInTable(Fuel_SourceData.Fuel_Scope1Scope3EmissionFactorsStationaryLiquid_Data(), Table_Fuel_EFs_StationaryLiquid[[#Headers],[Fuel combusted]],0)</f>
        <v>67.400000000000006</v>
      </c>
      <c r="H58" s="231" cm="1">
        <f t="array" ref="H58">Common_InputFunctions.Utility_DisplayArrayInTable(Fuel_SourceData.Fuel_Scope1Scope3EmissionFactorsStationaryLiquid_Data(), Table_Fuel_EFs_StationaryLiquid[[#Headers],[Fuel combusted]],0)</f>
        <v>0.2</v>
      </c>
      <c r="I58" s="231" cm="1">
        <f t="array" ref="I58">Common_InputFunctions.Utility_DisplayArrayInTable(Fuel_SourceData.Fuel_Scope1Scope3EmissionFactorsStationaryLiquid_Data(), Table_Fuel_EFs_StationaryLiquid[[#Headers],[Fuel combusted]],0)</f>
        <v>0.2</v>
      </c>
      <c r="J58" s="231" cm="1">
        <f t="array" ref="J58">Common_InputFunctions.Utility_DisplayArrayInTable(Fuel_SourceData.Fuel_Scope1Scope3EmissionFactorsStationaryLiquid_Data(), Table_Fuel_EFs_StationaryLiquid[[#Headers],[Fuel combusted]],0)</f>
        <v>67.8</v>
      </c>
      <c r="K58" s="231" cm="1">
        <f t="array" ref="K58">Common_InputFunctions.Utility_DisplayArrayInTable(Fuel_SourceData.Fuel_Scope1Scope3EmissionFactorsStationaryLiquid_Data(), Table_Fuel_EFs_StationaryLiquid[[#Headers],[Fuel combusted]],0)</f>
        <v>17.2</v>
      </c>
      <c r="L58" s="179"/>
    </row>
    <row r="59" spans="1:12" ht="20.100000000000001" customHeight="1" x14ac:dyDescent="0.25">
      <c r="A59" s="5"/>
      <c r="D59" s="231" t="str" cm="1">
        <f t="array" ref="D59">Common_InputFunctions.Utility_DisplayArrayInTable(Fuel_SourceData.Fuel_Scope1Scope3EmissionFactorsStationaryLiquid_Data(), Table_Fuel_EFs_StationaryLiquid[[#Headers],[Fuel combusted]],0)</f>
        <v>Aviation gasoline</v>
      </c>
      <c r="E59" s="231" cm="1">
        <f t="array" ref="E59">Common_InputFunctions.Utility_DisplayArrayInTable(Fuel_SourceData.Fuel_Scope1Scope3EmissionFactorsStationaryLiquid_Data(), Table_Fuel_EFs_StationaryLiquid[[#Headers],[Fuel combusted]],0)</f>
        <v>33.1</v>
      </c>
      <c r="F59" s="231" t="str" cm="1">
        <f t="array" ref="F59">Common_InputFunctions.Utility_DisplayArrayInTable(Fuel_SourceData.Fuel_Scope1Scope3EmissionFactorsStationaryLiquid_Data(), Table_Fuel_EFs_StationaryLiquid[[#Headers],[Fuel combusted]],0)</f>
        <v>kL</v>
      </c>
      <c r="G59" s="231" cm="1">
        <f t="array" ref="G59">Common_InputFunctions.Utility_DisplayArrayInTable(Fuel_SourceData.Fuel_Scope1Scope3EmissionFactorsStationaryLiquid_Data(), Table_Fuel_EFs_StationaryLiquid[[#Headers],[Fuel combusted]],0)</f>
        <v>67</v>
      </c>
      <c r="H59" s="231" cm="1">
        <f t="array" ref="H59">Common_InputFunctions.Utility_DisplayArrayInTable(Fuel_SourceData.Fuel_Scope1Scope3EmissionFactorsStationaryLiquid_Data(), Table_Fuel_EFs_StationaryLiquid[[#Headers],[Fuel combusted]],0)</f>
        <v>0.2</v>
      </c>
      <c r="I59" s="231" cm="1">
        <f t="array" ref="I59">Common_InputFunctions.Utility_DisplayArrayInTable(Fuel_SourceData.Fuel_Scope1Scope3EmissionFactorsStationaryLiquid_Data(), Table_Fuel_EFs_StationaryLiquid[[#Headers],[Fuel combusted]],0)</f>
        <v>0.2</v>
      </c>
      <c r="J59" s="231" cm="1">
        <f t="array" ref="J59">Common_InputFunctions.Utility_DisplayArrayInTable(Fuel_SourceData.Fuel_Scope1Scope3EmissionFactorsStationaryLiquid_Data(), Table_Fuel_EFs_StationaryLiquid[[#Headers],[Fuel combusted]],0)</f>
        <v>67.400000000000006</v>
      </c>
      <c r="K59" s="231" cm="1">
        <f t="array" ref="K59">Common_InputFunctions.Utility_DisplayArrayInTable(Fuel_SourceData.Fuel_Scope1Scope3EmissionFactorsStationaryLiquid_Data(), Table_Fuel_EFs_StationaryLiquid[[#Headers],[Fuel combusted]],0)</f>
        <v>18</v>
      </c>
      <c r="L59" s="179"/>
    </row>
    <row r="60" spans="1:12" ht="20.100000000000001" customHeight="1" x14ac:dyDescent="0.25">
      <c r="A60" s="5"/>
      <c r="D60" s="231" t="str" cm="1">
        <f t="array" ref="D60">Common_InputFunctions.Utility_DisplayArrayInTable(Fuel_SourceData.Fuel_Scope1Scope3EmissionFactorsStationaryLiquid_Data(), Table_Fuel_EFs_StationaryLiquid[[#Headers],[Fuel combusted]],0)</f>
        <v>Kerosene (other than for use as fuel in an aircraft)</v>
      </c>
      <c r="E60" s="231" cm="1">
        <f t="array" ref="E60">Common_InputFunctions.Utility_DisplayArrayInTable(Fuel_SourceData.Fuel_Scope1Scope3EmissionFactorsStationaryLiquid_Data(), Table_Fuel_EFs_StationaryLiquid[[#Headers],[Fuel combusted]],0)</f>
        <v>37.5</v>
      </c>
      <c r="F60" s="231" t="str" cm="1">
        <f t="array" ref="F60">Common_InputFunctions.Utility_DisplayArrayInTable(Fuel_SourceData.Fuel_Scope1Scope3EmissionFactorsStationaryLiquid_Data(), Table_Fuel_EFs_StationaryLiquid[[#Headers],[Fuel combusted]],0)</f>
        <v>kL</v>
      </c>
      <c r="G60" s="231" cm="1">
        <f t="array" ref="G60">Common_InputFunctions.Utility_DisplayArrayInTable(Fuel_SourceData.Fuel_Scope1Scope3EmissionFactorsStationaryLiquid_Data(), Table_Fuel_EFs_StationaryLiquid[[#Headers],[Fuel combusted]],0)</f>
        <v>68.900000000000006</v>
      </c>
      <c r="H60" s="231" cm="1">
        <f t="array" ref="H60">Common_InputFunctions.Utility_DisplayArrayInTable(Fuel_SourceData.Fuel_Scope1Scope3EmissionFactorsStationaryLiquid_Data(), Table_Fuel_EFs_StationaryLiquid[[#Headers],[Fuel combusted]],0)</f>
        <v>0.01</v>
      </c>
      <c r="I60" s="231" cm="1">
        <f t="array" ref="I60">Common_InputFunctions.Utility_DisplayArrayInTable(Fuel_SourceData.Fuel_Scope1Scope3EmissionFactorsStationaryLiquid_Data(), Table_Fuel_EFs_StationaryLiquid[[#Headers],[Fuel combusted]],0)</f>
        <v>0.2</v>
      </c>
      <c r="J60" s="231" cm="1">
        <f t="array" ref="J60">Common_InputFunctions.Utility_DisplayArrayInTable(Fuel_SourceData.Fuel_Scope1Scope3EmissionFactorsStationaryLiquid_Data(), Table_Fuel_EFs_StationaryLiquid[[#Headers],[Fuel combusted]],0)</f>
        <v>69.11</v>
      </c>
      <c r="K60" s="231" cm="1">
        <f t="array" ref="K60">Common_InputFunctions.Utility_DisplayArrayInTable(Fuel_SourceData.Fuel_Scope1Scope3EmissionFactorsStationaryLiquid_Data(), Table_Fuel_EFs_StationaryLiquid[[#Headers],[Fuel combusted]],0)</f>
        <v>18</v>
      </c>
      <c r="L60" s="179"/>
    </row>
    <row r="61" spans="1:12" ht="20.100000000000001" customHeight="1" x14ac:dyDescent="0.25">
      <c r="A61" s="5"/>
      <c r="D61" s="231" t="str" cm="1">
        <f t="array" ref="D61">Common_InputFunctions.Utility_DisplayArrayInTable(Fuel_SourceData.Fuel_Scope1Scope3EmissionFactorsStationaryLiquid_Data(), Table_Fuel_EFs_StationaryLiquid[[#Headers],[Fuel combusted]],0)</f>
        <v>Aviation turbine fuel / kerosene</v>
      </c>
      <c r="E61" s="231" cm="1">
        <f t="array" ref="E61">Common_InputFunctions.Utility_DisplayArrayInTable(Fuel_SourceData.Fuel_Scope1Scope3EmissionFactorsStationaryLiquid_Data(), Table_Fuel_EFs_StationaryLiquid[[#Headers],[Fuel combusted]],0)</f>
        <v>36.799999999999997</v>
      </c>
      <c r="F61" s="231" t="str" cm="1">
        <f t="array" ref="F61">Common_InputFunctions.Utility_DisplayArrayInTable(Fuel_SourceData.Fuel_Scope1Scope3EmissionFactorsStationaryLiquid_Data(), Table_Fuel_EFs_StationaryLiquid[[#Headers],[Fuel combusted]],0)</f>
        <v>kL</v>
      </c>
      <c r="G61" s="231" cm="1">
        <f t="array" ref="G61">Common_InputFunctions.Utility_DisplayArrayInTable(Fuel_SourceData.Fuel_Scope1Scope3EmissionFactorsStationaryLiquid_Data(), Table_Fuel_EFs_StationaryLiquid[[#Headers],[Fuel combusted]],0)</f>
        <v>69.599999999999994</v>
      </c>
      <c r="H61" s="231" cm="1">
        <f t="array" ref="H61">Common_InputFunctions.Utility_DisplayArrayInTable(Fuel_SourceData.Fuel_Scope1Scope3EmissionFactorsStationaryLiquid_Data(), Table_Fuel_EFs_StationaryLiquid[[#Headers],[Fuel combusted]],0)</f>
        <v>0.02</v>
      </c>
      <c r="I61" s="231" cm="1">
        <f t="array" ref="I61">Common_InputFunctions.Utility_DisplayArrayInTable(Fuel_SourceData.Fuel_Scope1Scope3EmissionFactorsStationaryLiquid_Data(), Table_Fuel_EFs_StationaryLiquid[[#Headers],[Fuel combusted]],0)</f>
        <v>0.2</v>
      </c>
      <c r="J61" s="231" cm="1">
        <f t="array" ref="J61">Common_InputFunctions.Utility_DisplayArrayInTable(Fuel_SourceData.Fuel_Scope1Scope3EmissionFactorsStationaryLiquid_Data(), Table_Fuel_EFs_StationaryLiquid[[#Headers],[Fuel combusted]],0)</f>
        <v>69.819999999999993</v>
      </c>
      <c r="K61" s="231" cm="1">
        <f t="array" ref="K61">Common_InputFunctions.Utility_DisplayArrayInTable(Fuel_SourceData.Fuel_Scope1Scope3EmissionFactorsStationaryLiquid_Data(), Table_Fuel_EFs_StationaryLiquid[[#Headers],[Fuel combusted]],0)</f>
        <v>18</v>
      </c>
      <c r="L61" s="179"/>
    </row>
    <row r="62" spans="1:12" ht="20.100000000000001" customHeight="1" x14ac:dyDescent="0.25">
      <c r="D62" s="231" t="str" cm="1">
        <f t="array" ref="D62">Common_InputFunctions.Utility_DisplayArrayInTable(Fuel_SourceData.Fuel_Scope1Scope3EmissionFactorsStationaryLiquid_Data(), Table_Fuel_EFs_StationaryLiquid[[#Headers],[Fuel combusted]],0)</f>
        <v>Heating oil</v>
      </c>
      <c r="E62" s="231" cm="1">
        <f t="array" ref="E62">Common_InputFunctions.Utility_DisplayArrayInTable(Fuel_SourceData.Fuel_Scope1Scope3EmissionFactorsStationaryLiquid_Data(), Table_Fuel_EFs_StationaryLiquid[[#Headers],[Fuel combusted]],0)</f>
        <v>37.299999999999997</v>
      </c>
      <c r="F62" s="231" t="str" cm="1">
        <f t="array" ref="F62">Common_InputFunctions.Utility_DisplayArrayInTable(Fuel_SourceData.Fuel_Scope1Scope3EmissionFactorsStationaryLiquid_Data(), Table_Fuel_EFs_StationaryLiquid[[#Headers],[Fuel combusted]],0)</f>
        <v>kL</v>
      </c>
      <c r="G62" s="231" cm="1">
        <f t="array" ref="G62">Common_InputFunctions.Utility_DisplayArrayInTable(Fuel_SourceData.Fuel_Scope1Scope3EmissionFactorsStationaryLiquid_Data(), Table_Fuel_EFs_StationaryLiquid[[#Headers],[Fuel combusted]],0)</f>
        <v>69.5</v>
      </c>
      <c r="H62" s="231" cm="1">
        <f t="array" ref="H62">Common_InputFunctions.Utility_DisplayArrayInTable(Fuel_SourceData.Fuel_Scope1Scope3EmissionFactorsStationaryLiquid_Data(), Table_Fuel_EFs_StationaryLiquid[[#Headers],[Fuel combusted]],0)</f>
        <v>0.03</v>
      </c>
      <c r="I62" s="231" cm="1">
        <f t="array" ref="I62">Common_InputFunctions.Utility_DisplayArrayInTable(Fuel_SourceData.Fuel_Scope1Scope3EmissionFactorsStationaryLiquid_Data(), Table_Fuel_EFs_StationaryLiquid[[#Headers],[Fuel combusted]],0)</f>
        <v>0.2</v>
      </c>
      <c r="J62" s="231" cm="1">
        <f t="array" ref="J62">Common_InputFunctions.Utility_DisplayArrayInTable(Fuel_SourceData.Fuel_Scope1Scope3EmissionFactorsStationaryLiquid_Data(), Table_Fuel_EFs_StationaryLiquid[[#Headers],[Fuel combusted]],0)</f>
        <v>69.73</v>
      </c>
      <c r="K62" s="231" cm="1">
        <f t="array" ref="K62">Common_InputFunctions.Utility_DisplayArrayInTable(Fuel_SourceData.Fuel_Scope1Scope3EmissionFactorsStationaryLiquid_Data(), Table_Fuel_EFs_StationaryLiquid[[#Headers],[Fuel combusted]],0)</f>
        <v>18</v>
      </c>
      <c r="L62" s="179"/>
    </row>
    <row r="63" spans="1:12" ht="20.100000000000001" customHeight="1" x14ac:dyDescent="0.25">
      <c r="D63" s="231" t="str" cm="1">
        <f t="array" ref="D63">Common_InputFunctions.Utility_DisplayArrayInTable(Fuel_SourceData.Fuel_Scope1Scope3EmissionFactorsStationaryLiquid_Data(), Table_Fuel_EFs_StationaryLiquid[[#Headers],[Fuel combusted]],0)</f>
        <v>Diesel oil</v>
      </c>
      <c r="E63" s="231" cm="1">
        <f t="array" ref="E63">Common_InputFunctions.Utility_DisplayArrayInTable(Fuel_SourceData.Fuel_Scope1Scope3EmissionFactorsStationaryLiquid_Data(), Table_Fuel_EFs_StationaryLiquid[[#Headers],[Fuel combusted]],0)</f>
        <v>38.6</v>
      </c>
      <c r="F63" s="231" t="str" cm="1">
        <f t="array" ref="F63">Common_InputFunctions.Utility_DisplayArrayInTable(Fuel_SourceData.Fuel_Scope1Scope3EmissionFactorsStationaryLiquid_Data(), Table_Fuel_EFs_StationaryLiquid[[#Headers],[Fuel combusted]],0)</f>
        <v>kL</v>
      </c>
      <c r="G63" s="231" cm="1">
        <f t="array" ref="G63">Common_InputFunctions.Utility_DisplayArrayInTable(Fuel_SourceData.Fuel_Scope1Scope3EmissionFactorsStationaryLiquid_Data(), Table_Fuel_EFs_StationaryLiquid[[#Headers],[Fuel combusted]],0)</f>
        <v>69.900000000000006</v>
      </c>
      <c r="H63" s="231" cm="1">
        <f t="array" ref="H63">Common_InputFunctions.Utility_DisplayArrayInTable(Fuel_SourceData.Fuel_Scope1Scope3EmissionFactorsStationaryLiquid_Data(), Table_Fuel_EFs_StationaryLiquid[[#Headers],[Fuel combusted]],0)</f>
        <v>0.1</v>
      </c>
      <c r="I63" s="231" cm="1">
        <f t="array" ref="I63">Common_InputFunctions.Utility_DisplayArrayInTable(Fuel_SourceData.Fuel_Scope1Scope3EmissionFactorsStationaryLiquid_Data(), Table_Fuel_EFs_StationaryLiquid[[#Headers],[Fuel combusted]],0)</f>
        <v>0.2</v>
      </c>
      <c r="J63" s="231" cm="1">
        <f t="array" ref="J63">Common_InputFunctions.Utility_DisplayArrayInTable(Fuel_SourceData.Fuel_Scope1Scope3EmissionFactorsStationaryLiquid_Data(), Table_Fuel_EFs_StationaryLiquid[[#Headers],[Fuel combusted]],0)</f>
        <v>70.2</v>
      </c>
      <c r="K63" s="231" cm="1">
        <f t="array" ref="K63">Common_InputFunctions.Utility_DisplayArrayInTable(Fuel_SourceData.Fuel_Scope1Scope3EmissionFactorsStationaryLiquid_Data(), Table_Fuel_EFs_StationaryLiquid[[#Headers],[Fuel combusted]],0)</f>
        <v>17.3</v>
      </c>
      <c r="L63" s="179"/>
    </row>
    <row r="64" spans="1:12" ht="20.100000000000001" customHeight="1" x14ac:dyDescent="0.25">
      <c r="D64" s="231" t="str" cm="1">
        <f t="array" ref="D64">Common_InputFunctions.Utility_DisplayArrayInTable(Fuel_SourceData.Fuel_Scope1Scope3EmissionFactorsStationaryLiquid_Data(), Table_Fuel_EFs_StationaryLiquid[[#Headers],[Fuel combusted]],0)</f>
        <v>Fuel oil</v>
      </c>
      <c r="E64" s="231" cm="1">
        <f t="array" ref="E64">Common_InputFunctions.Utility_DisplayArrayInTable(Fuel_SourceData.Fuel_Scope1Scope3EmissionFactorsStationaryLiquid_Data(), Table_Fuel_EFs_StationaryLiquid[[#Headers],[Fuel combusted]],0)</f>
        <v>39.700000000000003</v>
      </c>
      <c r="F64" s="231" t="str" cm="1">
        <f t="array" ref="F64">Common_InputFunctions.Utility_DisplayArrayInTable(Fuel_SourceData.Fuel_Scope1Scope3EmissionFactorsStationaryLiquid_Data(), Table_Fuel_EFs_StationaryLiquid[[#Headers],[Fuel combusted]],0)</f>
        <v>kL</v>
      </c>
      <c r="G64" s="231" cm="1">
        <f t="array" ref="G64">Common_InputFunctions.Utility_DisplayArrayInTable(Fuel_SourceData.Fuel_Scope1Scope3EmissionFactorsStationaryLiquid_Data(), Table_Fuel_EFs_StationaryLiquid[[#Headers],[Fuel combusted]],0)</f>
        <v>73.599999999999994</v>
      </c>
      <c r="H64" s="231" cm="1">
        <f t="array" ref="H64">Common_InputFunctions.Utility_DisplayArrayInTable(Fuel_SourceData.Fuel_Scope1Scope3EmissionFactorsStationaryLiquid_Data(), Table_Fuel_EFs_StationaryLiquid[[#Headers],[Fuel combusted]],0)</f>
        <v>0.04</v>
      </c>
      <c r="I64" s="231" cm="1">
        <f t="array" ref="I64">Common_InputFunctions.Utility_DisplayArrayInTable(Fuel_SourceData.Fuel_Scope1Scope3EmissionFactorsStationaryLiquid_Data(), Table_Fuel_EFs_StationaryLiquid[[#Headers],[Fuel combusted]],0)</f>
        <v>0.2</v>
      </c>
      <c r="J64" s="231" cm="1">
        <f t="array" ref="J64">Common_InputFunctions.Utility_DisplayArrayInTable(Fuel_SourceData.Fuel_Scope1Scope3EmissionFactorsStationaryLiquid_Data(), Table_Fuel_EFs_StationaryLiquid[[#Headers],[Fuel combusted]],0)</f>
        <v>73.84</v>
      </c>
      <c r="K64" s="231" cm="1">
        <f t="array" ref="K64">Common_InputFunctions.Utility_DisplayArrayInTable(Fuel_SourceData.Fuel_Scope1Scope3EmissionFactorsStationaryLiquid_Data(), Table_Fuel_EFs_StationaryLiquid[[#Headers],[Fuel combusted]],0)</f>
        <v>18</v>
      </c>
      <c r="L64" s="179"/>
    </row>
    <row r="65" spans="4:13" ht="20.100000000000001" customHeight="1" x14ac:dyDescent="0.25">
      <c r="D65" s="231" t="str" cm="1">
        <f t="array" ref="D65">Common_InputFunctions.Utility_DisplayArrayInTable(Fuel_SourceData.Fuel_Scope1Scope3EmissionFactorsStationaryLiquid_Data(), Table_Fuel_EFs_StationaryLiquid[[#Headers],[Fuel combusted]],0)</f>
        <v>Liquefied aromatic hydrocarbons</v>
      </c>
      <c r="E65" s="231" cm="1">
        <f t="array" ref="E65">Common_InputFunctions.Utility_DisplayArrayInTable(Fuel_SourceData.Fuel_Scope1Scope3EmissionFactorsStationaryLiquid_Data(), Table_Fuel_EFs_StationaryLiquid[[#Headers],[Fuel combusted]],0)</f>
        <v>34.4</v>
      </c>
      <c r="F65" s="231" t="str" cm="1">
        <f t="array" ref="F65">Common_InputFunctions.Utility_DisplayArrayInTable(Fuel_SourceData.Fuel_Scope1Scope3EmissionFactorsStationaryLiquid_Data(), Table_Fuel_EFs_StationaryLiquid[[#Headers],[Fuel combusted]],0)</f>
        <v>kL</v>
      </c>
      <c r="G65" s="231" cm="1">
        <f t="array" ref="G65">Common_InputFunctions.Utility_DisplayArrayInTable(Fuel_SourceData.Fuel_Scope1Scope3EmissionFactorsStationaryLiquid_Data(), Table_Fuel_EFs_StationaryLiquid[[#Headers],[Fuel combusted]],0)</f>
        <v>69.7</v>
      </c>
      <c r="H65" s="231" cm="1">
        <f t="array" ref="H65">Common_InputFunctions.Utility_DisplayArrayInTable(Fuel_SourceData.Fuel_Scope1Scope3EmissionFactorsStationaryLiquid_Data(), Table_Fuel_EFs_StationaryLiquid[[#Headers],[Fuel combusted]],0)</f>
        <v>0.03</v>
      </c>
      <c r="I65" s="231" cm="1">
        <f t="array" ref="I65">Common_InputFunctions.Utility_DisplayArrayInTable(Fuel_SourceData.Fuel_Scope1Scope3EmissionFactorsStationaryLiquid_Data(), Table_Fuel_EFs_StationaryLiquid[[#Headers],[Fuel combusted]],0)</f>
        <v>0.2</v>
      </c>
      <c r="J65" s="231" cm="1">
        <f t="array" ref="J65">Common_InputFunctions.Utility_DisplayArrayInTable(Fuel_SourceData.Fuel_Scope1Scope3EmissionFactorsStationaryLiquid_Data(), Table_Fuel_EFs_StationaryLiquid[[#Headers],[Fuel combusted]],0)</f>
        <v>69.930000000000007</v>
      </c>
      <c r="K65" s="231" cm="1">
        <f t="array" ref="K65">Common_InputFunctions.Utility_DisplayArrayInTable(Fuel_SourceData.Fuel_Scope1Scope3EmissionFactorsStationaryLiquid_Data(), Table_Fuel_EFs_StationaryLiquid[[#Headers],[Fuel combusted]],0)</f>
        <v>18</v>
      </c>
      <c r="L65" s="179"/>
    </row>
    <row r="66" spans="4:13" ht="20.100000000000001" customHeight="1" x14ac:dyDescent="0.25">
      <c r="D66" s="231" t="str" cm="1">
        <f t="array" ref="D66">Common_InputFunctions.Utility_DisplayArrayInTable(Fuel_SourceData.Fuel_Scope1Scope3EmissionFactorsStationaryLiquid_Data(), Table_Fuel_EFs_StationaryLiquid[[#Headers],[Fuel combusted]],0)</f>
        <v>Solvents: mineral turpentine or white spirits</v>
      </c>
      <c r="E66" s="231" cm="1">
        <f t="array" ref="E66">Common_InputFunctions.Utility_DisplayArrayInTable(Fuel_SourceData.Fuel_Scope1Scope3EmissionFactorsStationaryLiquid_Data(), Table_Fuel_EFs_StationaryLiquid[[#Headers],[Fuel combusted]],0)</f>
        <v>34.4</v>
      </c>
      <c r="F66" s="231" t="str" cm="1">
        <f t="array" ref="F66">Common_InputFunctions.Utility_DisplayArrayInTable(Fuel_SourceData.Fuel_Scope1Scope3EmissionFactorsStationaryLiquid_Data(), Table_Fuel_EFs_StationaryLiquid[[#Headers],[Fuel combusted]],0)</f>
        <v>kL</v>
      </c>
      <c r="G66" s="231" cm="1">
        <f t="array" ref="G66">Common_InputFunctions.Utility_DisplayArrayInTable(Fuel_SourceData.Fuel_Scope1Scope3EmissionFactorsStationaryLiquid_Data(), Table_Fuel_EFs_StationaryLiquid[[#Headers],[Fuel combusted]],0)</f>
        <v>69.7</v>
      </c>
      <c r="H66" s="231" cm="1">
        <f t="array" ref="H66">Common_InputFunctions.Utility_DisplayArrayInTable(Fuel_SourceData.Fuel_Scope1Scope3EmissionFactorsStationaryLiquid_Data(), Table_Fuel_EFs_StationaryLiquid[[#Headers],[Fuel combusted]],0)</f>
        <v>0.03</v>
      </c>
      <c r="I66" s="231" cm="1">
        <f t="array" ref="I66">Common_InputFunctions.Utility_DisplayArrayInTable(Fuel_SourceData.Fuel_Scope1Scope3EmissionFactorsStationaryLiquid_Data(), Table_Fuel_EFs_StationaryLiquid[[#Headers],[Fuel combusted]],0)</f>
        <v>0.2</v>
      </c>
      <c r="J66" s="231" cm="1">
        <f t="array" ref="J66">Common_InputFunctions.Utility_DisplayArrayInTable(Fuel_SourceData.Fuel_Scope1Scope3EmissionFactorsStationaryLiquid_Data(), Table_Fuel_EFs_StationaryLiquid[[#Headers],[Fuel combusted]],0)</f>
        <v>69.930000000000007</v>
      </c>
      <c r="K66" s="231" cm="1">
        <f t="array" ref="K66">Common_InputFunctions.Utility_DisplayArrayInTable(Fuel_SourceData.Fuel_Scope1Scope3EmissionFactorsStationaryLiquid_Data(), Table_Fuel_EFs_StationaryLiquid[[#Headers],[Fuel combusted]],0)</f>
        <v>18</v>
      </c>
      <c r="L66" s="179"/>
    </row>
    <row r="67" spans="4:13" ht="20.100000000000001" customHeight="1" x14ac:dyDescent="0.25">
      <c r="D67" s="231" t="str" cm="1">
        <f t="array" ref="D67">Common_InputFunctions.Utility_DisplayArrayInTable(Fuel_SourceData.Fuel_Scope1Scope3EmissionFactorsStationaryLiquid_Data(), Table_Fuel_EFs_StationaryLiquid[[#Headers],[Fuel combusted]],0)</f>
        <v>Liquefied petroleum gas (LPG)</v>
      </c>
      <c r="E67" s="231" cm="1">
        <f t="array" ref="E67">Common_InputFunctions.Utility_DisplayArrayInTable(Fuel_SourceData.Fuel_Scope1Scope3EmissionFactorsStationaryLiquid_Data(), Table_Fuel_EFs_StationaryLiquid[[#Headers],[Fuel combusted]],0)</f>
        <v>25.7</v>
      </c>
      <c r="F67" s="231" t="str" cm="1">
        <f t="array" ref="F67">Common_InputFunctions.Utility_DisplayArrayInTable(Fuel_SourceData.Fuel_Scope1Scope3EmissionFactorsStationaryLiquid_Data(), Table_Fuel_EFs_StationaryLiquid[[#Headers],[Fuel combusted]],0)</f>
        <v>kL</v>
      </c>
      <c r="G67" s="231" cm="1">
        <f t="array" ref="G67">Common_InputFunctions.Utility_DisplayArrayInTable(Fuel_SourceData.Fuel_Scope1Scope3EmissionFactorsStationaryLiquid_Data(), Table_Fuel_EFs_StationaryLiquid[[#Headers],[Fuel combusted]],0)</f>
        <v>60.2</v>
      </c>
      <c r="H67" s="231" cm="1">
        <f t="array" ref="H67">Common_InputFunctions.Utility_DisplayArrayInTable(Fuel_SourceData.Fuel_Scope1Scope3EmissionFactorsStationaryLiquid_Data(), Table_Fuel_EFs_StationaryLiquid[[#Headers],[Fuel combusted]],0)</f>
        <v>0.2</v>
      </c>
      <c r="I67" s="231" cm="1">
        <f t="array" ref="I67">Common_InputFunctions.Utility_DisplayArrayInTable(Fuel_SourceData.Fuel_Scope1Scope3EmissionFactorsStationaryLiquid_Data(), Table_Fuel_EFs_StationaryLiquid[[#Headers],[Fuel combusted]],0)</f>
        <v>0.2</v>
      </c>
      <c r="J67" s="231" cm="1">
        <f t="array" ref="J67">Common_InputFunctions.Utility_DisplayArrayInTable(Fuel_SourceData.Fuel_Scope1Scope3EmissionFactorsStationaryLiquid_Data(), Table_Fuel_EFs_StationaryLiquid[[#Headers],[Fuel combusted]],0)</f>
        <v>60.6</v>
      </c>
      <c r="K67" s="231" cm="1">
        <f t="array" ref="K67">Common_InputFunctions.Utility_DisplayArrayInTable(Fuel_SourceData.Fuel_Scope1Scope3EmissionFactorsStationaryLiquid_Data(), Table_Fuel_EFs_StationaryLiquid[[#Headers],[Fuel combusted]],0)</f>
        <v>20.2</v>
      </c>
      <c r="L67" s="179"/>
    </row>
    <row r="68" spans="4:13" ht="20.100000000000001" customHeight="1" x14ac:dyDescent="0.25">
      <c r="D68" s="231" t="str" cm="1">
        <f t="array" ref="D68">Common_InputFunctions.Utility_DisplayArrayInTable(Fuel_SourceData.Fuel_Scope1Scope3EmissionFactorsStationaryLiquid_Data(), Table_Fuel_EFs_StationaryLiquid[[#Headers],[Fuel combusted]],0)</f>
        <v>Naphtha</v>
      </c>
      <c r="E68" s="231" cm="1">
        <f t="array" ref="E68">Common_InputFunctions.Utility_DisplayArrayInTable(Fuel_SourceData.Fuel_Scope1Scope3EmissionFactorsStationaryLiquid_Data(), Table_Fuel_EFs_StationaryLiquid[[#Headers],[Fuel combusted]],0)</f>
        <v>31.4</v>
      </c>
      <c r="F68" s="231" t="str" cm="1">
        <f t="array" ref="F68">Common_InputFunctions.Utility_DisplayArrayInTable(Fuel_SourceData.Fuel_Scope1Scope3EmissionFactorsStationaryLiquid_Data(), Table_Fuel_EFs_StationaryLiquid[[#Headers],[Fuel combusted]],0)</f>
        <v>kL</v>
      </c>
      <c r="G68" s="231" cm="1">
        <f t="array" ref="G68">Common_InputFunctions.Utility_DisplayArrayInTable(Fuel_SourceData.Fuel_Scope1Scope3EmissionFactorsStationaryLiquid_Data(), Table_Fuel_EFs_StationaryLiquid[[#Headers],[Fuel combusted]],0)</f>
        <v>69.8</v>
      </c>
      <c r="H68" s="231" cm="1">
        <f t="array" ref="H68">Common_InputFunctions.Utility_DisplayArrayInTable(Fuel_SourceData.Fuel_Scope1Scope3EmissionFactorsStationaryLiquid_Data(), Table_Fuel_EFs_StationaryLiquid[[#Headers],[Fuel combusted]],0)</f>
        <v>0.01</v>
      </c>
      <c r="I68" s="231" cm="1">
        <f t="array" ref="I68">Common_InputFunctions.Utility_DisplayArrayInTable(Fuel_SourceData.Fuel_Scope1Scope3EmissionFactorsStationaryLiquid_Data(), Table_Fuel_EFs_StationaryLiquid[[#Headers],[Fuel combusted]],0)</f>
        <v>0.01</v>
      </c>
      <c r="J68" s="231" cm="1">
        <f t="array" ref="J68">Common_InputFunctions.Utility_DisplayArrayInTable(Fuel_SourceData.Fuel_Scope1Scope3EmissionFactorsStationaryLiquid_Data(), Table_Fuel_EFs_StationaryLiquid[[#Headers],[Fuel combusted]],0)</f>
        <v>69.819999999999993</v>
      </c>
      <c r="K68" s="231" cm="1">
        <f t="array" ref="K68">Common_InputFunctions.Utility_DisplayArrayInTable(Fuel_SourceData.Fuel_Scope1Scope3EmissionFactorsStationaryLiquid_Data(), Table_Fuel_EFs_StationaryLiquid[[#Headers],[Fuel combusted]],0)</f>
        <v>18</v>
      </c>
      <c r="L68" s="179"/>
    </row>
    <row r="69" spans="4:13" ht="20.100000000000001" customHeight="1" x14ac:dyDescent="0.25">
      <c r="D69" s="231" t="str" cm="1">
        <f t="array" ref="D69">Common_InputFunctions.Utility_DisplayArrayInTable(Fuel_SourceData.Fuel_Scope1Scope3EmissionFactorsStationaryLiquid_Data(), Table_Fuel_EFs_StationaryLiquid[[#Headers],[Fuel combusted]],0)</f>
        <v>Petroleum coke</v>
      </c>
      <c r="E69" s="231" cm="1">
        <f t="array" ref="E69">Common_InputFunctions.Utility_DisplayArrayInTable(Fuel_SourceData.Fuel_Scope1Scope3EmissionFactorsStationaryLiquid_Data(), Table_Fuel_EFs_StationaryLiquid[[#Headers],[Fuel combusted]],0)</f>
        <v>34.200000000000003</v>
      </c>
      <c r="F69" s="231" t="str" cm="1">
        <f t="array" ref="F69">Common_InputFunctions.Utility_DisplayArrayInTable(Fuel_SourceData.Fuel_Scope1Scope3EmissionFactorsStationaryLiquid_Data(), Table_Fuel_EFs_StationaryLiquid[[#Headers],[Fuel combusted]],0)</f>
        <v>t</v>
      </c>
      <c r="G69" s="231" cm="1">
        <f t="array" ref="G69">Common_InputFunctions.Utility_DisplayArrayInTable(Fuel_SourceData.Fuel_Scope1Scope3EmissionFactorsStationaryLiquid_Data(), Table_Fuel_EFs_StationaryLiquid[[#Headers],[Fuel combusted]],0)</f>
        <v>92.6</v>
      </c>
      <c r="H69" s="231" cm="1">
        <f t="array" ref="H69">Common_InputFunctions.Utility_DisplayArrayInTable(Fuel_SourceData.Fuel_Scope1Scope3EmissionFactorsStationaryLiquid_Data(), Table_Fuel_EFs_StationaryLiquid[[#Headers],[Fuel combusted]],0)</f>
        <v>0.08</v>
      </c>
      <c r="I69" s="231" cm="1">
        <f t="array" ref="I69">Common_InputFunctions.Utility_DisplayArrayInTable(Fuel_SourceData.Fuel_Scope1Scope3EmissionFactorsStationaryLiquid_Data(), Table_Fuel_EFs_StationaryLiquid[[#Headers],[Fuel combusted]],0)</f>
        <v>0.2</v>
      </c>
      <c r="J69" s="231" cm="1">
        <f t="array" ref="J69">Common_InputFunctions.Utility_DisplayArrayInTable(Fuel_SourceData.Fuel_Scope1Scope3EmissionFactorsStationaryLiquid_Data(), Table_Fuel_EFs_StationaryLiquid[[#Headers],[Fuel combusted]],0)</f>
        <v>92.88</v>
      </c>
      <c r="K69" s="231" cm="1">
        <f t="array" ref="K69">Common_InputFunctions.Utility_DisplayArrayInTable(Fuel_SourceData.Fuel_Scope1Scope3EmissionFactorsStationaryLiquid_Data(), Table_Fuel_EFs_StationaryLiquid[[#Headers],[Fuel combusted]],0)</f>
        <v>18</v>
      </c>
      <c r="L69" s="179"/>
    </row>
    <row r="70" spans="4:13" ht="20.100000000000001" customHeight="1" x14ac:dyDescent="0.25">
      <c r="D70" s="231" t="str" cm="1">
        <f t="array" ref="D70">Common_InputFunctions.Utility_DisplayArrayInTable(Fuel_SourceData.Fuel_Scope1Scope3EmissionFactorsStationaryLiquid_Data(), Table_Fuel_EFs_StationaryLiquid[[#Headers],[Fuel combusted]],0)</f>
        <v>Refinery gas and liquids</v>
      </c>
      <c r="E70" s="231" cm="1">
        <f t="array" ref="E70">Common_InputFunctions.Utility_DisplayArrayInTable(Fuel_SourceData.Fuel_Scope1Scope3EmissionFactorsStationaryLiquid_Data(), Table_Fuel_EFs_StationaryLiquid[[#Headers],[Fuel combusted]],0)</f>
        <v>42.9</v>
      </c>
      <c r="F70" s="231" t="str" cm="1">
        <f t="array" ref="F70">Common_InputFunctions.Utility_DisplayArrayInTable(Fuel_SourceData.Fuel_Scope1Scope3EmissionFactorsStationaryLiquid_Data(), Table_Fuel_EFs_StationaryLiquid[[#Headers],[Fuel combusted]],0)</f>
        <v>t</v>
      </c>
      <c r="G70" s="231" cm="1">
        <f t="array" ref="G70">Common_InputFunctions.Utility_DisplayArrayInTable(Fuel_SourceData.Fuel_Scope1Scope3EmissionFactorsStationaryLiquid_Data(), Table_Fuel_EFs_StationaryLiquid[[#Headers],[Fuel combusted]],0)</f>
        <v>54.7</v>
      </c>
      <c r="H70" s="231" cm="1">
        <f t="array" ref="H70">Common_InputFunctions.Utility_DisplayArrayInTable(Fuel_SourceData.Fuel_Scope1Scope3EmissionFactorsStationaryLiquid_Data(), Table_Fuel_EFs_StationaryLiquid[[#Headers],[Fuel combusted]],0)</f>
        <v>0.03</v>
      </c>
      <c r="I70" s="231" cm="1">
        <f t="array" ref="I70">Common_InputFunctions.Utility_DisplayArrayInTable(Fuel_SourceData.Fuel_Scope1Scope3EmissionFactorsStationaryLiquid_Data(), Table_Fuel_EFs_StationaryLiquid[[#Headers],[Fuel combusted]],0)</f>
        <v>0.03</v>
      </c>
      <c r="J70" s="231" cm="1">
        <f t="array" ref="J70">Common_InputFunctions.Utility_DisplayArrayInTable(Fuel_SourceData.Fuel_Scope1Scope3EmissionFactorsStationaryLiquid_Data(), Table_Fuel_EFs_StationaryLiquid[[#Headers],[Fuel combusted]],0)</f>
        <v>54.76</v>
      </c>
      <c r="K70" s="231" cm="1">
        <f t="array" ref="K70">Common_InputFunctions.Utility_DisplayArrayInTable(Fuel_SourceData.Fuel_Scope1Scope3EmissionFactorsStationaryLiquid_Data(), Table_Fuel_EFs_StationaryLiquid[[#Headers],[Fuel combusted]],0)</f>
        <v>18</v>
      </c>
      <c r="L70" s="179"/>
    </row>
    <row r="71" spans="4:13" ht="20.100000000000001" customHeight="1" x14ac:dyDescent="0.25">
      <c r="D71" s="231" t="str" cm="1">
        <f t="array" ref="D71">Common_InputFunctions.Utility_DisplayArrayInTable(Fuel_SourceData.Fuel_Scope1Scope3EmissionFactorsStationaryLiquid_Data(), Table_Fuel_EFs_StationaryLiquid[[#Headers],[Fuel combusted]],0)</f>
        <v>Refinery coke</v>
      </c>
      <c r="E71" s="231" cm="1">
        <f t="array" ref="E71">Common_InputFunctions.Utility_DisplayArrayInTable(Fuel_SourceData.Fuel_Scope1Scope3EmissionFactorsStationaryLiquid_Data(), Table_Fuel_EFs_StationaryLiquid[[#Headers],[Fuel combusted]],0)</f>
        <v>34.200000000000003</v>
      </c>
      <c r="F71" s="231" t="str" cm="1">
        <f t="array" ref="F71">Common_InputFunctions.Utility_DisplayArrayInTable(Fuel_SourceData.Fuel_Scope1Scope3EmissionFactorsStationaryLiquid_Data(), Table_Fuel_EFs_StationaryLiquid[[#Headers],[Fuel combusted]],0)</f>
        <v>t</v>
      </c>
      <c r="G71" s="231" cm="1">
        <f t="array" ref="G71">Common_InputFunctions.Utility_DisplayArrayInTable(Fuel_SourceData.Fuel_Scope1Scope3EmissionFactorsStationaryLiquid_Data(), Table_Fuel_EFs_StationaryLiquid[[#Headers],[Fuel combusted]],0)</f>
        <v>92.6</v>
      </c>
      <c r="H71" s="231" cm="1">
        <f t="array" ref="H71">Common_InputFunctions.Utility_DisplayArrayInTable(Fuel_SourceData.Fuel_Scope1Scope3EmissionFactorsStationaryLiquid_Data(), Table_Fuel_EFs_StationaryLiquid[[#Headers],[Fuel combusted]],0)</f>
        <v>0.08</v>
      </c>
      <c r="I71" s="231" cm="1">
        <f t="array" ref="I71">Common_InputFunctions.Utility_DisplayArrayInTable(Fuel_SourceData.Fuel_Scope1Scope3EmissionFactorsStationaryLiquid_Data(), Table_Fuel_EFs_StationaryLiquid[[#Headers],[Fuel combusted]],0)</f>
        <v>0.2</v>
      </c>
      <c r="J71" s="231" cm="1">
        <f t="array" ref="J71">Common_InputFunctions.Utility_DisplayArrayInTable(Fuel_SourceData.Fuel_Scope1Scope3EmissionFactorsStationaryLiquid_Data(), Table_Fuel_EFs_StationaryLiquid[[#Headers],[Fuel combusted]],0)</f>
        <v>92.88</v>
      </c>
      <c r="K71" s="231" cm="1">
        <f t="array" ref="K71">Common_InputFunctions.Utility_DisplayArrayInTable(Fuel_SourceData.Fuel_Scope1Scope3EmissionFactorsStationaryLiquid_Data(), Table_Fuel_EFs_StationaryLiquid[[#Headers],[Fuel combusted]],0)</f>
        <v>18</v>
      </c>
      <c r="L71" s="179"/>
    </row>
    <row r="72" spans="4:13" ht="20.100000000000001" customHeight="1" x14ac:dyDescent="0.25">
      <c r="D72" s="231" t="str" cm="1">
        <f t="array" ref="D72">Common_InputFunctions.Utility_DisplayArrayInTable(Fuel_SourceData.Fuel_Scope1Scope3EmissionFactorsStationaryLiquid_Data(), Table_Fuel_EFs_StationaryLiquid[[#Headers],[Fuel combusted]],0)</f>
        <v>Petroleum based products other than mentioned in the items above</v>
      </c>
      <c r="E72" s="231" cm="1">
        <f t="array" ref="E72">Common_InputFunctions.Utility_DisplayArrayInTable(Fuel_SourceData.Fuel_Scope1Scope3EmissionFactorsStationaryLiquid_Data(), Table_Fuel_EFs_StationaryLiquid[[#Headers],[Fuel combusted]],0)</f>
        <v>34.4</v>
      </c>
      <c r="F72" s="231" t="str" cm="1">
        <f t="array" ref="F72">Common_InputFunctions.Utility_DisplayArrayInTable(Fuel_SourceData.Fuel_Scope1Scope3EmissionFactorsStationaryLiquid_Data(), Table_Fuel_EFs_StationaryLiquid[[#Headers],[Fuel combusted]],0)</f>
        <v>kL</v>
      </c>
      <c r="G72" s="231" cm="1">
        <f t="array" ref="G72">Common_InputFunctions.Utility_DisplayArrayInTable(Fuel_SourceData.Fuel_Scope1Scope3EmissionFactorsStationaryLiquid_Data(), Table_Fuel_EFs_StationaryLiquid[[#Headers],[Fuel combusted]],0)</f>
        <v>69.8</v>
      </c>
      <c r="H72" s="231" cm="1">
        <f t="array" ref="H72">Common_InputFunctions.Utility_DisplayArrayInTable(Fuel_SourceData.Fuel_Scope1Scope3EmissionFactorsStationaryLiquid_Data(), Table_Fuel_EFs_StationaryLiquid[[#Headers],[Fuel combusted]],0)</f>
        <v>0.02</v>
      </c>
      <c r="I72" s="231" cm="1">
        <f t="array" ref="I72">Common_InputFunctions.Utility_DisplayArrayInTable(Fuel_SourceData.Fuel_Scope1Scope3EmissionFactorsStationaryLiquid_Data(), Table_Fuel_EFs_StationaryLiquid[[#Headers],[Fuel combusted]],0)</f>
        <v>0.1</v>
      </c>
      <c r="J72" s="231" cm="1">
        <f t="array" ref="J72">Common_InputFunctions.Utility_DisplayArrayInTable(Fuel_SourceData.Fuel_Scope1Scope3EmissionFactorsStationaryLiquid_Data(), Table_Fuel_EFs_StationaryLiquid[[#Headers],[Fuel combusted]],0)</f>
        <v>69.92</v>
      </c>
      <c r="K72" s="231" cm="1">
        <f t="array" ref="K72">Common_InputFunctions.Utility_DisplayArrayInTable(Fuel_SourceData.Fuel_Scope1Scope3EmissionFactorsStationaryLiquid_Data(), Table_Fuel_EFs_StationaryLiquid[[#Headers],[Fuel combusted]],0)</f>
        <v>18</v>
      </c>
      <c r="L72" s="179"/>
    </row>
    <row r="73" spans="4:13" ht="20.100000000000001" customHeight="1" x14ac:dyDescent="0.25">
      <c r="D73" s="231" t="str" cm="1">
        <f t="array" ref="D73">Common_InputFunctions.Utility_DisplayArrayInTable(Fuel_SourceData.Fuel_Scope1Scope3EmissionFactorsStationaryLiquid_Data(), Table_Fuel_EFs_StationaryLiquid[[#Headers],[Fuel combusted]],0)</f>
        <v>Biodiesel</v>
      </c>
      <c r="E73" s="231" cm="1">
        <f t="array" ref="E73">Common_InputFunctions.Utility_DisplayArrayInTable(Fuel_SourceData.Fuel_Scope1Scope3EmissionFactorsStationaryLiquid_Data(), Table_Fuel_EFs_StationaryLiquid[[#Headers],[Fuel combusted]],0)</f>
        <v>34.6</v>
      </c>
      <c r="F73" s="231" t="str" cm="1">
        <f t="array" ref="F73">Common_InputFunctions.Utility_DisplayArrayInTable(Fuel_SourceData.Fuel_Scope1Scope3EmissionFactorsStationaryLiquid_Data(), Table_Fuel_EFs_StationaryLiquid[[#Headers],[Fuel combusted]],0)</f>
        <v>kL</v>
      </c>
      <c r="G73" s="231" cm="1">
        <f t="array" ref="G73">Common_InputFunctions.Utility_DisplayArrayInTable(Fuel_SourceData.Fuel_Scope1Scope3EmissionFactorsStationaryLiquid_Data(), Table_Fuel_EFs_StationaryLiquid[[#Headers],[Fuel combusted]],0)</f>
        <v>0</v>
      </c>
      <c r="H73" s="231" cm="1">
        <f t="array" ref="H73">Common_InputFunctions.Utility_DisplayArrayInTable(Fuel_SourceData.Fuel_Scope1Scope3EmissionFactorsStationaryLiquid_Data(), Table_Fuel_EFs_StationaryLiquid[[#Headers],[Fuel combusted]],0)</f>
        <v>0.08</v>
      </c>
      <c r="I73" s="231" cm="1">
        <f t="array" ref="I73">Common_InputFunctions.Utility_DisplayArrayInTable(Fuel_SourceData.Fuel_Scope1Scope3EmissionFactorsStationaryLiquid_Data(), Table_Fuel_EFs_StationaryLiquid[[#Headers],[Fuel combusted]],0)</f>
        <v>0.2</v>
      </c>
      <c r="J73" s="231" cm="1">
        <f t="array" ref="J73">Common_InputFunctions.Utility_DisplayArrayInTable(Fuel_SourceData.Fuel_Scope1Scope3EmissionFactorsStationaryLiquid_Data(), Table_Fuel_EFs_StationaryLiquid[[#Headers],[Fuel combusted]],0)</f>
        <v>0.28000000000000003</v>
      </c>
      <c r="K73" s="231" t="str" cm="1">
        <f t="array" ref="K73">Common_InputFunctions.Utility_DisplayArrayInTable(Fuel_SourceData.Fuel_Scope1Scope3EmissionFactorsStationaryLiquid_Data(), Table_Fuel_EFs_StationaryLiquid[[#Headers],[Fuel combusted]],0)</f>
        <v>NE</v>
      </c>
      <c r="L73" s="179"/>
    </row>
    <row r="74" spans="4:13" ht="20.100000000000001" customHeight="1" x14ac:dyDescent="0.25">
      <c r="D74" s="231" t="str" cm="1">
        <f t="array" ref="D74">Common_InputFunctions.Utility_DisplayArrayInTable(Fuel_SourceData.Fuel_Scope1Scope3EmissionFactorsStationaryLiquid_Data(), Table_Fuel_EFs_StationaryLiquid[[#Headers],[Fuel combusted]],0)</f>
        <v>Ethanol for use as a fuel in an internal combustion engine</v>
      </c>
      <c r="E74" s="231" cm="1">
        <f t="array" ref="E74">Common_InputFunctions.Utility_DisplayArrayInTable(Fuel_SourceData.Fuel_Scope1Scope3EmissionFactorsStationaryLiquid_Data(), Table_Fuel_EFs_StationaryLiquid[[#Headers],[Fuel combusted]],0)</f>
        <v>23.4</v>
      </c>
      <c r="F74" s="231" t="str" cm="1">
        <f t="array" ref="F74">Common_InputFunctions.Utility_DisplayArrayInTable(Fuel_SourceData.Fuel_Scope1Scope3EmissionFactorsStationaryLiquid_Data(), Table_Fuel_EFs_StationaryLiquid[[#Headers],[Fuel combusted]],0)</f>
        <v>kL</v>
      </c>
      <c r="G74" s="231" cm="1">
        <f t="array" ref="G74">Common_InputFunctions.Utility_DisplayArrayInTable(Fuel_SourceData.Fuel_Scope1Scope3EmissionFactorsStationaryLiquid_Data(), Table_Fuel_EFs_StationaryLiquid[[#Headers],[Fuel combusted]],0)</f>
        <v>0</v>
      </c>
      <c r="H74" s="231" cm="1">
        <f t="array" ref="H74">Common_InputFunctions.Utility_DisplayArrayInTable(Fuel_SourceData.Fuel_Scope1Scope3EmissionFactorsStationaryLiquid_Data(), Table_Fuel_EFs_StationaryLiquid[[#Headers],[Fuel combusted]],0)</f>
        <v>0.08</v>
      </c>
      <c r="I74" s="231" cm="1">
        <f t="array" ref="I74">Common_InputFunctions.Utility_DisplayArrayInTable(Fuel_SourceData.Fuel_Scope1Scope3EmissionFactorsStationaryLiquid_Data(), Table_Fuel_EFs_StationaryLiquid[[#Headers],[Fuel combusted]],0)</f>
        <v>0.2</v>
      </c>
      <c r="J74" s="231" cm="1">
        <f t="array" ref="J74">Common_InputFunctions.Utility_DisplayArrayInTable(Fuel_SourceData.Fuel_Scope1Scope3EmissionFactorsStationaryLiquid_Data(), Table_Fuel_EFs_StationaryLiquid[[#Headers],[Fuel combusted]],0)</f>
        <v>0.28000000000000003</v>
      </c>
      <c r="K74" s="231" t="str" cm="1">
        <f t="array" ref="K74">Common_InputFunctions.Utility_DisplayArrayInTable(Fuel_SourceData.Fuel_Scope1Scope3EmissionFactorsStationaryLiquid_Data(), Table_Fuel_EFs_StationaryLiquid[[#Headers],[Fuel combusted]],0)</f>
        <v>NE</v>
      </c>
      <c r="L74" s="179"/>
    </row>
    <row r="75" spans="4:13" ht="20.100000000000001" customHeight="1" x14ac:dyDescent="0.25">
      <c r="D75" s="231" t="str" cm="1">
        <f t="array" ref="D75">Common_InputFunctions.Utility_DisplayArrayInTable(Fuel_SourceData.Fuel_Scope1Scope3EmissionFactorsStationaryLiquid_Data(), Table_Fuel_EFs_StationaryLiquid[[#Headers],[Fuel combusted]],0)</f>
        <v>Biofuels other than those mentioned in the items above and below</v>
      </c>
      <c r="E75" s="231" cm="1">
        <f t="array" ref="E75">Common_InputFunctions.Utility_DisplayArrayInTable(Fuel_SourceData.Fuel_Scope1Scope3EmissionFactorsStationaryLiquid_Data(), Table_Fuel_EFs_StationaryLiquid[[#Headers],[Fuel combusted]],0)</f>
        <v>23.4</v>
      </c>
      <c r="F75" s="231" t="str" cm="1">
        <f t="array" ref="F75">Common_InputFunctions.Utility_DisplayArrayInTable(Fuel_SourceData.Fuel_Scope1Scope3EmissionFactorsStationaryLiquid_Data(), Table_Fuel_EFs_StationaryLiquid[[#Headers],[Fuel combusted]],0)</f>
        <v>kL</v>
      </c>
      <c r="G75" s="231" cm="1">
        <f t="array" ref="G75">Common_InputFunctions.Utility_DisplayArrayInTable(Fuel_SourceData.Fuel_Scope1Scope3EmissionFactorsStationaryLiquid_Data(), Table_Fuel_EFs_StationaryLiquid[[#Headers],[Fuel combusted]],0)</f>
        <v>0</v>
      </c>
      <c r="H75" s="231" cm="1">
        <f t="array" ref="H75">Common_InputFunctions.Utility_DisplayArrayInTable(Fuel_SourceData.Fuel_Scope1Scope3EmissionFactorsStationaryLiquid_Data(), Table_Fuel_EFs_StationaryLiquid[[#Headers],[Fuel combusted]],0)</f>
        <v>0.08</v>
      </c>
      <c r="I75" s="231" cm="1">
        <f t="array" ref="I75">Common_InputFunctions.Utility_DisplayArrayInTable(Fuel_SourceData.Fuel_Scope1Scope3EmissionFactorsStationaryLiquid_Data(), Table_Fuel_EFs_StationaryLiquid[[#Headers],[Fuel combusted]],0)</f>
        <v>0.2</v>
      </c>
      <c r="J75" s="231" cm="1">
        <f t="array" ref="J75">Common_InputFunctions.Utility_DisplayArrayInTable(Fuel_SourceData.Fuel_Scope1Scope3EmissionFactorsStationaryLiquid_Data(), Table_Fuel_EFs_StationaryLiquid[[#Headers],[Fuel combusted]],0)</f>
        <v>0.28000000000000003</v>
      </c>
      <c r="K75" s="231" t="str" cm="1">
        <f t="array" ref="K75">Common_InputFunctions.Utility_DisplayArrayInTable(Fuel_SourceData.Fuel_Scope1Scope3EmissionFactorsStationaryLiquid_Data(), Table_Fuel_EFs_StationaryLiquid[[#Headers],[Fuel combusted]],0)</f>
        <v>NE</v>
      </c>
      <c r="L75" s="179"/>
    </row>
    <row r="76" spans="4:13" ht="20.100000000000001" customHeight="1" x14ac:dyDescent="0.25">
      <c r="D76" s="231" t="str" cm="1">
        <f t="array" ref="D76">Common_InputFunctions.Utility_DisplayArrayInTable(Fuel_SourceData.Fuel_Scope1Scope3EmissionFactorsStationaryLiquid_Data(), Table_Fuel_EFs_StationaryLiquid[[#Headers],[Fuel combusted]],0)</f>
        <v>Renewable aviation kerosene</v>
      </c>
      <c r="E76" s="231" cm="1">
        <f t="array" ref="E76">Common_InputFunctions.Utility_DisplayArrayInTable(Fuel_SourceData.Fuel_Scope1Scope3EmissionFactorsStationaryLiquid_Data(), Table_Fuel_EFs_StationaryLiquid[[#Headers],[Fuel combusted]],0)</f>
        <v>36.799999999999997</v>
      </c>
      <c r="F76" s="231" t="str" cm="1">
        <f t="array" ref="F76">Common_InputFunctions.Utility_DisplayArrayInTable(Fuel_SourceData.Fuel_Scope1Scope3EmissionFactorsStationaryLiquid_Data(), Table_Fuel_EFs_StationaryLiquid[[#Headers],[Fuel combusted]],0)</f>
        <v>kL</v>
      </c>
      <c r="G76" s="231" cm="1">
        <f t="array" ref="G76">Common_InputFunctions.Utility_DisplayArrayInTable(Fuel_SourceData.Fuel_Scope1Scope3EmissionFactorsStationaryLiquid_Data(), Table_Fuel_EFs_StationaryLiquid[[#Headers],[Fuel combusted]],0)</f>
        <v>0</v>
      </c>
      <c r="H76" s="231" cm="1">
        <f t="array" ref="H76">Common_InputFunctions.Utility_DisplayArrayInTable(Fuel_SourceData.Fuel_Scope1Scope3EmissionFactorsStationaryLiquid_Data(), Table_Fuel_EFs_StationaryLiquid[[#Headers],[Fuel combusted]],0)</f>
        <v>0.02</v>
      </c>
      <c r="I76" s="231" cm="1">
        <f t="array" ref="I76">Common_InputFunctions.Utility_DisplayArrayInTable(Fuel_SourceData.Fuel_Scope1Scope3EmissionFactorsStationaryLiquid_Data(), Table_Fuel_EFs_StationaryLiquid[[#Headers],[Fuel combusted]],0)</f>
        <v>0.2</v>
      </c>
      <c r="J76" s="231" cm="1">
        <f t="array" ref="J76">Common_InputFunctions.Utility_DisplayArrayInTable(Fuel_SourceData.Fuel_Scope1Scope3EmissionFactorsStationaryLiquid_Data(), Table_Fuel_EFs_StationaryLiquid[[#Headers],[Fuel combusted]],0)</f>
        <v>0.22</v>
      </c>
      <c r="K76" s="231" t="str" cm="1">
        <f t="array" ref="K76">Common_InputFunctions.Utility_DisplayArrayInTable(Fuel_SourceData.Fuel_Scope1Scope3EmissionFactorsStationaryLiquid_Data(), Table_Fuel_EFs_StationaryLiquid[[#Headers],[Fuel combusted]],0)</f>
        <v>NE</v>
      </c>
      <c r="L76" s="179"/>
    </row>
    <row r="77" spans="4:13" ht="20.100000000000001" customHeight="1" x14ac:dyDescent="0.25">
      <c r="D77" s="231" t="str" cm="1">
        <f t="array" ref="D77">Common_InputFunctions.Utility_DisplayArrayInTable(Fuel_SourceData.Fuel_Scope1Scope3EmissionFactorsStationaryLiquid_Data(), Table_Fuel_EFs_StationaryLiquid[[#Headers],[Fuel combusted]],0)</f>
        <v>Renewable diesel</v>
      </c>
      <c r="E77" s="231" cm="1">
        <f t="array" ref="E77">Common_InputFunctions.Utility_DisplayArrayInTable(Fuel_SourceData.Fuel_Scope1Scope3EmissionFactorsStationaryLiquid_Data(), Table_Fuel_EFs_StationaryLiquid[[#Headers],[Fuel combusted]],0)</f>
        <v>38.6</v>
      </c>
      <c r="F77" s="231" t="str" cm="1">
        <f t="array" ref="F77">Common_InputFunctions.Utility_DisplayArrayInTable(Fuel_SourceData.Fuel_Scope1Scope3EmissionFactorsStationaryLiquid_Data(), Table_Fuel_EFs_StationaryLiquid[[#Headers],[Fuel combusted]],0)</f>
        <v>kL</v>
      </c>
      <c r="G77" s="231" cm="1">
        <f t="array" ref="G77">Common_InputFunctions.Utility_DisplayArrayInTable(Fuel_SourceData.Fuel_Scope1Scope3EmissionFactorsStationaryLiquid_Data(), Table_Fuel_EFs_StationaryLiquid[[#Headers],[Fuel combusted]],0)</f>
        <v>0</v>
      </c>
      <c r="H77" s="231" cm="1">
        <f t="array" ref="H77">Common_InputFunctions.Utility_DisplayArrayInTable(Fuel_SourceData.Fuel_Scope1Scope3EmissionFactorsStationaryLiquid_Data(), Table_Fuel_EFs_StationaryLiquid[[#Headers],[Fuel combusted]],0)</f>
        <v>0.1</v>
      </c>
      <c r="I77" s="231" cm="1">
        <f t="array" ref="I77">Common_InputFunctions.Utility_DisplayArrayInTable(Fuel_SourceData.Fuel_Scope1Scope3EmissionFactorsStationaryLiquid_Data(), Table_Fuel_EFs_StationaryLiquid[[#Headers],[Fuel combusted]],0)</f>
        <v>0.2</v>
      </c>
      <c r="J77" s="231" cm="1">
        <f t="array" ref="J77">Common_InputFunctions.Utility_DisplayArrayInTable(Fuel_SourceData.Fuel_Scope1Scope3EmissionFactorsStationaryLiquid_Data(), Table_Fuel_EFs_StationaryLiquid[[#Headers],[Fuel combusted]],0)</f>
        <v>0.3</v>
      </c>
      <c r="K77" s="231" t="str" cm="1">
        <f t="array" ref="K77">Common_InputFunctions.Utility_DisplayArrayInTable(Fuel_SourceData.Fuel_Scope1Scope3EmissionFactorsStationaryLiquid_Data(), Table_Fuel_EFs_StationaryLiquid[[#Headers],[Fuel combusted]],0)</f>
        <v>NE</v>
      </c>
      <c r="L77" s="179"/>
    </row>
    <row r="78" spans="4:13" ht="20.100000000000001" customHeight="1" x14ac:dyDescent="0.25">
      <c r="D78" s="179"/>
      <c r="E78" s="179"/>
      <c r="F78" s="179"/>
      <c r="G78" s="179"/>
      <c r="H78" s="179"/>
      <c r="I78" s="179"/>
      <c r="J78" s="179"/>
      <c r="K78" s="179"/>
      <c r="L78" s="179"/>
    </row>
    <row r="79" spans="4:13" ht="20.100000000000001" customHeight="1" x14ac:dyDescent="0.25">
      <c r="D79" s="179"/>
      <c r="E79" s="179"/>
      <c r="F79" s="179"/>
      <c r="G79" s="179"/>
      <c r="H79" s="179"/>
      <c r="I79" s="179"/>
      <c r="J79" s="179"/>
      <c r="K79" s="179"/>
      <c r="L79" s="179"/>
      <c r="M79" s="179"/>
    </row>
    <row r="80" spans="4:13" ht="20.100000000000001" customHeight="1" x14ac:dyDescent="0.25">
      <c r="D80" s="179"/>
      <c r="E80" s="179"/>
      <c r="F80" s="179"/>
      <c r="G80" s="179"/>
      <c r="H80" s="179"/>
      <c r="I80" s="179"/>
      <c r="J80" s="179"/>
      <c r="K80" s="179"/>
      <c r="L80" s="179"/>
      <c r="M80" s="179"/>
    </row>
    <row r="81" spans="4:12" ht="20.100000000000001" customHeight="1" x14ac:dyDescent="0.25">
      <c r="D81" s="2" t="str" cm="1">
        <f t="array" ref="D81">Fuel_SourceData.Fuel_Scope1EmissionFactorsStationaryGaseous_Title()</f>
        <v>Fuel scope 1 emission factors - Stationary gaseous fuels</v>
      </c>
      <c r="E81" s="179"/>
      <c r="F81" s="179"/>
      <c r="G81" s="179"/>
      <c r="H81" s="179"/>
      <c r="I81" s="179"/>
      <c r="J81" s="179"/>
      <c r="K81" s="179"/>
      <c r="L81" s="17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9"/>
      <c r="F82" s="179"/>
      <c r="G82" s="179"/>
      <c r="H82" s="179"/>
      <c r="I82" s="179"/>
      <c r="J82" s="179"/>
      <c r="K82" s="179"/>
      <c r="L82" s="179"/>
    </row>
    <row r="83" spans="4:12" ht="20.100000000000001" customHeight="1" x14ac:dyDescent="0.25">
      <c r="D83" s="27" t="str" cm="1">
        <f t="array" ref="D83">Fuel_SourceData.Fuel_Scope1EmissionFactorsStationaryGaseous_Source()</f>
        <v>Australian National Greenhouse Accounts Factors 2025 - Table 5</v>
      </c>
      <c r="E83" s="179"/>
      <c r="F83" s="179"/>
      <c r="G83" s="179"/>
      <c r="H83" s="179"/>
      <c r="I83" s="179"/>
      <c r="J83" s="179"/>
      <c r="K83" s="179"/>
      <c r="L83" s="17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9"/>
      <c r="F84" s="179"/>
      <c r="G84" s="179"/>
      <c r="H84" s="179"/>
      <c r="I84" s="179"/>
      <c r="J84" s="179"/>
      <c r="K84" s="179"/>
      <c r="L84" s="179"/>
    </row>
    <row r="85" spans="4:12" ht="20.100000000000001" customHeight="1" x14ac:dyDescent="0.25">
      <c r="D85" s="179"/>
      <c r="E85" s="179"/>
      <c r="F85" s="179"/>
      <c r="G85" s="179"/>
      <c r="H85" s="179"/>
      <c r="I85" s="179"/>
      <c r="J85" s="179"/>
      <c r="K85" s="179"/>
      <c r="L85" s="179"/>
    </row>
    <row r="86" spans="4:12" ht="20.100000000000001" customHeight="1" x14ac:dyDescent="0.25">
      <c r="D86" s="197" t="s">
        <v>852</v>
      </c>
      <c r="E86" s="228" t="s">
        <v>853</v>
      </c>
      <c r="F86" s="197" t="s">
        <v>854</v>
      </c>
      <c r="G86" s="228" t="s">
        <v>855</v>
      </c>
      <c r="H86" s="228" t="s">
        <v>856</v>
      </c>
      <c r="I86" s="228" t="s">
        <v>857</v>
      </c>
      <c r="J86" s="228" t="s">
        <v>858</v>
      </c>
      <c r="K86" s="179"/>
      <c r="L86" s="179"/>
    </row>
    <row r="87" spans="4:12" ht="20.100000000000001" customHeight="1" x14ac:dyDescent="0.25">
      <c r="D87" s="231" t="str" cm="1">
        <f t="array" ref="D87">Common_InputFunctions.Utility_DisplayArrayInTable(Fuel_SourceData.Fuel_Scope1EmissionFactorsStationaryGaseous_Data(), Table_Fuel_EFs_StationaryGaseous[[#Headers],[Fuel combusted]],0)</f>
        <v>Natural gas distributed in a pipeline</v>
      </c>
      <c r="E87" s="231" cm="1">
        <f t="array" ref="E87">Common_InputFunctions.Utility_DisplayArrayInTable(Fuel_SourceData.Fuel_Scope1EmissionFactorsStationaryGaseous_Data(), Table_Fuel_EFs_StationaryGaseous[[#Headers],[Fuel combusted]],0)</f>
        <v>3.9300000000000002E-2</v>
      </c>
      <c r="F87" s="231" t="str" cm="1">
        <f t="array" ref="F87">Common_InputFunctions.Utility_DisplayArrayInTable(Fuel_SourceData.Fuel_Scope1EmissionFactorsStationaryGaseous_Data(), Table_Fuel_EFs_StationaryGaseous[[#Headers],[Fuel combusted]],0)</f>
        <v>m3</v>
      </c>
      <c r="G87" s="231" cm="1">
        <f t="array" ref="G87">Common_InputFunctions.Utility_DisplayArrayInTable(Fuel_SourceData.Fuel_Scope1EmissionFactorsStationaryGaseous_Data(), Table_Fuel_EFs_StationaryGaseous[[#Headers],[Fuel combusted]],0)</f>
        <v>51.4</v>
      </c>
      <c r="H87" s="231" cm="1">
        <f t="array" ref="H87">Common_InputFunctions.Utility_DisplayArrayInTable(Fuel_SourceData.Fuel_Scope1EmissionFactorsStationaryGaseous_Data(), Table_Fuel_EFs_StationaryGaseous[[#Headers],[Fuel combusted]],0)</f>
        <v>0.1</v>
      </c>
      <c r="I87" s="231" cm="1">
        <f t="array" ref="I87">Common_InputFunctions.Utility_DisplayArrayInTable(Fuel_SourceData.Fuel_Scope1EmissionFactorsStationaryGaseous_Data(), Table_Fuel_EFs_StationaryGaseous[[#Headers],[Fuel combusted]],0)</f>
        <v>0.03</v>
      </c>
      <c r="J87" s="231" cm="1">
        <f t="array" ref="J87">Common_InputFunctions.Utility_DisplayArrayInTable(Fuel_SourceData.Fuel_Scope1EmissionFactorsStationaryGaseous_Data(), Table_Fuel_EFs_StationaryGaseous[[#Headers],[Fuel combusted]],0)</f>
        <v>51.53</v>
      </c>
      <c r="K87" s="179"/>
      <c r="L87" s="179"/>
    </row>
    <row r="88" spans="4:12" ht="20.100000000000001" customHeight="1" x14ac:dyDescent="0.25">
      <c r="D88" s="231" t="str" cm="1">
        <f t="array" ref="D88">Common_InputFunctions.Utility_DisplayArrayInTable(Fuel_SourceData.Fuel_Scope1EmissionFactorsStationaryGaseous_Data(), Table_Fuel_EFs_StationaryGaseous[[#Headers],[Fuel combusted]],0)</f>
        <v>Coal seam methane that is captured for combustion</v>
      </c>
      <c r="E88" s="231" cm="1">
        <f t="array" ref="E88">Common_InputFunctions.Utility_DisplayArrayInTable(Fuel_SourceData.Fuel_Scope1EmissionFactorsStationaryGaseous_Data(), Table_Fuel_EFs_StationaryGaseous[[#Headers],[Fuel combusted]],0)</f>
        <v>3.7699999999999997E-2</v>
      </c>
      <c r="F88" s="231" t="str" cm="1">
        <f t="array" ref="F88">Common_InputFunctions.Utility_DisplayArrayInTable(Fuel_SourceData.Fuel_Scope1EmissionFactorsStationaryGaseous_Data(), Table_Fuel_EFs_StationaryGaseous[[#Headers],[Fuel combusted]],0)</f>
        <v>m3</v>
      </c>
      <c r="G88" s="231" cm="1">
        <f t="array" ref="G88">Common_InputFunctions.Utility_DisplayArrayInTable(Fuel_SourceData.Fuel_Scope1EmissionFactorsStationaryGaseous_Data(), Table_Fuel_EFs_StationaryGaseous[[#Headers],[Fuel combusted]],0)</f>
        <v>51.4</v>
      </c>
      <c r="H88" s="231" cm="1">
        <f t="array" ref="H88">Common_InputFunctions.Utility_DisplayArrayInTable(Fuel_SourceData.Fuel_Scope1EmissionFactorsStationaryGaseous_Data(), Table_Fuel_EFs_StationaryGaseous[[#Headers],[Fuel combusted]],0)</f>
        <v>0.2</v>
      </c>
      <c r="I88" s="231" cm="1">
        <f t="array" ref="I88">Common_InputFunctions.Utility_DisplayArrayInTable(Fuel_SourceData.Fuel_Scope1EmissionFactorsStationaryGaseous_Data(), Table_Fuel_EFs_StationaryGaseous[[#Headers],[Fuel combusted]],0)</f>
        <v>0.03</v>
      </c>
      <c r="J88" s="231" cm="1">
        <f t="array" ref="J88">Common_InputFunctions.Utility_DisplayArrayInTable(Fuel_SourceData.Fuel_Scope1EmissionFactorsStationaryGaseous_Data(), Table_Fuel_EFs_StationaryGaseous[[#Headers],[Fuel combusted]],0)</f>
        <v>51.63</v>
      </c>
      <c r="K88" s="179"/>
      <c r="L88" s="179"/>
    </row>
    <row r="89" spans="4:12" ht="20.100000000000001" customHeight="1" x14ac:dyDescent="0.25">
      <c r="D89" s="231" t="str" cm="1">
        <f t="array" ref="D89">Common_InputFunctions.Utility_DisplayArrayInTable(Fuel_SourceData.Fuel_Scope1EmissionFactorsStationaryGaseous_Data(), Table_Fuel_EFs_StationaryGaseous[[#Headers],[Fuel combusted]],0)</f>
        <v>Coal mine waste gas that is captured for combustion</v>
      </c>
      <c r="E89" s="231" cm="1">
        <f t="array" ref="E89">Common_InputFunctions.Utility_DisplayArrayInTable(Fuel_SourceData.Fuel_Scope1EmissionFactorsStationaryGaseous_Data(), Table_Fuel_EFs_StationaryGaseous[[#Headers],[Fuel combusted]],0)</f>
        <v>3.7699999999999997E-2</v>
      </c>
      <c r="F89" s="231" t="str" cm="1">
        <f t="array" ref="F89">Common_InputFunctions.Utility_DisplayArrayInTable(Fuel_SourceData.Fuel_Scope1EmissionFactorsStationaryGaseous_Data(), Table_Fuel_EFs_StationaryGaseous[[#Headers],[Fuel combusted]],0)</f>
        <v>m3</v>
      </c>
      <c r="G89" s="231" cm="1">
        <f t="array" ref="G89">Common_InputFunctions.Utility_DisplayArrayInTable(Fuel_SourceData.Fuel_Scope1EmissionFactorsStationaryGaseous_Data(), Table_Fuel_EFs_StationaryGaseous[[#Headers],[Fuel combusted]],0)</f>
        <v>51.9</v>
      </c>
      <c r="H89" s="231" cm="1">
        <f t="array" ref="H89">Common_InputFunctions.Utility_DisplayArrayInTable(Fuel_SourceData.Fuel_Scope1EmissionFactorsStationaryGaseous_Data(), Table_Fuel_EFs_StationaryGaseous[[#Headers],[Fuel combusted]],0)</f>
        <v>4.5999999999999996</v>
      </c>
      <c r="I89" s="231" cm="1">
        <f t="array" ref="I89">Common_InputFunctions.Utility_DisplayArrayInTable(Fuel_SourceData.Fuel_Scope1EmissionFactorsStationaryGaseous_Data(), Table_Fuel_EFs_StationaryGaseous[[#Headers],[Fuel combusted]],0)</f>
        <v>0.3</v>
      </c>
      <c r="J89" s="231" cm="1">
        <f t="array" ref="J89">Common_InputFunctions.Utility_DisplayArrayInTable(Fuel_SourceData.Fuel_Scope1EmissionFactorsStationaryGaseous_Data(), Table_Fuel_EFs_StationaryGaseous[[#Headers],[Fuel combusted]],0)</f>
        <v>56.8</v>
      </c>
      <c r="K89" s="179"/>
      <c r="L89" s="179"/>
    </row>
    <row r="90" spans="4:12" ht="20.100000000000001" customHeight="1" x14ac:dyDescent="0.25">
      <c r="D90" s="231" t="str" cm="1">
        <f t="array" ref="D90">Common_InputFunctions.Utility_DisplayArrayInTable(Fuel_SourceData.Fuel_Scope1EmissionFactorsStationaryGaseous_Data(), Table_Fuel_EFs_StationaryGaseous[[#Headers],[Fuel combusted]],0)</f>
        <v>Compressed natural gas(reverting to standard conditions)</v>
      </c>
      <c r="E90" s="231" cm="1">
        <f t="array" ref="E90">Common_InputFunctions.Utility_DisplayArrayInTable(Fuel_SourceData.Fuel_Scope1EmissionFactorsStationaryGaseous_Data(), Table_Fuel_EFs_StationaryGaseous[[#Headers],[Fuel combusted]],0)</f>
        <v>3.9300000000000002E-2</v>
      </c>
      <c r="F90" s="231" t="str" cm="1">
        <f t="array" ref="F90">Common_InputFunctions.Utility_DisplayArrayInTable(Fuel_SourceData.Fuel_Scope1EmissionFactorsStationaryGaseous_Data(), Table_Fuel_EFs_StationaryGaseous[[#Headers],[Fuel combusted]],0)</f>
        <v>m3</v>
      </c>
      <c r="G90" s="231" cm="1">
        <f t="array" ref="G90">Common_InputFunctions.Utility_DisplayArrayInTable(Fuel_SourceData.Fuel_Scope1EmissionFactorsStationaryGaseous_Data(), Table_Fuel_EFs_StationaryGaseous[[#Headers],[Fuel combusted]],0)</f>
        <v>51.4</v>
      </c>
      <c r="H90" s="231" cm="1">
        <f t="array" ref="H90">Common_InputFunctions.Utility_DisplayArrayInTable(Fuel_SourceData.Fuel_Scope1EmissionFactorsStationaryGaseous_Data(), Table_Fuel_EFs_StationaryGaseous[[#Headers],[Fuel combusted]],0)</f>
        <v>0.1</v>
      </c>
      <c r="I90" s="231" cm="1">
        <f t="array" ref="I90">Common_InputFunctions.Utility_DisplayArrayInTable(Fuel_SourceData.Fuel_Scope1EmissionFactorsStationaryGaseous_Data(), Table_Fuel_EFs_StationaryGaseous[[#Headers],[Fuel combusted]],0)</f>
        <v>0.03</v>
      </c>
      <c r="J90" s="231" cm="1">
        <f t="array" ref="J90">Common_InputFunctions.Utility_DisplayArrayInTable(Fuel_SourceData.Fuel_Scope1EmissionFactorsStationaryGaseous_Data(), Table_Fuel_EFs_StationaryGaseous[[#Headers],[Fuel combusted]],0)</f>
        <v>51.53</v>
      </c>
      <c r="K90" s="179"/>
      <c r="L90" s="179"/>
    </row>
    <row r="91" spans="4:12" ht="20.100000000000001" customHeight="1" x14ac:dyDescent="0.25">
      <c r="D91" s="231" t="str" cm="1">
        <f t="array" ref="D91">Common_InputFunctions.Utility_DisplayArrayInTable(Fuel_SourceData.Fuel_Scope1EmissionFactorsStationaryGaseous_Data(), Table_Fuel_EFs_StationaryGaseous[[#Headers],[Fuel combusted]],0)</f>
        <v>Unprocessed natural gas</v>
      </c>
      <c r="E91" s="231" cm="1">
        <f t="array" ref="E91">Common_InputFunctions.Utility_DisplayArrayInTable(Fuel_SourceData.Fuel_Scope1EmissionFactorsStationaryGaseous_Data(), Table_Fuel_EFs_StationaryGaseous[[#Headers],[Fuel combusted]],0)</f>
        <v>3.9300000000000002E-2</v>
      </c>
      <c r="F91" s="231" t="str" cm="1">
        <f t="array" ref="F91">Common_InputFunctions.Utility_DisplayArrayInTable(Fuel_SourceData.Fuel_Scope1EmissionFactorsStationaryGaseous_Data(), Table_Fuel_EFs_StationaryGaseous[[#Headers],[Fuel combusted]],0)</f>
        <v>m3</v>
      </c>
      <c r="G91" s="231" cm="1">
        <f t="array" ref="G91">Common_InputFunctions.Utility_DisplayArrayInTable(Fuel_SourceData.Fuel_Scope1EmissionFactorsStationaryGaseous_Data(), Table_Fuel_EFs_StationaryGaseous[[#Headers],[Fuel combusted]],0)</f>
        <v>51.4</v>
      </c>
      <c r="H91" s="231" cm="1">
        <f t="array" ref="H91">Common_InputFunctions.Utility_DisplayArrayInTable(Fuel_SourceData.Fuel_Scope1EmissionFactorsStationaryGaseous_Data(), Table_Fuel_EFs_StationaryGaseous[[#Headers],[Fuel combusted]],0)</f>
        <v>0.1</v>
      </c>
      <c r="I91" s="231" cm="1">
        <f t="array" ref="I91">Common_InputFunctions.Utility_DisplayArrayInTable(Fuel_SourceData.Fuel_Scope1EmissionFactorsStationaryGaseous_Data(), Table_Fuel_EFs_StationaryGaseous[[#Headers],[Fuel combusted]],0)</f>
        <v>0.03</v>
      </c>
      <c r="J91" s="231" cm="1">
        <f t="array" ref="J91">Common_InputFunctions.Utility_DisplayArrayInTable(Fuel_SourceData.Fuel_Scope1EmissionFactorsStationaryGaseous_Data(), Table_Fuel_EFs_StationaryGaseous[[#Headers],[Fuel combusted]],0)</f>
        <v>51.53</v>
      </c>
      <c r="K91" s="179"/>
      <c r="L91" s="179"/>
    </row>
    <row r="92" spans="4:12" ht="20.100000000000001" customHeight="1" x14ac:dyDescent="0.25">
      <c r="D92" s="231" t="str" cm="1">
        <f t="array" ref="D92">Common_InputFunctions.Utility_DisplayArrayInTable(Fuel_SourceData.Fuel_Scope1EmissionFactorsStationaryGaseous_Data(), Table_Fuel_EFs_StationaryGaseous[[#Headers],[Fuel combusted]],0)</f>
        <v>Ethane</v>
      </c>
      <c r="E92" s="231" cm="1">
        <f t="array" ref="E92">Common_InputFunctions.Utility_DisplayArrayInTable(Fuel_SourceData.Fuel_Scope1EmissionFactorsStationaryGaseous_Data(), Table_Fuel_EFs_StationaryGaseous[[#Headers],[Fuel combusted]],0)</f>
        <v>6.2899999999999998E-2</v>
      </c>
      <c r="F92" s="231" t="str" cm="1">
        <f t="array" ref="F92">Common_InputFunctions.Utility_DisplayArrayInTable(Fuel_SourceData.Fuel_Scope1EmissionFactorsStationaryGaseous_Data(), Table_Fuel_EFs_StationaryGaseous[[#Headers],[Fuel combusted]],0)</f>
        <v>m3</v>
      </c>
      <c r="G92" s="231" cm="1">
        <f t="array" ref="G92">Common_InputFunctions.Utility_DisplayArrayInTable(Fuel_SourceData.Fuel_Scope1EmissionFactorsStationaryGaseous_Data(), Table_Fuel_EFs_StationaryGaseous[[#Headers],[Fuel combusted]],0)</f>
        <v>56.5</v>
      </c>
      <c r="H92" s="231" cm="1">
        <f t="array" ref="H92">Common_InputFunctions.Utility_DisplayArrayInTable(Fuel_SourceData.Fuel_Scope1EmissionFactorsStationaryGaseous_Data(), Table_Fuel_EFs_StationaryGaseous[[#Headers],[Fuel combusted]],0)</f>
        <v>0.03</v>
      </c>
      <c r="I92" s="231" cm="1">
        <f t="array" ref="I92">Common_InputFunctions.Utility_DisplayArrayInTable(Fuel_SourceData.Fuel_Scope1EmissionFactorsStationaryGaseous_Data(), Table_Fuel_EFs_StationaryGaseous[[#Headers],[Fuel combusted]],0)</f>
        <v>0.03</v>
      </c>
      <c r="J92" s="231" cm="1">
        <f t="array" ref="J92">Common_InputFunctions.Utility_DisplayArrayInTable(Fuel_SourceData.Fuel_Scope1EmissionFactorsStationaryGaseous_Data(), Table_Fuel_EFs_StationaryGaseous[[#Headers],[Fuel combusted]],0)</f>
        <v>56.56</v>
      </c>
      <c r="K92" s="179"/>
      <c r="L92" s="179"/>
    </row>
    <row r="93" spans="4:12" ht="20.100000000000001" customHeight="1" x14ac:dyDescent="0.25">
      <c r="D93" s="231" t="str" cm="1">
        <f t="array" ref="D93">Common_InputFunctions.Utility_DisplayArrayInTable(Fuel_SourceData.Fuel_Scope1EmissionFactorsStationaryGaseous_Data(), Table_Fuel_EFs_StationaryGaseous[[#Headers],[Fuel combusted]],0)</f>
        <v>Coke oven gas</v>
      </c>
      <c r="E93" s="231" cm="1">
        <f t="array" ref="E93">Common_InputFunctions.Utility_DisplayArrayInTable(Fuel_SourceData.Fuel_Scope1EmissionFactorsStationaryGaseous_Data(), Table_Fuel_EFs_StationaryGaseous[[#Headers],[Fuel combusted]],0)</f>
        <v>1.8100000000000002E-2</v>
      </c>
      <c r="F93" s="231" t="str" cm="1">
        <f t="array" ref="F93">Common_InputFunctions.Utility_DisplayArrayInTable(Fuel_SourceData.Fuel_Scope1EmissionFactorsStationaryGaseous_Data(), Table_Fuel_EFs_StationaryGaseous[[#Headers],[Fuel combusted]],0)</f>
        <v>m3</v>
      </c>
      <c r="G93" s="231" cm="1">
        <f t="array" ref="G93">Common_InputFunctions.Utility_DisplayArrayInTable(Fuel_SourceData.Fuel_Scope1EmissionFactorsStationaryGaseous_Data(), Table_Fuel_EFs_StationaryGaseous[[#Headers],[Fuel combusted]],0)</f>
        <v>37</v>
      </c>
      <c r="H93" s="231" cm="1">
        <f t="array" ref="H93">Common_InputFunctions.Utility_DisplayArrayInTable(Fuel_SourceData.Fuel_Scope1EmissionFactorsStationaryGaseous_Data(), Table_Fuel_EFs_StationaryGaseous[[#Headers],[Fuel combusted]],0)</f>
        <v>0.03</v>
      </c>
      <c r="I93" s="231" cm="1">
        <f t="array" ref="I93">Common_InputFunctions.Utility_DisplayArrayInTable(Fuel_SourceData.Fuel_Scope1EmissionFactorsStationaryGaseous_Data(), Table_Fuel_EFs_StationaryGaseous[[#Headers],[Fuel combusted]],0)</f>
        <v>0.05</v>
      </c>
      <c r="J93" s="231" cm="1">
        <f t="array" ref="J93">Common_InputFunctions.Utility_DisplayArrayInTable(Fuel_SourceData.Fuel_Scope1EmissionFactorsStationaryGaseous_Data(), Table_Fuel_EFs_StationaryGaseous[[#Headers],[Fuel combusted]],0)</f>
        <v>37.08</v>
      </c>
      <c r="K93" s="179"/>
      <c r="L93" s="179"/>
    </row>
    <row r="94" spans="4:12" ht="20.100000000000001" customHeight="1" x14ac:dyDescent="0.25">
      <c r="D94" s="231" t="str" cm="1">
        <f t="array" ref="D94">Common_InputFunctions.Utility_DisplayArrayInTable(Fuel_SourceData.Fuel_Scope1EmissionFactorsStationaryGaseous_Data(), Table_Fuel_EFs_StationaryGaseous[[#Headers],[Fuel combusted]],0)</f>
        <v>Blast furnace gas</v>
      </c>
      <c r="E94" s="231" cm="1">
        <f t="array" ref="E94">Common_InputFunctions.Utility_DisplayArrayInTable(Fuel_SourceData.Fuel_Scope1EmissionFactorsStationaryGaseous_Data(), Table_Fuel_EFs_StationaryGaseous[[#Headers],[Fuel combusted]],0)</f>
        <v>4.0000000000000001E-3</v>
      </c>
      <c r="F94" s="231" t="str" cm="1">
        <f t="array" ref="F94">Common_InputFunctions.Utility_DisplayArrayInTable(Fuel_SourceData.Fuel_Scope1EmissionFactorsStationaryGaseous_Data(), Table_Fuel_EFs_StationaryGaseous[[#Headers],[Fuel combusted]],0)</f>
        <v>m3</v>
      </c>
      <c r="G94" s="231" cm="1">
        <f t="array" ref="G94">Common_InputFunctions.Utility_DisplayArrayInTable(Fuel_SourceData.Fuel_Scope1EmissionFactorsStationaryGaseous_Data(), Table_Fuel_EFs_StationaryGaseous[[#Headers],[Fuel combusted]],0)</f>
        <v>234</v>
      </c>
      <c r="H94" s="231" cm="1">
        <f t="array" ref="H94">Common_InputFunctions.Utility_DisplayArrayInTable(Fuel_SourceData.Fuel_Scope1EmissionFactorsStationaryGaseous_Data(), Table_Fuel_EFs_StationaryGaseous[[#Headers],[Fuel combusted]],0)</f>
        <v>0.03</v>
      </c>
      <c r="I94" s="231" cm="1">
        <f t="array" ref="I94">Common_InputFunctions.Utility_DisplayArrayInTable(Fuel_SourceData.Fuel_Scope1EmissionFactorsStationaryGaseous_Data(), Table_Fuel_EFs_StationaryGaseous[[#Headers],[Fuel combusted]],0)</f>
        <v>0.02</v>
      </c>
      <c r="J94" s="231" cm="1">
        <f t="array" ref="J94">Common_InputFunctions.Utility_DisplayArrayInTable(Fuel_SourceData.Fuel_Scope1EmissionFactorsStationaryGaseous_Data(), Table_Fuel_EFs_StationaryGaseous[[#Headers],[Fuel combusted]],0)</f>
        <v>234.05</v>
      </c>
      <c r="K94" s="179"/>
      <c r="L94" s="179"/>
    </row>
    <row r="95" spans="4:12" ht="20.100000000000001" customHeight="1" x14ac:dyDescent="0.25">
      <c r="D95" s="231" t="str" cm="1">
        <f t="array" ref="D95">Common_InputFunctions.Utility_DisplayArrayInTable(Fuel_SourceData.Fuel_Scope1EmissionFactorsStationaryGaseous_Data(), Table_Fuel_EFs_StationaryGaseous[[#Headers],[Fuel combusted]],0)</f>
        <v>Town gas</v>
      </c>
      <c r="E95" s="231" cm="1">
        <f t="array" ref="E95">Common_InputFunctions.Utility_DisplayArrayInTable(Fuel_SourceData.Fuel_Scope1EmissionFactorsStationaryGaseous_Data(), Table_Fuel_EFs_StationaryGaseous[[#Headers],[Fuel combusted]],0)</f>
        <v>3.9E-2</v>
      </c>
      <c r="F95" s="231" t="str" cm="1">
        <f t="array" ref="F95">Common_InputFunctions.Utility_DisplayArrayInTable(Fuel_SourceData.Fuel_Scope1EmissionFactorsStationaryGaseous_Data(), Table_Fuel_EFs_StationaryGaseous[[#Headers],[Fuel combusted]],0)</f>
        <v>m3</v>
      </c>
      <c r="G95" s="231" cm="1">
        <f t="array" ref="G95">Common_InputFunctions.Utility_DisplayArrayInTable(Fuel_SourceData.Fuel_Scope1EmissionFactorsStationaryGaseous_Data(), Table_Fuel_EFs_StationaryGaseous[[#Headers],[Fuel combusted]],0)</f>
        <v>60.2</v>
      </c>
      <c r="H95" s="231" cm="1">
        <f t="array" ref="H95">Common_InputFunctions.Utility_DisplayArrayInTable(Fuel_SourceData.Fuel_Scope1EmissionFactorsStationaryGaseous_Data(), Table_Fuel_EFs_StationaryGaseous[[#Headers],[Fuel combusted]],0)</f>
        <v>0.04</v>
      </c>
      <c r="I95" s="231" cm="1">
        <f t="array" ref="I95">Common_InputFunctions.Utility_DisplayArrayInTable(Fuel_SourceData.Fuel_Scope1EmissionFactorsStationaryGaseous_Data(), Table_Fuel_EFs_StationaryGaseous[[#Headers],[Fuel combusted]],0)</f>
        <v>0.03</v>
      </c>
      <c r="J95" s="231" cm="1">
        <f t="array" ref="J95">Common_InputFunctions.Utility_DisplayArrayInTable(Fuel_SourceData.Fuel_Scope1EmissionFactorsStationaryGaseous_Data(), Table_Fuel_EFs_StationaryGaseous[[#Headers],[Fuel combusted]],0)</f>
        <v>60.27</v>
      </c>
      <c r="K95" s="179"/>
      <c r="L95" s="179"/>
    </row>
    <row r="96" spans="4:12" ht="20.100000000000001" customHeight="1" x14ac:dyDescent="0.25">
      <c r="D96" s="231" t="str" cm="1">
        <f t="array" ref="D96">Common_InputFunctions.Utility_DisplayArrayInTable(Fuel_SourceData.Fuel_Scope1EmissionFactorsStationaryGaseous_Data(), Table_Fuel_EFs_StationaryGaseous[[#Headers],[Fuel combusted]],0)</f>
        <v>Liquefied natural gas</v>
      </c>
      <c r="E96" s="231" cm="1">
        <f t="array" ref="E96">Common_InputFunctions.Utility_DisplayArrayInTable(Fuel_SourceData.Fuel_Scope1EmissionFactorsStationaryGaseous_Data(), Table_Fuel_EFs_StationaryGaseous[[#Headers],[Fuel combusted]],0)</f>
        <v>25.3</v>
      </c>
      <c r="F96" s="231" t="str" cm="1">
        <f t="array" ref="F96">Common_InputFunctions.Utility_DisplayArrayInTable(Fuel_SourceData.Fuel_Scope1EmissionFactorsStationaryGaseous_Data(), Table_Fuel_EFs_StationaryGaseous[[#Headers],[Fuel combusted]],0)</f>
        <v>kL</v>
      </c>
      <c r="G96" s="231" cm="1">
        <f t="array" ref="G96">Common_InputFunctions.Utility_DisplayArrayInTable(Fuel_SourceData.Fuel_Scope1EmissionFactorsStationaryGaseous_Data(), Table_Fuel_EFs_StationaryGaseous[[#Headers],[Fuel combusted]],0)</f>
        <v>51.4</v>
      </c>
      <c r="H96" s="231" cm="1">
        <f t="array" ref="H96">Common_InputFunctions.Utility_DisplayArrayInTable(Fuel_SourceData.Fuel_Scope1EmissionFactorsStationaryGaseous_Data(), Table_Fuel_EFs_StationaryGaseous[[#Headers],[Fuel combusted]],0)</f>
        <v>0.1</v>
      </c>
      <c r="I96" s="231" cm="1">
        <f t="array" ref="I96">Common_InputFunctions.Utility_DisplayArrayInTable(Fuel_SourceData.Fuel_Scope1EmissionFactorsStationaryGaseous_Data(), Table_Fuel_EFs_StationaryGaseous[[#Headers],[Fuel combusted]],0)</f>
        <v>0.03</v>
      </c>
      <c r="J96" s="231" cm="1">
        <f t="array" ref="J96">Common_InputFunctions.Utility_DisplayArrayInTable(Fuel_SourceData.Fuel_Scope1EmissionFactorsStationaryGaseous_Data(), Table_Fuel_EFs_StationaryGaseous[[#Headers],[Fuel combusted]],0)</f>
        <v>51.53</v>
      </c>
      <c r="K96" s="179"/>
      <c r="L96" s="179"/>
    </row>
    <row r="97" spans="4:13" ht="20.100000000000001" customHeight="1" x14ac:dyDescent="0.25">
      <c r="D97" s="231" t="str" cm="1">
        <f t="array" ref="D97">Common_InputFunctions.Utility_DisplayArrayInTable(Fuel_SourceData.Fuel_Scope1EmissionFactorsStationaryGaseous_Data(), Table_Fuel_EFs_StationaryGaseous[[#Headers],[Fuel combusted]],0)</f>
        <v>Gaseous fossil fuels other than those mentioned in the items above</v>
      </c>
      <c r="E97" s="231" cm="1">
        <f t="array" ref="E97">Common_InputFunctions.Utility_DisplayArrayInTable(Fuel_SourceData.Fuel_Scope1EmissionFactorsStationaryGaseous_Data(), Table_Fuel_EFs_StationaryGaseous[[#Headers],[Fuel combusted]],0)</f>
        <v>3.9E-2</v>
      </c>
      <c r="F97" s="231" t="str" cm="1">
        <f t="array" ref="F97">Common_InputFunctions.Utility_DisplayArrayInTable(Fuel_SourceData.Fuel_Scope1EmissionFactorsStationaryGaseous_Data(), Table_Fuel_EFs_StationaryGaseous[[#Headers],[Fuel combusted]],0)</f>
        <v>m3</v>
      </c>
      <c r="G97" s="231" cm="1">
        <f t="array" ref="G97">Common_InputFunctions.Utility_DisplayArrayInTable(Fuel_SourceData.Fuel_Scope1EmissionFactorsStationaryGaseous_Data(), Table_Fuel_EFs_StationaryGaseous[[#Headers],[Fuel combusted]],0)</f>
        <v>51.4</v>
      </c>
      <c r="H97" s="231" cm="1">
        <f t="array" ref="H97">Common_InputFunctions.Utility_DisplayArrayInTable(Fuel_SourceData.Fuel_Scope1EmissionFactorsStationaryGaseous_Data(), Table_Fuel_EFs_StationaryGaseous[[#Headers],[Fuel combusted]],0)</f>
        <v>0.1</v>
      </c>
      <c r="I97" s="231" cm="1">
        <f t="array" ref="I97">Common_InputFunctions.Utility_DisplayArrayInTable(Fuel_SourceData.Fuel_Scope1EmissionFactorsStationaryGaseous_Data(), Table_Fuel_EFs_StationaryGaseous[[#Headers],[Fuel combusted]],0)</f>
        <v>0.03</v>
      </c>
      <c r="J97" s="231" cm="1">
        <f t="array" ref="J97">Common_InputFunctions.Utility_DisplayArrayInTable(Fuel_SourceData.Fuel_Scope1EmissionFactorsStationaryGaseous_Data(), Table_Fuel_EFs_StationaryGaseous[[#Headers],[Fuel combusted]],0)</f>
        <v>51.53</v>
      </c>
      <c r="K97" s="179"/>
      <c r="L97" s="179"/>
    </row>
    <row r="98" spans="4:13" ht="20.100000000000001" customHeight="1" x14ac:dyDescent="0.25">
      <c r="D98" s="231" t="str" cm="1">
        <f t="array" ref="D98">Common_InputFunctions.Utility_DisplayArrayInTable(Fuel_SourceData.Fuel_Scope1EmissionFactorsStationaryGaseous_Data(), Table_Fuel_EFs_StationaryGaseous[[#Headers],[Fuel combusted]],0)</f>
        <v>Landfill biogas that is captured for combustion (methane only)</v>
      </c>
      <c r="E98" s="231" cm="1">
        <f t="array" ref="E98">Common_InputFunctions.Utility_DisplayArrayInTable(Fuel_SourceData.Fuel_Scope1EmissionFactorsStationaryGaseous_Data(), Table_Fuel_EFs_StationaryGaseous[[#Headers],[Fuel combusted]],0)</f>
        <v>3.7699999999999997E-2</v>
      </c>
      <c r="F98" s="231" t="str" cm="1">
        <f t="array" ref="F98">Common_InputFunctions.Utility_DisplayArrayInTable(Fuel_SourceData.Fuel_Scope1EmissionFactorsStationaryGaseous_Data(), Table_Fuel_EFs_StationaryGaseous[[#Headers],[Fuel combusted]],0)</f>
        <v>m3</v>
      </c>
      <c r="G98" s="231" cm="1">
        <f t="array" ref="G98">Common_InputFunctions.Utility_DisplayArrayInTable(Fuel_SourceData.Fuel_Scope1EmissionFactorsStationaryGaseous_Data(), Table_Fuel_EFs_StationaryGaseous[[#Headers],[Fuel combusted]],0)</f>
        <v>0</v>
      </c>
      <c r="H98" s="231" cm="1">
        <f t="array" ref="H98">Common_InputFunctions.Utility_DisplayArrayInTable(Fuel_SourceData.Fuel_Scope1EmissionFactorsStationaryGaseous_Data(), Table_Fuel_EFs_StationaryGaseous[[#Headers],[Fuel combusted]],0)</f>
        <v>6.4</v>
      </c>
      <c r="I98" s="231" cm="1">
        <f t="array" ref="I98">Common_InputFunctions.Utility_DisplayArrayInTable(Fuel_SourceData.Fuel_Scope1EmissionFactorsStationaryGaseous_Data(), Table_Fuel_EFs_StationaryGaseous[[#Headers],[Fuel combusted]],0)</f>
        <v>0.03</v>
      </c>
      <c r="J98" s="231" cm="1">
        <f t="array" ref="J98">Common_InputFunctions.Utility_DisplayArrayInTable(Fuel_SourceData.Fuel_Scope1EmissionFactorsStationaryGaseous_Data(), Table_Fuel_EFs_StationaryGaseous[[#Headers],[Fuel combusted]],0)</f>
        <v>6.43</v>
      </c>
      <c r="K98" s="179"/>
      <c r="L98" s="179"/>
    </row>
    <row r="99" spans="4:13" ht="20.100000000000001" customHeight="1" x14ac:dyDescent="0.25">
      <c r="D99" s="231" t="str" cm="1">
        <f t="array" ref="D99">Common_InputFunctions.Utility_DisplayArrayInTable(Fuel_SourceData.Fuel_Scope1EmissionFactorsStationaryGaseous_Data(), Table_Fuel_EFs_StationaryGaseous[[#Headers],[Fuel combusted]],0)</f>
        <v>Sludge biogas that is captured for combustion (methane only)</v>
      </c>
      <c r="E99" s="231" cm="1">
        <f t="array" ref="E99">Common_InputFunctions.Utility_DisplayArrayInTable(Fuel_SourceData.Fuel_Scope1EmissionFactorsStationaryGaseous_Data(), Table_Fuel_EFs_StationaryGaseous[[#Headers],[Fuel combusted]],0)</f>
        <v>3.7699999999999997E-2</v>
      </c>
      <c r="F99" s="231" t="str" cm="1">
        <f t="array" ref="F99">Common_InputFunctions.Utility_DisplayArrayInTable(Fuel_SourceData.Fuel_Scope1EmissionFactorsStationaryGaseous_Data(), Table_Fuel_EFs_StationaryGaseous[[#Headers],[Fuel combusted]],0)</f>
        <v>m3</v>
      </c>
      <c r="G99" s="231" cm="1">
        <f t="array" ref="G99">Common_InputFunctions.Utility_DisplayArrayInTable(Fuel_SourceData.Fuel_Scope1EmissionFactorsStationaryGaseous_Data(), Table_Fuel_EFs_StationaryGaseous[[#Headers],[Fuel combusted]],0)</f>
        <v>0</v>
      </c>
      <c r="H99" s="231" cm="1">
        <f t="array" ref="H99">Common_InputFunctions.Utility_DisplayArrayInTable(Fuel_SourceData.Fuel_Scope1EmissionFactorsStationaryGaseous_Data(), Table_Fuel_EFs_StationaryGaseous[[#Headers],[Fuel combusted]],0)</f>
        <v>6.4</v>
      </c>
      <c r="I99" s="231" cm="1">
        <f t="array" ref="I99">Common_InputFunctions.Utility_DisplayArrayInTable(Fuel_SourceData.Fuel_Scope1EmissionFactorsStationaryGaseous_Data(), Table_Fuel_EFs_StationaryGaseous[[#Headers],[Fuel combusted]],0)</f>
        <v>0.03</v>
      </c>
      <c r="J99" s="231" cm="1">
        <f t="array" ref="J99">Common_InputFunctions.Utility_DisplayArrayInTable(Fuel_SourceData.Fuel_Scope1EmissionFactorsStationaryGaseous_Data(), Table_Fuel_EFs_StationaryGaseous[[#Headers],[Fuel combusted]],0)</f>
        <v>6.43</v>
      </c>
      <c r="K99" s="179"/>
      <c r="L99" s="179"/>
    </row>
    <row r="100" spans="4:13" ht="20.100000000000001" customHeight="1" x14ac:dyDescent="0.25">
      <c r="D100" s="23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1" cm="1">
        <f t="array" ref="E100">Common_InputFunctions.Utility_DisplayArrayInTable(Fuel_SourceData.Fuel_Scope1EmissionFactorsStationaryGaseous_Data(), Table_Fuel_EFs_StationaryGaseous[[#Headers],[Fuel combusted]],0)</f>
        <v>3.6999999999999998E-2</v>
      </c>
      <c r="F100" s="231" t="str" cm="1">
        <f t="array" ref="F100">Common_InputFunctions.Utility_DisplayArrayInTable(Fuel_SourceData.Fuel_Scope1EmissionFactorsStationaryGaseous_Data(), Table_Fuel_EFs_StationaryGaseous[[#Headers],[Fuel combusted]],0)</f>
        <v>m3</v>
      </c>
      <c r="G100" s="231" cm="1">
        <f t="array" ref="G100">Common_InputFunctions.Utility_DisplayArrayInTable(Fuel_SourceData.Fuel_Scope1EmissionFactorsStationaryGaseous_Data(), Table_Fuel_EFs_StationaryGaseous[[#Headers],[Fuel combusted]],0)</f>
        <v>0</v>
      </c>
      <c r="H100" s="231" cm="1">
        <f t="array" ref="H100">Common_InputFunctions.Utility_DisplayArrayInTable(Fuel_SourceData.Fuel_Scope1EmissionFactorsStationaryGaseous_Data(), Table_Fuel_EFs_StationaryGaseous[[#Headers],[Fuel combusted]],0)</f>
        <v>6.4</v>
      </c>
      <c r="I100" s="231" cm="1">
        <f t="array" ref="I100">Common_InputFunctions.Utility_DisplayArrayInTable(Fuel_SourceData.Fuel_Scope1EmissionFactorsStationaryGaseous_Data(), Table_Fuel_EFs_StationaryGaseous[[#Headers],[Fuel combusted]],0)</f>
        <v>0.03</v>
      </c>
      <c r="J100" s="231" cm="1">
        <f t="array" ref="J100">Common_InputFunctions.Utility_DisplayArrayInTable(Fuel_SourceData.Fuel_Scope1EmissionFactorsStationaryGaseous_Data(), Table_Fuel_EFs_StationaryGaseous[[#Headers],[Fuel combusted]],0)</f>
        <v>6.43</v>
      </c>
      <c r="K100" s="179"/>
      <c r="L100" s="179"/>
    </row>
    <row r="101" spans="4:13" ht="20.100000000000001" customHeight="1" x14ac:dyDescent="0.25">
      <c r="D101" s="231" t="str" cm="1">
        <f t="array" ref="D101">Common_InputFunctions.Utility_DisplayArrayInTable(Fuel_SourceData.Fuel_Scope1EmissionFactorsStationaryGaseous_Data(), Table_Fuel_EFs_StationaryGaseous[[#Headers],[Fuel combusted]],0)</f>
        <v>Biomethane</v>
      </c>
      <c r="E101" s="231" cm="1">
        <f t="array" ref="E101">Common_InputFunctions.Utility_DisplayArrayInTable(Fuel_SourceData.Fuel_Scope1EmissionFactorsStationaryGaseous_Data(), Table_Fuel_EFs_StationaryGaseous[[#Headers],[Fuel combusted]],0)</f>
        <v>3.9300000000000002E-2</v>
      </c>
      <c r="F101" s="231" t="str" cm="1">
        <f t="array" ref="F101">Common_InputFunctions.Utility_DisplayArrayInTable(Fuel_SourceData.Fuel_Scope1EmissionFactorsStationaryGaseous_Data(), Table_Fuel_EFs_StationaryGaseous[[#Headers],[Fuel combusted]],0)</f>
        <v>m3</v>
      </c>
      <c r="G101" s="231" cm="1">
        <f t="array" ref="G101">Common_InputFunctions.Utility_DisplayArrayInTable(Fuel_SourceData.Fuel_Scope1EmissionFactorsStationaryGaseous_Data(), Table_Fuel_EFs_StationaryGaseous[[#Headers],[Fuel combusted]],0)</f>
        <v>0</v>
      </c>
      <c r="H101" s="231" cm="1">
        <f t="array" ref="H101">Common_InputFunctions.Utility_DisplayArrayInTable(Fuel_SourceData.Fuel_Scope1EmissionFactorsStationaryGaseous_Data(), Table_Fuel_EFs_StationaryGaseous[[#Headers],[Fuel combusted]],0)</f>
        <v>0.1</v>
      </c>
      <c r="I101" s="231" cm="1">
        <f t="array" ref="I101">Common_InputFunctions.Utility_DisplayArrayInTable(Fuel_SourceData.Fuel_Scope1EmissionFactorsStationaryGaseous_Data(), Table_Fuel_EFs_StationaryGaseous[[#Headers],[Fuel combusted]],0)</f>
        <v>0.03</v>
      </c>
      <c r="J101" s="231" cm="1">
        <f t="array" ref="J101">Common_InputFunctions.Utility_DisplayArrayInTable(Fuel_SourceData.Fuel_Scope1EmissionFactorsStationaryGaseous_Data(), Table_Fuel_EFs_StationaryGaseous[[#Headers],[Fuel combusted]],0)</f>
        <v>0.13</v>
      </c>
      <c r="K101" s="179"/>
      <c r="L101" s="179"/>
    </row>
    <row r="102" spans="4:13" ht="20.100000000000001" customHeight="1" x14ac:dyDescent="0.25">
      <c r="D102" s="231" t="str" cm="1">
        <f t="array" ref="D102">Common_InputFunctions.Utility_DisplayArrayInTable(Fuel_SourceData.Fuel_Scope1EmissionFactorsStationaryGaseous_Data(), Table_Fuel_EFs_StationaryGaseous[[#Headers],[Fuel combusted]],0)</f>
        <v>Hydrogen</v>
      </c>
      <c r="E102" s="231" cm="1">
        <f t="array" ref="E102">Common_InputFunctions.Utility_DisplayArrayInTable(Fuel_SourceData.Fuel_Scope1EmissionFactorsStationaryGaseous_Data(), Table_Fuel_EFs_StationaryGaseous[[#Headers],[Fuel combusted]],0)</f>
        <v>1.2200000000000001E-2</v>
      </c>
      <c r="F102" s="231" t="str" cm="1">
        <f t="array" ref="F102">Common_InputFunctions.Utility_DisplayArrayInTable(Fuel_SourceData.Fuel_Scope1EmissionFactorsStationaryGaseous_Data(), Table_Fuel_EFs_StationaryGaseous[[#Headers],[Fuel combusted]],0)</f>
        <v>m3</v>
      </c>
      <c r="G102" s="231" cm="1">
        <f t="array" ref="G102">Common_InputFunctions.Utility_DisplayArrayInTable(Fuel_SourceData.Fuel_Scope1EmissionFactorsStationaryGaseous_Data(), Table_Fuel_EFs_StationaryGaseous[[#Headers],[Fuel combusted]],0)</f>
        <v>0</v>
      </c>
      <c r="H102" s="231" cm="1">
        <f t="array" ref="H102">Common_InputFunctions.Utility_DisplayArrayInTable(Fuel_SourceData.Fuel_Scope1EmissionFactorsStationaryGaseous_Data(), Table_Fuel_EFs_StationaryGaseous[[#Headers],[Fuel combusted]],0)</f>
        <v>0</v>
      </c>
      <c r="I102" s="231" cm="1">
        <f t="array" ref="I102">Common_InputFunctions.Utility_DisplayArrayInTable(Fuel_SourceData.Fuel_Scope1EmissionFactorsStationaryGaseous_Data(), Table_Fuel_EFs_StationaryGaseous[[#Headers],[Fuel combusted]],0)</f>
        <v>0.5</v>
      </c>
      <c r="J102" s="231" cm="1">
        <f t="array" ref="J102">Common_InputFunctions.Utility_DisplayArrayInTable(Fuel_SourceData.Fuel_Scope1EmissionFactorsStationaryGaseous_Data(), Table_Fuel_EFs_StationaryGaseous[[#Headers],[Fuel combusted]],0)</f>
        <v>0.5</v>
      </c>
      <c r="K102" s="179"/>
      <c r="L102" s="179"/>
    </row>
    <row r="103" spans="4:13" ht="20.100000000000001" customHeight="1" x14ac:dyDescent="0.25">
      <c r="D103" s="231" t="str" cm="1">
        <f t="array" ref="D103">Common_InputFunctions.Utility_DisplayArrayInTable(Fuel_SourceData.Fuel_Scope1EmissionFactorsStationaryGaseous_Data(), Table_Fuel_EFs_StationaryGaseous[[#Headers],[Fuel combusted]],0)</f>
        <v>Natural gas distributed in a pipeline - Gigajoules</v>
      </c>
      <c r="E103" s="231" cm="1">
        <f t="array" ref="E103">Common_InputFunctions.Utility_DisplayArrayInTable(Fuel_SourceData.Fuel_Scope1EmissionFactorsStationaryGaseous_Data(), Table_Fuel_EFs_StationaryGaseous[[#Headers],[Fuel combusted]],0)</f>
        <v>1</v>
      </c>
      <c r="F103" s="231" t="str" cm="1">
        <f t="array" ref="F103">Common_InputFunctions.Utility_DisplayArrayInTable(Fuel_SourceData.Fuel_Scope1EmissionFactorsStationaryGaseous_Data(), Table_Fuel_EFs_StationaryGaseous[[#Headers],[Fuel combusted]],0)</f>
        <v>GJ</v>
      </c>
      <c r="G103" s="231" cm="1">
        <f t="array" ref="G103">Common_InputFunctions.Utility_DisplayArrayInTable(Fuel_SourceData.Fuel_Scope1EmissionFactorsStationaryGaseous_Data(), Table_Fuel_EFs_StationaryGaseous[[#Headers],[Fuel combusted]],0)</f>
        <v>51.4</v>
      </c>
      <c r="H103" s="231" cm="1">
        <f t="array" ref="H103">Common_InputFunctions.Utility_DisplayArrayInTable(Fuel_SourceData.Fuel_Scope1EmissionFactorsStationaryGaseous_Data(), Table_Fuel_EFs_StationaryGaseous[[#Headers],[Fuel combusted]],0)</f>
        <v>0.1</v>
      </c>
      <c r="I103" s="231" cm="1">
        <f t="array" ref="I103">Common_InputFunctions.Utility_DisplayArrayInTable(Fuel_SourceData.Fuel_Scope1EmissionFactorsStationaryGaseous_Data(), Table_Fuel_EFs_StationaryGaseous[[#Headers],[Fuel combusted]],0)</f>
        <v>0.03</v>
      </c>
      <c r="J103" s="231" cm="1">
        <f t="array" ref="J103">Common_InputFunctions.Utility_DisplayArrayInTable(Fuel_SourceData.Fuel_Scope1EmissionFactorsStationaryGaseous_Data(), Table_Fuel_EFs_StationaryGaseous[[#Headers],[Fuel combusted]],0)</f>
        <v>51.53</v>
      </c>
      <c r="K103" s="179"/>
      <c r="L103" s="179"/>
    </row>
    <row r="104" spans="4:13" ht="20.100000000000001" customHeight="1" x14ac:dyDescent="0.25">
      <c r="D104" s="231" t="str" cm="1">
        <f t="array" ref="D104">Common_InputFunctions.Utility_DisplayArrayInTable(Fuel_SourceData.Fuel_Scope1EmissionFactorsStationaryGaseous_Data(), Table_Fuel_EFs_StationaryGaseous[[#Headers],[Fuel combusted]],0)</f>
        <v>Town gas - Gigajoules</v>
      </c>
      <c r="E104" s="231" cm="1">
        <f t="array" ref="E104">Common_InputFunctions.Utility_DisplayArrayInTable(Fuel_SourceData.Fuel_Scope1EmissionFactorsStationaryGaseous_Data(), Table_Fuel_EFs_StationaryGaseous[[#Headers],[Fuel combusted]],0)</f>
        <v>1</v>
      </c>
      <c r="F104" s="231" t="str" cm="1">
        <f t="array" ref="F104">Common_InputFunctions.Utility_DisplayArrayInTable(Fuel_SourceData.Fuel_Scope1EmissionFactorsStationaryGaseous_Data(), Table_Fuel_EFs_StationaryGaseous[[#Headers],[Fuel combusted]],0)</f>
        <v>GJ</v>
      </c>
      <c r="G104" s="231" cm="1">
        <f t="array" ref="G104">Common_InputFunctions.Utility_DisplayArrayInTable(Fuel_SourceData.Fuel_Scope1EmissionFactorsStationaryGaseous_Data(), Table_Fuel_EFs_StationaryGaseous[[#Headers],[Fuel combusted]],0)</f>
        <v>60.2</v>
      </c>
      <c r="H104" s="231" cm="1">
        <f t="array" ref="H104">Common_InputFunctions.Utility_DisplayArrayInTable(Fuel_SourceData.Fuel_Scope1EmissionFactorsStationaryGaseous_Data(), Table_Fuel_EFs_StationaryGaseous[[#Headers],[Fuel combusted]],0)</f>
        <v>0.04</v>
      </c>
      <c r="I104" s="231" cm="1">
        <f t="array" ref="I104">Common_InputFunctions.Utility_DisplayArrayInTable(Fuel_SourceData.Fuel_Scope1EmissionFactorsStationaryGaseous_Data(), Table_Fuel_EFs_StationaryGaseous[[#Headers],[Fuel combusted]],0)</f>
        <v>0.03</v>
      </c>
      <c r="J104" s="231" cm="1">
        <f t="array" ref="J104">Common_InputFunctions.Utility_DisplayArrayInTable(Fuel_SourceData.Fuel_Scope1EmissionFactorsStationaryGaseous_Data(), Table_Fuel_EFs_StationaryGaseous[[#Headers],[Fuel combusted]],0)</f>
        <v>60.27</v>
      </c>
      <c r="K104" s="179"/>
      <c r="L104" s="179"/>
    </row>
    <row r="105" spans="4:13" ht="20.100000000000001" customHeight="1" x14ac:dyDescent="0.25">
      <c r="D105" s="179"/>
      <c r="E105" s="179"/>
      <c r="F105" s="179"/>
      <c r="G105" s="179"/>
      <c r="H105" s="179"/>
      <c r="I105" s="179"/>
      <c r="J105" s="179"/>
      <c r="K105" s="179"/>
      <c r="L105" s="179"/>
      <c r="M105" s="179"/>
    </row>
    <row r="106" spans="4:13" ht="20.100000000000001" customHeight="1" x14ac:dyDescent="0.25">
      <c r="D106" s="179"/>
      <c r="E106" s="179"/>
      <c r="F106" s="179"/>
      <c r="G106" s="179"/>
      <c r="H106" s="179"/>
      <c r="I106" s="179"/>
      <c r="J106" s="179"/>
      <c r="K106" s="179"/>
      <c r="L106" s="179"/>
      <c r="M106" s="179"/>
    </row>
    <row r="107" spans="4:13" ht="20.100000000000001" customHeight="1" x14ac:dyDescent="0.25">
      <c r="D107" s="2" t="str" cm="1">
        <f t="array" ref="D107">Fuel_SourceData.Fuel_Scope3EmissionFactorsStationaryGaseous_Title()</f>
        <v>Fuel scope 3 emission factors - Stationary gaseous fuels</v>
      </c>
      <c r="E107" s="179"/>
      <c r="F107" s="179"/>
      <c r="G107" s="179"/>
      <c r="H107" s="179"/>
      <c r="I107" s="179"/>
      <c r="J107" s="179"/>
      <c r="K107" s="179"/>
      <c r="L107" s="179"/>
    </row>
    <row r="108" spans="4:13" ht="20.100000000000001" customHeight="1" x14ac:dyDescent="0.25">
      <c r="D108" s="1" t="str" cm="1">
        <f t="array" ref="D108">Fuel_SourceData.Fuel_Scope3EmissionFactorsStationaryGaseous_Description()</f>
        <v>Indirect (Scope 3) emission factors for the consumption of natural gas.</v>
      </c>
      <c r="E108" s="179"/>
      <c r="F108" s="179"/>
      <c r="G108" s="179"/>
      <c r="H108" s="179"/>
      <c r="I108" s="179"/>
      <c r="J108" s="179"/>
      <c r="K108" s="179"/>
      <c r="L108" s="179"/>
    </row>
    <row r="109" spans="4:13" ht="20.100000000000001" customHeight="1" x14ac:dyDescent="0.25">
      <c r="D109" s="27" t="str" cm="1">
        <f t="array" ref="D109">Fuel_SourceData.Fuel_Scope3EmissionFactorsStationaryGaseous_Source()</f>
        <v>Australian National Greenhouse Accounts Factors 2025 - Table 6</v>
      </c>
      <c r="E109" s="179"/>
      <c r="F109" s="179"/>
      <c r="G109" s="179"/>
      <c r="H109" s="179"/>
      <c r="I109" s="179"/>
      <c r="J109" s="179"/>
      <c r="K109" s="179"/>
      <c r="L109" s="17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9"/>
      <c r="F110" s="179"/>
      <c r="G110" s="179"/>
      <c r="H110" s="179"/>
      <c r="I110" s="179"/>
      <c r="J110" s="179"/>
      <c r="K110" s="179"/>
      <c r="L110" s="179"/>
    </row>
    <row r="111" spans="4:13" ht="20.100000000000001" customHeight="1" x14ac:dyDescent="0.25">
      <c r="D111" s="179"/>
      <c r="E111" s="179"/>
      <c r="F111" s="179"/>
      <c r="G111" s="179"/>
      <c r="H111" s="179"/>
      <c r="I111" s="179"/>
      <c r="J111" s="179"/>
      <c r="K111" s="179"/>
      <c r="L111" s="179"/>
    </row>
    <row r="112" spans="4:13" ht="20.100000000000001" customHeight="1" x14ac:dyDescent="0.25">
      <c r="D112" s="197" t="s">
        <v>867</v>
      </c>
      <c r="E112" s="228" t="s">
        <v>801</v>
      </c>
      <c r="F112" s="228" t="s">
        <v>868</v>
      </c>
      <c r="G112" s="179"/>
      <c r="H112" s="88" t="s">
        <v>869</v>
      </c>
      <c r="I112" s="179"/>
      <c r="J112" s="179"/>
      <c r="K112" s="179"/>
      <c r="L112" s="179"/>
    </row>
    <row r="113" spans="4:13" ht="20.100000000000001" customHeight="1" x14ac:dyDescent="0.25">
      <c r="D113" s="232" t="str" cm="1">
        <f t="array" ref="D113">Common_InputFunctions.Utility_DisplayArrayInTable(Fuel_SourceData.Fuel_Scope3EmissionFactorsStationaryGaseous_Data(), Table_Fuel_EFs_StationaryGaseous34[[#Headers],[State or territory]],0)</f>
        <v>New South Wales</v>
      </c>
      <c r="E113" s="232" cm="1">
        <f t="array" ref="E113">Common_InputFunctions.Utility_DisplayArrayInTable(Fuel_SourceData.Fuel_Scope3EmissionFactorsStationaryGaseous_Data(), Table_Fuel_EFs_StationaryGaseous34[[#Headers],[State or territory]],0)</f>
        <v>13.1</v>
      </c>
      <c r="F113" s="232" cm="1">
        <f t="array" ref="F113">Common_InputFunctions.Utility_DisplayArrayInTable(Fuel_SourceData.Fuel_Scope3EmissionFactorsStationaryGaseous_Data(), Table_Fuel_EFs_StationaryGaseous34[[#Headers],[State or territory]],0)</f>
        <v>14</v>
      </c>
      <c r="G113" s="23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9"/>
      <c r="J113" s="179"/>
      <c r="K113" s="179"/>
      <c r="L113" s="179"/>
    </row>
    <row r="114" spans="4:13" ht="20.100000000000001" customHeight="1" x14ac:dyDescent="0.25">
      <c r="D114" s="232" t="str" cm="1">
        <f t="array" ref="D114">Common_InputFunctions.Utility_DisplayArrayInTable(Fuel_SourceData.Fuel_Scope3EmissionFactorsStationaryGaseous_Data(), Table_Fuel_EFs_StationaryGaseous34[[#Headers],[State or territory]],0)</f>
        <v>ACT</v>
      </c>
      <c r="E114" s="232" cm="1">
        <f t="array" ref="E114">Common_InputFunctions.Utility_DisplayArrayInTable(Fuel_SourceData.Fuel_Scope3EmissionFactorsStationaryGaseous_Data(), Table_Fuel_EFs_StationaryGaseous34[[#Headers],[State or territory]],0)</f>
        <v>13.1</v>
      </c>
      <c r="F114" s="232" cm="1">
        <f t="array" ref="F114">Common_InputFunctions.Utility_DisplayArrayInTable(Fuel_SourceData.Fuel_Scope3EmissionFactorsStationaryGaseous_Data(), Table_Fuel_EFs_StationaryGaseous34[[#Headers],[State or territory]],0)</f>
        <v>14</v>
      </c>
      <c r="G114" s="233" t="str">
        <v/>
      </c>
      <c r="H114" s="1" t="str">
        <v>Gas reaches end users either from the metro distribution networks or direct from the high - pressure distribution pipelines.</v>
      </c>
      <c r="I114" s="179"/>
      <c r="J114" s="179"/>
      <c r="K114" s="179"/>
      <c r="L114" s="179"/>
    </row>
    <row r="115" spans="4:13" ht="20.100000000000001" customHeight="1" x14ac:dyDescent="0.25">
      <c r="D115" s="232" t="str" cm="1">
        <f t="array" ref="D115">Common_InputFunctions.Utility_DisplayArrayInTable(Fuel_SourceData.Fuel_Scope3EmissionFactorsStationaryGaseous_Data(), Table_Fuel_EFs_StationaryGaseous34[[#Headers],[State or territory]],0)</f>
        <v>Victoria</v>
      </c>
      <c r="E115" s="232" cm="1">
        <f t="array" ref="E115">Common_InputFunctions.Utility_DisplayArrayInTable(Fuel_SourceData.Fuel_Scope3EmissionFactorsStationaryGaseous_Data(), Table_Fuel_EFs_StationaryGaseous34[[#Headers],[State or territory]],0)</f>
        <v>4</v>
      </c>
      <c r="F115" s="232" cm="1">
        <f t="array" ref="F115">Common_InputFunctions.Utility_DisplayArrayInTable(Fuel_SourceData.Fuel_Scope3EmissionFactorsStationaryGaseous_Data(), Table_Fuel_EFs_StationaryGaseous34[[#Headers],[State or territory]],0)</f>
        <v>4</v>
      </c>
      <c r="G115" s="233" t="str">
        <v/>
      </c>
      <c r="H115" s="1" t="str">
        <v>Households and commercial users tend to be served by the former, and electricity generators and large industrial plants from the latter.</v>
      </c>
      <c r="I115" s="179"/>
      <c r="J115" s="179"/>
      <c r="K115" s="179"/>
      <c r="L115" s="179"/>
    </row>
    <row r="116" spans="4:13" ht="20.100000000000001" customHeight="1" x14ac:dyDescent="0.25">
      <c r="D116" s="232" t="str" cm="1">
        <f t="array" ref="D116">Common_InputFunctions.Utility_DisplayArrayInTable(Fuel_SourceData.Fuel_Scope3EmissionFactorsStationaryGaseous_Data(), Table_Fuel_EFs_StationaryGaseous34[[#Headers],[State or territory]],0)</f>
        <v>Queensland</v>
      </c>
      <c r="E116" s="232" cm="1">
        <f t="array" ref="E116">Common_InputFunctions.Utility_DisplayArrayInTable(Fuel_SourceData.Fuel_Scope3EmissionFactorsStationaryGaseous_Data(), Table_Fuel_EFs_StationaryGaseous34[[#Headers],[State or territory]],0)</f>
        <v>8.8000000000000007</v>
      </c>
      <c r="F116" s="232" cm="1">
        <f t="array" ref="F116">Common_InputFunctions.Utility_DisplayArrayInTable(Fuel_SourceData.Fuel_Scope3EmissionFactorsStationaryGaseous_Data(), Table_Fuel_EFs_StationaryGaseous34[[#Headers],[State or territory]],0)</f>
        <v>7.9</v>
      </c>
      <c r="G116" s="233" t="str">
        <v>-</v>
      </c>
      <c r="H116" s="1" t="str">
        <v>Metro is defined as located on or east of the dividing range in NSW, including Canberra and Queanbeyan, Melbourne, Brisbane, Adelaide or Perth.</v>
      </c>
      <c r="I116" s="179"/>
      <c r="J116" s="179"/>
      <c r="K116" s="179"/>
      <c r="L116" s="179"/>
    </row>
    <row r="117" spans="4:13" ht="20.100000000000001" customHeight="1" x14ac:dyDescent="0.25">
      <c r="D117" s="232" t="str" cm="1">
        <f t="array" ref="D117">Common_InputFunctions.Utility_DisplayArrayInTable(Fuel_SourceData.Fuel_Scope3EmissionFactorsStationaryGaseous_Data(), Table_Fuel_EFs_StationaryGaseous34[[#Headers],[State or territory]],0)</f>
        <v>South Australia</v>
      </c>
      <c r="E117" s="232" cm="1">
        <f t="array" ref="E117">Common_InputFunctions.Utility_DisplayArrayInTable(Fuel_SourceData.Fuel_Scope3EmissionFactorsStationaryGaseous_Data(), Table_Fuel_EFs_StationaryGaseous34[[#Headers],[State or territory]],0)</f>
        <v>10.7</v>
      </c>
      <c r="F117" s="232" cm="1">
        <f t="array" ref="F117">Common_InputFunctions.Utility_DisplayArrayInTable(Fuel_SourceData.Fuel_Scope3EmissionFactorsStationaryGaseous_Data(), Table_Fuel_EFs_StationaryGaseous34[[#Headers],[State or territory]],0)</f>
        <v>10.6</v>
      </c>
      <c r="G117" s="233" t="str">
        <v/>
      </c>
      <c r="H117" s="1" t="str">
        <v>Otherwise, the non - metro factor should be used.</v>
      </c>
      <c r="I117" s="179"/>
      <c r="J117" s="179"/>
      <c r="K117" s="179"/>
      <c r="L117" s="179"/>
    </row>
    <row r="118" spans="4:13" ht="20.100000000000001" customHeight="1" x14ac:dyDescent="0.25">
      <c r="D118" s="232" t="str" cm="1">
        <f t="array" ref="D118">Common_InputFunctions.Utility_DisplayArrayInTable(Fuel_SourceData.Fuel_Scope3EmissionFactorsStationaryGaseous_Data(), Table_Fuel_EFs_StationaryGaseous34[[#Headers],[State or territory]],0)</f>
        <v>Western Australia</v>
      </c>
      <c r="E118" s="232" cm="1">
        <f t="array" ref="E118">Common_InputFunctions.Utility_DisplayArrayInTable(Fuel_SourceData.Fuel_Scope3EmissionFactorsStationaryGaseous_Data(), Table_Fuel_EFs_StationaryGaseous34[[#Headers],[State or territory]],0)</f>
        <v>4.0999999999999996</v>
      </c>
      <c r="F118" s="232" cm="1">
        <f t="array" ref="F118">Common_InputFunctions.Utility_DisplayArrayInTable(Fuel_SourceData.Fuel_Scope3EmissionFactorsStationaryGaseous_Data(), Table_Fuel_EFs_StationaryGaseous34[[#Headers],[State or territory]],0)</f>
        <v>4</v>
      </c>
      <c r="G118" s="233" t="str">
        <v>-</v>
      </c>
      <c r="H118" s="1" t="str">
        <v>Factors are calculated for all natural gas distributed in a pipeline which may include coal seam methane.</v>
      </c>
      <c r="I118" s="179"/>
      <c r="J118" s="179"/>
      <c r="K118" s="179"/>
      <c r="L118" s="179"/>
    </row>
    <row r="119" spans="4:13" ht="20.100000000000001" customHeight="1" x14ac:dyDescent="0.25">
      <c r="D119" s="232" t="str" cm="1">
        <f t="array" ref="D119">Common_InputFunctions.Utility_DisplayArrayInTable(Fuel_SourceData.Fuel_Scope3EmissionFactorsStationaryGaseous_Data(), Table_Fuel_EFs_StationaryGaseous34[[#Headers],[State or territory]],0)</f>
        <v>Tasmania</v>
      </c>
      <c r="E119" s="232" cm="1">
        <f t="array" ref="E119">Common_InputFunctions.Utility_DisplayArrayInTable(Fuel_SourceData.Fuel_Scope3EmissionFactorsStationaryGaseous_Data(), Table_Fuel_EFs_StationaryGaseous34[[#Headers],[State or territory]],0)</f>
        <v>4</v>
      </c>
      <c r="F119" s="232" cm="1">
        <f t="array" ref="F119">Common_InputFunctions.Utility_DisplayArrayInTable(Fuel_SourceData.Fuel_Scope3EmissionFactorsStationaryGaseous_Data(), Table_Fuel_EFs_StationaryGaseous34[[#Headers],[State or territory]],0)</f>
        <v>4</v>
      </c>
      <c r="G119" s="233" t="str">
        <v>-</v>
      </c>
      <c r="H119" s="1" t="str">
        <v>Table 6 is not applicable to ethane. See Table 7 Indirect (Scope 3) emissions from the consumption of ethane.</v>
      </c>
      <c r="I119" s="179"/>
      <c r="J119" s="179"/>
      <c r="K119" s="179"/>
      <c r="L119" s="179"/>
    </row>
    <row r="120" spans="4:13" ht="20.100000000000001" customHeight="1" x14ac:dyDescent="0.25">
      <c r="D120" s="232" t="str" cm="1">
        <f t="array" ref="D120">Common_InputFunctions.Utility_DisplayArrayInTable(Fuel_SourceData.Fuel_Scope3EmissionFactorsStationaryGaseous_Data(), Table_Fuel_EFs_StationaryGaseous34[[#Headers],[State or territory]],0)</f>
        <v>Northern Territory</v>
      </c>
      <c r="E120" s="232" cm="1">
        <f t="array" ref="E120">Common_InputFunctions.Utility_DisplayArrayInTable(Fuel_SourceData.Fuel_Scope3EmissionFactorsStationaryGaseous_Data(), Table_Fuel_EFs_StationaryGaseous34[[#Headers],[State or territory]],0)</f>
        <v>4.0999999999999996</v>
      </c>
      <c r="F120" s="232" cm="1">
        <f t="array" ref="F120">Common_InputFunctions.Utility_DisplayArrayInTable(Fuel_SourceData.Fuel_Scope3EmissionFactorsStationaryGaseous_Data(), Table_Fuel_EFs_StationaryGaseous34[[#Headers],[State or territory]],0)</f>
        <v>4</v>
      </c>
      <c r="G120" s="233" t="str">
        <v>-</v>
      </c>
      <c r="H120" s="1" t="str">
        <v>C = Confidential. Scope 3 emission factors for Tasmania and the Northern Territory are not available due to confidentiality constraints that arise</v>
      </c>
      <c r="I120" s="179"/>
      <c r="J120" s="179"/>
      <c r="K120" s="179"/>
      <c r="L120" s="179"/>
    </row>
    <row r="121" spans="4:13" ht="20.100000000000001" customHeight="1" x14ac:dyDescent="0.25">
      <c r="D121" s="8"/>
      <c r="E121" s="8"/>
      <c r="F121" s="8"/>
      <c r="G121" s="233" t="str">
        <v/>
      </c>
      <c r="H121" s="1" t="str">
        <v>from the use of a limited number of NGER data inputs. It is suggested that for Tasmania the use of the Victorian emission factors is appropriate,</v>
      </c>
      <c r="I121" s="179"/>
      <c r="J121" s="179"/>
      <c r="K121" s="179"/>
      <c r="L121" s="179"/>
    </row>
    <row r="122" spans="4:13" ht="20.100000000000001" customHeight="1" x14ac:dyDescent="0.25">
      <c r="D122" s="179"/>
      <c r="F122" s="234"/>
      <c r="G122" s="233" t="str">
        <v/>
      </c>
      <c r="H122" s="1" t="str">
        <v>while for Northern Territory the use of the Western Australian emission factors is appropriate.</v>
      </c>
      <c r="I122" s="179"/>
      <c r="J122" s="179"/>
      <c r="K122" s="179"/>
      <c r="L122" s="179"/>
    </row>
    <row r="123" spans="4:13" ht="20.100000000000001" customHeight="1" x14ac:dyDescent="0.25">
      <c r="D123" s="235"/>
      <c r="F123" s="234"/>
      <c r="G123" s="233" t="str">
        <v>-</v>
      </c>
      <c r="H123" s="1" t="str">
        <v>Scope 3 emission factors do not include fugitive emission leakage from low pressure natural gas distribution pipeline networks while those from high pressure</v>
      </c>
      <c r="I123" s="179"/>
      <c r="J123" s="179"/>
      <c r="K123" s="179"/>
      <c r="L123" s="179"/>
    </row>
    <row r="124" spans="4:13" ht="20.100000000000001" customHeight="1" x14ac:dyDescent="0.25">
      <c r="D124" s="235"/>
      <c r="F124" s="234"/>
      <c r="G124" s="179" t="str">
        <v/>
      </c>
      <c r="H124" s="1" t="str">
        <v>gas networks are considered negligible.</v>
      </c>
      <c r="I124" s="179"/>
      <c r="J124" s="179"/>
      <c r="K124" s="179"/>
      <c r="L124" s="179"/>
    </row>
    <row r="125" spans="4:13" ht="20.100000000000001" customHeight="1" x14ac:dyDescent="0.25">
      <c r="D125" s="235"/>
      <c r="F125" s="234"/>
      <c r="G125" s="179"/>
      <c r="H125" s="179"/>
      <c r="I125" s="179"/>
      <c r="J125" s="179"/>
      <c r="K125" s="179"/>
      <c r="L125" s="179"/>
    </row>
    <row r="126" spans="4:13" ht="20.100000000000001" customHeight="1" x14ac:dyDescent="0.25">
      <c r="D126" s="179"/>
      <c r="E126" s="179"/>
      <c r="F126" s="179"/>
      <c r="G126" s="179"/>
      <c r="H126" s="179"/>
      <c r="I126" s="179"/>
      <c r="J126" s="179"/>
      <c r="K126" s="179"/>
      <c r="L126" s="179"/>
      <c r="M126" s="179"/>
    </row>
    <row r="127" spans="4:13" ht="20.100000000000001" customHeight="1" x14ac:dyDescent="0.25">
      <c r="D127" s="179"/>
      <c r="E127" s="179"/>
      <c r="F127" s="179"/>
      <c r="G127" s="179"/>
      <c r="H127" s="179"/>
      <c r="I127" s="179"/>
      <c r="J127" s="179"/>
      <c r="K127" s="179"/>
      <c r="L127" s="179"/>
      <c r="M127" s="179"/>
    </row>
    <row r="128" spans="4:13" ht="20.100000000000001" customHeight="1" x14ac:dyDescent="0.25">
      <c r="D128" s="179"/>
      <c r="E128" s="179"/>
      <c r="F128" s="179"/>
      <c r="G128" s="179"/>
      <c r="H128" s="179"/>
      <c r="I128" s="179"/>
      <c r="J128" s="179"/>
      <c r="K128" s="179"/>
      <c r="L128" s="179"/>
      <c r="M128" s="179"/>
    </row>
    <row r="129" spans="4:33" ht="20.100000000000001" customHeight="1" x14ac:dyDescent="0.25">
      <c r="D129" s="236"/>
      <c r="E129" s="179"/>
      <c r="F129" s="179"/>
      <c r="G129" s="179"/>
      <c r="H129" s="179"/>
      <c r="I129" s="179"/>
      <c r="J129" s="179"/>
      <c r="K129" s="179"/>
      <c r="L129" s="179"/>
    </row>
    <row r="130" spans="4:33" ht="20.100000000000001" customHeight="1" x14ac:dyDescent="0.25">
      <c r="D130" s="237" t="s">
        <v>870</v>
      </c>
      <c r="E130" s="237" t="s">
        <v>810</v>
      </c>
      <c r="F130" s="237" t="s">
        <v>871</v>
      </c>
      <c r="G130" s="237" t="s">
        <v>813</v>
      </c>
      <c r="H130" s="237" t="s">
        <v>815</v>
      </c>
      <c r="I130" s="237" t="s">
        <v>816</v>
      </c>
      <c r="J130" s="179"/>
      <c r="K130" s="179"/>
      <c r="L130" s="179"/>
    </row>
    <row r="131" spans="4:33" ht="20.100000000000001" customHeight="1" x14ac:dyDescent="0.25">
      <c r="D131" s="238" t="str">
        <f>$D$143</f>
        <v>Petrol</v>
      </c>
      <c r="E131" s="238" t="str">
        <f>$D$143</f>
        <v>Petrol</v>
      </c>
      <c r="F131" s="238" t="str">
        <f>$D$150</f>
        <v>Avgas</v>
      </c>
      <c r="G131" s="238" t="str">
        <f>$D$143</f>
        <v>Petrol</v>
      </c>
      <c r="H131" s="238" t="str">
        <f>$D$144</f>
        <v>Diesel</v>
      </c>
      <c r="I131" s="238" t="str">
        <f>$D$143</f>
        <v>Petrol</v>
      </c>
      <c r="J131" s="179"/>
      <c r="K131" s="179"/>
      <c r="L131" s="179"/>
    </row>
    <row r="132" spans="4:33" ht="20.100000000000001" customHeight="1" x14ac:dyDescent="0.25">
      <c r="D132" s="238" t="str">
        <f>$D$144</f>
        <v>Diesel</v>
      </c>
      <c r="E132" s="238" t="str">
        <f>$D$144</f>
        <v>Diesel</v>
      </c>
      <c r="F132" s="238" t="str">
        <f>$D$151</f>
        <v>Jet A1, Jet B</v>
      </c>
      <c r="G132" s="238" t="str">
        <f>$D$144</f>
        <v>Diesel</v>
      </c>
      <c r="H132" s="238"/>
      <c r="I132" s="238" t="str">
        <f>$D$144</f>
        <v>Diesel</v>
      </c>
      <c r="J132" s="179"/>
      <c r="K132" s="179"/>
      <c r="L132" s="179"/>
    </row>
    <row r="133" spans="4:33" ht="20.100000000000001" customHeight="1" x14ac:dyDescent="0.25">
      <c r="D133" s="238" t="str">
        <f>$D$145</f>
        <v>Liquefied petroleum gas (LPG)</v>
      </c>
      <c r="E133" s="238" t="str">
        <f>$D$145</f>
        <v>Liquefied petroleum gas (LPG)</v>
      </c>
      <c r="F133" s="238" t="str">
        <f>$D$152</f>
        <v>Renewable aviation kerosene</v>
      </c>
      <c r="G133" s="238" t="str">
        <f>$D$145</f>
        <v>Liquefied petroleum gas (LPG)</v>
      </c>
      <c r="H133" s="238"/>
      <c r="I133" s="238" t="s">
        <v>817</v>
      </c>
      <c r="J133" s="179"/>
      <c r="K133" s="179"/>
      <c r="L133" s="179"/>
    </row>
    <row r="134" spans="4:33" ht="20.100000000000001" customHeight="1" x14ac:dyDescent="0.25">
      <c r="D134" s="238" t="str">
        <f>$D$146</f>
        <v>Biodiesel</v>
      </c>
      <c r="E134" s="238" t="str">
        <f>$D$146</f>
        <v>Biodiesel</v>
      </c>
      <c r="F134" s="237"/>
      <c r="G134" s="238" t="str">
        <f>$D$160</f>
        <v>Fuel oil</v>
      </c>
      <c r="H134" s="238"/>
      <c r="I134" s="238"/>
      <c r="J134" s="179"/>
      <c r="K134" s="179"/>
      <c r="L134" s="179"/>
    </row>
    <row r="135" spans="4:33" ht="20.100000000000001" customHeight="1" x14ac:dyDescent="0.25">
      <c r="D135" s="238" t="str">
        <f>$D$147</f>
        <v>Ethanol</v>
      </c>
      <c r="E135" s="238" t="str">
        <f>$D$147</f>
        <v>Ethanol</v>
      </c>
      <c r="F135" s="237"/>
      <c r="G135" s="238" t="str">
        <f>$D$147</f>
        <v>Ethanol</v>
      </c>
      <c r="H135" s="238"/>
      <c r="I135" s="238"/>
      <c r="J135" s="179"/>
      <c r="K135" s="179"/>
      <c r="L135" s="179"/>
    </row>
    <row r="136" spans="4:33" ht="20.100000000000001" customHeight="1" x14ac:dyDescent="0.25">
      <c r="D136" s="238" t="str">
        <f>$D$148</f>
        <v>Other biofuels</v>
      </c>
      <c r="E136" s="238" t="str">
        <f>$D$148</f>
        <v>Other biofuels</v>
      </c>
      <c r="F136" s="237"/>
      <c r="G136" s="238" t="str">
        <f>$D$146</f>
        <v>Biodiesel</v>
      </c>
      <c r="H136" s="238"/>
      <c r="I136" s="238"/>
      <c r="J136" s="179"/>
      <c r="K136" s="179"/>
      <c r="L136" s="179"/>
    </row>
    <row r="137" spans="4:33" ht="20.100000000000001" customHeight="1" x14ac:dyDescent="0.25">
      <c r="D137" s="238" t="str">
        <f>$D$149</f>
        <v>Renewable diesel</v>
      </c>
      <c r="E137" s="238" t="str">
        <f>$D$149</f>
        <v>Renewable diesel</v>
      </c>
      <c r="F137" s="237"/>
      <c r="G137" s="238" t="str">
        <f>$D$149</f>
        <v>Renewable diesel</v>
      </c>
      <c r="H137" s="238"/>
      <c r="I137" s="238"/>
      <c r="J137" s="179"/>
      <c r="K137" s="179"/>
      <c r="L137" s="179"/>
    </row>
    <row r="138" spans="4:33" ht="20.100000000000001" customHeight="1" x14ac:dyDescent="0.25">
      <c r="D138" s="237"/>
      <c r="E138" s="239" t="str">
        <f>$D$161</f>
        <v>Natural gas (via pipeline) in GJ</v>
      </c>
      <c r="F138" s="239"/>
      <c r="G138" s="238" t="str">
        <f>$D$148</f>
        <v>Other biofuels</v>
      </c>
      <c r="H138" s="238"/>
      <c r="I138" s="238"/>
      <c r="J138" s="179"/>
      <c r="K138" s="179"/>
      <c r="L138" s="179"/>
    </row>
    <row r="139" spans="4:33" ht="20.100000000000001" customHeight="1" x14ac:dyDescent="0.25">
      <c r="D139" s="239"/>
      <c r="E139" s="239" t="str">
        <f>$D$162</f>
        <v>Town gas in GJ</v>
      </c>
      <c r="F139" s="239"/>
      <c r="G139" s="239"/>
      <c r="H139" s="239"/>
      <c r="I139" s="239"/>
      <c r="J139" s="179"/>
      <c r="K139" s="179"/>
      <c r="L139" s="179"/>
    </row>
    <row r="140" spans="4:33" ht="20.100000000000001" customHeight="1" x14ac:dyDescent="0.25">
      <c r="D140" s="179"/>
      <c r="E140" s="179"/>
      <c r="F140" s="179"/>
      <c r="G140" s="179"/>
      <c r="H140" s="179"/>
      <c r="I140" s="179"/>
      <c r="J140" s="179"/>
      <c r="K140" s="179"/>
      <c r="L140" s="179"/>
    </row>
    <row r="141" spans="4:33" ht="20.100000000000001" customHeight="1" x14ac:dyDescent="0.25">
      <c r="D141" s="179"/>
      <c r="E141" s="179"/>
      <c r="F141" s="179"/>
      <c r="G141" s="179"/>
      <c r="H141" s="179"/>
      <c r="I141" s="179"/>
      <c r="J141" s="179"/>
      <c r="K141" s="179"/>
      <c r="L141" s="179"/>
    </row>
    <row r="142" spans="4:33" ht="20.100000000000001" customHeight="1" x14ac:dyDescent="0.25">
      <c r="D142" t="s">
        <v>872</v>
      </c>
      <c r="E142" t="s">
        <v>128</v>
      </c>
      <c r="F142" t="s">
        <v>873</v>
      </c>
      <c r="G142" s="179"/>
      <c r="H142" s="179"/>
      <c r="I142" s="179"/>
      <c r="J142" s="179"/>
      <c r="K142" s="179"/>
      <c r="L142" s="179"/>
      <c r="M142" s="179"/>
      <c r="AG142" s="1"/>
    </row>
    <row r="143" spans="4:33" ht="20.100000000000001" customHeight="1" x14ac:dyDescent="0.25">
      <c r="D143" s="238" t="s">
        <v>812</v>
      </c>
      <c r="E143" t="s">
        <v>874</v>
      </c>
      <c r="F143" t="s">
        <v>875</v>
      </c>
      <c r="G143" s="179"/>
      <c r="H143" s="179"/>
      <c r="I143" s="179"/>
      <c r="J143" s="179"/>
      <c r="K143" s="179"/>
      <c r="L143" s="179"/>
      <c r="M143" s="179"/>
      <c r="AG143" s="1"/>
    </row>
    <row r="144" spans="4:33" ht="20.100000000000001" customHeight="1" x14ac:dyDescent="0.25">
      <c r="D144" s="238" t="s">
        <v>814</v>
      </c>
      <c r="E144" t="s">
        <v>874</v>
      </c>
      <c r="F144" t="s">
        <v>875</v>
      </c>
      <c r="G144" s="179"/>
      <c r="H144" s="179"/>
      <c r="I144" s="179"/>
      <c r="J144" s="179"/>
      <c r="K144" s="179"/>
      <c r="L144" s="179"/>
      <c r="M144" s="179"/>
      <c r="AG144" s="1"/>
    </row>
    <row r="145" spans="4:33" ht="20.100000000000001" customHeight="1" x14ac:dyDescent="0.25">
      <c r="D145" s="238" t="s">
        <v>876</v>
      </c>
      <c r="E145" t="s">
        <v>874</v>
      </c>
      <c r="F145" t="s">
        <v>875</v>
      </c>
      <c r="G145" s="179"/>
      <c r="H145" s="179"/>
      <c r="I145" s="179"/>
      <c r="J145" s="179"/>
      <c r="K145" s="179"/>
      <c r="L145" s="179"/>
      <c r="M145" s="179"/>
      <c r="AG145" s="1"/>
    </row>
    <row r="146" spans="4:33" ht="20.100000000000001" customHeight="1" x14ac:dyDescent="0.25">
      <c r="D146" s="238" t="s">
        <v>877</v>
      </c>
      <c r="E146" t="s">
        <v>874</v>
      </c>
      <c r="F146" t="s">
        <v>875</v>
      </c>
      <c r="G146" s="179"/>
      <c r="H146" s="179"/>
      <c r="I146" s="179"/>
      <c r="J146" s="179"/>
      <c r="K146" s="179"/>
      <c r="L146" s="179"/>
      <c r="M146" s="179"/>
      <c r="AG146" s="1"/>
    </row>
    <row r="147" spans="4:33" ht="20.100000000000001" customHeight="1" x14ac:dyDescent="0.25">
      <c r="D147" s="238" t="s">
        <v>878</v>
      </c>
      <c r="E147" t="s">
        <v>874</v>
      </c>
      <c r="F147" t="s">
        <v>875</v>
      </c>
      <c r="G147" s="179"/>
      <c r="H147" s="179"/>
      <c r="I147" s="179"/>
      <c r="J147" s="179"/>
      <c r="K147" s="179"/>
      <c r="L147" s="179"/>
      <c r="M147" s="179"/>
      <c r="AG147" s="1"/>
    </row>
    <row r="148" spans="4:33" ht="20.100000000000001" customHeight="1" x14ac:dyDescent="0.25">
      <c r="D148" s="238" t="s">
        <v>879</v>
      </c>
      <c r="E148" t="s">
        <v>874</v>
      </c>
      <c r="F148" t="s">
        <v>875</v>
      </c>
      <c r="G148" s="179"/>
      <c r="H148" s="179"/>
      <c r="I148" s="179"/>
      <c r="J148" s="179"/>
      <c r="K148" s="179"/>
      <c r="L148" s="179"/>
      <c r="M148" s="179"/>
      <c r="AG148" s="1"/>
    </row>
    <row r="149" spans="4:33" ht="20.100000000000001" customHeight="1" x14ac:dyDescent="0.25">
      <c r="D149" s="238" t="s">
        <v>880</v>
      </c>
      <c r="E149" t="s">
        <v>874</v>
      </c>
      <c r="F149" t="s">
        <v>875</v>
      </c>
      <c r="G149" s="179"/>
      <c r="H149" s="179"/>
      <c r="I149" s="179"/>
      <c r="J149" s="179"/>
      <c r="K149" s="179"/>
      <c r="L149" s="179"/>
      <c r="M149" s="179"/>
      <c r="AG149" s="1"/>
    </row>
    <row r="150" spans="4:33" ht="20.100000000000001" customHeight="1" x14ac:dyDescent="0.25">
      <c r="D150" s="238" t="s">
        <v>881</v>
      </c>
      <c r="E150" t="s">
        <v>874</v>
      </c>
      <c r="F150" t="s">
        <v>875</v>
      </c>
      <c r="G150" s="179"/>
      <c r="H150" s="179"/>
      <c r="I150" s="179"/>
      <c r="J150" s="179"/>
      <c r="K150" s="179"/>
      <c r="L150" s="179"/>
      <c r="M150" s="179"/>
      <c r="AG150" s="1"/>
    </row>
    <row r="151" spans="4:33" ht="20.100000000000001" customHeight="1" x14ac:dyDescent="0.25">
      <c r="D151" s="238" t="s">
        <v>882</v>
      </c>
      <c r="E151" t="s">
        <v>874</v>
      </c>
      <c r="F151" t="s">
        <v>875</v>
      </c>
      <c r="G151" s="179"/>
      <c r="H151" s="179"/>
      <c r="I151" s="179"/>
      <c r="J151" s="179"/>
      <c r="K151" s="179"/>
      <c r="L151" s="179"/>
      <c r="M151" s="179"/>
      <c r="AG151" s="1"/>
    </row>
    <row r="152" spans="4:33" ht="20.100000000000001" customHeight="1" x14ac:dyDescent="0.25">
      <c r="D152" s="240" t="s">
        <v>883</v>
      </c>
      <c r="E152" s="8" t="s">
        <v>874</v>
      </c>
      <c r="F152" t="s">
        <v>875</v>
      </c>
      <c r="G152" s="179"/>
      <c r="H152" s="179"/>
      <c r="I152" s="179"/>
      <c r="J152" s="179"/>
      <c r="K152" s="179"/>
      <c r="L152" s="179"/>
      <c r="M152" s="179"/>
      <c r="AG152" s="1"/>
    </row>
    <row r="153" spans="4:33" ht="20.100000000000001" customHeight="1" x14ac:dyDescent="0.25">
      <c r="D153" s="240" t="s">
        <v>884</v>
      </c>
      <c r="E153" s="8" t="s">
        <v>874</v>
      </c>
      <c r="F153" t="s">
        <v>875</v>
      </c>
      <c r="G153" s="179"/>
      <c r="H153" s="179"/>
      <c r="I153" s="179"/>
      <c r="J153" s="179"/>
      <c r="K153" s="179"/>
      <c r="L153" s="179"/>
      <c r="M153" s="179"/>
      <c r="AG153" s="1"/>
    </row>
    <row r="154" spans="4:33" ht="20.100000000000001" customHeight="1" x14ac:dyDescent="0.25">
      <c r="D154" s="240" t="s">
        <v>885</v>
      </c>
      <c r="E154" s="8" t="s">
        <v>874</v>
      </c>
      <c r="F154" t="s">
        <v>875</v>
      </c>
      <c r="G154" s="179"/>
      <c r="H154" s="179"/>
      <c r="I154" s="179"/>
      <c r="J154" s="179"/>
      <c r="K154" s="179"/>
      <c r="L154" s="179"/>
      <c r="M154" s="179"/>
      <c r="AG154" s="1"/>
    </row>
    <row r="155" spans="4:33" ht="20.100000000000001" customHeight="1" x14ac:dyDescent="0.25">
      <c r="D155" s="240" t="s">
        <v>886</v>
      </c>
      <c r="E155" s="8" t="s">
        <v>874</v>
      </c>
      <c r="F155" t="s">
        <v>875</v>
      </c>
      <c r="G155" s="179"/>
      <c r="H155" s="179"/>
      <c r="I155" s="179"/>
      <c r="J155" s="179"/>
      <c r="K155" s="179"/>
      <c r="L155" s="179"/>
      <c r="M155" s="179"/>
      <c r="AG155" s="1"/>
    </row>
    <row r="156" spans="4:33" ht="20.100000000000001" customHeight="1" x14ac:dyDescent="0.25">
      <c r="D156" s="240" t="s">
        <v>887</v>
      </c>
      <c r="E156" s="8" t="s">
        <v>874</v>
      </c>
      <c r="F156" t="s">
        <v>875</v>
      </c>
      <c r="G156" s="179"/>
      <c r="H156" s="179"/>
      <c r="I156" s="179"/>
      <c r="J156" s="179"/>
      <c r="K156" s="179"/>
      <c r="L156" s="179"/>
      <c r="M156" s="179"/>
      <c r="AG156" s="1"/>
    </row>
    <row r="157" spans="4:33" ht="20.100000000000001" customHeight="1" x14ac:dyDescent="0.25">
      <c r="D157" s="240" t="s">
        <v>888</v>
      </c>
      <c r="E157" s="8" t="s">
        <v>874</v>
      </c>
      <c r="F157" t="s">
        <v>875</v>
      </c>
      <c r="G157" s="179"/>
      <c r="H157" s="179"/>
      <c r="I157" s="179"/>
      <c r="J157" s="179"/>
      <c r="K157" s="179"/>
      <c r="L157" s="179"/>
      <c r="M157" s="179"/>
      <c r="AG157" s="1"/>
    </row>
    <row r="158" spans="4:33" ht="20.100000000000001" customHeight="1" x14ac:dyDescent="0.25">
      <c r="D158" s="240" t="s">
        <v>889</v>
      </c>
      <c r="E158" s="8" t="s">
        <v>874</v>
      </c>
      <c r="F158" t="s">
        <v>875</v>
      </c>
      <c r="G158" s="179"/>
      <c r="H158" s="179"/>
      <c r="I158" s="179"/>
      <c r="J158" s="179"/>
      <c r="K158" s="179"/>
      <c r="L158" s="179"/>
      <c r="M158" s="179"/>
      <c r="AG158" s="1"/>
    </row>
    <row r="159" spans="4:33" ht="20.100000000000001" customHeight="1" x14ac:dyDescent="0.25">
      <c r="D159" s="240" t="s">
        <v>890</v>
      </c>
      <c r="E159" s="8" t="s">
        <v>874</v>
      </c>
      <c r="F159" t="s">
        <v>875</v>
      </c>
      <c r="G159" s="179"/>
      <c r="H159" s="179"/>
      <c r="I159" s="179"/>
      <c r="J159" s="179"/>
      <c r="K159" s="179"/>
      <c r="L159" s="179"/>
      <c r="M159" s="179"/>
      <c r="AG159" s="1"/>
    </row>
    <row r="160" spans="4:33" ht="20.100000000000001" customHeight="1" x14ac:dyDescent="0.25">
      <c r="D160" s="240" t="s">
        <v>817</v>
      </c>
      <c r="E160" s="8" t="s">
        <v>874</v>
      </c>
      <c r="F160" t="s">
        <v>875</v>
      </c>
      <c r="G160" s="179"/>
      <c r="H160" s="179"/>
      <c r="I160" s="179"/>
      <c r="J160" s="179"/>
      <c r="K160" s="179"/>
      <c r="L160" s="179"/>
      <c r="M160" s="179"/>
      <c r="AG160" s="1"/>
    </row>
    <row r="161" spans="4:33" ht="20.100000000000001" customHeight="1" x14ac:dyDescent="0.25">
      <c r="D161" s="239" t="s">
        <v>891</v>
      </c>
      <c r="E161" s="179" t="s">
        <v>892</v>
      </c>
      <c r="F161" s="179" t="s">
        <v>892</v>
      </c>
      <c r="G161" s="179"/>
      <c r="H161" s="179"/>
      <c r="I161" s="179"/>
      <c r="J161" s="179"/>
      <c r="K161" s="179"/>
      <c r="L161" s="179"/>
      <c r="M161" s="179"/>
      <c r="AG161" s="1"/>
    </row>
    <row r="162" spans="4:33" ht="20.100000000000001" customHeight="1" x14ac:dyDescent="0.25">
      <c r="D162" s="179" t="s">
        <v>811</v>
      </c>
      <c r="E162" s="179" t="s">
        <v>892</v>
      </c>
      <c r="F162" s="179" t="s">
        <v>892</v>
      </c>
      <c r="G162" s="179"/>
      <c r="H162" s="179"/>
      <c r="I162" s="179"/>
      <c r="J162" s="179"/>
      <c r="K162" s="179"/>
      <c r="L162" s="179"/>
      <c r="M162" s="17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12324-90D2-4114-A5AA-7488E4C29A27}">
  <sheetPr>
    <tabColor theme="2" tint="-0.499984740745262"/>
  </sheetPr>
  <dimension ref="A1:Q238"/>
  <sheetViews>
    <sheetView showGridLines="0" topLeftCell="A90" workbookViewId="0" zoomScale="100" zoomScaleNormal="100">
      <selection activeCell="A61" sqref="A61"/>
    </sheetView>
  </sheetViews>
  <sheetFormatPr defaultRowHeight="15.75" x14ac:dyDescent="0.25"/>
  <cols>
    <col min="1" max="1" width="35" style="249" customWidth="1"/>
    <col min="2" max="2" width="5.28515625" style="249" customWidth="1"/>
    <col min="3" max="3" width="5.28515625" style="1" customWidth="1"/>
    <col min="4" max="16" width="35" style="1" customWidth="1"/>
    <col min="17" max="17" width="9.140625" style="1"/>
    <col min="18" max="16384" width="9.140625" style="249"/>
  </cols>
  <sheetData>
    <row r="1" spans="1:17" ht="30" customHeight="1" x14ac:dyDescent="0.35">
      <c r="A1" s="16" t="e" vm="1">
        <v>#VALUE!</v>
      </c>
      <c r="C1" s="249"/>
      <c r="D1" s="249"/>
      <c r="E1" s="249"/>
      <c r="F1" s="249"/>
      <c r="G1" s="249"/>
      <c r="H1" s="249"/>
      <c r="I1" s="249"/>
      <c r="J1" s="249"/>
      <c r="K1" s="249"/>
      <c r="L1" s="249"/>
      <c r="M1" s="249"/>
      <c r="N1" s="249"/>
      <c r="O1" s="249"/>
      <c r="P1" s="249"/>
      <c r="Q1" s="249"/>
    </row>
    <row r="2" spans="1:17" ht="20.100000000000001" customHeight="1" x14ac:dyDescent="0.25">
      <c r="A2"/>
      <c r="C2" s="249"/>
      <c r="D2" s="249"/>
      <c r="E2" s="249"/>
      <c r="F2" s="249"/>
      <c r="G2" s="249"/>
      <c r="H2" s="249"/>
      <c r="I2" s="249"/>
      <c r="J2" s="249"/>
      <c r="K2" s="249"/>
      <c r="L2" s="249"/>
      <c r="M2" s="249"/>
      <c r="N2" s="249"/>
      <c r="O2" s="249"/>
      <c r="P2" s="249"/>
      <c r="Q2" s="249"/>
    </row>
    <row r="3" spans="1:17" ht="20.100000000000001" customHeight="1" x14ac:dyDescent="0.25">
      <c r="A3" s="5"/>
    </row>
    <row r="4" spans="1:17" ht="20.100000000000001" customHeight="1" x14ac:dyDescent="0.25">
      <c r="A4" s="5"/>
    </row>
    <row r="5" spans="1:17" ht="20.100000000000001" customHeight="1" x14ac:dyDescent="0.25">
      <c r="A5" s="5"/>
    </row>
    <row r="6" spans="1:17" ht="20.100000000000001" customHeight="1" x14ac:dyDescent="0.25">
      <c r="A6"/>
    </row>
    <row r="7" spans="1:17" ht="20.100000000000001" customHeight="1" x14ac:dyDescent="0.25">
      <c r="A7"/>
    </row>
    <row r="8" spans="1:17" ht="20.100000000000001" customHeight="1" x14ac:dyDescent="0.25">
      <c r="A8" s="7"/>
    </row>
    <row r="9" spans="1:17" ht="20.100000000000001" customHeight="1" x14ac:dyDescent="0.25">
      <c r="A9" s="5"/>
    </row>
    <row r="10" spans="1:17" ht="20.100000000000001" customHeight="1" x14ac:dyDescent="0.25">
      <c r="A10" s="5"/>
    </row>
    <row r="11" spans="1:17" ht="20.100000000000001" customHeight="1" x14ac:dyDescent="0.25">
      <c r="A11" s="5"/>
    </row>
    <row r="12" spans="1:17" ht="20.100000000000001" customHeight="1" x14ac:dyDescent="0.25">
      <c r="A12" s="5"/>
    </row>
    <row r="13" spans="1:17" ht="20.100000000000001" customHeight="1" x14ac:dyDescent="0.25">
      <c r="A13" s="5"/>
    </row>
    <row r="14" spans="1:17" ht="20.100000000000001" customHeight="1" x14ac:dyDescent="0.25">
      <c r="A14" s="5"/>
    </row>
    <row r="15" spans="1:17" ht="20.100000000000001" customHeight="1" x14ac:dyDescent="0.25">
      <c r="A15" s="5"/>
    </row>
    <row r="16" spans="1:17" ht="20.100000000000001" customHeight="1" x14ac:dyDescent="0.25">
      <c r="A16" s="5"/>
    </row>
    <row r="17" spans="1:11" ht="20.100000000000001" customHeight="1" x14ac:dyDescent="0.25">
      <c r="A17" s="5"/>
    </row>
    <row r="18" spans="1:11" ht="20.100000000000001" customHeight="1" x14ac:dyDescent="0.25">
      <c r="A18" s="5"/>
    </row>
    <row r="19" spans="1:11" ht="20.100000000000001" customHeight="1" x14ac:dyDescent="0.25">
      <c r="A19" s="5"/>
    </row>
    <row r="20" spans="1:11" ht="20.100000000000001" customHeight="1" x14ac:dyDescent="0.25">
      <c r="A20" s="5"/>
    </row>
    <row r="21" spans="1:11" ht="20.100000000000001" customHeight="1" x14ac:dyDescent="0.25">
      <c r="A21" s="5"/>
    </row>
    <row r="22" spans="1:11" ht="20.100000000000001" customHeight="1" x14ac:dyDescent="0.25">
      <c r="A22" s="5"/>
    </row>
    <row r="23" spans="1:11" ht="20.100000000000001" customHeight="1" x14ac:dyDescent="0.25">
      <c r="A23" s="5"/>
    </row>
    <row r="24" spans="1:11" ht="20.100000000000001" customHeight="1" x14ac:dyDescent="0.25">
      <c r="A24" s="5"/>
    </row>
    <row r="25" spans="1:11" ht="20.100000000000001" customHeight="1" x14ac:dyDescent="0.25">
      <c r="A25" s="5"/>
    </row>
    <row r="26" spans="1:11" ht="20.100000000000001" customHeight="1" x14ac:dyDescent="0.25">
      <c r="A26" s="5"/>
    </row>
    <row r="27" spans="1:11" ht="20.100000000000001" customHeight="1" x14ac:dyDescent="0.25">
      <c r="A27"/>
    </row>
    <row r="28" spans="1:11" ht="20.100000000000001" customHeight="1" x14ac:dyDescent="0.25">
      <c r="A28"/>
    </row>
    <row r="29" spans="1:11" ht="20.100000000000001" customHeight="1" x14ac:dyDescent="0.25">
      <c r="A29" s="6"/>
    </row>
    <row r="30" spans="1:11" ht="20.100000000000001" customHeight="1" x14ac:dyDescent="0.25">
      <c r="A30" s="5"/>
    </row>
    <row r="31" spans="1:11" ht="20.100000000000001" customHeight="1" x14ac:dyDescent="0.25">
      <c r="A31" s="5"/>
    </row>
    <row r="32" spans="1:11" ht="20.100000000000001" customHeight="1" x14ac:dyDescent="0.25">
      <c r="A32" s="5"/>
      <c r="D32" s="2" t="s">
        <v>1269</v>
      </c>
      <c r="K32" s="1" t="s">
        <v>504</v>
      </c>
    </row>
    <row r="33" spans="1:12" ht="20.100000000000001" customHeight="1" x14ac:dyDescent="0.25">
      <c r="A33" s="5"/>
      <c r="D33" s="30" t="s">
        <v>551</v>
      </c>
      <c r="E33" s="30" t="s">
        <v>149</v>
      </c>
      <c r="F33" s="30" t="s">
        <v>552</v>
      </c>
      <c r="G33" s="30" t="s">
        <v>553</v>
      </c>
      <c r="H33" s="30" t="s">
        <v>554</v>
      </c>
      <c r="I33" s="30" t="s">
        <v>555</v>
      </c>
      <c r="K33" s="30" t="s">
        <v>476</v>
      </c>
      <c r="L33" s="30" t="s">
        <v>505</v>
      </c>
    </row>
    <row r="34" spans="1:12" ht="20.100000000000001" customHeight="1" x14ac:dyDescent="0.25">
      <c r="A34" s="5"/>
      <c r="D34" s="30" t="str" cm="1">
        <f t="array" ref="D34">Common_InputFunctions.Utility_DisplayArrayInTable(Scope3_SourceData.Scope3_Livestock_Data(), Table_SourceData_Scope3_Animals107[[#Headers],[Category]], 0, 2)</f>
        <v>Beef cattle</v>
      </c>
      <c r="E34" s="30" t="str" cm="1">
        <f t="array" ref="E34">Common_InputFunctions.Utility_DisplayArrayInTable(Scope3_SourceData.Scope3_Livestock_Data(), Table_SourceData_Scope3_Animals107[[#Headers],[Category]], 0, 2)</f>
        <v>Cattle, for manufacturing beef</v>
      </c>
      <c r="F34" s="30" t="str" cm="1">
        <f t="array" ref="F34">Common_InputFunctions.Utility_DisplayArrayInTable(Scope3_SourceData.Scope3_Livestock_Data(), Table_SourceData_Scope3_Animals107[[#Headers],[Category]], 0, 2)</f>
        <v>Australia</v>
      </c>
      <c r="G34" s="30" t="str" cm="1">
        <f t="array" ref="G34">Common_InputFunctions.Utility_DisplayArrayInTable(Scope3_SourceData.Scope3_Livestock_Data(), Table_SourceData_Scope3_Animals107[[#Headers],[Category]], 0, 2)</f>
        <v>kg liveweight</v>
      </c>
      <c r="H34" s="30" cm="1">
        <f t="array" ref="H34">Common_InputFunctions.Utility_DisplayArrayInTable(Scope3_SourceData.Scope3_Livestock_Data(), Table_SourceData_Scope3_Animals107[[#Headers],[Category]], 0, 2)</f>
        <v>11</v>
      </c>
      <c r="I34" s="30" t="str" cm="1">
        <f t="array" ref="I34">Common_InputFunctions.Utility_DisplayArrayInTable(Scope3_SourceData.Scope3_Livestock_Data(), Table_SourceData_Scope3_Animals107[[#Headers],[Category]], 0, 2)</f>
        <v>at market</v>
      </c>
      <c r="K34" s="30" t="s">
        <v>506</v>
      </c>
      <c r="L34" s="30" t="s">
        <v>507</v>
      </c>
    </row>
    <row r="35" spans="1:12" ht="20.100000000000001" customHeight="1" x14ac:dyDescent="0.25">
      <c r="A35" s="5"/>
      <c r="D35" s="30" t="str" cm="1">
        <f t="array" ref="D35">Common_InputFunctions.Utility_DisplayArrayInTable(Scope3_SourceData.Scope3_Livestock_Data(), Table_SourceData_Scope3_Animals107[[#Headers],[Category]], 0, 2)</f>
        <v>Beef cattle</v>
      </c>
      <c r="E35" s="30" t="str" cm="1">
        <f t="array" ref="E35">Common_InputFunctions.Utility_DisplayArrayInTable(Scope3_SourceData.Scope3_Livestock_Data(), Table_SourceData_Scope3_Animals107[[#Headers],[Category]], 0, 2)</f>
        <v>Cattle, for manufacturing beef</v>
      </c>
      <c r="F35" s="30" t="str" cm="1">
        <f t="array" ref="F35">Common_InputFunctions.Utility_DisplayArrayInTable(Scope3_SourceData.Scope3_Livestock_Data(), Table_SourceData_Scope3_Animals107[[#Headers],[Category]], 0, 2)</f>
        <v>NSW</v>
      </c>
      <c r="G35" s="30" t="str" cm="1">
        <f t="array" ref="G35">Common_InputFunctions.Utility_DisplayArrayInTable(Scope3_SourceData.Scope3_Livestock_Data(), Table_SourceData_Scope3_Animals107[[#Headers],[Category]], 0, 2)</f>
        <v>kg liveweight</v>
      </c>
      <c r="H35" s="30" cm="1">
        <f t="array" ref="H35">Common_InputFunctions.Utility_DisplayArrayInTable(Scope3_SourceData.Scope3_Livestock_Data(), Table_SourceData_Scope3_Animals107[[#Headers],[Category]], 0, 2)</f>
        <v>8.2100000000000009</v>
      </c>
      <c r="I35" s="30" t="str" cm="1">
        <f t="array" ref="I35">Common_InputFunctions.Utility_DisplayArrayInTable(Scope3_SourceData.Scope3_Livestock_Data(), Table_SourceData_Scope3_Animals107[[#Headers],[Category]], 0, 2)</f>
        <v>at market</v>
      </c>
      <c r="K35" s="30" t="s">
        <v>507</v>
      </c>
      <c r="L35" s="30" t="s">
        <v>507</v>
      </c>
    </row>
    <row r="36" spans="1:12" ht="20.100000000000001" customHeight="1" x14ac:dyDescent="0.25">
      <c r="A36" s="5"/>
      <c r="D36" s="30" t="str" cm="1">
        <f t="array" ref="D36">Common_InputFunctions.Utility_DisplayArrayInTable(Scope3_SourceData.Scope3_Livestock_Data(), Table_SourceData_Scope3_Animals107[[#Headers],[Category]], 0, 2)</f>
        <v>Beef cattle</v>
      </c>
      <c r="E36" s="30" t="str" cm="1">
        <f t="array" ref="E36">Common_InputFunctions.Utility_DisplayArrayInTable(Scope3_SourceData.Scope3_Livestock_Data(), Table_SourceData_Scope3_Animals107[[#Headers],[Category]], 0, 2)</f>
        <v>Cattle, for manufacturing beef</v>
      </c>
      <c r="F36" s="30" t="str" cm="1">
        <f t="array" ref="F36">Common_InputFunctions.Utility_DisplayArrayInTable(Scope3_SourceData.Scope3_Livestock_Data(), Table_SourceData_Scope3_Animals107[[#Headers],[Category]], 0, 2)</f>
        <v>NT</v>
      </c>
      <c r="G36" s="30" t="str" cm="1">
        <f t="array" ref="G36">Common_InputFunctions.Utility_DisplayArrayInTable(Scope3_SourceData.Scope3_Livestock_Data(), Table_SourceData_Scope3_Animals107[[#Headers],[Category]], 0, 2)</f>
        <v>kg liveweight</v>
      </c>
      <c r="H36" s="30" cm="1">
        <f t="array" ref="H36">Common_InputFunctions.Utility_DisplayArrayInTable(Scope3_SourceData.Scope3_Livestock_Data(), Table_SourceData_Scope3_Animals107[[#Headers],[Category]], 0, 2)</f>
        <v>12.2</v>
      </c>
      <c r="I36" s="30" t="str" cm="1">
        <f t="array" ref="I36">Common_InputFunctions.Utility_DisplayArrayInTable(Scope3_SourceData.Scope3_Livestock_Data(), Table_SourceData_Scope3_Animals107[[#Headers],[Category]], 0, 2)</f>
        <v>at market</v>
      </c>
      <c r="K36" s="30" t="s">
        <v>508</v>
      </c>
      <c r="L36" s="30" t="s">
        <v>508</v>
      </c>
    </row>
    <row r="37" spans="1:12" ht="20.100000000000001" customHeight="1" x14ac:dyDescent="0.25">
      <c r="A37" s="5"/>
      <c r="D37" s="30" t="str" cm="1">
        <f t="array" ref="D37">Common_InputFunctions.Utility_DisplayArrayInTable(Scope3_SourceData.Scope3_Livestock_Data(), Table_SourceData_Scope3_Animals107[[#Headers],[Category]], 0, 2)</f>
        <v>Beef cattle</v>
      </c>
      <c r="E37" s="30" t="str" cm="1">
        <f t="array" ref="E37">Common_InputFunctions.Utility_DisplayArrayInTable(Scope3_SourceData.Scope3_Livestock_Data(), Table_SourceData_Scope3_Animals107[[#Headers],[Category]], 0, 2)</f>
        <v>Cattle, for manufacturing beef</v>
      </c>
      <c r="F37" s="30" t="str" cm="1">
        <f t="array" ref="F37">Common_InputFunctions.Utility_DisplayArrayInTable(Scope3_SourceData.Scope3_Livestock_Data(), Table_SourceData_Scope3_Animals107[[#Headers],[Category]], 0, 2)</f>
        <v>QLD</v>
      </c>
      <c r="G37" s="30" t="str" cm="1">
        <f t="array" ref="G37">Common_InputFunctions.Utility_DisplayArrayInTable(Scope3_SourceData.Scope3_Livestock_Data(), Table_SourceData_Scope3_Animals107[[#Headers],[Category]], 0, 2)</f>
        <v>kg liveweight</v>
      </c>
      <c r="H37" s="30" cm="1">
        <f t="array" ref="H37">Common_InputFunctions.Utility_DisplayArrayInTable(Scope3_SourceData.Scope3_Livestock_Data(), Table_SourceData_Scope3_Animals107[[#Headers],[Category]], 0, 2)</f>
        <v>10.9</v>
      </c>
      <c r="I37" s="30" t="str" cm="1">
        <f t="array" ref="I37">Common_InputFunctions.Utility_DisplayArrayInTable(Scope3_SourceData.Scope3_Livestock_Data(), Table_SourceData_Scope3_Animals107[[#Headers],[Category]], 0, 2)</f>
        <v>at market</v>
      </c>
      <c r="K37" s="30" t="s">
        <v>509</v>
      </c>
      <c r="L37" s="30" t="s">
        <v>509</v>
      </c>
    </row>
    <row r="38" spans="1:12" ht="20.100000000000001" customHeight="1" x14ac:dyDescent="0.25">
      <c r="A38" s="5"/>
      <c r="D38" s="30" t="str" cm="1">
        <f t="array" ref="D38">Common_InputFunctions.Utility_DisplayArrayInTable(Scope3_SourceData.Scope3_Livestock_Data(), Table_SourceData_Scope3_Animals107[[#Headers],[Category]], 0, 2)</f>
        <v>Beef cattle</v>
      </c>
      <c r="E38" s="30" t="str" cm="1">
        <f t="array" ref="E38">Common_InputFunctions.Utility_DisplayArrayInTable(Scope3_SourceData.Scope3_Livestock_Data(), Table_SourceData_Scope3_Animals107[[#Headers],[Category]], 0, 2)</f>
        <v>Cattle, for manufacturing beef</v>
      </c>
      <c r="F38" s="30" t="str" cm="1">
        <f t="array" ref="F38">Common_InputFunctions.Utility_DisplayArrayInTable(Scope3_SourceData.Scope3_Livestock_Data(), Table_SourceData_Scope3_Animals107[[#Headers],[Category]], 0, 2)</f>
        <v>SA</v>
      </c>
      <c r="G38" s="30" t="str" cm="1">
        <f t="array" ref="G38">Common_InputFunctions.Utility_DisplayArrayInTable(Scope3_SourceData.Scope3_Livestock_Data(), Table_SourceData_Scope3_Animals107[[#Headers],[Category]], 0, 2)</f>
        <v>kg liveweight</v>
      </c>
      <c r="H38" s="30" cm="1">
        <f t="array" ref="H38">Common_InputFunctions.Utility_DisplayArrayInTable(Scope3_SourceData.Scope3_Livestock_Data(), Table_SourceData_Scope3_Animals107[[#Headers],[Category]], 0, 2)</f>
        <v>7.63</v>
      </c>
      <c r="I38" s="30" t="str" cm="1">
        <f t="array" ref="I38">Common_InputFunctions.Utility_DisplayArrayInTable(Scope3_SourceData.Scope3_Livestock_Data(), Table_SourceData_Scope3_Animals107[[#Headers],[Category]], 0, 2)</f>
        <v>at market</v>
      </c>
      <c r="K38" s="30" t="s">
        <v>510</v>
      </c>
      <c r="L38" s="30" t="s">
        <v>510</v>
      </c>
    </row>
    <row r="39" spans="1:12" ht="20.100000000000001" customHeight="1" x14ac:dyDescent="0.25">
      <c r="A39" s="5"/>
      <c r="D39" s="30" t="str" cm="1">
        <f t="array" ref="D39">Common_InputFunctions.Utility_DisplayArrayInTable(Scope3_SourceData.Scope3_Livestock_Data(), Table_SourceData_Scope3_Animals107[[#Headers],[Category]], 0, 2)</f>
        <v>Beef cattle</v>
      </c>
      <c r="E39" s="30" t="str" cm="1">
        <f t="array" ref="E39">Common_InputFunctions.Utility_DisplayArrayInTable(Scope3_SourceData.Scope3_Livestock_Data(), Table_SourceData_Scope3_Animals107[[#Headers],[Category]], 0, 2)</f>
        <v>Cattle, for manufacturing beef</v>
      </c>
      <c r="F39" s="30" t="str" cm="1">
        <f t="array" ref="F39">Common_InputFunctions.Utility_DisplayArrayInTable(Scope3_SourceData.Scope3_Livestock_Data(), Table_SourceData_Scope3_Animals107[[#Headers],[Category]], 0, 2)</f>
        <v>TAS</v>
      </c>
      <c r="G39" s="30" t="str" cm="1">
        <f t="array" ref="G39">Common_InputFunctions.Utility_DisplayArrayInTable(Scope3_SourceData.Scope3_Livestock_Data(), Table_SourceData_Scope3_Animals107[[#Headers],[Category]], 0, 2)</f>
        <v>kg liveweight</v>
      </c>
      <c r="H39" s="30" cm="1">
        <f t="array" ref="H39">Common_InputFunctions.Utility_DisplayArrayInTable(Scope3_SourceData.Scope3_Livestock_Data(), Table_SourceData_Scope3_Animals107[[#Headers],[Category]], 0, 2)</f>
        <v>8.75</v>
      </c>
      <c r="I39" s="30" t="str" cm="1">
        <f t="array" ref="I39">Common_InputFunctions.Utility_DisplayArrayInTable(Scope3_SourceData.Scope3_Livestock_Data(), Table_SourceData_Scope3_Animals107[[#Headers],[Category]], 0, 2)</f>
        <v>at market</v>
      </c>
      <c r="K39" s="30" t="s">
        <v>511</v>
      </c>
      <c r="L39" s="30" t="s">
        <v>512</v>
      </c>
    </row>
    <row r="40" spans="1:12" ht="20.100000000000001" customHeight="1" x14ac:dyDescent="0.25">
      <c r="A40" s="5"/>
      <c r="D40" s="30" t="str" cm="1">
        <f t="array" ref="D40">Common_InputFunctions.Utility_DisplayArrayInTable(Scope3_SourceData.Scope3_Livestock_Data(), Table_SourceData_Scope3_Animals107[[#Headers],[Category]], 0, 2)</f>
        <v>Beef cattle</v>
      </c>
      <c r="E40" s="30" t="str" cm="1">
        <f t="array" ref="E40">Common_InputFunctions.Utility_DisplayArrayInTable(Scope3_SourceData.Scope3_Livestock_Data(), Table_SourceData_Scope3_Animals107[[#Headers],[Category]], 0, 2)</f>
        <v>Cattle, for manufacturing beef</v>
      </c>
      <c r="F40" s="30" t="str" cm="1">
        <f t="array" ref="F40">Common_InputFunctions.Utility_DisplayArrayInTable(Scope3_SourceData.Scope3_Livestock_Data(), Table_SourceData_Scope3_Animals107[[#Headers],[Category]], 0, 2)</f>
        <v>VIC</v>
      </c>
      <c r="G40" s="30" t="str" cm="1">
        <f t="array" ref="G40">Common_InputFunctions.Utility_DisplayArrayInTable(Scope3_SourceData.Scope3_Livestock_Data(), Table_SourceData_Scope3_Animals107[[#Headers],[Category]], 0, 2)</f>
        <v>kg liveweight</v>
      </c>
      <c r="H40" s="30" cm="1">
        <f t="array" ref="H40">Common_InputFunctions.Utility_DisplayArrayInTable(Scope3_SourceData.Scope3_Livestock_Data(), Table_SourceData_Scope3_Animals107[[#Headers],[Category]], 0, 2)</f>
        <v>8.17</v>
      </c>
      <c r="I40" s="30" t="str" cm="1">
        <f t="array" ref="I40">Common_InputFunctions.Utility_DisplayArrayInTable(Scope3_SourceData.Scope3_Livestock_Data(), Table_SourceData_Scope3_Animals107[[#Headers],[Category]], 0, 2)</f>
        <v>at market</v>
      </c>
      <c r="K40" s="30" t="s">
        <v>513</v>
      </c>
      <c r="L40" s="30" t="s">
        <v>512</v>
      </c>
    </row>
    <row r="41" spans="1:12" ht="20.100000000000001" customHeight="1" x14ac:dyDescent="0.25">
      <c r="A41" s="5"/>
      <c r="D41" s="30" t="str" cm="1">
        <f t="array" ref="D41">Common_InputFunctions.Utility_DisplayArrayInTable(Scope3_SourceData.Scope3_Livestock_Data(), Table_SourceData_Scope3_Animals107[[#Headers],[Category]], 0, 2)</f>
        <v>Beef cattle</v>
      </c>
      <c r="E41" s="30" t="str" cm="1">
        <f t="array" ref="E41">Common_InputFunctions.Utility_DisplayArrayInTable(Scope3_SourceData.Scope3_Livestock_Data(), Table_SourceData_Scope3_Animals107[[#Headers],[Category]], 0, 2)</f>
        <v>Cattle, for manufacturing beef</v>
      </c>
      <c r="F41" s="30" t="str" cm="1">
        <f t="array" ref="F41">Common_InputFunctions.Utility_DisplayArrayInTable(Scope3_SourceData.Scope3_Livestock_Data(), Table_SourceData_Scope3_Animals107[[#Headers],[Category]], 0, 2)</f>
        <v>WA</v>
      </c>
      <c r="G41" s="30" t="str" cm="1">
        <f t="array" ref="G41">Common_InputFunctions.Utility_DisplayArrayInTable(Scope3_SourceData.Scope3_Livestock_Data(), Table_SourceData_Scope3_Animals107[[#Headers],[Category]], 0, 2)</f>
        <v>kg liveweight</v>
      </c>
      <c r="H41" s="30" cm="1">
        <f t="array" ref="H41">Common_InputFunctions.Utility_DisplayArrayInTable(Scope3_SourceData.Scope3_Livestock_Data(), Table_SourceData_Scope3_Animals107[[#Headers],[Category]], 0, 2)</f>
        <v>13.1</v>
      </c>
      <c r="I41" s="30" t="str" cm="1">
        <f t="array" ref="I41">Common_InputFunctions.Utility_DisplayArrayInTable(Scope3_SourceData.Scope3_Livestock_Data(), Table_SourceData_Scope3_Animals107[[#Headers],[Category]], 0, 2)</f>
        <v>at market</v>
      </c>
      <c r="K41" s="30" t="s">
        <v>514</v>
      </c>
      <c r="L41" s="30" t="s">
        <v>512</v>
      </c>
    </row>
    <row r="42" spans="1:12" ht="20.100000000000001" customHeight="1" x14ac:dyDescent="0.25">
      <c r="A42" s="5"/>
      <c r="D42" s="30" t="str" cm="1">
        <f t="array" ref="D42">Common_InputFunctions.Utility_DisplayArrayInTable(Scope3_SourceData.Scope3_Livestock_Data(), Table_SourceData_Scope3_Animals107[[#Headers],[Category]], 0, 2)</f>
        <v>Beef cattle</v>
      </c>
      <c r="E42" s="30" t="str" cm="1">
        <f t="array" ref="E42">Common_InputFunctions.Utility_DisplayArrayInTable(Scope3_SourceData.Scope3_Livestock_Data(), Table_SourceData_Scope3_Animals107[[#Headers],[Category]], 0, 2)</f>
        <v>Cattle, for prime beef</v>
      </c>
      <c r="F42" s="30" t="str" cm="1">
        <f t="array" ref="F42">Common_InputFunctions.Utility_DisplayArrayInTable(Scope3_SourceData.Scope3_Livestock_Data(), Table_SourceData_Scope3_Animals107[[#Headers],[Category]], 0, 2)</f>
        <v>Australia</v>
      </c>
      <c r="G42" s="30" t="str" cm="1">
        <f t="array" ref="G42">Common_InputFunctions.Utility_DisplayArrayInTable(Scope3_SourceData.Scope3_Livestock_Data(), Table_SourceData_Scope3_Animals107[[#Headers],[Category]], 0, 2)</f>
        <v>kg liveweight</v>
      </c>
      <c r="H42" s="30" cm="1">
        <f t="array" ref="H42">Common_InputFunctions.Utility_DisplayArrayInTable(Scope3_SourceData.Scope3_Livestock_Data(), Table_SourceData_Scope3_Animals107[[#Headers],[Category]], 0, 2)</f>
        <v>14.5</v>
      </c>
      <c r="I42" s="30" t="str" cm="1">
        <f t="array" ref="I42">Common_InputFunctions.Utility_DisplayArrayInTable(Scope3_SourceData.Scope3_Livestock_Data(), Table_SourceData_Scope3_Animals107[[#Headers],[Category]], 0, 2)</f>
        <v>at market</v>
      </c>
      <c r="K42" s="30" t="s">
        <v>515</v>
      </c>
      <c r="L42" s="30" t="s">
        <v>516</v>
      </c>
    </row>
    <row r="43" spans="1:12" ht="20.100000000000001" customHeight="1" x14ac:dyDescent="0.25">
      <c r="A43" s="5"/>
      <c r="D43" s="30" t="str" cm="1">
        <f t="array" ref="D43">Common_InputFunctions.Utility_DisplayArrayInTable(Scope3_SourceData.Scope3_Livestock_Data(), Table_SourceData_Scope3_Animals107[[#Headers],[Category]], 0, 2)</f>
        <v>Beef cattle</v>
      </c>
      <c r="E43" s="30" t="str" cm="1">
        <f t="array" ref="E43">Common_InputFunctions.Utility_DisplayArrayInTable(Scope3_SourceData.Scope3_Livestock_Data(), Table_SourceData_Scope3_Animals107[[#Headers],[Category]], 0, 2)</f>
        <v>Cattle, for prime beef</v>
      </c>
      <c r="F43" s="30" t="str" cm="1">
        <f t="array" ref="F43">Common_InputFunctions.Utility_DisplayArrayInTable(Scope3_SourceData.Scope3_Livestock_Data(), Table_SourceData_Scope3_Animals107[[#Headers],[Category]], 0, 2)</f>
        <v>NSW</v>
      </c>
      <c r="G43" s="30" t="str" cm="1">
        <f t="array" ref="G43">Common_InputFunctions.Utility_DisplayArrayInTable(Scope3_SourceData.Scope3_Livestock_Data(), Table_SourceData_Scope3_Animals107[[#Headers],[Category]], 0, 2)</f>
        <v>kg liveweight</v>
      </c>
      <c r="H43" s="30" cm="1">
        <f t="array" ref="H43">Common_InputFunctions.Utility_DisplayArrayInTable(Scope3_SourceData.Scope3_Livestock_Data(), Table_SourceData_Scope3_Animals107[[#Headers],[Category]], 0, 2)</f>
        <v>11.3</v>
      </c>
      <c r="I43" s="30" t="str" cm="1">
        <f t="array" ref="I43">Common_InputFunctions.Utility_DisplayArrayInTable(Scope3_SourceData.Scope3_Livestock_Data(), Table_SourceData_Scope3_Animals107[[#Headers],[Category]], 0, 2)</f>
        <v>at market</v>
      </c>
      <c r="K43" s="30" t="s">
        <v>517</v>
      </c>
      <c r="L43" s="30" t="s">
        <v>516</v>
      </c>
    </row>
    <row r="44" spans="1:12" ht="20.100000000000001" customHeight="1" x14ac:dyDescent="0.25">
      <c r="A44" s="5"/>
      <c r="D44" s="30" t="str" cm="1">
        <f t="array" ref="D44">Common_InputFunctions.Utility_DisplayArrayInTable(Scope3_SourceData.Scope3_Livestock_Data(), Table_SourceData_Scope3_Animals107[[#Headers],[Category]], 0, 2)</f>
        <v>Beef cattle</v>
      </c>
      <c r="E44" s="30" t="str" cm="1">
        <f t="array" ref="E44">Common_InputFunctions.Utility_DisplayArrayInTable(Scope3_SourceData.Scope3_Livestock_Data(), Table_SourceData_Scope3_Animals107[[#Headers],[Category]], 0, 2)</f>
        <v>Cattle, for prime beef</v>
      </c>
      <c r="F44" s="30" t="str" cm="1">
        <f t="array" ref="F44">Common_InputFunctions.Utility_DisplayArrayInTable(Scope3_SourceData.Scope3_Livestock_Data(), Table_SourceData_Scope3_Animals107[[#Headers],[Category]], 0, 2)</f>
        <v>NT</v>
      </c>
      <c r="G44" s="30" t="str" cm="1">
        <f t="array" ref="G44">Common_InputFunctions.Utility_DisplayArrayInTable(Scope3_SourceData.Scope3_Livestock_Data(), Table_SourceData_Scope3_Animals107[[#Headers],[Category]], 0, 2)</f>
        <v>kg liveweight</v>
      </c>
      <c r="H44" s="30" cm="1">
        <f t="array" ref="H44">Common_InputFunctions.Utility_DisplayArrayInTable(Scope3_SourceData.Scope3_Livestock_Data(), Table_SourceData_Scope3_Animals107[[#Headers],[Category]], 0, 2)</f>
        <v>18.899999999999999</v>
      </c>
      <c r="I44" s="30" t="str" cm="1">
        <f t="array" ref="I44">Common_InputFunctions.Utility_DisplayArrayInTable(Scope3_SourceData.Scope3_Livestock_Data(), Table_SourceData_Scope3_Animals107[[#Headers],[Category]], 0, 2)</f>
        <v>at market</v>
      </c>
      <c r="K44" s="30" t="s">
        <v>518</v>
      </c>
      <c r="L44" s="30" t="s">
        <v>516</v>
      </c>
    </row>
    <row r="45" spans="1:12" ht="20.100000000000001" customHeight="1" x14ac:dyDescent="0.25">
      <c r="A45" s="5"/>
      <c r="D45" s="30" t="str" cm="1">
        <f t="array" ref="D45">Common_InputFunctions.Utility_DisplayArrayInTable(Scope3_SourceData.Scope3_Livestock_Data(), Table_SourceData_Scope3_Animals107[[#Headers],[Category]], 0, 2)</f>
        <v>Beef cattle</v>
      </c>
      <c r="E45" s="30" t="str" cm="1">
        <f t="array" ref="E45">Common_InputFunctions.Utility_DisplayArrayInTable(Scope3_SourceData.Scope3_Livestock_Data(), Table_SourceData_Scope3_Animals107[[#Headers],[Category]], 0, 2)</f>
        <v>Cattle, for prime beef</v>
      </c>
      <c r="F45" s="30" t="str" cm="1">
        <f t="array" ref="F45">Common_InputFunctions.Utility_DisplayArrayInTable(Scope3_SourceData.Scope3_Livestock_Data(), Table_SourceData_Scope3_Animals107[[#Headers],[Category]], 0, 2)</f>
        <v>QLD</v>
      </c>
      <c r="G45" s="30" t="str" cm="1">
        <f t="array" ref="G45">Common_InputFunctions.Utility_DisplayArrayInTable(Scope3_SourceData.Scope3_Livestock_Data(), Table_SourceData_Scope3_Animals107[[#Headers],[Category]], 0, 2)</f>
        <v>kg liveweight</v>
      </c>
      <c r="H45" s="30" cm="1">
        <f t="array" ref="H45">Common_InputFunctions.Utility_DisplayArrayInTable(Scope3_SourceData.Scope3_Livestock_Data(), Table_SourceData_Scope3_Animals107[[#Headers],[Category]], 0, 2)</f>
        <v>13.9</v>
      </c>
      <c r="I45" s="30" t="str" cm="1">
        <f t="array" ref="I45">Common_InputFunctions.Utility_DisplayArrayInTable(Scope3_SourceData.Scope3_Livestock_Data(), Table_SourceData_Scope3_Animals107[[#Headers],[Category]], 0, 2)</f>
        <v>at market</v>
      </c>
      <c r="K45" s="30" t="s">
        <v>519</v>
      </c>
      <c r="L45" s="30" t="s">
        <v>520</v>
      </c>
    </row>
    <row r="46" spans="1:12" ht="20.100000000000001" customHeight="1" x14ac:dyDescent="0.25">
      <c r="A46" s="5"/>
      <c r="D46" s="30" t="str" cm="1">
        <f t="array" ref="D46">Common_InputFunctions.Utility_DisplayArrayInTable(Scope3_SourceData.Scope3_Livestock_Data(), Table_SourceData_Scope3_Animals107[[#Headers],[Category]], 0, 2)</f>
        <v>Beef cattle</v>
      </c>
      <c r="E46" s="30" t="str" cm="1">
        <f t="array" ref="E46">Common_InputFunctions.Utility_DisplayArrayInTable(Scope3_SourceData.Scope3_Livestock_Data(), Table_SourceData_Scope3_Animals107[[#Headers],[Category]], 0, 2)</f>
        <v>Cattle, for prime beef</v>
      </c>
      <c r="F46" s="30" t="str" cm="1">
        <f t="array" ref="F46">Common_InputFunctions.Utility_DisplayArrayInTable(Scope3_SourceData.Scope3_Livestock_Data(), Table_SourceData_Scope3_Animals107[[#Headers],[Category]], 0, 2)</f>
        <v>SA</v>
      </c>
      <c r="G46" s="30" t="str" cm="1">
        <f t="array" ref="G46">Common_InputFunctions.Utility_DisplayArrayInTable(Scope3_SourceData.Scope3_Livestock_Data(), Table_SourceData_Scope3_Animals107[[#Headers],[Category]], 0, 2)</f>
        <v>kg liveweight</v>
      </c>
      <c r="H46" s="30" cm="1">
        <f t="array" ref="H46">Common_InputFunctions.Utility_DisplayArrayInTable(Scope3_SourceData.Scope3_Livestock_Data(), Table_SourceData_Scope3_Animals107[[#Headers],[Category]], 0, 2)</f>
        <v>12.3</v>
      </c>
      <c r="I46" s="30" t="str" cm="1">
        <f t="array" ref="I46">Common_InputFunctions.Utility_DisplayArrayInTable(Scope3_SourceData.Scope3_Livestock_Data(), Table_SourceData_Scope3_Animals107[[#Headers],[Category]], 0, 2)</f>
        <v>at market</v>
      </c>
      <c r="K46" s="30" t="s">
        <v>521</v>
      </c>
      <c r="L46" s="30" t="s">
        <v>520</v>
      </c>
    </row>
    <row r="47" spans="1:12" ht="20.100000000000001" customHeight="1" x14ac:dyDescent="0.25">
      <c r="A47" s="5"/>
      <c r="D47" s="30" t="str" cm="1">
        <f t="array" ref="D47">Common_InputFunctions.Utility_DisplayArrayInTable(Scope3_SourceData.Scope3_Livestock_Data(), Table_SourceData_Scope3_Animals107[[#Headers],[Category]], 0, 2)</f>
        <v>Beef cattle</v>
      </c>
      <c r="E47" s="30" t="str" cm="1">
        <f t="array" ref="E47">Common_InputFunctions.Utility_DisplayArrayInTable(Scope3_SourceData.Scope3_Livestock_Data(), Table_SourceData_Scope3_Animals107[[#Headers],[Category]], 0, 2)</f>
        <v>Cattle, for prime beef</v>
      </c>
      <c r="F47" s="30" t="str" cm="1">
        <f t="array" ref="F47">Common_InputFunctions.Utility_DisplayArrayInTable(Scope3_SourceData.Scope3_Livestock_Data(), Table_SourceData_Scope3_Animals107[[#Headers],[Category]], 0, 2)</f>
        <v>TAS</v>
      </c>
      <c r="G47" s="30" t="str" cm="1">
        <f t="array" ref="G47">Common_InputFunctions.Utility_DisplayArrayInTable(Scope3_SourceData.Scope3_Livestock_Data(), Table_SourceData_Scope3_Animals107[[#Headers],[Category]], 0, 2)</f>
        <v>kg liveweight</v>
      </c>
      <c r="H47" s="30" cm="1">
        <f t="array" ref="H47">Common_InputFunctions.Utility_DisplayArrayInTable(Scope3_SourceData.Scope3_Livestock_Data(), Table_SourceData_Scope3_Animals107[[#Headers],[Category]], 0, 2)</f>
        <v>11.5</v>
      </c>
      <c r="I47" s="30" t="str" cm="1">
        <f t="array" ref="I47">Common_InputFunctions.Utility_DisplayArrayInTable(Scope3_SourceData.Scope3_Livestock_Data(), Table_SourceData_Scope3_Animals107[[#Headers],[Category]], 0, 2)</f>
        <v>at market</v>
      </c>
      <c r="K47" s="30" t="s">
        <v>522</v>
      </c>
      <c r="L47" s="30" t="s">
        <v>520</v>
      </c>
    </row>
    <row r="48" spans="1:12" ht="20.100000000000001" customHeight="1" x14ac:dyDescent="0.25">
      <c r="A48" s="5"/>
      <c r="D48" s="30" t="str" cm="1">
        <f t="array" ref="D48">Common_InputFunctions.Utility_DisplayArrayInTable(Scope3_SourceData.Scope3_Livestock_Data(), Table_SourceData_Scope3_Animals107[[#Headers],[Category]], 0, 2)</f>
        <v>Beef cattle</v>
      </c>
      <c r="E48" s="30" t="str" cm="1">
        <f t="array" ref="E48">Common_InputFunctions.Utility_DisplayArrayInTable(Scope3_SourceData.Scope3_Livestock_Data(), Table_SourceData_Scope3_Animals107[[#Headers],[Category]], 0, 2)</f>
        <v>Cattle, for prime beef</v>
      </c>
      <c r="F48" s="30" t="str" cm="1">
        <f t="array" ref="F48">Common_InputFunctions.Utility_DisplayArrayInTable(Scope3_SourceData.Scope3_Livestock_Data(), Table_SourceData_Scope3_Animals107[[#Headers],[Category]], 0, 2)</f>
        <v>VIC</v>
      </c>
      <c r="G48" s="30" t="str" cm="1">
        <f t="array" ref="G48">Common_InputFunctions.Utility_DisplayArrayInTable(Scope3_SourceData.Scope3_Livestock_Data(), Table_SourceData_Scope3_Animals107[[#Headers],[Category]], 0, 2)</f>
        <v>kg liveweight</v>
      </c>
      <c r="H48" s="30" cm="1">
        <f t="array" ref="H48">Common_InputFunctions.Utility_DisplayArrayInTable(Scope3_SourceData.Scope3_Livestock_Data(), Table_SourceData_Scope3_Animals107[[#Headers],[Category]], 0, 2)</f>
        <v>11.5</v>
      </c>
      <c r="I48" s="30" t="str" cm="1">
        <f t="array" ref="I48">Common_InputFunctions.Utility_DisplayArrayInTable(Scope3_SourceData.Scope3_Livestock_Data(), Table_SourceData_Scope3_Animals107[[#Headers],[Category]], 0, 2)</f>
        <v>at market</v>
      </c>
      <c r="K48" s="30" t="s">
        <v>523</v>
      </c>
      <c r="L48" s="30" t="s">
        <v>520</v>
      </c>
    </row>
    <row r="49" spans="1:12" ht="20.100000000000001" customHeight="1" x14ac:dyDescent="0.25">
      <c r="A49"/>
      <c r="D49" s="30" t="str" cm="1">
        <f t="array" ref="D49">Common_InputFunctions.Utility_DisplayArrayInTable(Scope3_SourceData.Scope3_Livestock_Data(), Table_SourceData_Scope3_Animals107[[#Headers],[Category]], 0, 2)</f>
        <v>Beef cattle</v>
      </c>
      <c r="E49" s="30" t="str" cm="1">
        <f t="array" ref="E49">Common_InputFunctions.Utility_DisplayArrayInTable(Scope3_SourceData.Scope3_Livestock_Data(), Table_SourceData_Scope3_Animals107[[#Headers],[Category]], 0, 2)</f>
        <v>Cattle, for prime beef</v>
      </c>
      <c r="F49" s="30" t="str" cm="1">
        <f t="array" ref="F49">Common_InputFunctions.Utility_DisplayArrayInTable(Scope3_SourceData.Scope3_Livestock_Data(), Table_SourceData_Scope3_Animals107[[#Headers],[Category]], 0, 2)</f>
        <v>WA</v>
      </c>
      <c r="G49" s="30" t="str" cm="1">
        <f t="array" ref="G49">Common_InputFunctions.Utility_DisplayArrayInTable(Scope3_SourceData.Scope3_Livestock_Data(), Table_SourceData_Scope3_Animals107[[#Headers],[Category]], 0, 2)</f>
        <v>kg liveweight</v>
      </c>
      <c r="H49" s="30" cm="1">
        <f t="array" ref="H49">Common_InputFunctions.Utility_DisplayArrayInTable(Scope3_SourceData.Scope3_Livestock_Data(), Table_SourceData_Scope3_Animals107[[#Headers],[Category]], 0, 2)</f>
        <v>20.8</v>
      </c>
      <c r="I49" s="30" t="str" cm="1">
        <f t="array" ref="I49">Common_InputFunctions.Utility_DisplayArrayInTable(Scope3_SourceData.Scope3_Livestock_Data(), Table_SourceData_Scope3_Animals107[[#Headers],[Category]], 0, 2)</f>
        <v>at market</v>
      </c>
      <c r="K49" s="1" t="s">
        <v>524</v>
      </c>
      <c r="L49" s="1" t="s">
        <v>524</v>
      </c>
    </row>
    <row r="50" spans="1:12" ht="20.100000000000001" customHeight="1" x14ac:dyDescent="0.25">
      <c r="A50"/>
      <c r="D50" s="30" t="str" cm="1">
        <f t="array" ref="D50">Common_InputFunctions.Utility_DisplayArrayInTable(Scope3_SourceData.Scope3_Livestock_Data(), Table_SourceData_Scope3_Animals107[[#Headers],[Category]], 0, 2)</f>
        <v>Beef cattle</v>
      </c>
      <c r="E50" s="30" t="str" cm="1">
        <f t="array" ref="E50">Common_InputFunctions.Utility_DisplayArrayInTable(Scope3_SourceData.Scope3_Livestock_Data(), Table_SourceData_Scope3_Animals107[[#Headers],[Category]], 0, 2)</f>
        <v>Cattle, weaners</v>
      </c>
      <c r="F50" s="30" t="str" cm="1">
        <f t="array" ref="F50">Common_InputFunctions.Utility_DisplayArrayInTable(Scope3_SourceData.Scope3_Livestock_Data(), Table_SourceData_Scope3_Animals107[[#Headers],[Category]], 0, 2)</f>
        <v>Australia</v>
      </c>
      <c r="G50" s="30" t="str" cm="1">
        <f t="array" ref="G50">Common_InputFunctions.Utility_DisplayArrayInTable(Scope3_SourceData.Scope3_Livestock_Data(), Table_SourceData_Scope3_Animals107[[#Headers],[Category]], 0, 2)</f>
        <v>kg liveweight</v>
      </c>
      <c r="H50" s="30" cm="1">
        <f t="array" ref="H50">Common_InputFunctions.Utility_DisplayArrayInTable(Scope3_SourceData.Scope3_Livestock_Data(), Table_SourceData_Scope3_Animals107[[#Headers],[Category]], 0, 2)</f>
        <v>15.5</v>
      </c>
      <c r="I50" s="30" t="str" cm="1">
        <f t="array" ref="I50">Common_InputFunctions.Utility_DisplayArrayInTable(Scope3_SourceData.Scope3_Livestock_Data(), Table_SourceData_Scope3_Animals107[[#Headers],[Category]], 0, 2)</f>
        <v>at market</v>
      </c>
    </row>
    <row r="51" spans="1:12" ht="20.100000000000001" customHeight="1" x14ac:dyDescent="0.25">
      <c r="A51" s="100"/>
      <c r="D51" s="30" t="str" cm="1">
        <f t="array" ref="D51">Common_InputFunctions.Utility_DisplayArrayInTable(Scope3_SourceData.Scope3_Livestock_Data(), Table_SourceData_Scope3_Animals107[[#Headers],[Category]], 0, 2)</f>
        <v>Beef cattle</v>
      </c>
      <c r="E51" s="30" t="str" cm="1">
        <f t="array" ref="E51">Common_InputFunctions.Utility_DisplayArrayInTable(Scope3_SourceData.Scope3_Livestock_Data(), Table_SourceData_Scope3_Animals107[[#Headers],[Category]], 0, 2)</f>
        <v>Cattle, weaners</v>
      </c>
      <c r="F51" s="30" t="str" cm="1">
        <f t="array" ref="F51">Common_InputFunctions.Utility_DisplayArrayInTable(Scope3_SourceData.Scope3_Livestock_Data(), Table_SourceData_Scope3_Animals107[[#Headers],[Category]], 0, 2)</f>
        <v>NSW</v>
      </c>
      <c r="G51" s="30" t="str" cm="1">
        <f t="array" ref="G51">Common_InputFunctions.Utility_DisplayArrayInTable(Scope3_SourceData.Scope3_Livestock_Data(), Table_SourceData_Scope3_Animals107[[#Headers],[Category]], 0, 2)</f>
        <v>kg liveweight</v>
      </c>
      <c r="H51" s="30" cm="1">
        <f t="array" ref="H51">Common_InputFunctions.Utility_DisplayArrayInTable(Scope3_SourceData.Scope3_Livestock_Data(), Table_SourceData_Scope3_Animals107[[#Headers],[Category]], 0, 2)</f>
        <v>12.7</v>
      </c>
      <c r="I51" s="30" t="str" cm="1">
        <f t="array" ref="I51">Common_InputFunctions.Utility_DisplayArrayInTable(Scope3_SourceData.Scope3_Livestock_Data(), Table_SourceData_Scope3_Animals107[[#Headers],[Category]], 0, 2)</f>
        <v>at market</v>
      </c>
    </row>
    <row r="52" spans="1:12" ht="20.100000000000001" customHeight="1" x14ac:dyDescent="0.25">
      <c r="A52" s="5"/>
      <c r="D52" s="30" t="str" cm="1">
        <f t="array" ref="D52">Common_InputFunctions.Utility_DisplayArrayInTable(Scope3_SourceData.Scope3_Livestock_Data(), Table_SourceData_Scope3_Animals107[[#Headers],[Category]], 0, 2)</f>
        <v>Beef cattle</v>
      </c>
      <c r="E52" s="30" t="str" cm="1">
        <f t="array" ref="E52">Common_InputFunctions.Utility_DisplayArrayInTable(Scope3_SourceData.Scope3_Livestock_Data(), Table_SourceData_Scope3_Animals107[[#Headers],[Category]], 0, 2)</f>
        <v>Cattle, weaners</v>
      </c>
      <c r="F52" s="30" t="str" cm="1">
        <f t="array" ref="F52">Common_InputFunctions.Utility_DisplayArrayInTable(Scope3_SourceData.Scope3_Livestock_Data(), Table_SourceData_Scope3_Animals107[[#Headers],[Category]], 0, 2)</f>
        <v>NT</v>
      </c>
      <c r="G52" s="30" t="str" cm="1">
        <f t="array" ref="G52">Common_InputFunctions.Utility_DisplayArrayInTable(Scope3_SourceData.Scope3_Livestock_Data(), Table_SourceData_Scope3_Animals107[[#Headers],[Category]], 0, 2)</f>
        <v>kg liveweight</v>
      </c>
      <c r="H52" s="30" cm="1">
        <f t="array" ref="H52">Common_InputFunctions.Utility_DisplayArrayInTable(Scope3_SourceData.Scope3_Livestock_Data(), Table_SourceData_Scope3_Animals107[[#Headers],[Category]], 0, 2)</f>
        <v>19.100000000000001</v>
      </c>
      <c r="I52" s="30" t="str" cm="1">
        <f t="array" ref="I52">Common_InputFunctions.Utility_DisplayArrayInTable(Scope3_SourceData.Scope3_Livestock_Data(), Table_SourceData_Scope3_Animals107[[#Headers],[Category]], 0, 2)</f>
        <v>at market</v>
      </c>
    </row>
    <row r="53" spans="1:12" ht="20.100000000000001" customHeight="1" x14ac:dyDescent="0.25">
      <c r="A53" s="5"/>
      <c r="D53" s="30" t="str" cm="1">
        <f t="array" ref="D53">Common_InputFunctions.Utility_DisplayArrayInTable(Scope3_SourceData.Scope3_Livestock_Data(), Table_SourceData_Scope3_Animals107[[#Headers],[Category]], 0, 2)</f>
        <v>Beef cattle</v>
      </c>
      <c r="E53" s="30" t="str" cm="1">
        <f t="array" ref="E53">Common_InputFunctions.Utility_DisplayArrayInTable(Scope3_SourceData.Scope3_Livestock_Data(), Table_SourceData_Scope3_Animals107[[#Headers],[Category]], 0, 2)</f>
        <v>Cattle, weaners</v>
      </c>
      <c r="F53" s="30" t="str" cm="1">
        <f t="array" ref="F53">Common_InputFunctions.Utility_DisplayArrayInTable(Scope3_SourceData.Scope3_Livestock_Data(), Table_SourceData_Scope3_Animals107[[#Headers],[Category]], 0, 2)</f>
        <v>QLD</v>
      </c>
      <c r="G53" s="30" t="str" cm="1">
        <f t="array" ref="G53">Common_InputFunctions.Utility_DisplayArrayInTable(Scope3_SourceData.Scope3_Livestock_Data(), Table_SourceData_Scope3_Animals107[[#Headers],[Category]], 0, 2)</f>
        <v>kg liveweight</v>
      </c>
      <c r="H53" s="30" cm="1">
        <f t="array" ref="H53">Common_InputFunctions.Utility_DisplayArrayInTable(Scope3_SourceData.Scope3_Livestock_Data(), Table_SourceData_Scope3_Animals107[[#Headers],[Category]], 0, 2)</f>
        <v>20.5</v>
      </c>
      <c r="I53" s="30" t="str" cm="1">
        <f t="array" ref="I53">Common_InputFunctions.Utility_DisplayArrayInTable(Scope3_SourceData.Scope3_Livestock_Data(), Table_SourceData_Scope3_Animals107[[#Headers],[Category]], 0, 2)</f>
        <v>at market</v>
      </c>
    </row>
    <row r="54" spans="1:12" ht="20.100000000000001" customHeight="1" x14ac:dyDescent="0.25">
      <c r="A54" s="5"/>
      <c r="D54" s="30" t="str" cm="1">
        <f t="array" ref="D54">Common_InputFunctions.Utility_DisplayArrayInTable(Scope3_SourceData.Scope3_Livestock_Data(), Table_SourceData_Scope3_Animals107[[#Headers],[Category]], 0, 2)</f>
        <v>Beef cattle</v>
      </c>
      <c r="E54" s="30" t="str" cm="1">
        <f t="array" ref="E54">Common_InputFunctions.Utility_DisplayArrayInTable(Scope3_SourceData.Scope3_Livestock_Data(), Table_SourceData_Scope3_Animals107[[#Headers],[Category]], 0, 2)</f>
        <v>Cattle, weaners</v>
      </c>
      <c r="F54" s="30" t="str" cm="1">
        <f t="array" ref="F54">Common_InputFunctions.Utility_DisplayArrayInTable(Scope3_SourceData.Scope3_Livestock_Data(), Table_SourceData_Scope3_Animals107[[#Headers],[Category]], 0, 2)</f>
        <v>SA</v>
      </c>
      <c r="G54" s="30" t="str" cm="1">
        <f t="array" ref="G54">Common_InputFunctions.Utility_DisplayArrayInTable(Scope3_SourceData.Scope3_Livestock_Data(), Table_SourceData_Scope3_Animals107[[#Headers],[Category]], 0, 2)</f>
        <v>kg liveweight</v>
      </c>
      <c r="H54" s="30" cm="1">
        <f t="array" ref="H54">Common_InputFunctions.Utility_DisplayArrayInTable(Scope3_SourceData.Scope3_Livestock_Data(), Table_SourceData_Scope3_Animals107[[#Headers],[Category]], 0, 2)</f>
        <v>10.8</v>
      </c>
      <c r="I54" s="30" t="str" cm="1">
        <f t="array" ref="I54">Common_InputFunctions.Utility_DisplayArrayInTable(Scope3_SourceData.Scope3_Livestock_Data(), Table_SourceData_Scope3_Animals107[[#Headers],[Category]], 0, 2)</f>
        <v>at market</v>
      </c>
    </row>
    <row r="55" spans="1:12" ht="20.100000000000001" customHeight="1" x14ac:dyDescent="0.25">
      <c r="A55" s="5"/>
      <c r="D55" s="30" t="str" cm="1">
        <f t="array" ref="D55">Common_InputFunctions.Utility_DisplayArrayInTable(Scope3_SourceData.Scope3_Livestock_Data(), Table_SourceData_Scope3_Animals107[[#Headers],[Category]], 0, 2)</f>
        <v>Beef cattle</v>
      </c>
      <c r="E55" s="30" t="str" cm="1">
        <f t="array" ref="E55">Common_InputFunctions.Utility_DisplayArrayInTable(Scope3_SourceData.Scope3_Livestock_Data(), Table_SourceData_Scope3_Animals107[[#Headers],[Category]], 0, 2)</f>
        <v>Cattle, weaners</v>
      </c>
      <c r="F55" s="30" t="str" cm="1">
        <f t="array" ref="F55">Common_InputFunctions.Utility_DisplayArrayInTable(Scope3_SourceData.Scope3_Livestock_Data(), Table_SourceData_Scope3_Animals107[[#Headers],[Category]], 0, 2)</f>
        <v>TAS</v>
      </c>
      <c r="G55" s="30" t="str" cm="1">
        <f t="array" ref="G55">Common_InputFunctions.Utility_DisplayArrayInTable(Scope3_SourceData.Scope3_Livestock_Data(), Table_SourceData_Scope3_Animals107[[#Headers],[Category]], 0, 2)</f>
        <v>kg liveweight</v>
      </c>
      <c r="H55" s="30" cm="1">
        <f t="array" ref="H55">Common_InputFunctions.Utility_DisplayArrayInTable(Scope3_SourceData.Scope3_Livestock_Data(), Table_SourceData_Scope3_Animals107[[#Headers],[Category]], 0, 2)</f>
        <v>13.4</v>
      </c>
      <c r="I55" s="30" t="str" cm="1">
        <f t="array" ref="I55">Common_InputFunctions.Utility_DisplayArrayInTable(Scope3_SourceData.Scope3_Livestock_Data(), Table_SourceData_Scope3_Animals107[[#Headers],[Category]], 0, 2)</f>
        <v>at market</v>
      </c>
    </row>
    <row r="56" spans="1:12" ht="20.100000000000001" customHeight="1" x14ac:dyDescent="0.25">
      <c r="A56" s="5"/>
      <c r="D56" s="30" t="str" cm="1">
        <f t="array" ref="D56">Common_InputFunctions.Utility_DisplayArrayInTable(Scope3_SourceData.Scope3_Livestock_Data(), Table_SourceData_Scope3_Animals107[[#Headers],[Category]], 0, 2)</f>
        <v>Beef cattle</v>
      </c>
      <c r="E56" s="30" t="str" cm="1">
        <f t="array" ref="E56">Common_InputFunctions.Utility_DisplayArrayInTable(Scope3_SourceData.Scope3_Livestock_Data(), Table_SourceData_Scope3_Animals107[[#Headers],[Category]], 0, 2)</f>
        <v>Cattle, weaners</v>
      </c>
      <c r="F56" s="30" t="str" cm="1">
        <f t="array" ref="F56">Common_InputFunctions.Utility_DisplayArrayInTable(Scope3_SourceData.Scope3_Livestock_Data(), Table_SourceData_Scope3_Animals107[[#Headers],[Category]], 0, 2)</f>
        <v>VIC</v>
      </c>
      <c r="G56" s="30" t="str" cm="1">
        <f t="array" ref="G56">Common_InputFunctions.Utility_DisplayArrayInTable(Scope3_SourceData.Scope3_Livestock_Data(), Table_SourceData_Scope3_Animals107[[#Headers],[Category]], 0, 2)</f>
        <v>kg liveweight</v>
      </c>
      <c r="H56" s="30" cm="1">
        <f t="array" ref="H56">Common_InputFunctions.Utility_DisplayArrayInTable(Scope3_SourceData.Scope3_Livestock_Data(), Table_SourceData_Scope3_Animals107[[#Headers],[Category]], 0, 2)</f>
        <v>12</v>
      </c>
      <c r="I56" s="30" t="str" cm="1">
        <f t="array" ref="I56">Common_InputFunctions.Utility_DisplayArrayInTable(Scope3_SourceData.Scope3_Livestock_Data(), Table_SourceData_Scope3_Animals107[[#Headers],[Category]], 0, 2)</f>
        <v>at market</v>
      </c>
    </row>
    <row r="57" spans="1:12" ht="20.100000000000001" customHeight="1" x14ac:dyDescent="0.25">
      <c r="A57" s="5"/>
      <c r="D57" s="30" t="str" cm="1">
        <f t="array" ref="D57">Common_InputFunctions.Utility_DisplayArrayInTable(Scope3_SourceData.Scope3_Livestock_Data(), Table_SourceData_Scope3_Animals107[[#Headers],[Category]], 0, 2)</f>
        <v>Beef cattle</v>
      </c>
      <c r="E57" s="30" t="str" cm="1">
        <f t="array" ref="E57">Common_InputFunctions.Utility_DisplayArrayInTable(Scope3_SourceData.Scope3_Livestock_Data(), Table_SourceData_Scope3_Animals107[[#Headers],[Category]], 0, 2)</f>
        <v>Cattle, weaners</v>
      </c>
      <c r="F57" s="30" t="str" cm="1">
        <f t="array" ref="F57">Common_InputFunctions.Utility_DisplayArrayInTable(Scope3_SourceData.Scope3_Livestock_Data(), Table_SourceData_Scope3_Animals107[[#Headers],[Category]], 0, 2)</f>
        <v>WA</v>
      </c>
      <c r="G57" s="30" t="str" cm="1">
        <f t="array" ref="G57">Common_InputFunctions.Utility_DisplayArrayInTable(Scope3_SourceData.Scope3_Livestock_Data(), Table_SourceData_Scope3_Animals107[[#Headers],[Category]], 0, 2)</f>
        <v>kg liveweight</v>
      </c>
      <c r="H57" s="30" cm="1">
        <f t="array" ref="H57">Common_InputFunctions.Utility_DisplayArrayInTable(Scope3_SourceData.Scope3_Livestock_Data(), Table_SourceData_Scope3_Animals107[[#Headers],[Category]], 0, 2)</f>
        <v>12.4</v>
      </c>
      <c r="I57" s="30" t="str" cm="1">
        <f t="array" ref="I57">Common_InputFunctions.Utility_DisplayArrayInTable(Scope3_SourceData.Scope3_Livestock_Data(), Table_SourceData_Scope3_Animals107[[#Headers],[Category]], 0, 2)</f>
        <v>at market</v>
      </c>
    </row>
    <row r="58" spans="1:12" ht="20.100000000000001" customHeight="1" x14ac:dyDescent="0.25">
      <c r="A58" s="101"/>
      <c r="D58" s="30" t="str" cm="1">
        <f t="array" ref="D58">Common_InputFunctions.Utility_DisplayArrayInTable(Scope3_SourceData.Scope3_Livestock_Data(), Table_SourceData_Scope3_Animals107[[#Headers],[Category]], 0, 2)</f>
        <v>Chickens</v>
      </c>
      <c r="E58" s="30" t="str" cm="1">
        <f t="array" ref="E58">Common_InputFunctions.Utility_DisplayArrayInTable(Scope3_SourceData.Scope3_Livestock_Data(), Table_SourceData_Scope3_Animals107[[#Headers],[Category]], 0, 2)</f>
        <v>Chickens</v>
      </c>
      <c r="F58" s="30" t="str" cm="1">
        <f t="array" ref="F58">Common_InputFunctions.Utility_DisplayArrayInTable(Scope3_SourceData.Scope3_Livestock_Data(), Table_SourceData_Scope3_Animals107[[#Headers],[Category]], 0, 2)</f>
        <v>Australia</v>
      </c>
      <c r="G58" s="30" t="str" cm="1">
        <f t="array" ref="G58">Common_InputFunctions.Utility_DisplayArrayInTable(Scope3_SourceData.Scope3_Livestock_Data(), Table_SourceData_Scope3_Animals107[[#Headers],[Category]], 0, 2)</f>
        <v>kg liveweight</v>
      </c>
      <c r="H58" s="30" cm="1">
        <f t="array" ref="H58">Common_InputFunctions.Utility_DisplayArrayInTable(Scope3_SourceData.Scope3_Livestock_Data(), Table_SourceData_Scope3_Animals107[[#Headers],[Category]], 0, 2)</f>
        <v>1.36</v>
      </c>
      <c r="I58" s="30" t="str" cm="1">
        <f t="array" ref="I58">Common_InputFunctions.Utility_DisplayArrayInTable(Scope3_SourceData.Scope3_Livestock_Data(), Table_SourceData_Scope3_Animals107[[#Headers],[Category]], 0, 2)</f>
        <v>at market</v>
      </c>
    </row>
    <row r="59" spans="1:12" ht="20.100000000000001" customHeight="1" x14ac:dyDescent="0.25">
      <c r="A59" s="5"/>
      <c r="D59" s="30" t="str" cm="1">
        <f t="array" ref="D59">Common_InputFunctions.Utility_DisplayArrayInTable(Scope3_SourceData.Scope3_Livestock_Data(), Table_SourceData_Scope3_Animals107[[#Headers],[Category]], 0, 2)</f>
        <v>Dairy cattle</v>
      </c>
      <c r="E59" s="30" t="str" cm="1">
        <f t="array" ref="E59">Common_InputFunctions.Utility_DisplayArrayInTable(Scope3_SourceData.Scope3_Livestock_Data(), Table_SourceData_Scope3_Animals107[[#Headers],[Category]], 0, 2)</f>
        <v>Dairy cows</v>
      </c>
      <c r="F59" s="30" t="str" cm="1">
        <f t="array" ref="F59">Common_InputFunctions.Utility_DisplayArrayInTable(Scope3_SourceData.Scope3_Livestock_Data(), Table_SourceData_Scope3_Animals107[[#Headers],[Category]], 0, 2)</f>
        <v>VIC</v>
      </c>
      <c r="G59" s="30" t="str" cm="1">
        <f t="array" ref="G59">Common_InputFunctions.Utility_DisplayArrayInTable(Scope3_SourceData.Scope3_Livestock_Data(), Table_SourceData_Scope3_Animals107[[#Headers],[Category]], 0, 2)</f>
        <v>kg liveweight</v>
      </c>
      <c r="H59" s="30" cm="1">
        <f t="array" ref="H59">Common_InputFunctions.Utility_DisplayArrayInTable(Scope3_SourceData.Scope3_Livestock_Data(), Table_SourceData_Scope3_Animals107[[#Headers],[Category]], 0, 2)</f>
        <v>4.41</v>
      </c>
      <c r="I59" s="30" t="str" cm="1">
        <f t="array" ref="I59">Common_InputFunctions.Utility_DisplayArrayInTable(Scope3_SourceData.Scope3_Livestock_Data(), Table_SourceData_Scope3_Animals107[[#Headers],[Category]], 0, 2)</f>
        <v>at market</v>
      </c>
    </row>
    <row r="60" spans="1:12" ht="20.100000000000001" customHeight="1" x14ac:dyDescent="0.25">
      <c r="A60" s="5"/>
      <c r="D60" s="30" t="str" cm="1">
        <f t="array" ref="D60">Common_InputFunctions.Utility_DisplayArrayInTable(Scope3_SourceData.Scope3_Livestock_Data(), Table_SourceData_Scope3_Animals107[[#Headers],[Category]], 0, 2)</f>
        <v>Pigs</v>
      </c>
      <c r="E60" s="30" t="str" cm="1">
        <f t="array" ref="E60">Common_InputFunctions.Utility_DisplayArrayInTable(Scope3_SourceData.Scope3_Livestock_Data(), Table_SourceData_Scope3_Animals107[[#Headers],[Category]], 0, 2)</f>
        <v>Pigs</v>
      </c>
      <c r="F60" s="30" t="str" cm="1">
        <f t="array" ref="F60">Common_InputFunctions.Utility_DisplayArrayInTable(Scope3_SourceData.Scope3_Livestock_Data(), Table_SourceData_Scope3_Animals107[[#Headers],[Category]], 0, 2)</f>
        <v>Australia</v>
      </c>
      <c r="G60" s="30" t="str" cm="1">
        <f t="array" ref="G60">Common_InputFunctions.Utility_DisplayArrayInTable(Scope3_SourceData.Scope3_Livestock_Data(), Table_SourceData_Scope3_Animals107[[#Headers],[Category]], 0, 2)</f>
        <v>kg liveweight</v>
      </c>
      <c r="H60" s="30" cm="1">
        <f t="array" ref="H60">Common_InputFunctions.Utility_DisplayArrayInTable(Scope3_SourceData.Scope3_Livestock_Data(), Table_SourceData_Scope3_Animals107[[#Headers],[Category]], 0, 2)</f>
        <v>3.38</v>
      </c>
      <c r="I60" s="30" t="str" cm="1">
        <f t="array" ref="I60">Common_InputFunctions.Utility_DisplayArrayInTable(Scope3_SourceData.Scope3_Livestock_Data(), Table_SourceData_Scope3_Animals107[[#Headers],[Category]], 0, 2)</f>
        <v>at market</v>
      </c>
    </row>
    <row r="61" spans="1:12" ht="20.100000000000001" customHeight="1" x14ac:dyDescent="0.25">
      <c r="A61" s="5"/>
      <c r="D61" s="30" t="str" cm="1">
        <f t="array" ref="D61">Common_InputFunctions.Utility_DisplayArrayInTable(Scope3_SourceData.Scope3_Livestock_Data(), Table_SourceData_Scope3_Animals107[[#Headers],[Category]], 0, 2)</f>
        <v>Sheep</v>
      </c>
      <c r="E61" s="30" t="str" cm="1">
        <f t="array" ref="E61">Common_InputFunctions.Utility_DisplayArrayInTable(Scope3_SourceData.Scope3_Livestock_Data(), Table_SourceData_Scope3_Animals107[[#Headers],[Category]], 0, 2)</f>
        <v>Sheep, for mutton</v>
      </c>
      <c r="F61" s="30" t="str" cm="1">
        <f t="array" ref="F61">Common_InputFunctions.Utility_DisplayArrayInTable(Scope3_SourceData.Scope3_Livestock_Data(), Table_SourceData_Scope3_Animals107[[#Headers],[Category]], 0, 2)</f>
        <v>Australia</v>
      </c>
      <c r="G61" s="30" t="str" cm="1">
        <f t="array" ref="G61">Common_InputFunctions.Utility_DisplayArrayInTable(Scope3_SourceData.Scope3_Livestock_Data(), Table_SourceData_Scope3_Animals107[[#Headers],[Category]], 0, 2)</f>
        <v>kg liveweight</v>
      </c>
      <c r="H61" s="30" cm="1">
        <f t="array" ref="H61">Common_InputFunctions.Utility_DisplayArrayInTable(Scope3_SourceData.Scope3_Livestock_Data(), Table_SourceData_Scope3_Animals107[[#Headers],[Category]], 0, 2)</f>
        <v>6.81</v>
      </c>
      <c r="I61" s="30" t="str" cm="1">
        <f t="array" ref="I61">Common_InputFunctions.Utility_DisplayArrayInTable(Scope3_SourceData.Scope3_Livestock_Data(), Table_SourceData_Scope3_Animals107[[#Headers],[Category]], 0, 2)</f>
        <v>at market</v>
      </c>
    </row>
    <row r="62" spans="1:12" ht="20.100000000000001" customHeight="1" x14ac:dyDescent="0.25">
      <c r="A62"/>
      <c r="D62" s="30" t="str" cm="1">
        <f t="array" ref="D62">Common_InputFunctions.Utility_DisplayArrayInTable(Scope3_SourceData.Scope3_Livestock_Data(), Table_SourceData_Scope3_Animals107[[#Headers],[Category]], 0, 2)</f>
        <v>Sheep</v>
      </c>
      <c r="E62" s="30" t="str" cm="1">
        <f t="array" ref="E62">Common_InputFunctions.Utility_DisplayArrayInTable(Scope3_SourceData.Scope3_Livestock_Data(), Table_SourceData_Scope3_Animals107[[#Headers],[Category]], 0, 2)</f>
        <v>Sheep, for mutton</v>
      </c>
      <c r="F62" s="30" t="str" cm="1">
        <f t="array" ref="F62">Common_InputFunctions.Utility_DisplayArrayInTable(Scope3_SourceData.Scope3_Livestock_Data(), Table_SourceData_Scope3_Animals107[[#Headers],[Category]], 0, 2)</f>
        <v>NSW</v>
      </c>
      <c r="G62" s="30" t="str" cm="1">
        <f t="array" ref="G62">Common_InputFunctions.Utility_DisplayArrayInTable(Scope3_SourceData.Scope3_Livestock_Data(), Table_SourceData_Scope3_Animals107[[#Headers],[Category]], 0, 2)</f>
        <v>kg liveweight</v>
      </c>
      <c r="H62" s="30" cm="1">
        <f t="array" ref="H62">Common_InputFunctions.Utility_DisplayArrayInTable(Scope3_SourceData.Scope3_Livestock_Data(), Table_SourceData_Scope3_Animals107[[#Headers],[Category]], 0, 2)</f>
        <v>2.2599999999999998</v>
      </c>
      <c r="I62" s="30" t="str" cm="1">
        <f t="array" ref="I62">Common_InputFunctions.Utility_DisplayArrayInTable(Scope3_SourceData.Scope3_Livestock_Data(), Table_SourceData_Scope3_Animals107[[#Headers],[Category]], 0, 2)</f>
        <v>at market</v>
      </c>
    </row>
    <row r="63" spans="1:12" ht="20.100000000000001" customHeight="1" x14ac:dyDescent="0.25">
      <c r="A63"/>
      <c r="D63" s="30" t="str" cm="1">
        <f t="array" ref="D63">Common_InputFunctions.Utility_DisplayArrayInTable(Scope3_SourceData.Scope3_Livestock_Data(), Table_SourceData_Scope3_Animals107[[#Headers],[Category]], 0, 2)</f>
        <v>Sheep</v>
      </c>
      <c r="E63" s="30" t="str" cm="1">
        <f t="array" ref="E63">Common_InputFunctions.Utility_DisplayArrayInTable(Scope3_SourceData.Scope3_Livestock_Data(), Table_SourceData_Scope3_Animals107[[#Headers],[Category]], 0, 2)</f>
        <v>Sheep, for mutton</v>
      </c>
      <c r="F63" s="30" t="str" cm="1">
        <f t="array" ref="F63">Common_InputFunctions.Utility_DisplayArrayInTable(Scope3_SourceData.Scope3_Livestock_Data(), Table_SourceData_Scope3_Animals107[[#Headers],[Category]], 0, 2)</f>
        <v>QLD</v>
      </c>
      <c r="G63" s="30" t="str" cm="1">
        <f t="array" ref="G63">Common_InputFunctions.Utility_DisplayArrayInTable(Scope3_SourceData.Scope3_Livestock_Data(), Table_SourceData_Scope3_Animals107[[#Headers],[Category]], 0, 2)</f>
        <v>kg liveweight</v>
      </c>
      <c r="H63" s="30" cm="1">
        <f t="array" ref="H63">Common_InputFunctions.Utility_DisplayArrayInTable(Scope3_SourceData.Scope3_Livestock_Data(), Table_SourceData_Scope3_Animals107[[#Headers],[Category]], 0, 2)</f>
        <v>6.33</v>
      </c>
      <c r="I63" s="30" t="str" cm="1">
        <f t="array" ref="I63">Common_InputFunctions.Utility_DisplayArrayInTable(Scope3_SourceData.Scope3_Livestock_Data(), Table_SourceData_Scope3_Animals107[[#Headers],[Category]], 0, 2)</f>
        <v>at market</v>
      </c>
    </row>
    <row r="64" spans="1:12" ht="20.100000000000001" customHeight="1" x14ac:dyDescent="0.25">
      <c r="A64"/>
      <c r="D64" s="30" t="str" cm="1">
        <f t="array" ref="D64">Common_InputFunctions.Utility_DisplayArrayInTable(Scope3_SourceData.Scope3_Livestock_Data(), Table_SourceData_Scope3_Animals107[[#Headers],[Category]], 0, 2)</f>
        <v>Sheep</v>
      </c>
      <c r="E64" s="30" t="str" cm="1">
        <f t="array" ref="E64">Common_InputFunctions.Utility_DisplayArrayInTable(Scope3_SourceData.Scope3_Livestock_Data(), Table_SourceData_Scope3_Animals107[[#Headers],[Category]], 0, 2)</f>
        <v>Sheep, for mutton</v>
      </c>
      <c r="F64" s="30" t="str" cm="1">
        <f t="array" ref="F64">Common_InputFunctions.Utility_DisplayArrayInTable(Scope3_SourceData.Scope3_Livestock_Data(), Table_SourceData_Scope3_Animals107[[#Headers],[Category]], 0, 2)</f>
        <v>SA</v>
      </c>
      <c r="G64" s="30" t="str" cm="1">
        <f t="array" ref="G64">Common_InputFunctions.Utility_DisplayArrayInTable(Scope3_SourceData.Scope3_Livestock_Data(), Table_SourceData_Scope3_Animals107[[#Headers],[Category]], 0, 2)</f>
        <v>kg liveweight</v>
      </c>
      <c r="H64" s="30" cm="1">
        <f t="array" ref="H64">Common_InputFunctions.Utility_DisplayArrayInTable(Scope3_SourceData.Scope3_Livestock_Data(), Table_SourceData_Scope3_Animals107[[#Headers],[Category]], 0, 2)</f>
        <v>6.18</v>
      </c>
      <c r="I64" s="30" t="str" cm="1">
        <f t="array" ref="I64">Common_InputFunctions.Utility_DisplayArrayInTable(Scope3_SourceData.Scope3_Livestock_Data(), Table_SourceData_Scope3_Animals107[[#Headers],[Category]], 0, 2)</f>
        <v>at market</v>
      </c>
    </row>
    <row r="65" spans="1:9" ht="20.100000000000001" customHeight="1" x14ac:dyDescent="0.25">
      <c r="A65"/>
      <c r="D65" s="30" t="str" cm="1">
        <f t="array" ref="D65">Common_InputFunctions.Utility_DisplayArrayInTable(Scope3_SourceData.Scope3_Livestock_Data(), Table_SourceData_Scope3_Animals107[[#Headers],[Category]], 0, 2)</f>
        <v>Sheep</v>
      </c>
      <c r="E65" s="30" t="str" cm="1">
        <f t="array" ref="E65">Common_InputFunctions.Utility_DisplayArrayInTable(Scope3_SourceData.Scope3_Livestock_Data(), Table_SourceData_Scope3_Animals107[[#Headers],[Category]], 0, 2)</f>
        <v>Sheep, for mutton</v>
      </c>
      <c r="F65" s="30" t="str" cm="1">
        <f t="array" ref="F65">Common_InputFunctions.Utility_DisplayArrayInTable(Scope3_SourceData.Scope3_Livestock_Data(), Table_SourceData_Scope3_Animals107[[#Headers],[Category]], 0, 2)</f>
        <v>TAS</v>
      </c>
      <c r="G65" s="30" t="str" cm="1">
        <f t="array" ref="G65">Common_InputFunctions.Utility_DisplayArrayInTable(Scope3_SourceData.Scope3_Livestock_Data(), Table_SourceData_Scope3_Animals107[[#Headers],[Category]], 0, 2)</f>
        <v>kg liveweight</v>
      </c>
      <c r="H65" s="30" cm="1">
        <f t="array" ref="H65">Common_InputFunctions.Utility_DisplayArrayInTable(Scope3_SourceData.Scope3_Livestock_Data(), Table_SourceData_Scope3_Animals107[[#Headers],[Category]], 0, 2)</f>
        <v>7.5</v>
      </c>
      <c r="I65" s="30" t="str" cm="1">
        <f t="array" ref="I65">Common_InputFunctions.Utility_DisplayArrayInTable(Scope3_SourceData.Scope3_Livestock_Data(), Table_SourceData_Scope3_Animals107[[#Headers],[Category]], 0, 2)</f>
        <v>at market</v>
      </c>
    </row>
    <row r="66" spans="1:9" ht="20.100000000000001" customHeight="1" x14ac:dyDescent="0.25">
      <c r="A66"/>
      <c r="D66" s="30" t="str" cm="1">
        <f t="array" ref="D66">Common_InputFunctions.Utility_DisplayArrayInTable(Scope3_SourceData.Scope3_Livestock_Data(), Table_SourceData_Scope3_Animals107[[#Headers],[Category]], 0, 2)</f>
        <v>Sheep</v>
      </c>
      <c r="E66" s="30" t="str" cm="1">
        <f t="array" ref="E66">Common_InputFunctions.Utility_DisplayArrayInTable(Scope3_SourceData.Scope3_Livestock_Data(), Table_SourceData_Scope3_Animals107[[#Headers],[Category]], 0, 2)</f>
        <v>Sheep, for mutton</v>
      </c>
      <c r="F66" s="30" t="str" cm="1">
        <f t="array" ref="F66">Common_InputFunctions.Utility_DisplayArrayInTable(Scope3_SourceData.Scope3_Livestock_Data(), Table_SourceData_Scope3_Animals107[[#Headers],[Category]], 0, 2)</f>
        <v>VIC</v>
      </c>
      <c r="G66" s="30" t="str" cm="1">
        <f t="array" ref="G66">Common_InputFunctions.Utility_DisplayArrayInTable(Scope3_SourceData.Scope3_Livestock_Data(), Table_SourceData_Scope3_Animals107[[#Headers],[Category]], 0, 2)</f>
        <v>kg liveweight</v>
      </c>
      <c r="H66" s="30" cm="1">
        <f t="array" ref="H66">Common_InputFunctions.Utility_DisplayArrayInTable(Scope3_SourceData.Scope3_Livestock_Data(), Table_SourceData_Scope3_Animals107[[#Headers],[Category]], 0, 2)</f>
        <v>8.08</v>
      </c>
      <c r="I66" s="30" t="str" cm="1">
        <f t="array" ref="I66">Common_InputFunctions.Utility_DisplayArrayInTable(Scope3_SourceData.Scope3_Livestock_Data(), Table_SourceData_Scope3_Animals107[[#Headers],[Category]], 0, 2)</f>
        <v>at market</v>
      </c>
    </row>
    <row r="67" spans="1:9" ht="20.100000000000001" customHeight="1" x14ac:dyDescent="0.25">
      <c r="A67"/>
      <c r="D67" s="30" t="str" cm="1">
        <f t="array" ref="D67">Common_InputFunctions.Utility_DisplayArrayInTable(Scope3_SourceData.Scope3_Livestock_Data(), Table_SourceData_Scope3_Animals107[[#Headers],[Category]], 0, 2)</f>
        <v>Sheep</v>
      </c>
      <c r="E67" s="30" t="str" cm="1">
        <f t="array" ref="E67">Common_InputFunctions.Utility_DisplayArrayInTable(Scope3_SourceData.Scope3_Livestock_Data(), Table_SourceData_Scope3_Animals107[[#Headers],[Category]], 0, 2)</f>
        <v>Sheep, for mutton</v>
      </c>
      <c r="F67" s="30" t="str" cm="1">
        <f t="array" ref="F67">Common_InputFunctions.Utility_DisplayArrayInTable(Scope3_SourceData.Scope3_Livestock_Data(), Table_SourceData_Scope3_Animals107[[#Headers],[Category]], 0, 2)</f>
        <v>WA</v>
      </c>
      <c r="G67" s="30" t="str" cm="1">
        <f t="array" ref="G67">Common_InputFunctions.Utility_DisplayArrayInTable(Scope3_SourceData.Scope3_Livestock_Data(), Table_SourceData_Scope3_Animals107[[#Headers],[Category]], 0, 2)</f>
        <v>kg liveweight</v>
      </c>
      <c r="H67" s="30" cm="1">
        <f t="array" ref="H67">Common_InputFunctions.Utility_DisplayArrayInTable(Scope3_SourceData.Scope3_Livestock_Data(), Table_SourceData_Scope3_Animals107[[#Headers],[Category]], 0, 2)</f>
        <v>5.45</v>
      </c>
      <c r="I67" s="30" t="str" cm="1">
        <f t="array" ref="I67">Common_InputFunctions.Utility_DisplayArrayInTable(Scope3_SourceData.Scope3_Livestock_Data(), Table_SourceData_Scope3_Animals107[[#Headers],[Category]], 0, 2)</f>
        <v>at market</v>
      </c>
    </row>
    <row r="68" spans="1:9" ht="20.100000000000001" customHeight="1" x14ac:dyDescent="0.25">
      <c r="A68"/>
      <c r="D68" s="30" t="str" cm="1">
        <f t="array" ref="D68">Common_InputFunctions.Utility_DisplayArrayInTable(Scope3_SourceData.Scope3_Livestock_Data(), Table_SourceData_Scope3_Animals107[[#Headers],[Category]], 0, 2)</f>
        <v>Sheep</v>
      </c>
      <c r="E68" s="30" t="str" cm="1">
        <f t="array" ref="E68">Common_InputFunctions.Utility_DisplayArrayInTable(Scope3_SourceData.Scope3_Livestock_Data(), Table_SourceData_Scope3_Animals107[[#Headers],[Category]], 0, 2)</f>
        <v>Sheep, for prime lamb</v>
      </c>
      <c r="F68" s="30" t="str" cm="1">
        <f t="array" ref="F68">Common_InputFunctions.Utility_DisplayArrayInTable(Scope3_SourceData.Scope3_Livestock_Data(), Table_SourceData_Scope3_Animals107[[#Headers],[Category]], 0, 2)</f>
        <v>Australia</v>
      </c>
      <c r="G68" s="30" t="str" cm="1">
        <f t="array" ref="G68">Common_InputFunctions.Utility_DisplayArrayInTable(Scope3_SourceData.Scope3_Livestock_Data(), Table_SourceData_Scope3_Animals107[[#Headers],[Category]], 0, 2)</f>
        <v>kg liveweight</v>
      </c>
      <c r="H68" s="30" cm="1">
        <f t="array" ref="H68">Common_InputFunctions.Utility_DisplayArrayInTable(Scope3_SourceData.Scope3_Livestock_Data(), Table_SourceData_Scope3_Animals107[[#Headers],[Category]], 0, 2)</f>
        <v>7.15</v>
      </c>
      <c r="I68" s="30" t="str" cm="1">
        <f t="array" ref="I68">Common_InputFunctions.Utility_DisplayArrayInTable(Scope3_SourceData.Scope3_Livestock_Data(), Table_SourceData_Scope3_Animals107[[#Headers],[Category]], 0, 2)</f>
        <v>at market</v>
      </c>
    </row>
    <row r="69" spans="1:9" ht="20.100000000000001" customHeight="1" x14ac:dyDescent="0.25">
      <c r="A69"/>
      <c r="D69" s="30" t="str" cm="1">
        <f t="array" ref="D69">Common_InputFunctions.Utility_DisplayArrayInTable(Scope3_SourceData.Scope3_Livestock_Data(), Table_SourceData_Scope3_Animals107[[#Headers],[Category]], 0, 2)</f>
        <v>Sheep</v>
      </c>
      <c r="E69" s="30" t="str" cm="1">
        <f t="array" ref="E69">Common_InputFunctions.Utility_DisplayArrayInTable(Scope3_SourceData.Scope3_Livestock_Data(), Table_SourceData_Scope3_Animals107[[#Headers],[Category]], 0, 2)</f>
        <v>Sheep, for prime lamb</v>
      </c>
      <c r="F69" s="30" t="str" cm="1">
        <f t="array" ref="F69">Common_InputFunctions.Utility_DisplayArrayInTable(Scope3_SourceData.Scope3_Livestock_Data(), Table_SourceData_Scope3_Animals107[[#Headers],[Category]], 0, 2)</f>
        <v>NSW</v>
      </c>
      <c r="G69" s="30" t="str" cm="1">
        <f t="array" ref="G69">Common_InputFunctions.Utility_DisplayArrayInTable(Scope3_SourceData.Scope3_Livestock_Data(), Table_SourceData_Scope3_Animals107[[#Headers],[Category]], 0, 2)</f>
        <v>kg liveweight</v>
      </c>
      <c r="H69" s="30" cm="1">
        <f t="array" ref="H69">Common_InputFunctions.Utility_DisplayArrayInTable(Scope3_SourceData.Scope3_Livestock_Data(), Table_SourceData_Scope3_Animals107[[#Headers],[Category]], 0, 2)</f>
        <v>8.2899999999999991</v>
      </c>
      <c r="I69" s="30" t="str" cm="1">
        <f t="array" ref="I69">Common_InputFunctions.Utility_DisplayArrayInTable(Scope3_SourceData.Scope3_Livestock_Data(), Table_SourceData_Scope3_Animals107[[#Headers],[Category]], 0, 2)</f>
        <v>at market</v>
      </c>
    </row>
    <row r="70" spans="1:9" ht="20.100000000000001" customHeight="1" x14ac:dyDescent="0.25">
      <c r="A70"/>
      <c r="D70" s="30" t="str" cm="1">
        <f t="array" ref="D70">Common_InputFunctions.Utility_DisplayArrayInTable(Scope3_SourceData.Scope3_Livestock_Data(), Table_SourceData_Scope3_Animals107[[#Headers],[Category]], 0, 2)</f>
        <v>Sheep</v>
      </c>
      <c r="E70" s="30" t="str" cm="1">
        <f t="array" ref="E70">Common_InputFunctions.Utility_DisplayArrayInTable(Scope3_SourceData.Scope3_Livestock_Data(), Table_SourceData_Scope3_Animals107[[#Headers],[Category]], 0, 2)</f>
        <v>Sheep, for prime lamb</v>
      </c>
      <c r="F70" s="30" t="str" cm="1">
        <f t="array" ref="F70">Common_InputFunctions.Utility_DisplayArrayInTable(Scope3_SourceData.Scope3_Livestock_Data(), Table_SourceData_Scope3_Animals107[[#Headers],[Category]], 0, 2)</f>
        <v>QLD</v>
      </c>
      <c r="G70" s="30" t="str" cm="1">
        <f t="array" ref="G70">Common_InputFunctions.Utility_DisplayArrayInTable(Scope3_SourceData.Scope3_Livestock_Data(), Table_SourceData_Scope3_Animals107[[#Headers],[Category]], 0, 2)</f>
        <v>kg liveweight</v>
      </c>
      <c r="H70" s="30" cm="1">
        <f t="array" ref="H70">Common_InputFunctions.Utility_DisplayArrayInTable(Scope3_SourceData.Scope3_Livestock_Data(), Table_SourceData_Scope3_Animals107[[#Headers],[Category]], 0, 2)</f>
        <v>6.39</v>
      </c>
      <c r="I70" s="30" t="str" cm="1">
        <f t="array" ref="I70">Common_InputFunctions.Utility_DisplayArrayInTable(Scope3_SourceData.Scope3_Livestock_Data(), Table_SourceData_Scope3_Animals107[[#Headers],[Category]], 0, 2)</f>
        <v>at market</v>
      </c>
    </row>
    <row r="71" spans="1:9" ht="20.100000000000001" customHeight="1" x14ac:dyDescent="0.25">
      <c r="A71"/>
      <c r="D71" s="30" t="str" cm="1">
        <f t="array" ref="D71">Common_InputFunctions.Utility_DisplayArrayInTable(Scope3_SourceData.Scope3_Livestock_Data(), Table_SourceData_Scope3_Animals107[[#Headers],[Category]], 0, 2)</f>
        <v>Sheep</v>
      </c>
      <c r="E71" s="30" t="str" cm="1">
        <f t="array" ref="E71">Common_InputFunctions.Utility_DisplayArrayInTable(Scope3_SourceData.Scope3_Livestock_Data(), Table_SourceData_Scope3_Animals107[[#Headers],[Category]], 0, 2)</f>
        <v>Sheep, for prime lamb</v>
      </c>
      <c r="F71" s="30" t="str" cm="1">
        <f t="array" ref="F71">Common_InputFunctions.Utility_DisplayArrayInTable(Scope3_SourceData.Scope3_Livestock_Data(), Table_SourceData_Scope3_Animals107[[#Headers],[Category]], 0, 2)</f>
        <v>SA</v>
      </c>
      <c r="G71" s="30" t="str" cm="1">
        <f t="array" ref="G71">Common_InputFunctions.Utility_DisplayArrayInTable(Scope3_SourceData.Scope3_Livestock_Data(), Table_SourceData_Scope3_Animals107[[#Headers],[Category]], 0, 2)</f>
        <v>kg liveweight</v>
      </c>
      <c r="H71" s="30" cm="1">
        <f t="array" ref="H71">Common_InputFunctions.Utility_DisplayArrayInTable(Scope3_SourceData.Scope3_Livestock_Data(), Table_SourceData_Scope3_Animals107[[#Headers],[Category]], 0, 2)</f>
        <v>6.87</v>
      </c>
      <c r="I71" s="30" t="str" cm="1">
        <f t="array" ref="I71">Common_InputFunctions.Utility_DisplayArrayInTable(Scope3_SourceData.Scope3_Livestock_Data(), Table_SourceData_Scope3_Animals107[[#Headers],[Category]], 0, 2)</f>
        <v>at market</v>
      </c>
    </row>
    <row r="72" spans="1:9" ht="20.100000000000001" customHeight="1" x14ac:dyDescent="0.25">
      <c r="A72"/>
      <c r="D72" s="30" t="str" cm="1">
        <f t="array" ref="D72">Common_InputFunctions.Utility_DisplayArrayInTable(Scope3_SourceData.Scope3_Livestock_Data(), Table_SourceData_Scope3_Animals107[[#Headers],[Category]], 0, 2)</f>
        <v>Sheep</v>
      </c>
      <c r="E72" s="30" t="str" cm="1">
        <f t="array" ref="E72">Common_InputFunctions.Utility_DisplayArrayInTable(Scope3_SourceData.Scope3_Livestock_Data(), Table_SourceData_Scope3_Animals107[[#Headers],[Category]], 0, 2)</f>
        <v>Sheep, for prime lamb</v>
      </c>
      <c r="F72" s="30" t="str" cm="1">
        <f t="array" ref="F72">Common_InputFunctions.Utility_DisplayArrayInTable(Scope3_SourceData.Scope3_Livestock_Data(), Table_SourceData_Scope3_Animals107[[#Headers],[Category]], 0, 2)</f>
        <v>TAS</v>
      </c>
      <c r="G72" s="30" t="str" cm="1">
        <f t="array" ref="G72">Common_InputFunctions.Utility_DisplayArrayInTable(Scope3_SourceData.Scope3_Livestock_Data(), Table_SourceData_Scope3_Animals107[[#Headers],[Category]], 0, 2)</f>
        <v>kg liveweight</v>
      </c>
      <c r="H72" s="30" cm="1">
        <f t="array" ref="H72">Common_InputFunctions.Utility_DisplayArrayInTable(Scope3_SourceData.Scope3_Livestock_Data(), Table_SourceData_Scope3_Animals107[[#Headers],[Category]], 0, 2)</f>
        <v>8.66</v>
      </c>
      <c r="I72" s="30" t="str" cm="1">
        <f t="array" ref="I72">Common_InputFunctions.Utility_DisplayArrayInTable(Scope3_SourceData.Scope3_Livestock_Data(), Table_SourceData_Scope3_Animals107[[#Headers],[Category]], 0, 2)</f>
        <v>at market</v>
      </c>
    </row>
    <row r="73" spans="1:9" ht="20.100000000000001" customHeight="1" x14ac:dyDescent="0.25">
      <c r="A73"/>
      <c r="D73" s="30" t="str" cm="1">
        <f t="array" ref="D73">Common_InputFunctions.Utility_DisplayArrayInTable(Scope3_SourceData.Scope3_Livestock_Data(), Table_SourceData_Scope3_Animals107[[#Headers],[Category]], 0, 2)</f>
        <v>Sheep</v>
      </c>
      <c r="E73" s="30" t="str" cm="1">
        <f t="array" ref="E73">Common_InputFunctions.Utility_DisplayArrayInTable(Scope3_SourceData.Scope3_Livestock_Data(), Table_SourceData_Scope3_Animals107[[#Headers],[Category]], 0, 2)</f>
        <v>Sheep, for prime lamb</v>
      </c>
      <c r="F73" s="30" t="str" cm="1">
        <f t="array" ref="F73">Common_InputFunctions.Utility_DisplayArrayInTable(Scope3_SourceData.Scope3_Livestock_Data(), Table_SourceData_Scope3_Animals107[[#Headers],[Category]], 0, 2)</f>
        <v>VIC</v>
      </c>
      <c r="G73" s="30" t="str" cm="1">
        <f t="array" ref="G73">Common_InputFunctions.Utility_DisplayArrayInTable(Scope3_SourceData.Scope3_Livestock_Data(), Table_SourceData_Scope3_Animals107[[#Headers],[Category]], 0, 2)</f>
        <v>kg liveweight</v>
      </c>
      <c r="H73" s="30" cm="1">
        <f t="array" ref="H73">Common_InputFunctions.Utility_DisplayArrayInTable(Scope3_SourceData.Scope3_Livestock_Data(), Table_SourceData_Scope3_Animals107[[#Headers],[Category]], 0, 2)</f>
        <v>10</v>
      </c>
      <c r="I73" s="30" t="str" cm="1">
        <f t="array" ref="I73">Common_InputFunctions.Utility_DisplayArrayInTable(Scope3_SourceData.Scope3_Livestock_Data(), Table_SourceData_Scope3_Animals107[[#Headers],[Category]], 0, 2)</f>
        <v>at market</v>
      </c>
    </row>
    <row r="74" spans="1:9" ht="20.100000000000001" customHeight="1" x14ac:dyDescent="0.25">
      <c r="A74"/>
      <c r="D74" s="30" t="str" cm="1">
        <f t="array" ref="D74">Common_InputFunctions.Utility_DisplayArrayInTable(Scope3_SourceData.Scope3_Livestock_Data(), Table_SourceData_Scope3_Animals107[[#Headers],[Category]], 0, 2)</f>
        <v>Sheep</v>
      </c>
      <c r="E74" s="30" t="str" cm="1">
        <f t="array" ref="E74">Common_InputFunctions.Utility_DisplayArrayInTable(Scope3_SourceData.Scope3_Livestock_Data(), Table_SourceData_Scope3_Animals107[[#Headers],[Category]], 0, 2)</f>
        <v>Sheep, for prime lamb</v>
      </c>
      <c r="F74" s="30" t="str" cm="1">
        <f t="array" ref="F74">Common_InputFunctions.Utility_DisplayArrayInTable(Scope3_SourceData.Scope3_Livestock_Data(), Table_SourceData_Scope3_Animals107[[#Headers],[Category]], 0, 2)</f>
        <v>WA</v>
      </c>
      <c r="G74" s="30" t="str" cm="1">
        <f t="array" ref="G74">Common_InputFunctions.Utility_DisplayArrayInTable(Scope3_SourceData.Scope3_Livestock_Data(), Table_SourceData_Scope3_Animals107[[#Headers],[Category]], 0, 2)</f>
        <v>kg liveweight</v>
      </c>
      <c r="H74" s="30" cm="1">
        <f t="array" ref="H74">Common_InputFunctions.Utility_DisplayArrayInTable(Scope3_SourceData.Scope3_Livestock_Data(), Table_SourceData_Scope3_Animals107[[#Headers],[Category]], 0, 2)</f>
        <v>5.67</v>
      </c>
      <c r="I74" s="30" t="str" cm="1">
        <f t="array" ref="I74">Common_InputFunctions.Utility_DisplayArrayInTable(Scope3_SourceData.Scope3_Livestock_Data(), Table_SourceData_Scope3_Animals107[[#Headers],[Category]], 0, 2)</f>
        <v>at market</v>
      </c>
    </row>
    <row r="75" spans="1:9" ht="20.100000000000001" customHeight="1" x14ac:dyDescent="0.25">
      <c r="A75"/>
    </row>
    <row r="76" spans="1:9" ht="20.100000000000001" customHeight="1" x14ac:dyDescent="0.25">
      <c r="A76"/>
      <c r="D76" s="2" t="s">
        <v>1270</v>
      </c>
    </row>
    <row r="77" spans="1:9" ht="20.100000000000001" customHeight="1" x14ac:dyDescent="0.25">
      <c r="A77"/>
      <c r="D77" s="30" t="s">
        <v>551</v>
      </c>
      <c r="E77" s="30" t="s">
        <v>149</v>
      </c>
      <c r="F77" s="30" t="s">
        <v>552</v>
      </c>
      <c r="G77" s="30" t="s">
        <v>553</v>
      </c>
      <c r="H77" s="30" t="s">
        <v>554</v>
      </c>
      <c r="I77" s="30" t="s">
        <v>555</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551</v>
      </c>
      <c r="E82" s="30" t="s">
        <v>149</v>
      </c>
      <c r="F82" s="30" t="s">
        <v>552</v>
      </c>
      <c r="G82" s="30" t="s">
        <v>553</v>
      </c>
      <c r="H82" s="30" t="s">
        <v>554</v>
      </c>
      <c r="I82" s="30" t="s">
        <v>555</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1084</v>
      </c>
    </row>
    <row r="89" spans="1:16" ht="20.100000000000001" customHeight="1" x14ac:dyDescent="0.25">
      <c r="A89"/>
      <c r="D89" s="30" t="s">
        <v>551</v>
      </c>
      <c r="E89" s="30" t="s">
        <v>149</v>
      </c>
      <c r="F89" s="30" t="s">
        <v>552</v>
      </c>
      <c r="G89" s="30" t="s">
        <v>553</v>
      </c>
      <c r="H89" s="30" t="s">
        <v>554</v>
      </c>
      <c r="I89" s="30" t="s">
        <v>555</v>
      </c>
      <c r="K89" s="30" t="s">
        <v>149</v>
      </c>
      <c r="L89" s="30" t="s">
        <v>476</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149</v>
      </c>
      <c r="O90" s="30" t="s">
        <v>476</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149</v>
      </c>
      <c r="L98" s="30" t="s">
        <v>476</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149</v>
      </c>
      <c r="O105" s="30" t="s">
        <v>476</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149</v>
      </c>
      <c r="L110" s="30" t="s">
        <v>476</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149</v>
      </c>
      <c r="O118" s="30" t="s">
        <v>476</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149</v>
      </c>
      <c r="L125" s="30" t="s">
        <v>476</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149</v>
      </c>
      <c r="O131" s="30" t="s">
        <v>476</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149</v>
      </c>
      <c r="L138" s="30" t="s">
        <v>476</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149</v>
      </c>
      <c r="O144" s="30" t="s">
        <v>476</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9" t="s">
        <v>149</v>
      </c>
      <c r="L151" s="269" t="s">
        <v>476</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149</v>
      </c>
      <c r="O152" s="30" t="s">
        <v>476</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149</v>
      </c>
      <c r="L153" s="30" t="s">
        <v>476</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149</v>
      </c>
      <c r="O154" s="30" t="s">
        <v>476</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149</v>
      </c>
      <c r="L155" s="30" t="s">
        <v>476</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149</v>
      </c>
      <c r="O156" s="30" t="s">
        <v>476</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149</v>
      </c>
      <c r="L157" s="30" t="s">
        <v>476</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149</v>
      </c>
      <c r="O158" s="30" t="s">
        <v>476</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551</v>
      </c>
      <c r="E161" s="30" t="s">
        <v>149</v>
      </c>
      <c r="F161" s="30" t="s">
        <v>552</v>
      </c>
      <c r="G161" s="30" t="s">
        <v>553</v>
      </c>
      <c r="H161" s="30" t="s">
        <v>554</v>
      </c>
      <c r="I161" s="30" t="s">
        <v>555</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551</v>
      </c>
      <c r="E167" s="30" t="s">
        <v>149</v>
      </c>
      <c r="F167" s="30" t="s">
        <v>552</v>
      </c>
      <c r="G167" s="30" t="s">
        <v>553</v>
      </c>
      <c r="H167" s="30" t="s">
        <v>554</v>
      </c>
      <c r="I167" s="30" t="s">
        <v>555</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1271</v>
      </c>
    </row>
    <row r="173" spans="4:13" ht="20.100000000000001" customHeight="1" x14ac:dyDescent="0.25">
      <c r="D173" s="30" t="s">
        <v>551</v>
      </c>
      <c r="E173" s="30" t="s">
        <v>149</v>
      </c>
      <c r="F173" s="30" t="s">
        <v>552</v>
      </c>
      <c r="G173" s="30" t="s">
        <v>689</v>
      </c>
      <c r="H173" s="30" t="s">
        <v>591</v>
      </c>
      <c r="I173" s="30" t="s">
        <v>592</v>
      </c>
      <c r="J173" s="30" t="s">
        <v>1272</v>
      </c>
      <c r="K173" s="30" t="s">
        <v>553</v>
      </c>
      <c r="L173" s="30" t="s">
        <v>554</v>
      </c>
      <c r="M173" s="30" t="s">
        <v>555</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1273</v>
      </c>
      <c r="N200" s="30"/>
      <c r="O200" s="30"/>
      <c r="P200" s="30"/>
    </row>
    <row r="201" spans="4:16" ht="20.100000000000001" customHeight="1" x14ac:dyDescent="0.25">
      <c r="D201" s="30" t="s">
        <v>551</v>
      </c>
      <c r="E201" s="30" t="s">
        <v>149</v>
      </c>
      <c r="F201" s="30" t="s">
        <v>552</v>
      </c>
      <c r="G201" s="30" t="s">
        <v>553</v>
      </c>
      <c r="H201" s="30" t="s">
        <v>554</v>
      </c>
      <c r="I201" s="30" t="s">
        <v>555</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1274</v>
      </c>
    </row>
    <row r="212" spans="4:16" ht="20.100000000000001" customHeight="1" x14ac:dyDescent="0.25">
      <c r="D212" s="30" t="s">
        <v>551</v>
      </c>
      <c r="E212" s="30" t="s">
        <v>149</v>
      </c>
      <c r="F212" s="30" t="s">
        <v>552</v>
      </c>
      <c r="G212" s="30" t="s">
        <v>553</v>
      </c>
      <c r="H212" s="30" t="s">
        <v>554</v>
      </c>
      <c r="I212" s="30" t="s">
        <v>555</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1055</v>
      </c>
    </row>
    <row r="219" spans="4:16" ht="20.100000000000001" customHeight="1" x14ac:dyDescent="0.25">
      <c r="D219" s="30" t="s">
        <v>551</v>
      </c>
      <c r="E219" s="30" t="s">
        <v>149</v>
      </c>
      <c r="F219" s="30" t="s">
        <v>552</v>
      </c>
      <c r="G219" s="30" t="s">
        <v>553</v>
      </c>
      <c r="H219" s="30" t="s">
        <v>554</v>
      </c>
      <c r="I219" s="30" t="s">
        <v>555</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1275</v>
      </c>
    </row>
    <row r="234" spans="4:9" ht="20.100000000000001" customHeight="1" x14ac:dyDescent="0.25">
      <c r="D234" s="30" t="s">
        <v>551</v>
      </c>
      <c r="E234" s="30" t="s">
        <v>149</v>
      </c>
      <c r="F234" s="30" t="s">
        <v>552</v>
      </c>
      <c r="G234" s="30" t="s">
        <v>553</v>
      </c>
      <c r="H234" s="30" t="s">
        <v>554</v>
      </c>
      <c r="I234" s="30" t="s">
        <v>555</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39" workbookViewId="0" zoomScale="100" zoomScaleNormal="100">
      <selection activeCell="A61" sqref="A61"/>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27</v>
      </c>
    </row>
    <row r="2" spans="1:65" s="3" customFormat="1" ht="20.100000000000001" customHeight="1" x14ac:dyDescent="0.25">
      <c r="A2"/>
    </row>
    <row r="3" spans="1:65" ht="20.100000000000001" customHeight="1" x14ac:dyDescent="0.25">
      <c r="A3" s="5"/>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c r="BM4" s="35"/>
    </row>
    <row r="5" spans="1:65" ht="20.100000000000001" customHeight="1" x14ac:dyDescent="0.25">
      <c r="A5" s="5"/>
      <c r="D5" s="2" t="str" cm="1">
        <f t="array" ref="D5">Common_SourceData.Common_SourceData_AustralianStatesTerritories_Title()</f>
        <v>Australian states and territories</v>
      </c>
      <c r="BM5" s="35"/>
    </row>
    <row r="6" spans="1:65" ht="20.100000000000001" customHeight="1" x14ac:dyDescent="0.25">
      <c r="A6"/>
      <c r="D6" s="30" t="s">
        <v>28</v>
      </c>
      <c r="E6" s="30" t="s">
        <v>29</v>
      </c>
      <c r="F6" s="30" t="s">
        <v>30</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row>
    <row r="16" spans="1:65" ht="20.100000000000001" customHeight="1" x14ac:dyDescent="0.25">
      <c r="A16" s="5"/>
    </row>
    <row r="17" spans="1:4" ht="20.100000000000001" customHeight="1" x14ac:dyDescent="0.25">
      <c r="A17" s="5"/>
    </row>
    <row r="18" spans="1:4" ht="20.100000000000001" customHeight="1" x14ac:dyDescent="0.25">
      <c r="A18" s="5"/>
      <c r="D18" s="2" t="str" cm="1">
        <f t="array" ref="D18">Common_SourceData.Common_SourceData_WASA4Areas_Title()</f>
        <v>ABS Statistcal Areas Level 4 - Western Australia</v>
      </c>
    </row>
    <row r="19" spans="1:4" ht="20.100000000000001" customHeight="1" x14ac:dyDescent="0.25">
      <c r="A19" s="5"/>
      <c r="D19" s="27" t="str" cm="1">
        <f t="array" ref="D19">Common_SourceData.Common_SourceData_WASA4Areas_Source()</f>
        <v>Australian Bureau of Statistics (ABS) - Statistical Areas Level 2 - 2021 - Shapefile</v>
      </c>
    </row>
    <row r="20" spans="1:4" ht="20.100000000000001" customHeight="1" x14ac:dyDescent="0.25">
      <c r="A20" s="5"/>
      <c r="D20" s="30" t="s">
        <v>31</v>
      </c>
    </row>
    <row r="21" spans="1:4" ht="20.100000000000001" customHeight="1" x14ac:dyDescent="0.25">
      <c r="A21" s="5"/>
      <c r="D21" s="30" t="str" cm="1">
        <f t="array" ref="D21">Common_InputFunctions.Utility_DisplayArrayInTable(Common_SourceData.Common_SourceData_WASA4Areas_Data(), Table_WASA4Areas[[#Headers],[SA 4 Name]], 0)</f>
        <v>Bunbury</v>
      </c>
    </row>
    <row r="22" spans="1:4" ht="20.100000000000001" customHeight="1" x14ac:dyDescent="0.25">
      <c r="A22" s="5"/>
      <c r="D22" s="30" t="str" cm="1">
        <f t="array" ref="D22">Common_InputFunctions.Utility_DisplayArrayInTable(Common_SourceData.Common_SourceData_WASA4Areas_Data(), Table_WASA4Areas[[#Headers],[SA 4 Name]], 0)</f>
        <v>Mandurah</v>
      </c>
    </row>
    <row r="23" spans="1:4" ht="20.100000000000001" customHeight="1" x14ac:dyDescent="0.25">
      <c r="A23" s="5"/>
      <c r="D23" s="30" t="str" cm="1">
        <f t="array" ref="D23">Common_InputFunctions.Utility_DisplayArrayInTable(Common_SourceData.Common_SourceData_WASA4Areas_Data(), Table_WASA4Areas[[#Headers],[SA 4 Name]], 0)</f>
        <v>Perth - Inner</v>
      </c>
    </row>
    <row r="24" spans="1:4" ht="20.100000000000001" customHeight="1" x14ac:dyDescent="0.25">
      <c r="A24" s="5"/>
      <c r="D24" s="30" t="str" cm="1">
        <f t="array" ref="D24">Common_InputFunctions.Utility_DisplayArrayInTable(Common_SourceData.Common_SourceData_WASA4Areas_Data(), Table_WASA4Areas[[#Headers],[SA 4 Name]], 0)</f>
        <v>Perth - North East</v>
      </c>
    </row>
    <row r="25" spans="1:4" ht="20.100000000000001" customHeight="1" x14ac:dyDescent="0.25">
      <c r="A25" s="5"/>
      <c r="D25" s="30" t="str" cm="1">
        <f t="array" ref="D25">Common_InputFunctions.Utility_DisplayArrayInTable(Common_SourceData.Common_SourceData_WASA4Areas_Data(), Table_WASA4Areas[[#Headers],[SA 4 Name]], 0)</f>
        <v>Perth - North West</v>
      </c>
    </row>
    <row r="26" spans="1:4" ht="20.100000000000001" customHeight="1" x14ac:dyDescent="0.25">
      <c r="A26" s="5"/>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6"/>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row>
    <row r="32" spans="1:4" ht="20.100000000000001" customHeight="1" x14ac:dyDescent="0.25">
      <c r="A32" s="5"/>
    </row>
    <row r="33" spans="1:8" ht="20.100000000000001" customHeight="1" x14ac:dyDescent="0.25">
      <c r="A33" s="5"/>
    </row>
    <row r="34" spans="1:8" ht="20.100000000000001" customHeight="1" x14ac:dyDescent="0.25">
      <c r="A34" s="5"/>
      <c r="D34" s="2" t="str" cm="1">
        <f t="array" ref="D34">Common_SourceData.Common_SourceData_GWP_Title()</f>
        <v>Global warming potential for greenhouse gases</v>
      </c>
    </row>
    <row r="35" spans="1:8" ht="20.100000000000001" customHeight="1" x14ac:dyDescent="0.25">
      <c r="A35" s="5"/>
      <c r="D35" s="27" t="str" cm="1">
        <f t="array" ref="D35">Common_SourceData.Common_SourceData_GWP_Source()</f>
        <v>XXXXXXX</v>
      </c>
    </row>
    <row r="36" spans="1:8" ht="20.100000000000001" customHeight="1" x14ac:dyDescent="0.25">
      <c r="A36" s="5"/>
      <c r="D36" s="30" t="s">
        <v>32</v>
      </c>
      <c r="E36" s="30" t="s">
        <v>33</v>
      </c>
    </row>
    <row r="37" spans="1:8" ht="20.100000000000001" customHeight="1" x14ac:dyDescent="0.25">
      <c r="A37" s="5"/>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row>
    <row r="45" spans="1:8" ht="20.100000000000001" customHeight="1" x14ac:dyDescent="0.25">
      <c r="A45" s="5"/>
      <c r="D45" s="2" t="str" cm="1">
        <f t="array" ref="D45">Common_SourceData.Common_SourceData_ConvertGasElementalToMolecular_Title()</f>
        <v>Factor to convert elemental mass of gas to molecular mass</v>
      </c>
    </row>
    <row r="46" spans="1:8" ht="20.100000000000001" customHeight="1" x14ac:dyDescent="0.25">
      <c r="A46" s="5"/>
      <c r="D46" s="27" t="str" cm="1">
        <f t="array" ref="D46">Common_SourceData.Common_SourceData_ConvertGasElementalToMolecular_Source()</f>
        <v>XXXXXXX</v>
      </c>
    </row>
    <row r="47" spans="1:8" ht="20.100000000000001" customHeight="1" x14ac:dyDescent="0.25">
      <c r="A47" s="5"/>
      <c r="D47" s="30" t="s">
        <v>32</v>
      </c>
      <c r="E47" s="30" t="s">
        <v>34</v>
      </c>
      <c r="F47" s="30" t="s">
        <v>35</v>
      </c>
      <c r="G47" s="30" t="s">
        <v>36</v>
      </c>
      <c r="H47" s="30" t="s">
        <v>37</v>
      </c>
    </row>
    <row r="48" spans="1:8" ht="20.100000000000001" customHeight="1" x14ac:dyDescent="0.25">
      <c r="A48" s="5"/>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100"/>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row>
    <row r="56" spans="1:8" ht="20.100000000000001" customHeight="1" x14ac:dyDescent="0.25">
      <c r="A56" s="5"/>
    </row>
    <row r="57" spans="1:8" ht="20.100000000000001" customHeight="1" x14ac:dyDescent="0.25">
      <c r="A57" s="5"/>
      <c r="D57" s="2" t="str" cm="1">
        <f t="array" ref="D57">Common_SourceData.Common_SourceData_WetAndDryZones_Title()</f>
        <v>VEERG Australian wet and dry zones</v>
      </c>
    </row>
    <row r="58" spans="1:8" ht="20.100000000000001" customHeight="1" x14ac:dyDescent="0.25">
      <c r="A58" s="5"/>
      <c r="D58" s="27" t="str" cm="1">
        <f t="array" ref="D58">Common_SourceData.Common_SourceData_WetAndDryZones_Source()</f>
        <v>VEERG 2026: Table 1.2: Translating climate zones to wet and dry zones</v>
      </c>
    </row>
    <row r="59" spans="1:8" ht="20.100000000000001" customHeight="1" x14ac:dyDescent="0.25">
      <c r="A59" s="101"/>
      <c r="D59" s="36" t="str" cm="1">
        <f t="array" ref="D59:D61">"⚠️" &amp; Common_SourceData.Common_SourceData_WetAndDryZones_Variation()</f>
        <v>⚠️VARIATION OF SOURCE DATA:</v>
      </c>
    </row>
    <row r="60" spans="1:8" ht="20.100000000000001" customHeight="1" x14ac:dyDescent="0.25">
      <c r="A60" s="5"/>
      <c r="D60" s="36" t="str">
        <v>⚠️Added warm / cool temperate moist / dry - low frost and high temp classes to accommodate climate scenarios excluded by VEERG criteria.</v>
      </c>
    </row>
    <row r="61" spans="1:8" ht="20.100000000000001" customHeight="1" x14ac:dyDescent="0.25">
      <c r="A61" s="5"/>
      <c r="D61" s="36" t="str">
        <v>⚠️Fixed typo - Changed 'Fry' to 'Dry'.</v>
      </c>
    </row>
    <row r="62" spans="1:8" ht="20.100000000000001" customHeight="1" x14ac:dyDescent="0.25">
      <c r="A62"/>
    </row>
    <row r="63" spans="1:8" ht="20.100000000000001" customHeight="1" x14ac:dyDescent="0.25">
      <c r="A63"/>
      <c r="D63" s="30" t="s">
        <v>38</v>
      </c>
      <c r="E63" s="30" t="s">
        <v>39</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38</v>
      </c>
      <c r="E89" s="30" t="s">
        <v>40</v>
      </c>
      <c r="F89" s="30" t="s">
        <v>41</v>
      </c>
      <c r="G89" s="30" t="s">
        <v>42</v>
      </c>
      <c r="H89" s="30" t="s">
        <v>43</v>
      </c>
      <c r="I89" s="30" t="s">
        <v>44</v>
      </c>
      <c r="J89" s="30" t="s">
        <v>45</v>
      </c>
      <c r="K89" s="30" t="s">
        <v>46</v>
      </c>
      <c r="L89" s="30" t="s">
        <v>47</v>
      </c>
      <c r="M89" s="30" t="s">
        <v>48</v>
      </c>
      <c r="N89" s="30" t="s">
        <v>49</v>
      </c>
      <c r="O89" s="30" t="s">
        <v>50</v>
      </c>
      <c r="P89" s="30" t="s">
        <v>51</v>
      </c>
      <c r="Q89" s="30" t="s">
        <v>52</v>
      </c>
      <c r="R89" s="30" t="s">
        <v>53</v>
      </c>
      <c r="S89" s="30" t="s">
        <v>54</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55</v>
      </c>
      <c r="E109" s="30" t="s">
        <v>40</v>
      </c>
      <c r="F109" s="30" t="s">
        <v>56</v>
      </c>
      <c r="G109" s="30" t="s">
        <v>57</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58</v>
      </c>
      <c r="E119" s="30" t="s">
        <v>59</v>
      </c>
      <c r="F119" s="30" t="s">
        <v>47</v>
      </c>
      <c r="G119" s="30" t="s">
        <v>48</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60</v>
      </c>
      <c r="E127" s="30" t="s">
        <v>61</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62</v>
      </c>
      <c r="E134" t="s">
        <v>63</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64</v>
      </c>
      <c r="E142" s="30" t="s">
        <v>63</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65</v>
      </c>
      <c r="E153" s="30" t="s">
        <v>66</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67</v>
      </c>
      <c r="E186" s="30" t="s">
        <v>68</v>
      </c>
      <c r="F186" s="30" t="s">
        <v>69</v>
      </c>
      <c r="G186" s="30" t="s">
        <v>70</v>
      </c>
      <c r="H186" s="30" t="s">
        <v>71</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38</v>
      </c>
      <c r="E206" s="30" t="s">
        <v>72</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73</v>
      </c>
      <c r="E212" s="30" t="s">
        <v>74</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75</v>
      </c>
      <c r="E231" s="30" t="s">
        <v>76</v>
      </c>
      <c r="F231" s="37" t="s">
        <v>77</v>
      </c>
      <c r="G231" s="30" t="s">
        <v>78</v>
      </c>
      <c r="H231" s="30" t="s">
        <v>79</v>
      </c>
      <c r="I231" s="30" t="s">
        <v>80</v>
      </c>
      <c r="J231" s="30" t="s">
        <v>81</v>
      </c>
      <c r="K231" s="30" t="s">
        <v>82</v>
      </c>
      <c r="L231" s="30" t="s">
        <v>83</v>
      </c>
      <c r="M231" s="30" t="s">
        <v>84</v>
      </c>
      <c r="N231" s="30" t="s">
        <v>85</v>
      </c>
      <c r="O231" s="30" t="s">
        <v>86</v>
      </c>
      <c r="P231" s="30" t="s">
        <v>87</v>
      </c>
      <c r="Q231" s="30" t="s">
        <v>88</v>
      </c>
      <c r="R231" s="30" t="s">
        <v>89</v>
      </c>
      <c r="S231" s="30" t="s">
        <v>90</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 x14ac:dyDescent="0.25">
      <c r="D257" s="30" t="s">
        <v>91</v>
      </c>
      <c r="E257" s="30" t="s">
        <v>92</v>
      </c>
    </row>
    <row r="258" spans="4:6"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2" t="s">
        <v>207</v>
      </c>
    </row>
    <row r="264" spans="4:6" x14ac:dyDescent="0.25">
      <c r="D264" s="1" t="s">
        <v>208</v>
      </c>
    </row>
    <row r="265" spans="4:6" x14ac:dyDescent="0.25">
      <c r="D265" s="30" t="s">
        <v>209</v>
      </c>
      <c r="E265" s="30" t="s">
        <v>210</v>
      </c>
      <c r="F265" s="30" t="s">
        <v>203</v>
      </c>
    </row>
    <row r="266" spans="4:6" x14ac:dyDescent="0.25">
      <c r="D266" s="30" t="s">
        <v>211</v>
      </c>
      <c r="E266" s="30" t="s">
        <v>212</v>
      </c>
      <c r="F266" s="30">
        <v>5</v>
      </c>
    </row>
    <row r="267" spans="4:6" x14ac:dyDescent="0.25">
      <c r="D267" s="30" t="s">
        <v>213</v>
      </c>
      <c r="E267" s="30" t="s">
        <v>204</v>
      </c>
      <c r="F267" s="30">
        <v>4</v>
      </c>
    </row>
    <row r="268" spans="4:6" x14ac:dyDescent="0.25">
      <c r="D268" s="30" t="s">
        <v>214</v>
      </c>
      <c r="E268" s="30" t="s">
        <v>215</v>
      </c>
      <c r="F268" s="30">
        <v>3</v>
      </c>
    </row>
    <row r="269" spans="4:6" x14ac:dyDescent="0.25">
      <c r="D269" s="30" t="s">
        <v>216</v>
      </c>
      <c r="E269" s="30" t="s">
        <v>217</v>
      </c>
      <c r="F269" s="30">
        <v>2</v>
      </c>
    </row>
    <row r="270" spans="4:6" x14ac:dyDescent="0.25">
      <c r="D270" s="30" t="s">
        <v>218</v>
      </c>
      <c r="E270" s="30" t="s">
        <v>219</v>
      </c>
      <c r="F270" s="30">
        <v>1</v>
      </c>
    </row>
    <row r="273" spans="4:6" x14ac:dyDescent="0.25">
      <c r="D273" s="1" t="s">
        <v>220</v>
      </c>
    </row>
    <row r="274" spans="4:6" x14ac:dyDescent="0.25">
      <c r="D274" s="30" t="s">
        <v>209</v>
      </c>
      <c r="E274" s="30" t="s">
        <v>210</v>
      </c>
      <c r="F274" s="30" t="s">
        <v>203</v>
      </c>
    </row>
    <row r="275" spans="4:6" x14ac:dyDescent="0.25">
      <c r="D275" s="30" t="s">
        <v>221</v>
      </c>
      <c r="E275" s="30" t="s">
        <v>205</v>
      </c>
      <c r="F275" s="30">
        <v>5</v>
      </c>
    </row>
    <row r="276" spans="4:6" x14ac:dyDescent="0.25">
      <c r="D276" s="30" t="s">
        <v>222</v>
      </c>
      <c r="E276" s="30" t="s">
        <v>223</v>
      </c>
      <c r="F276" s="30">
        <v>4</v>
      </c>
    </row>
    <row r="277" spans="4:6" x14ac:dyDescent="0.25">
      <c r="D277" s="30" t="s">
        <v>224</v>
      </c>
      <c r="E277" s="30" t="s">
        <v>225</v>
      </c>
      <c r="F277" s="30">
        <v>3</v>
      </c>
    </row>
    <row r="278" spans="4:6" x14ac:dyDescent="0.25">
      <c r="D278" s="30" t="s">
        <v>226</v>
      </c>
      <c r="E278" s="30" t="s">
        <v>227</v>
      </c>
      <c r="F278" s="30">
        <v>2</v>
      </c>
    </row>
    <row r="279" spans="4:6" x14ac:dyDescent="0.25">
      <c r="D279" s="30" t="s">
        <v>228</v>
      </c>
      <c r="E279" s="30" t="s">
        <v>229</v>
      </c>
      <c r="F279" s="30">
        <v>1</v>
      </c>
    </row>
    <row r="282" spans="4:6" x14ac:dyDescent="0.25">
      <c r="D282" s="1" t="s">
        <v>230</v>
      </c>
    </row>
    <row r="283" spans="4:6" x14ac:dyDescent="0.25">
      <c r="D283" s="30" t="s">
        <v>209</v>
      </c>
      <c r="E283" s="30" t="s">
        <v>210</v>
      </c>
      <c r="F283" s="30" t="s">
        <v>203</v>
      </c>
    </row>
    <row r="284" spans="4:6" x14ac:dyDescent="0.25">
      <c r="D284" s="30" t="s">
        <v>231</v>
      </c>
      <c r="E284" s="30" t="s">
        <v>232</v>
      </c>
      <c r="F284" s="30">
        <v>5</v>
      </c>
    </row>
    <row r="285" spans="4:6" x14ac:dyDescent="0.25">
      <c r="D285" s="30" t="s">
        <v>233</v>
      </c>
      <c r="E285" s="30" t="s">
        <v>234</v>
      </c>
      <c r="F285" s="30">
        <v>4</v>
      </c>
    </row>
    <row r="286" spans="4:6" x14ac:dyDescent="0.25">
      <c r="D286" s="30" t="s">
        <v>235</v>
      </c>
      <c r="E286" s="30" t="s">
        <v>206</v>
      </c>
      <c r="F286" s="30">
        <v>3</v>
      </c>
    </row>
    <row r="287" spans="4:6" x14ac:dyDescent="0.25">
      <c r="D287" s="30" t="s">
        <v>236</v>
      </c>
      <c r="E287" s="30" t="s">
        <v>237</v>
      </c>
      <c r="F287" s="30">
        <v>2</v>
      </c>
    </row>
    <row r="288" spans="4:6" x14ac:dyDescent="0.25">
      <c r="D288" s="30" t="s">
        <v>238</v>
      </c>
      <c r="E288" s="30" t="s">
        <v>239</v>
      </c>
      <c r="F288" s="30">
        <v>1</v>
      </c>
    </row>
    <row r="291" spans="4:6" x14ac:dyDescent="0.25">
      <c r="D291" s="1" t="s">
        <v>240</v>
      </c>
    </row>
    <row r="292" spans="4:6" x14ac:dyDescent="0.25">
      <c r="D292" s="30" t="s">
        <v>209</v>
      </c>
      <c r="E292" s="30" t="s">
        <v>210</v>
      </c>
      <c r="F292" s="30" t="s">
        <v>203</v>
      </c>
    </row>
    <row r="293" spans="4:6" x14ac:dyDescent="0.25">
      <c r="D293" s="30" t="s">
        <v>241</v>
      </c>
      <c r="E293" s="30" t="s">
        <v>242</v>
      </c>
      <c r="F293" s="30">
        <v>5</v>
      </c>
    </row>
    <row r="294" spans="4:6" x14ac:dyDescent="0.25">
      <c r="D294" s="30" t="s">
        <v>243</v>
      </c>
      <c r="E294" s="30" t="s">
        <v>244</v>
      </c>
      <c r="F294" s="30">
        <v>4</v>
      </c>
    </row>
    <row r="295" spans="4:6" x14ac:dyDescent="0.25">
      <c r="D295" s="30" t="s">
        <v>245</v>
      </c>
      <c r="E295" s="30" t="s">
        <v>246</v>
      </c>
      <c r="F295" s="30">
        <v>3</v>
      </c>
    </row>
    <row r="296" spans="4:6" x14ac:dyDescent="0.25">
      <c r="D296" s="30" t="s">
        <v>247</v>
      </c>
      <c r="E296" s="30" t="s">
        <v>248</v>
      </c>
      <c r="F296" s="30">
        <v>2</v>
      </c>
    </row>
    <row r="297" spans="4:6" x14ac:dyDescent="0.25">
      <c r="D297" s="30" t="s">
        <v>249</v>
      </c>
      <c r="E297" s="30" t="s">
        <v>250</v>
      </c>
      <c r="F297" s="3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51D46-0F89-4C1D-8C15-7D65A90B148F}">
  <dimension ref="A1:A61"/>
  <sheetViews>
    <sheetView workbookViewId="0" zoomScale="100" zoomScaleNormal="100">
      <selection activeCell="A61" sqref="A61"/>
    </sheetView>
  </sheetViews>
  <sheetFormatPr defaultRowHeight="15" x14ac:dyDescent="0.25"/>
  <sheetData>
    <row r="1" spans="1:1" ht="25.5" x14ac:dyDescent="0.35">
      <c r="A1" s="16" t="e" vm="1">
        <v>#VALUE!</v>
      </c>
    </row>
    <row r="3" spans="1:1" ht="15.75" x14ac:dyDescent="0.25">
      <c r="A3" s="5"/>
    </row>
    <row r="4" spans="1:1" ht="15.75" x14ac:dyDescent="0.25">
      <c r="A4" s="5"/>
    </row>
    <row r="5" spans="1:1" ht="15.75" x14ac:dyDescent="0.25">
      <c r="A5" s="5"/>
    </row>
    <row r="8" spans="1:1" x14ac:dyDescent="0.25">
      <c r="A8" s="7"/>
    </row>
    <row r="9" spans="1:1" ht="15.75" x14ac:dyDescent="0.25">
      <c r="A9" s="5"/>
    </row>
    <row r="10" spans="1:1" ht="15.75" x14ac:dyDescent="0.25">
      <c r="A10" s="5"/>
    </row>
    <row r="11" spans="1:1" ht="15.75" x14ac:dyDescent="0.25">
      <c r="A11" s="5"/>
    </row>
    <row r="12" spans="1:1" ht="15.75" x14ac:dyDescent="0.25">
      <c r="A12" s="5"/>
    </row>
    <row r="13" spans="1:1" ht="15.75" x14ac:dyDescent="0.25">
      <c r="A13" s="5"/>
    </row>
    <row r="14" spans="1:1" ht="15.75" x14ac:dyDescent="0.25">
      <c r="A14" s="5"/>
    </row>
    <row r="15" spans="1:1" ht="15.75" x14ac:dyDescent="0.25">
      <c r="A15" s="5"/>
    </row>
    <row r="16" spans="1:1" ht="15.75" x14ac:dyDescent="0.25">
      <c r="A16" s="5"/>
    </row>
    <row r="17" spans="1:1" ht="15.75" x14ac:dyDescent="0.25">
      <c r="A17" s="5"/>
    </row>
    <row r="18" spans="1:1" ht="15.75" x14ac:dyDescent="0.25">
      <c r="A18" s="5"/>
    </row>
    <row r="19" spans="1:1" ht="15.75" x14ac:dyDescent="0.25">
      <c r="A19" s="5"/>
    </row>
    <row r="20" spans="1:1" ht="15.75" x14ac:dyDescent="0.25">
      <c r="A20" s="5"/>
    </row>
    <row r="21" spans="1:1" ht="15.75" x14ac:dyDescent="0.25">
      <c r="A21" s="5"/>
    </row>
    <row r="22" spans="1:1" ht="15.75" x14ac:dyDescent="0.25">
      <c r="A22" s="5"/>
    </row>
    <row r="23" spans="1:1" ht="15.75" x14ac:dyDescent="0.25">
      <c r="A23" s="5"/>
    </row>
    <row r="24" spans="1:1" ht="15.75" x14ac:dyDescent="0.25">
      <c r="A24" s="5"/>
    </row>
    <row r="25" spans="1:1" ht="15.75" x14ac:dyDescent="0.25">
      <c r="A25" s="5"/>
    </row>
    <row r="26" spans="1:1" ht="15.75" x14ac:dyDescent="0.25">
      <c r="A26" s="5"/>
    </row>
    <row r="29" spans="1:1" x14ac:dyDescent="0.25">
      <c r="A29" s="6"/>
    </row>
    <row r="30" spans="1:1" ht="15.75" x14ac:dyDescent="0.25">
      <c r="A30" s="5"/>
    </row>
    <row r="31" spans="1:1" ht="15.75" x14ac:dyDescent="0.25">
      <c r="A31" s="5"/>
    </row>
    <row r="32" spans="1:1" ht="15.75" x14ac:dyDescent="0.25">
      <c r="A32" s="5"/>
    </row>
    <row r="33" spans="1:1" ht="15.75" x14ac:dyDescent="0.25">
      <c r="A33" s="5"/>
    </row>
    <row r="34" spans="1:1" ht="15.75" x14ac:dyDescent="0.25">
      <c r="A34" s="5"/>
    </row>
    <row r="35" spans="1:1" ht="15.75" x14ac:dyDescent="0.25">
      <c r="A35" s="5"/>
    </row>
    <row r="36" spans="1:1" ht="15.75" x14ac:dyDescent="0.25">
      <c r="A36" s="5"/>
    </row>
    <row r="37" spans="1:1" ht="15.75" x14ac:dyDescent="0.25">
      <c r="A37" s="5"/>
    </row>
    <row r="38" spans="1:1" ht="15.75" x14ac:dyDescent="0.25">
      <c r="A38" s="5"/>
    </row>
    <row r="39" spans="1:1" ht="15.75" x14ac:dyDescent="0.25">
      <c r="A39" s="5"/>
    </row>
    <row r="40" spans="1:1" ht="15.75" x14ac:dyDescent="0.25">
      <c r="A40" s="5"/>
    </row>
    <row r="41" spans="1:1" ht="15.75" x14ac:dyDescent="0.25">
      <c r="A41" s="5"/>
    </row>
    <row r="42" spans="1:1" ht="15.75" x14ac:dyDescent="0.25">
      <c r="A42" s="5"/>
    </row>
    <row r="43" spans="1:1" ht="15.75" x14ac:dyDescent="0.25">
      <c r="A43" s="5"/>
    </row>
    <row r="44" spans="1:1" ht="15.75" x14ac:dyDescent="0.25">
      <c r="A44" s="5"/>
    </row>
    <row r="45" spans="1:1" ht="15.75" x14ac:dyDescent="0.25">
      <c r="A45" s="5"/>
    </row>
    <row r="46" spans="1:1" ht="15.75" x14ac:dyDescent="0.25">
      <c r="A46" s="5"/>
    </row>
    <row r="47" spans="1:1" ht="15.75" x14ac:dyDescent="0.25">
      <c r="A47" s="5"/>
    </row>
    <row r="48" spans="1:1" ht="15.75" x14ac:dyDescent="0.25">
      <c r="A48" s="5"/>
    </row>
    <row r="51" spans="1:1" x14ac:dyDescent="0.25">
      <c r="A51" s="100"/>
    </row>
    <row r="52" spans="1:1" ht="15.75" x14ac:dyDescent="0.25">
      <c r="A52" s="5"/>
    </row>
    <row r="53" spans="1:1" ht="15.75" x14ac:dyDescent="0.25">
      <c r="A53" s="5"/>
    </row>
    <row r="54" spans="1:1" ht="15.75" x14ac:dyDescent="0.25">
      <c r="A54" s="5"/>
    </row>
    <row r="55" spans="1:1" ht="15.75" x14ac:dyDescent="0.25">
      <c r="A55" s="5"/>
    </row>
    <row r="56" spans="1:1" ht="15.75" x14ac:dyDescent="0.25">
      <c r="A56" s="5"/>
    </row>
    <row r="57" spans="1:1" ht="15.75" x14ac:dyDescent="0.25">
      <c r="A57" s="5"/>
    </row>
    <row r="58" spans="1:1" ht="15.75" x14ac:dyDescent="0.25">
      <c r="A58" s="5"/>
    </row>
    <row r="59" spans="1:1" ht="15.75" x14ac:dyDescent="0.25">
      <c r="A59" s="5"/>
    </row>
    <row r="60" spans="1:1" ht="15.75" x14ac:dyDescent="0.25">
      <c r="A60" s="101"/>
    </row>
    <row r="61" spans="1:1" ht="15.75" x14ac:dyDescent="0.25">
      <c r="A61" s="5"/>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40632-D4ED-4FD4-A454-5F0311E63C37}">
  <sheetPr>
    <tabColor theme="5" tint="-0.249977111117893"/>
  </sheetPr>
  <dimension ref="A1:L385"/>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893</v>
      </c>
    </row>
    <row r="2" spans="1:10" s="3" customFormat="1" ht="20.100000000000001" customHeight="1" x14ac:dyDescent="0.25">
      <c r="A2"/>
    </row>
    <row r="3" spans="1:10" ht="20.100000000000001" customHeight="1" x14ac:dyDescent="0.25">
      <c r="A3" s="5"/>
      <c r="C3" s="39"/>
      <c r="D3" s="39"/>
      <c r="E3" s="39"/>
      <c r="F3" s="39"/>
      <c r="G3" s="39"/>
      <c r="H3" s="39"/>
      <c r="I3" s="39"/>
      <c r="J3" s="39"/>
    </row>
    <row r="4" spans="1:10" ht="20.100000000000001" customHeight="1" x14ac:dyDescent="0.25">
      <c r="A4" s="5"/>
    </row>
    <row r="5" spans="1:10" ht="20.100000000000001" customHeight="1" x14ac:dyDescent="0.25">
      <c r="A5" s="5"/>
      <c r="D5" s="2" t="s">
        <v>894</v>
      </c>
    </row>
    <row r="6" spans="1:10" ht="20.100000000000001" customHeight="1" x14ac:dyDescent="0.25"/>
    <row r="7" spans="1:10" ht="20.100000000000001" customHeight="1" x14ac:dyDescent="0.25">
      <c r="D7" s="46" t="s">
        <v>768</v>
      </c>
      <c r="E7" s="49"/>
    </row>
    <row r="8" spans="1:10" ht="20.100000000000001" customHeight="1" x14ac:dyDescent="0.25">
      <c r="A8" s="7"/>
    </row>
    <row r="9" spans="1:10" ht="20.100000000000001" customHeight="1" x14ac:dyDescent="0.25">
      <c r="A9" s="5"/>
      <c r="D9" s="94" t="s">
        <v>209</v>
      </c>
      <c r="E9" s="94" t="s">
        <v>895</v>
      </c>
      <c r="F9" s="94" t="s">
        <v>896</v>
      </c>
      <c r="G9" s="94" t="s">
        <v>897</v>
      </c>
      <c r="H9" s="94" t="s">
        <v>898</v>
      </c>
      <c r="I9" s="94" t="s">
        <v>899</v>
      </c>
    </row>
    <row r="10" spans="1:10" ht="20.100000000000001" customHeight="1" x14ac:dyDescent="0.25">
      <c r="A10" s="5"/>
      <c r="D10" s="30" t="s">
        <v>900</v>
      </c>
      <c r="E10" s="23" t="s">
        <v>901</v>
      </c>
      <c r="F10" s="23" t="s">
        <v>902</v>
      </c>
      <c r="G10" s="23" t="s">
        <v>903</v>
      </c>
      <c r="H10" s="86">
        <v>50</v>
      </c>
      <c r="I10" s="23" t="s">
        <v>26</v>
      </c>
    </row>
    <row r="11" spans="1:10" ht="20.100000000000001" customHeight="1" x14ac:dyDescent="0.25">
      <c r="A11" s="5"/>
      <c r="D11" s="30" t="s">
        <v>904</v>
      </c>
      <c r="E11" s="23" t="s">
        <v>901</v>
      </c>
      <c r="F11" s="23" t="s">
        <v>902</v>
      </c>
      <c r="G11" s="23" t="s">
        <v>905</v>
      </c>
      <c r="H11" s="86">
        <v>50</v>
      </c>
      <c r="I11" s="23" t="s">
        <v>906</v>
      </c>
    </row>
    <row r="12" spans="1:10" ht="20.100000000000001" customHeight="1" x14ac:dyDescent="0.25">
      <c r="A12" s="5"/>
      <c r="D12" s="30" t="s">
        <v>907</v>
      </c>
      <c r="E12" s="23" t="s">
        <v>901</v>
      </c>
      <c r="F12" s="23" t="s">
        <v>908</v>
      </c>
      <c r="G12" s="23" t="s">
        <v>903</v>
      </c>
      <c r="H12" s="86">
        <v>50</v>
      </c>
      <c r="I12" s="23" t="s">
        <v>26</v>
      </c>
    </row>
    <row r="13" spans="1:10" ht="20.100000000000001" customHeight="1" x14ac:dyDescent="0.25">
      <c r="A13" s="5"/>
      <c r="D13" s="30" t="s">
        <v>909</v>
      </c>
      <c r="E13" s="23" t="s">
        <v>901</v>
      </c>
      <c r="F13" s="23" t="s">
        <v>908</v>
      </c>
      <c r="G13" s="23" t="s">
        <v>905</v>
      </c>
      <c r="H13" s="86">
        <v>50</v>
      </c>
      <c r="I13" s="23" t="s">
        <v>906</v>
      </c>
    </row>
    <row r="14" spans="1:10" ht="20.100000000000001" customHeight="1" x14ac:dyDescent="0.25">
      <c r="A14" s="5"/>
      <c r="D14" s="30" t="s">
        <v>910</v>
      </c>
      <c r="E14" s="23" t="s">
        <v>911</v>
      </c>
      <c r="F14" s="23" t="s">
        <v>908</v>
      </c>
      <c r="G14" s="23" t="s">
        <v>903</v>
      </c>
      <c r="H14" s="86">
        <v>50</v>
      </c>
      <c r="I14" s="23" t="s">
        <v>26</v>
      </c>
    </row>
    <row r="15" spans="1:10" ht="20.100000000000001" customHeight="1" x14ac:dyDescent="0.25">
      <c r="A15" s="5"/>
      <c r="D15" s="30" t="s">
        <v>912</v>
      </c>
      <c r="E15" s="23" t="s">
        <v>911</v>
      </c>
      <c r="F15" s="23" t="s">
        <v>908</v>
      </c>
      <c r="G15" s="23" t="s">
        <v>903</v>
      </c>
      <c r="H15" s="86">
        <v>50</v>
      </c>
      <c r="I15" s="23" t="s">
        <v>906</v>
      </c>
    </row>
    <row r="16" spans="1:10" ht="20.100000000000001" customHeight="1" x14ac:dyDescent="0.25">
      <c r="A16" s="5"/>
      <c r="D16" s="30" t="s">
        <v>913</v>
      </c>
      <c r="E16" s="23" t="s">
        <v>911</v>
      </c>
      <c r="F16" s="23" t="s">
        <v>908</v>
      </c>
      <c r="G16" s="23" t="s">
        <v>905</v>
      </c>
      <c r="H16" s="86">
        <v>50</v>
      </c>
      <c r="I16" s="23" t="s">
        <v>26</v>
      </c>
    </row>
    <row r="17" spans="1:11" ht="20.100000000000001" customHeight="1" x14ac:dyDescent="0.25">
      <c r="A17" s="5"/>
      <c r="D17" s="30" t="s">
        <v>914</v>
      </c>
      <c r="E17" s="23" t="s">
        <v>911</v>
      </c>
      <c r="F17" s="23" t="s">
        <v>908</v>
      </c>
      <c r="G17" s="23" t="s">
        <v>905</v>
      </c>
      <c r="H17" s="86">
        <v>50</v>
      </c>
      <c r="I17" s="23" t="s">
        <v>906</v>
      </c>
    </row>
    <row r="18" spans="1:11" ht="20.100000000000001" customHeight="1" x14ac:dyDescent="0.25">
      <c r="A18" s="5"/>
      <c r="D18" s="30" t="s">
        <v>915</v>
      </c>
      <c r="E18" s="23" t="s">
        <v>911</v>
      </c>
      <c r="F18" s="23" t="s">
        <v>902</v>
      </c>
      <c r="G18" s="23" t="s">
        <v>903</v>
      </c>
      <c r="H18" s="86">
        <v>50</v>
      </c>
      <c r="I18" s="23" t="s">
        <v>26</v>
      </c>
    </row>
    <row r="19" spans="1:11" ht="20.100000000000001" customHeight="1" x14ac:dyDescent="0.25">
      <c r="A19" s="5"/>
      <c r="D19" s="30" t="s">
        <v>916</v>
      </c>
      <c r="E19" s="23" t="s">
        <v>911</v>
      </c>
      <c r="F19" s="23" t="s">
        <v>902</v>
      </c>
      <c r="G19" s="23" t="s">
        <v>903</v>
      </c>
      <c r="H19" s="86">
        <v>50</v>
      </c>
      <c r="I19" s="23" t="s">
        <v>906</v>
      </c>
    </row>
    <row r="20" spans="1:11" ht="20.100000000000001" customHeight="1" x14ac:dyDescent="0.25">
      <c r="A20" s="5"/>
      <c r="D20" s="30" t="s">
        <v>917</v>
      </c>
      <c r="E20" s="23" t="s">
        <v>911</v>
      </c>
      <c r="F20" s="23" t="s">
        <v>902</v>
      </c>
      <c r="G20" s="23" t="s">
        <v>905</v>
      </c>
      <c r="H20" s="86">
        <v>50</v>
      </c>
      <c r="I20" s="23" t="s">
        <v>26</v>
      </c>
    </row>
    <row r="21" spans="1:11" ht="20.100000000000001" customHeight="1" x14ac:dyDescent="0.25">
      <c r="A21" s="5"/>
      <c r="D21" s="30" t="s">
        <v>918</v>
      </c>
      <c r="E21" s="23" t="s">
        <v>911</v>
      </c>
      <c r="F21" s="23" t="s">
        <v>902</v>
      </c>
      <c r="G21" s="23" t="s">
        <v>905</v>
      </c>
      <c r="H21" s="86">
        <v>50</v>
      </c>
      <c r="I21" s="23" t="s">
        <v>906</v>
      </c>
    </row>
    <row r="22" spans="1:11" ht="20.100000000000001" customHeight="1" x14ac:dyDescent="0.25">
      <c r="A22" s="5"/>
      <c r="D22" s="30" t="s">
        <v>919</v>
      </c>
      <c r="E22" s="23" t="s">
        <v>911</v>
      </c>
      <c r="F22" s="23" t="s">
        <v>920</v>
      </c>
      <c r="G22" s="23" t="s">
        <v>903</v>
      </c>
      <c r="H22" s="86">
        <v>50</v>
      </c>
      <c r="I22" s="23" t="s">
        <v>26</v>
      </c>
    </row>
    <row r="23" spans="1:11" ht="20.100000000000001" customHeight="1" x14ac:dyDescent="0.25">
      <c r="A23" s="5"/>
      <c r="D23" s="30" t="s">
        <v>921</v>
      </c>
      <c r="E23" s="23" t="s">
        <v>911</v>
      </c>
      <c r="F23" s="23" t="s">
        <v>920</v>
      </c>
      <c r="G23" s="23" t="s">
        <v>903</v>
      </c>
      <c r="H23" s="86">
        <v>50</v>
      </c>
      <c r="I23" s="23" t="s">
        <v>906</v>
      </c>
    </row>
    <row r="24" spans="1:11" ht="20.100000000000001" customHeight="1" x14ac:dyDescent="0.25">
      <c r="A24" s="5"/>
      <c r="D24" s="30" t="s">
        <v>922</v>
      </c>
      <c r="E24" s="23" t="s">
        <v>911</v>
      </c>
      <c r="F24" s="23" t="s">
        <v>920</v>
      </c>
      <c r="G24" s="23" t="s">
        <v>905</v>
      </c>
      <c r="H24" s="86">
        <v>50</v>
      </c>
      <c r="I24" s="23" t="s">
        <v>26</v>
      </c>
    </row>
    <row r="25" spans="1:11" ht="20.100000000000001" customHeight="1" x14ac:dyDescent="0.25">
      <c r="A25" s="103"/>
      <c r="D25" s="30" t="s">
        <v>923</v>
      </c>
      <c r="E25" s="23" t="s">
        <v>911</v>
      </c>
      <c r="F25" s="23" t="s">
        <v>920</v>
      </c>
      <c r="G25" s="23" t="s">
        <v>905</v>
      </c>
      <c r="H25" s="86">
        <v>50</v>
      </c>
      <c r="I25" s="23" t="s">
        <v>906</v>
      </c>
    </row>
    <row r="26" spans="1:11" ht="20.100000000000001" customHeight="1" x14ac:dyDescent="0.25">
      <c r="A26" s="5"/>
      <c r="D26" s="30" t="s">
        <v>924</v>
      </c>
      <c r="E26" s="23" t="s">
        <v>925</v>
      </c>
      <c r="F26" s="23" t="s">
        <v>902</v>
      </c>
      <c r="G26" s="23" t="s">
        <v>905</v>
      </c>
      <c r="H26" s="86">
        <v>50</v>
      </c>
      <c r="I26" s="23" t="s">
        <v>26</v>
      </c>
    </row>
    <row r="27" spans="1:11" ht="20.100000000000001" customHeight="1" x14ac:dyDescent="0.25">
      <c r="D27" s="30" t="s">
        <v>926</v>
      </c>
      <c r="E27" s="23" t="s">
        <v>925</v>
      </c>
      <c r="F27" s="23" t="s">
        <v>902</v>
      </c>
      <c r="G27" s="23" t="s">
        <v>905</v>
      </c>
      <c r="H27" s="86">
        <v>50</v>
      </c>
      <c r="I27" s="23" t="s">
        <v>906</v>
      </c>
    </row>
    <row r="28" spans="1:11" ht="20.100000000000001" customHeight="1" x14ac:dyDescent="0.25">
      <c r="D28" s="30" t="s">
        <v>927</v>
      </c>
      <c r="E28" s="23" t="s">
        <v>925</v>
      </c>
      <c r="F28" s="23" t="s">
        <v>920</v>
      </c>
      <c r="G28" s="23" t="s">
        <v>905</v>
      </c>
      <c r="H28" s="86">
        <v>50</v>
      </c>
      <c r="I28" s="23" t="s">
        <v>26</v>
      </c>
    </row>
    <row r="29" spans="1:11" ht="20.100000000000001" customHeight="1" x14ac:dyDescent="0.25">
      <c r="A29" s="6"/>
      <c r="D29" s="30" t="s">
        <v>928</v>
      </c>
      <c r="E29" s="23" t="s">
        <v>925</v>
      </c>
      <c r="F29" s="23" t="s">
        <v>920</v>
      </c>
      <c r="G29" s="23" t="s">
        <v>905</v>
      </c>
      <c r="H29" s="86">
        <v>50</v>
      </c>
      <c r="I29" s="23" t="s">
        <v>906</v>
      </c>
      <c r="K29" s="165"/>
    </row>
    <row r="30" spans="1:11" ht="20.100000000000001" customHeight="1" x14ac:dyDescent="0.25">
      <c r="A30" s="5"/>
      <c r="D30" s="30" t="s">
        <v>929</v>
      </c>
      <c r="E30" s="23" t="s">
        <v>925</v>
      </c>
      <c r="F30" s="23" t="s">
        <v>920</v>
      </c>
      <c r="G30" s="23" t="s">
        <v>903</v>
      </c>
      <c r="H30" s="86">
        <v>50</v>
      </c>
      <c r="I30" s="23" t="s">
        <v>26</v>
      </c>
      <c r="K30" s="165"/>
    </row>
    <row r="31" spans="1:11" ht="20.100000000000001" customHeight="1" x14ac:dyDescent="0.25">
      <c r="A31" s="5"/>
      <c r="D31" s="30" t="s">
        <v>930</v>
      </c>
      <c r="E31" s="23" t="s">
        <v>925</v>
      </c>
      <c r="F31" s="23" t="s">
        <v>920</v>
      </c>
      <c r="G31" s="23" t="s">
        <v>903</v>
      </c>
      <c r="H31" s="86">
        <v>50</v>
      </c>
      <c r="I31" s="23" t="s">
        <v>906</v>
      </c>
      <c r="K31" s="165"/>
    </row>
    <row r="32" spans="1:11" ht="20.100000000000001" customHeight="1" x14ac:dyDescent="0.25">
      <c r="A32" s="5"/>
      <c r="D32" s="30" t="s">
        <v>928</v>
      </c>
      <c r="E32" s="23" t="s">
        <v>925</v>
      </c>
      <c r="F32" s="23" t="s">
        <v>920</v>
      </c>
      <c r="G32" s="23" t="s">
        <v>905</v>
      </c>
      <c r="H32" s="86">
        <v>50</v>
      </c>
      <c r="I32" s="23" t="s">
        <v>906</v>
      </c>
      <c r="K32" s="165"/>
    </row>
    <row r="33" spans="1:12" ht="20.100000000000001" customHeight="1" x14ac:dyDescent="0.25">
      <c r="A33" s="5"/>
      <c r="K33" s="165"/>
    </row>
    <row r="34" spans="1:12" ht="20.100000000000001" customHeight="1" x14ac:dyDescent="0.25">
      <c r="A34" s="5"/>
      <c r="K34" s="165"/>
    </row>
    <row r="35" spans="1:12" ht="20.100000000000001" customHeight="1" x14ac:dyDescent="0.25">
      <c r="A35" s="5"/>
    </row>
    <row r="36" spans="1:12" ht="20.100000000000001" customHeight="1" x14ac:dyDescent="0.25">
      <c r="A36" s="5"/>
      <c r="L36" s="165"/>
    </row>
    <row r="37" spans="1:12" ht="20.100000000000001" customHeight="1" x14ac:dyDescent="0.25">
      <c r="A37" s="5"/>
      <c r="L37" s="165"/>
    </row>
    <row r="38" spans="1:12" ht="20.100000000000001" customHeight="1" x14ac:dyDescent="0.25">
      <c r="A38" s="5"/>
      <c r="C38" s="153"/>
    </row>
    <row r="39" spans="1:12" ht="20.100000000000001" customHeight="1" x14ac:dyDescent="0.25">
      <c r="A39" s="5"/>
      <c r="C39" s="153"/>
      <c r="J39" s="153"/>
    </row>
    <row r="40" spans="1:12" s="165" customFormat="1" ht="20.100000000000001" customHeight="1" x14ac:dyDescent="0.25">
      <c r="A40" s="5"/>
      <c r="C40" s="1"/>
      <c r="D40" s="1"/>
      <c r="E40" s="1"/>
      <c r="F40" s="1"/>
      <c r="G40" s="1"/>
      <c r="H40" s="1"/>
      <c r="I40" s="1"/>
      <c r="J40" s="1"/>
    </row>
    <row r="41" spans="1:12" s="165" customFormat="1" ht="20.100000000000001" customHeight="1" x14ac:dyDescent="0.25">
      <c r="A41" s="5"/>
      <c r="C41" s="1"/>
      <c r="D41" s="1"/>
      <c r="E41" s="1"/>
      <c r="F41" s="1"/>
      <c r="G41" s="1"/>
      <c r="H41" s="1"/>
      <c r="I41" s="1"/>
      <c r="J41" s="1"/>
      <c r="L41" s="165" t="s">
        <v>780</v>
      </c>
    </row>
    <row r="42" spans="1:12" ht="20.100000000000001" customHeight="1" x14ac:dyDescent="0.25">
      <c r="A42" s="5"/>
    </row>
    <row r="43" spans="1:12" ht="20.100000000000001" customHeight="1" x14ac:dyDescent="0.25">
      <c r="A43" s="5"/>
    </row>
    <row r="44" spans="1:12" ht="20.100000000000001" customHeight="1" x14ac:dyDescent="0.25">
      <c r="A44" s="5"/>
    </row>
    <row r="45" spans="1:12" ht="20.100000000000001" customHeight="1" x14ac:dyDescent="0.25">
      <c r="A45" s="5"/>
    </row>
    <row r="46" spans="1:12" ht="20.100000000000001" customHeight="1" x14ac:dyDescent="0.25">
      <c r="A46" s="5"/>
    </row>
    <row r="47" spans="1:12" ht="20.100000000000001" customHeight="1" x14ac:dyDescent="0.25">
      <c r="A47" s="5"/>
    </row>
    <row r="48" spans="1:12" ht="20.100000000000001" customHeight="1" x14ac:dyDescent="0.25">
      <c r="A48" s="5"/>
    </row>
    <row r="49" spans="1:1" ht="20.100000000000001" customHeight="1" x14ac:dyDescent="0.25"/>
    <row r="50" spans="1:1" ht="20.100000000000001" customHeight="1" x14ac:dyDescent="0.25"/>
    <row r="51" spans="1:1" ht="20.100000000000001" customHeight="1" x14ac:dyDescent="0.25">
      <c r="A51" s="100"/>
    </row>
    <row r="52" spans="1:1" ht="20.100000000000001" customHeight="1" x14ac:dyDescent="0.25">
      <c r="A52" s="5"/>
    </row>
    <row r="53" spans="1:1" ht="20.100000000000001" customHeight="1" x14ac:dyDescent="0.25">
      <c r="A53" s="5"/>
    </row>
    <row r="54" spans="1:1" ht="20.100000000000001" customHeight="1" x14ac:dyDescent="0.25">
      <c r="A54" s="5"/>
    </row>
    <row r="55" spans="1:1" ht="20.100000000000001" customHeight="1" x14ac:dyDescent="0.25">
      <c r="A55" s="5"/>
    </row>
    <row r="56" spans="1:1" ht="20.100000000000001" customHeight="1" x14ac:dyDescent="0.25">
      <c r="A56" s="5"/>
    </row>
    <row r="57" spans="1:1" ht="20.100000000000001" customHeight="1" x14ac:dyDescent="0.25">
      <c r="A57" s="5"/>
    </row>
    <row r="58" spans="1:1" ht="20.100000000000001" customHeight="1" x14ac:dyDescent="0.25">
      <c r="A58" s="5"/>
    </row>
    <row r="59" spans="1:1" ht="20.100000000000001" customHeight="1" x14ac:dyDescent="0.25">
      <c r="A59" s="5"/>
    </row>
    <row r="60" spans="1:1" ht="20.100000000000001" customHeight="1" x14ac:dyDescent="0.25">
      <c r="A60" s="5"/>
    </row>
    <row r="61" spans="1:1" ht="20.100000000000001" customHeight="1" x14ac:dyDescent="0.25">
      <c r="A61" s="5"/>
    </row>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5"/>
    </row>
    <row r="74" spans="4:4" ht="20.100000000000001" customHeight="1" x14ac:dyDescent="0.25"/>
    <row r="75" spans="4:4" ht="20.100000000000001" customHeight="1" x14ac:dyDescent="0.25">
      <c r="D75" s="195"/>
    </row>
    <row r="76" spans="4:4" ht="20.100000000000001" customHeight="1" x14ac:dyDescent="0.25">
      <c r="D76" s="195"/>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9F0C3CEE-4DDF-4FA7-9A37-13521527854E}">
      <formula1>INDIRECT("Table_WasteTypes_" &amp; SUBSTITUTE(E10, " ", "") &amp; "[Waste type w]")</formula1>
    </dataValidation>
    <dataValidation type="list" allowBlank="1" showInputMessage="1" showErrorMessage="1" sqref="I10:I32" xr:uid="{9DE7B2E4-1A41-466F-892C-E8175A65FDAF}">
      <formula1>"tonnes, cubic metres m3"</formula1>
    </dataValidation>
    <dataValidation type="list" allowBlank="1" showInputMessage="1" showErrorMessage="1" sqref="G10:G32" xr:uid="{FA08826C-221E-45F8-8F8F-37F1B48A0F61}">
      <formula1>"Treated on-site, Removed and treated off-site"</formula1>
    </dataValidation>
    <dataValidation type="list" allowBlank="1" showInputMessage="1" showErrorMessage="1" sqref="E10:E32" xr:uid="{4697F282-338E-418A-A798-8347C3826379}">
      <formula1>INDIRECT(_xlfn.UNIQUE("Table_SourceData_WasteSolid_WasteTreatmentEFs[Treatment type t]"))</formula1>
    </dataValidation>
    <dataValidation type="list" allowBlank="1" showInputMessage="1" showErrorMessage="1" sqref="E35" xr:uid="{C3764D2E-A938-4152-8D5B-CAD1881FE2DB}">
      <formula1>INDIRECT("Table_SourceData_ElectricityEFs[State, Territory or grid description]")</formula1>
    </dataValidation>
    <dataValidation type="list" allowBlank="1" showInputMessage="1" showErrorMessage="1" sqref="E89" xr:uid="{56E533EA-81C9-4F05-BA3F-4217E3B80436}">
      <formula1>INDIRECT("Table_SourceData_Swine_IrrigationMethods[Irrigation method]")</formula1>
    </dataValidation>
    <dataValidation type="list" allowBlank="1" showInputMessage="1" showErrorMessage="1" sqref="E273 E278 E283 E317 E312 E307 E185 E173 E149 E161" xr:uid="{6F4CBB3A-327F-459E-BBF2-6B3F15FEA219}">
      <formula1>"Yes, No"</formula1>
    </dataValidation>
    <dataValidation type="list" allowBlank="1" showInputMessage="1" showErrorMessage="1" sqref="E249" xr:uid="{2ABAF285-BAD6-4976-901D-89CFA5A5FA9A}">
      <formula1>INDIRECT("Table_SourceData_Dairy_ProductionSystemTemplates[Area]")</formula1>
    </dataValidation>
    <dataValidation type="list" allowBlank="1" showInputMessage="1" showErrorMessage="1" sqref="D301" xr:uid="{3764F61F-4D6A-43FD-B1DC-DC140ECF7EF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512-A12D-4487-AF14-8B0B66BE6B84}">
  <dimension ref="A1:AI274"/>
  <sheetViews>
    <sheetView showGridLines="0" topLeftCell="P12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556</v>
      </c>
    </row>
    <row r="2" spans="1:35" s="3" customFormat="1" ht="20.100000000000001" customHeight="1" x14ac:dyDescent="0.25">
      <c r="A2"/>
    </row>
    <row r="3" spans="1:35" ht="20.100000000000001" customHeight="1" x14ac:dyDescent="0.25">
      <c r="A3" s="5"/>
      <c r="C3" s="33"/>
      <c r="D3" s="33" t="s">
        <v>145</v>
      </c>
      <c r="E3" s="33"/>
      <c r="F3" s="33"/>
      <c r="G3" s="33"/>
      <c r="H3" s="33"/>
      <c r="I3" s="33"/>
      <c r="J3" s="33"/>
      <c r="K3" s="33"/>
      <c r="L3" s="33"/>
      <c r="M3" s="33"/>
      <c r="N3" s="33"/>
      <c r="O3" s="33"/>
      <c r="P3" s="33"/>
      <c r="Q3" s="33"/>
      <c r="R3" s="33"/>
      <c r="T3" s="33"/>
      <c r="U3" s="33" t="s">
        <v>146</v>
      </c>
      <c r="V3" s="33"/>
      <c r="W3" s="33"/>
      <c r="X3" s="33"/>
      <c r="Y3" s="33"/>
      <c r="Z3" s="33"/>
      <c r="AA3" s="33"/>
      <c r="AB3" s="33"/>
      <c r="AC3" s="33"/>
      <c r="AD3" s="33"/>
      <c r="AE3" s="33"/>
      <c r="AF3" s="33"/>
      <c r="AG3" s="33"/>
      <c r="AH3" s="33"/>
      <c r="AI3" s="33"/>
    </row>
    <row r="4" spans="1:35" ht="20.100000000000001" customHeight="1" x14ac:dyDescent="0.25">
      <c r="A4" s="5"/>
    </row>
    <row r="5" spans="1:35" ht="20.100000000000001" customHeight="1" x14ac:dyDescent="0.25">
      <c r="A5" s="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7" t="s">
        <v>358</v>
      </c>
      <c r="E7" s="107" t="s">
        <v>359</v>
      </c>
    </row>
    <row r="8" spans="1:35" ht="20.100000000000001" customHeight="1" x14ac:dyDescent="0.25">
      <c r="A8" s="7"/>
    </row>
    <row r="9" spans="1:35" ht="20.100000000000001" customHeight="1" x14ac:dyDescent="0.25">
      <c r="A9" s="5"/>
    </row>
    <row r="10" spans="1:35" ht="20.100000000000001" customHeight="1" x14ac:dyDescent="0.25">
      <c r="A10" s="5"/>
      <c r="D10" s="88" t="s">
        <v>360</v>
      </c>
      <c r="E10" s="1" t="str" cm="1">
        <f t="array" ref="E10">EntericMethane_PastureBeef_Equations.VEERG_3_2_1_1__4_AdditionalIntakeForMilkProduction_Variable()</f>
        <v>MA_jk45</v>
      </c>
    </row>
    <row r="11" spans="1:35" ht="20.100000000000001" customHeight="1" x14ac:dyDescent="0.25">
      <c r="A11" s="5"/>
      <c r="D11" s="88" t="s">
        <v>128</v>
      </c>
      <c r="E11" s="15" t="str" cm="1">
        <f t="array" ref="E11">EntericMethane_PastureBeef_Equations.VEERG_3_2_1_1__4_AdditionalIntakeForMilkProduction_Unit()</f>
        <v>fraction</v>
      </c>
    </row>
    <row r="12" spans="1:35" ht="20.100000000000001" customHeight="1" x14ac:dyDescent="0.25">
      <c r="A12" s="5"/>
    </row>
    <row r="13" spans="1:35" ht="20.100000000000001" customHeight="1" x14ac:dyDescent="0.25">
      <c r="A13" s="5"/>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HYPERLINK(Common_InputFunctions.Utility_SourceHyperlink($D$18), $D$18)</f>
        <v>M1_Table_LC_j_k-4-5</v>
      </c>
    </row>
    <row r="14" spans="1:35" ht="20.100000000000001" customHeight="1" x14ac:dyDescent="0.25">
      <c r="A14" s="5"/>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c r="D16" s="109" t="str">
        <v>b</v>
      </c>
      <c r="E16" s="110" t="str">
        <v>breed of cattle</v>
      </c>
      <c r="F16" s="111"/>
      <c r="G16" s="112"/>
      <c r="H16" s="109" t="str">
        <v/>
      </c>
      <c r="I16" s="113" t="str">
        <v>Input</v>
      </c>
      <c r="J16" s="109" t="str">
        <f>X_Cell_PastureBeef_Breed</f>
        <v>Hereford or Shorthorn breeds</v>
      </c>
    </row>
    <row r="17" spans="1:34" ht="20.100000000000001" customHeight="1" x14ac:dyDescent="0.25">
      <c r="A17" s="5"/>
    </row>
    <row r="18" spans="1:34" ht="20.100000000000001" customHeight="1" x14ac:dyDescent="0.25">
      <c r="A18" s="5"/>
      <c r="D18" s="116" t="s">
        <v>361</v>
      </c>
    </row>
    <row r="19" spans="1:34" ht="20.100000000000001" customHeight="1" x14ac:dyDescent="0.25">
      <c r="A19" s="5"/>
      <c r="D19" s="117" t="s">
        <v>363</v>
      </c>
      <c r="U19" s="116" t="s">
        <v>362</v>
      </c>
    </row>
    <row r="20" spans="1:34" ht="20.100000000000001" customHeight="1" x14ac:dyDescent="0.25">
      <c r="A20" s="5"/>
      <c r="D20" s="118" t="s">
        <v>74</v>
      </c>
      <c r="E20" s="94" t="s">
        <v>314</v>
      </c>
      <c r="F20" s="94" t="s">
        <v>315</v>
      </c>
      <c r="G20" s="94" t="s">
        <v>316</v>
      </c>
      <c r="U20" s="117" t="s">
        <v>364</v>
      </c>
    </row>
    <row r="21" spans="1:34" ht="20.100000000000001" customHeight="1" x14ac:dyDescent="0.25">
      <c r="A21" s="5"/>
      <c r="D21" s="25" t="str">
        <f>'Input - Pasture Beef (Enteric)'!E162</f>
        <v>Winter</v>
      </c>
      <c r="E21" s="25">
        <f>'Input - Pasture Beef (Enteric)'!$E$164</f>
        <v>0</v>
      </c>
      <c r="F21" s="25">
        <f>'Input - Pasture Beef (Enteric)'!$F$164</f>
        <v>0</v>
      </c>
      <c r="G21" s="25">
        <f>'Input - Pasture Beef (Enteric)'!$G$164</f>
        <v>0</v>
      </c>
      <c r="H21" s="26" t="s">
        <v>365</v>
      </c>
      <c r="U21" s="118" t="s">
        <v>73</v>
      </c>
      <c r="V21" s="94" t="s">
        <v>314</v>
      </c>
      <c r="W21" s="94" t="s">
        <v>315</v>
      </c>
      <c r="X21" s="94" t="s">
        <v>316</v>
      </c>
    </row>
    <row r="22" spans="1:34" ht="20.100000000000001" customHeight="1" x14ac:dyDescent="0.25">
      <c r="A22" s="5"/>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365</v>
      </c>
    </row>
    <row r="23" spans="1:34" ht="20.100000000000001" customHeight="1" x14ac:dyDescent="0.25">
      <c r="A23" s="5"/>
      <c r="D23" s="116" t="s">
        <v>368</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A24" s="5"/>
      <c r="D24" s="117" t="s">
        <v>370</v>
      </c>
      <c r="Y24" s="26"/>
    </row>
    <row r="25" spans="1:34" ht="20.100000000000001" customHeight="1" x14ac:dyDescent="0.25">
      <c r="A25" s="5"/>
      <c r="D25" s="118" t="s">
        <v>74</v>
      </c>
      <c r="E25" s="118" t="s">
        <v>343</v>
      </c>
      <c r="F25" s="118" t="s">
        <v>369</v>
      </c>
      <c r="G25" s="118" t="s">
        <v>312</v>
      </c>
      <c r="H25" s="118" t="s">
        <v>198</v>
      </c>
      <c r="I25" s="118" t="s">
        <v>313</v>
      </c>
      <c r="J25" s="118" t="s">
        <v>314</v>
      </c>
      <c r="K25" s="118" t="s">
        <v>315</v>
      </c>
      <c r="L25" s="118" t="s">
        <v>316</v>
      </c>
      <c r="M25" s="118" t="s">
        <v>317</v>
      </c>
      <c r="N25" s="118" t="s">
        <v>318</v>
      </c>
      <c r="O25" s="118" t="s">
        <v>319</v>
      </c>
      <c r="P25" s="118" t="s">
        <v>320</v>
      </c>
      <c r="U25" s="116" t="s">
        <v>366</v>
      </c>
    </row>
    <row r="26" spans="1:34" ht="20.100000000000001" customHeight="1" x14ac:dyDescent="0.25">
      <c r="A26" s="5"/>
      <c r="D26" s="25" t="s">
        <v>321</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7" t="s">
        <v>367</v>
      </c>
    </row>
    <row r="27" spans="1:34" ht="20.100000000000001" customHeight="1" x14ac:dyDescent="0.25">
      <c r="D27" s="25" t="s">
        <v>322</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8" t="s">
        <v>73</v>
      </c>
      <c r="V27" s="118" t="s">
        <v>343</v>
      </c>
      <c r="W27" s="118" t="s">
        <v>369</v>
      </c>
      <c r="X27" s="118" t="s">
        <v>312</v>
      </c>
      <c r="Y27" s="118" t="s">
        <v>198</v>
      </c>
      <c r="Z27" s="118" t="s">
        <v>313</v>
      </c>
      <c r="AA27" s="118" t="s">
        <v>314</v>
      </c>
      <c r="AB27" s="118" t="s">
        <v>315</v>
      </c>
      <c r="AC27" s="118" t="s">
        <v>316</v>
      </c>
      <c r="AD27" s="118" t="s">
        <v>317</v>
      </c>
      <c r="AE27" s="118" t="s">
        <v>318</v>
      </c>
      <c r="AF27" s="118" t="s">
        <v>319</v>
      </c>
      <c r="AG27" s="118" t="s">
        <v>320</v>
      </c>
    </row>
    <row r="28" spans="1:34" ht="20.100000000000001" customHeight="1" x14ac:dyDescent="0.25">
      <c r="D28" s="25" t="s">
        <v>323</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6"/>
      <c r="D29" s="25" t="s">
        <v>324</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c r="C32" s="120"/>
      <c r="D32" s="120"/>
      <c r="E32" s="120"/>
      <c r="F32" s="120"/>
      <c r="G32" s="120"/>
      <c r="H32" s="120"/>
      <c r="I32" s="120"/>
      <c r="J32" s="120"/>
      <c r="K32" s="120"/>
      <c r="L32" s="120"/>
      <c r="M32" s="120"/>
      <c r="N32" s="120"/>
      <c r="O32" s="120"/>
      <c r="P32" s="120"/>
      <c r="Q32" s="120"/>
      <c r="R32" s="120"/>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c r="D35" s="107" t="s">
        <v>358</v>
      </c>
      <c r="E35" s="107"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c r="D38" s="88" t="s">
        <v>360</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c r="D39" s="88" t="s">
        <v>128</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row>
    <row r="41" spans="1:34" ht="20.100000000000001" customHeight="1" x14ac:dyDescent="0.25">
      <c r="A41" s="5"/>
      <c r="D41" s="109" t="str" cm="1">
        <f t="array" ref="D41:E43">_xlfn.CHOOSECOLS(EntericMethane_PastureBeef_Equations.VEERG_3_2_1_1__3_FeedIntakeForGrazingBeef_Arguments(), 1, 2)</f>
        <v>W_jkl</v>
      </c>
      <c r="E41" s="110" t="str">
        <v>liveweight (kg)</v>
      </c>
      <c r="F41" s="112"/>
      <c r="G41" s="109" t="str" cm="1">
        <f t="array" ref="G41:H43">_xlfn.CHOOSECOLS(EntericMethane_PastureBeef_Equations.VEERG_3_2_1_1__3_FeedIntakeForGrazingBeef_Arguments(), 3,4)</f>
        <v>kg</v>
      </c>
      <c r="H41" s="113" t="str">
        <v>Input</v>
      </c>
      <c r="I41" s="115" t="str" cm="1">
        <f t="array" aca="1" ref="I41" ca="1">HYPERLINK(Common_InputFunctions.Utility_SourceHyperlink($D$45), $D$45)</f>
        <v>M1_Table_W_j_k_l</v>
      </c>
      <c r="U41" s="116" t="s">
        <v>375</v>
      </c>
    </row>
    <row r="42" spans="1:34" ht="20.100000000000001" customHeight="1" x14ac:dyDescent="0.25">
      <c r="A42" s="5"/>
      <c r="D42" s="109" t="str">
        <v>LWG_jkl</v>
      </c>
      <c r="E42" s="110" t="str">
        <v>live weight gain (kg/head/day)</v>
      </c>
      <c r="F42" s="112"/>
      <c r="G42" s="109" t="str">
        <v>kg/head/day</v>
      </c>
      <c r="H42" s="113" t="str">
        <v>Input</v>
      </c>
      <c r="I42" s="115" t="str" cm="1">
        <f t="array" aca="1" ref="I42" ca="1">HYPERLINK(Common_InputFunctions.Utility_SourceHyperlink($D$53), $D$53)</f>
        <v>M1_Table_LWG_j_k_l</v>
      </c>
      <c r="U42" s="117" t="s">
        <v>376</v>
      </c>
    </row>
    <row r="43" spans="1:34" ht="20.100000000000001" customHeight="1" x14ac:dyDescent="0.25">
      <c r="A43" s="5"/>
      <c r="D43" s="109" t="str">
        <v>MA_jk45</v>
      </c>
      <c r="E43" s="110" t="str">
        <v>additional intake for milk production in cows greater than 2 years</v>
      </c>
      <c r="F43" s="112"/>
      <c r="G43" s="109" t="str">
        <v>kg/head/day</v>
      </c>
      <c r="H43" s="114" t="str">
        <v>Calculated from 3.2.1.1, (4)</v>
      </c>
      <c r="I43" s="115" t="str" cm="1">
        <f t="array" aca="1" ref="I43" ca="1">HYPERLINK(Common_InputFunctions.Utility_SourceHyperlink($D$23), $D$23)</f>
        <v>M1_Table_MA_j_k-4-5</v>
      </c>
      <c r="U43" s="118" t="s">
        <v>73</v>
      </c>
      <c r="V43" s="94" t="s">
        <v>312</v>
      </c>
      <c r="W43" s="94" t="s">
        <v>198</v>
      </c>
      <c r="X43" s="94" t="s">
        <v>313</v>
      </c>
      <c r="Y43" s="94" t="s">
        <v>314</v>
      </c>
      <c r="Z43" s="94" t="s">
        <v>315</v>
      </c>
      <c r="AA43" s="94" t="s">
        <v>316</v>
      </c>
      <c r="AB43" s="94" t="s">
        <v>317</v>
      </c>
      <c r="AC43" s="94" t="s">
        <v>318</v>
      </c>
      <c r="AD43" s="94" t="s">
        <v>319</v>
      </c>
      <c r="AE43" s="94" t="s">
        <v>320</v>
      </c>
      <c r="AF43" s="26"/>
    </row>
    <row r="44" spans="1:34" ht="20.100000000000001" customHeight="1" x14ac:dyDescent="0.25">
      <c r="A44" s="5"/>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329</v>
      </c>
    </row>
    <row r="45" spans="1:34" ht="20.100000000000001" customHeight="1" x14ac:dyDescent="0.25">
      <c r="A45" s="5"/>
      <c r="D45" s="116" t="s">
        <v>377</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329</v>
      </c>
    </row>
    <row r="46" spans="1:34" ht="20.100000000000001" customHeight="1" x14ac:dyDescent="0.25">
      <c r="A46" s="5"/>
      <c r="D46" s="117" t="s">
        <v>378</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329</v>
      </c>
    </row>
    <row r="47" spans="1:34" ht="20.100000000000001" customHeight="1" x14ac:dyDescent="0.25">
      <c r="A47" s="108"/>
      <c r="D47" s="118" t="s">
        <v>74</v>
      </c>
      <c r="E47" s="94" t="s">
        <v>312</v>
      </c>
      <c r="F47" s="94" t="s">
        <v>198</v>
      </c>
      <c r="G47" s="94" t="s">
        <v>313</v>
      </c>
      <c r="H47" s="94" t="s">
        <v>314</v>
      </c>
      <c r="I47" s="94" t="s">
        <v>315</v>
      </c>
      <c r="J47" s="94" t="s">
        <v>316</v>
      </c>
      <c r="K47" s="94" t="s">
        <v>317</v>
      </c>
      <c r="L47" s="94" t="s">
        <v>318</v>
      </c>
      <c r="M47" s="94" t="s">
        <v>319</v>
      </c>
      <c r="N47" s="94" t="s">
        <v>320</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329</v>
      </c>
    </row>
    <row r="48" spans="1:34" ht="20.100000000000001" customHeight="1" x14ac:dyDescent="0.25">
      <c r="A48" s="5"/>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329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329</v>
      </c>
    </row>
    <row r="49" spans="1:34" ht="20.100000000000001" customHeight="1" x14ac:dyDescent="0.25">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329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329</v>
      </c>
    </row>
    <row r="50" spans="1:34" ht="20.100000000000001" customHeight="1" x14ac:dyDescent="0.25">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329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329</v>
      </c>
    </row>
    <row r="51" spans="1:34" ht="20.100000000000001" customHeight="1" x14ac:dyDescent="0.25">
      <c r="A51" s="100"/>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329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329</v>
      </c>
      <c r="AG51" s="26"/>
      <c r="AH51" s="26"/>
    </row>
    <row r="52" spans="1:34" ht="20.100000000000001" customHeight="1" x14ac:dyDescent="0.25">
      <c r="A52" s="5"/>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329</v>
      </c>
      <c r="AG52" s="26"/>
      <c r="AH52" s="26"/>
    </row>
    <row r="53" spans="1:34" ht="20.100000000000001" customHeight="1" x14ac:dyDescent="0.25">
      <c r="A53" s="5"/>
      <c r="D53" s="116" t="s">
        <v>381</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329</v>
      </c>
      <c r="AG53" s="26"/>
      <c r="AH53" s="26"/>
    </row>
    <row r="54" spans="1:34" ht="20.100000000000001" customHeight="1" x14ac:dyDescent="0.25">
      <c r="A54" s="5"/>
      <c r="D54" s="117" t="s">
        <v>382</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329</v>
      </c>
      <c r="AG54" s="26"/>
      <c r="AH54" s="26"/>
    </row>
    <row r="55" spans="1:34" ht="20.100000000000001" customHeight="1" x14ac:dyDescent="0.25">
      <c r="A55" s="5"/>
      <c r="D55" s="118" t="s">
        <v>74</v>
      </c>
      <c r="E55" s="94" t="s">
        <v>312</v>
      </c>
      <c r="F55" s="94" t="s">
        <v>198</v>
      </c>
      <c r="G55" s="94" t="s">
        <v>313</v>
      </c>
      <c r="H55" s="94" t="s">
        <v>314</v>
      </c>
      <c r="I55" s="94" t="s">
        <v>315</v>
      </c>
      <c r="J55" s="94" t="s">
        <v>316</v>
      </c>
      <c r="K55" s="94" t="s">
        <v>317</v>
      </c>
      <c r="L55" s="94" t="s">
        <v>318</v>
      </c>
      <c r="M55" s="94" t="s">
        <v>319</v>
      </c>
      <c r="N55" s="94" t="s">
        <v>320</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329</v>
      </c>
      <c r="AG55" s="26"/>
      <c r="AH55" s="26"/>
    </row>
    <row r="56" spans="1:34" ht="20.100000000000001" customHeight="1" x14ac:dyDescent="0.25">
      <c r="A56" s="5"/>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329</v>
      </c>
      <c r="P56" s="26"/>
      <c r="Q56" s="26"/>
      <c r="AG56" s="26"/>
      <c r="AH56" s="26"/>
    </row>
    <row r="57" spans="1:34" ht="20.100000000000001" customHeight="1" x14ac:dyDescent="0.25">
      <c r="A57" s="5"/>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329</v>
      </c>
      <c r="P57" s="26"/>
      <c r="Q57" s="26"/>
      <c r="U57" s="116" t="s">
        <v>379</v>
      </c>
      <c r="AG57" s="26"/>
      <c r="AH57" s="26"/>
    </row>
    <row r="58" spans="1:34" ht="20.100000000000001" customHeight="1" x14ac:dyDescent="0.25">
      <c r="A58" s="5"/>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329</v>
      </c>
      <c r="P58" s="26"/>
      <c r="Q58" s="26"/>
      <c r="U58" s="117" t="s">
        <v>380</v>
      </c>
      <c r="AG58" s="26"/>
      <c r="AH58" s="26"/>
    </row>
    <row r="59" spans="1:34" ht="20.100000000000001" customHeight="1" x14ac:dyDescent="0.25">
      <c r="A59" s="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329</v>
      </c>
      <c r="P59" s="26"/>
      <c r="Q59" s="26"/>
      <c r="U59" s="118" t="s">
        <v>73</v>
      </c>
      <c r="V59" s="94" t="s">
        <v>312</v>
      </c>
      <c r="W59" s="94" t="s">
        <v>198</v>
      </c>
      <c r="X59" s="94" t="s">
        <v>313</v>
      </c>
      <c r="Y59" s="94" t="s">
        <v>314</v>
      </c>
      <c r="Z59" s="94" t="s">
        <v>315</v>
      </c>
      <c r="AA59" s="94" t="s">
        <v>316</v>
      </c>
      <c r="AB59" s="94" t="s">
        <v>317</v>
      </c>
      <c r="AC59" s="94" t="s">
        <v>318</v>
      </c>
      <c r="AD59" s="94" t="s">
        <v>319</v>
      </c>
      <c r="AE59" s="94" t="s">
        <v>320</v>
      </c>
      <c r="AG59" s="26"/>
      <c r="AH59" s="26"/>
    </row>
    <row r="60" spans="1:34" ht="20.100000000000001" customHeight="1" x14ac:dyDescent="0.25">
      <c r="A60" s="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330</v>
      </c>
      <c r="AG60" s="26"/>
      <c r="AH60" s="26"/>
    </row>
    <row r="61" spans="1:34" ht="20.100000000000001" customHeight="1" x14ac:dyDescent="0.25">
      <c r="A61" s="5"/>
      <c r="D61" s="116" t="s">
        <v>385</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330</v>
      </c>
      <c r="AG61" s="26"/>
      <c r="AH61" s="26"/>
    </row>
    <row r="62" spans="1:34" ht="20.100000000000001" customHeight="1" x14ac:dyDescent="0.25">
      <c r="D62" s="117" t="s">
        <v>386</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330</v>
      </c>
      <c r="AG62" s="26"/>
      <c r="AH62" s="26"/>
    </row>
    <row r="63" spans="1:34" ht="20.100000000000001" customHeight="1" x14ac:dyDescent="0.25">
      <c r="D63" s="118" t="s">
        <v>74</v>
      </c>
      <c r="E63" s="118" t="s">
        <v>312</v>
      </c>
      <c r="F63" s="118" t="s">
        <v>198</v>
      </c>
      <c r="G63" s="118" t="s">
        <v>313</v>
      </c>
      <c r="H63" s="118" t="s">
        <v>314</v>
      </c>
      <c r="I63" s="118" t="s">
        <v>315</v>
      </c>
      <c r="J63" s="118" t="s">
        <v>316</v>
      </c>
      <c r="K63" s="118" t="s">
        <v>317</v>
      </c>
      <c r="L63" s="118" t="s">
        <v>318</v>
      </c>
      <c r="M63" s="118" t="s">
        <v>319</v>
      </c>
      <c r="N63" s="118" t="s">
        <v>320</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330</v>
      </c>
      <c r="AG63" s="26"/>
      <c r="AH63" s="26"/>
    </row>
    <row r="64" spans="1:34" ht="20.100000000000001" customHeight="1" x14ac:dyDescent="0.25">
      <c r="D64" s="25" t="s">
        <v>321</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330</v>
      </c>
    </row>
    <row r="65" spans="3:34" ht="20.100000000000001" customHeight="1" x14ac:dyDescent="0.25">
      <c r="D65" s="25" t="s">
        <v>322</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330</v>
      </c>
    </row>
    <row r="66" spans="3:34" ht="20.100000000000001" customHeight="1" x14ac:dyDescent="0.25">
      <c r="D66" s="25" t="s">
        <v>323</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330</v>
      </c>
    </row>
    <row r="67" spans="3:34" ht="20.100000000000001" customHeight="1" x14ac:dyDescent="0.25">
      <c r="D67" s="25" t="s">
        <v>324</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330</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330</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330</v>
      </c>
      <c r="AG69" s="26"/>
      <c r="AH69" s="26"/>
    </row>
    <row r="70" spans="3:34" ht="20.100000000000001" customHeight="1" x14ac:dyDescent="0.25">
      <c r="C70" s="120"/>
      <c r="D70" s="120"/>
      <c r="E70" s="120"/>
      <c r="F70" s="120"/>
      <c r="G70" s="120"/>
      <c r="H70" s="120"/>
      <c r="I70" s="120"/>
      <c r="J70" s="120"/>
      <c r="K70" s="120"/>
      <c r="L70" s="120"/>
      <c r="M70" s="120"/>
      <c r="N70" s="120"/>
      <c r="O70" s="120"/>
      <c r="P70" s="120"/>
      <c r="Q70" s="120"/>
      <c r="R70" s="120"/>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330</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330</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7" t="s">
        <v>358</v>
      </c>
      <c r="E73" s="107" t="str" cm="1">
        <f t="array" aca="1" ref="E73" ca="1">Common_InputFunctions.Utility_DisplayFunctionName(E85)</f>
        <v>=EntericMethane_PastureBeef_Equations.VEERG_3_2_1_1__2_DailyEntericMethaneProduction</v>
      </c>
      <c r="U73" s="116" t="s">
        <v>383</v>
      </c>
      <c r="AG73" s="26"/>
      <c r="AH73" s="26"/>
    </row>
    <row r="74" spans="3:34" ht="20.100000000000001" customHeight="1" x14ac:dyDescent="0.25">
      <c r="U74" s="117" t="s">
        <v>384</v>
      </c>
      <c r="AG74" s="26"/>
      <c r="AH74" s="26"/>
    </row>
    <row r="75" spans="3:34" ht="20.100000000000001" customHeight="1" x14ac:dyDescent="0.25">
      <c r="U75" s="118" t="s">
        <v>73</v>
      </c>
      <c r="V75" s="118" t="s">
        <v>312</v>
      </c>
      <c r="W75" s="118" t="s">
        <v>198</v>
      </c>
      <c r="X75" s="118" t="s">
        <v>313</v>
      </c>
      <c r="Y75" s="118" t="s">
        <v>314</v>
      </c>
      <c r="Z75" s="118" t="s">
        <v>315</v>
      </c>
      <c r="AA75" s="118" t="s">
        <v>316</v>
      </c>
      <c r="AB75" s="118" t="s">
        <v>317</v>
      </c>
      <c r="AC75" s="118" t="s">
        <v>318</v>
      </c>
      <c r="AD75" s="118" t="s">
        <v>319</v>
      </c>
      <c r="AE75" s="118" t="s">
        <v>320</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360</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128</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9" t="str" cm="1">
        <f t="array" ref="D80:E80">_xlfn.CHOOSECOLS(EntericMethane_PastureBeef_Equations.VEERG_3_2_1_1__2_DailyEntericMethaneProduction_Arguments(), 1, 2)</f>
        <v>I_jkl</v>
      </c>
      <c r="E80" s="110" t="str">
        <v>dry matter intake</v>
      </c>
      <c r="F80" s="112"/>
      <c r="G80" s="109" t="str" cm="1">
        <f t="array" ref="G80:H80">_xlfn.CHOOSECOLS(EntericMethane_PastureBeef_Equations.VEERG_3_2_1_1__2_DailyEntericMethaneProduction_Arguments(), 3,4)</f>
        <v>kg DM/head/day</v>
      </c>
      <c r="H80" s="114" t="str">
        <v>Calculated from 3.2.1.1, (3)</v>
      </c>
      <c r="I80" s="115"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6" t="s">
        <v>557</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7" t="s">
        <v>558</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8" t="s">
        <v>74</v>
      </c>
      <c r="E84" s="118" t="s">
        <v>312</v>
      </c>
      <c r="F84" s="118" t="s">
        <v>198</v>
      </c>
      <c r="G84" s="118" t="s">
        <v>313</v>
      </c>
      <c r="H84" s="118" t="s">
        <v>314</v>
      </c>
      <c r="I84" s="118" t="s">
        <v>315</v>
      </c>
      <c r="J84" s="118" t="s">
        <v>316</v>
      </c>
      <c r="K84" s="118" t="s">
        <v>317</v>
      </c>
      <c r="L84" s="118" t="s">
        <v>318</v>
      </c>
      <c r="M84" s="118" t="s">
        <v>319</v>
      </c>
      <c r="N84" s="118" t="s">
        <v>320</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321</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322</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323</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324</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20"/>
      <c r="D91" s="120"/>
      <c r="E91" s="120"/>
      <c r="F91" s="120"/>
      <c r="G91" s="120"/>
      <c r="H91" s="120"/>
      <c r="I91" s="120"/>
      <c r="J91" s="120"/>
      <c r="K91" s="120"/>
      <c r="L91" s="120"/>
      <c r="M91" s="120"/>
      <c r="N91" s="120"/>
      <c r="O91" s="120"/>
      <c r="P91" s="120"/>
      <c r="Q91" s="120"/>
      <c r="R91" s="120"/>
      <c r="T91" s="120"/>
      <c r="U91" s="120"/>
      <c r="V91" s="120"/>
      <c r="W91" s="120"/>
      <c r="X91" s="120"/>
      <c r="Y91" s="120"/>
      <c r="Z91" s="120"/>
      <c r="AA91" s="120"/>
      <c r="AB91" s="120"/>
      <c r="AC91" s="120"/>
      <c r="AD91" s="120"/>
      <c r="AE91" s="120"/>
      <c r="AF91" s="120"/>
      <c r="AG91" s="120"/>
      <c r="AH91" s="120"/>
      <c r="AI91" s="120"/>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7" t="s">
        <v>358</v>
      </c>
      <c r="E94" s="107" t="str" cm="1">
        <f t="array" aca="1" ref="E94" ca="1">Common_InputFunctions.Utility_DisplayFunctionName(E123)</f>
        <v>=EntericMethane_PastureBeef_Equations.VEERG_3_2_1_1__1_TotalAnnualMethaneFromEntericFermentation</v>
      </c>
      <c r="U94" s="116" t="s">
        <v>559</v>
      </c>
    </row>
    <row r="95" spans="3:35" ht="20.100000000000001" customHeight="1" x14ac:dyDescent="0.25">
      <c r="U95" s="117" t="s">
        <v>560</v>
      </c>
    </row>
    <row r="96" spans="3:35" ht="20.100000000000001" customHeight="1" x14ac:dyDescent="0.25">
      <c r="U96" s="118" t="s">
        <v>73</v>
      </c>
      <c r="V96" s="118" t="s">
        <v>312</v>
      </c>
      <c r="W96" s="118" t="s">
        <v>198</v>
      </c>
      <c r="X96" s="118" t="s">
        <v>313</v>
      </c>
      <c r="Y96" s="118" t="s">
        <v>314</v>
      </c>
      <c r="Z96" s="118" t="s">
        <v>315</v>
      </c>
      <c r="AA96" s="118" t="s">
        <v>316</v>
      </c>
      <c r="AB96" s="118" t="s">
        <v>317</v>
      </c>
      <c r="AC96" s="118" t="s">
        <v>318</v>
      </c>
      <c r="AD96" s="118" t="s">
        <v>319</v>
      </c>
      <c r="AE96" s="118" t="s">
        <v>320</v>
      </c>
    </row>
    <row r="97" spans="4:35" ht="20.100000000000001" customHeight="1" x14ac:dyDescent="0.25">
      <c r="D97" s="88" t="s">
        <v>360</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128</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9" t="str" cm="1">
        <f t="array" ref="D100:E102">_xlfn.CHOOSECOLS(EntericMethane_PastureBeef_Equations.VEERG_3_2_1_1__1_TotalAnnualMethaneFromEntericFermentation_Arguments(), 1, 2)</f>
        <v>D_j</v>
      </c>
      <c r="E100" s="110" t="str">
        <v>number of days the animal is on the farm in each time-period</v>
      </c>
      <c r="F100" s="112"/>
      <c r="G100" s="109" t="str" cm="1">
        <f t="array" ref="G100:H102">_xlfn.CHOOSECOLS(EntericMethane_PastureBeef_Equations.VEERG_3_2_1_1__1_TotalAnnualMethaneFromEntericFermentation_Arguments(), 3,4)</f>
        <v>days</v>
      </c>
      <c r="H100" s="113" t="str">
        <v>Input</v>
      </c>
      <c r="I100" s="115"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9" t="str">
        <v>M_jkl</v>
      </c>
      <c r="E101" s="110" t="str">
        <v>daily production of enteric methane in each time-period, class and subclass</v>
      </c>
      <c r="F101" s="112"/>
      <c r="G101" s="109" t="str">
        <v>kg CH4/head/day</v>
      </c>
      <c r="H101" s="114" t="str">
        <v>Calculated from 3.2.1.1, (2)</v>
      </c>
      <c r="I101" s="115"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9" t="str">
        <v>N_jkl</v>
      </c>
      <c r="E102" s="110" t="str">
        <v>number of beef cattle in each time-period, class and subclass</v>
      </c>
      <c r="F102" s="112"/>
      <c r="G102" s="109" t="str">
        <v>head</v>
      </c>
      <c r="H102" s="113" t="str">
        <v>Input</v>
      </c>
      <c r="I102" s="115"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6" t="s">
        <v>408</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7" t="s">
        <v>410</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8" t="s">
        <v>74</v>
      </c>
      <c r="E106" s="94" t="s">
        <v>312</v>
      </c>
      <c r="F106" s="94" t="s">
        <v>198</v>
      </c>
      <c r="G106" s="94" t="s">
        <v>313</v>
      </c>
      <c r="H106" s="94" t="s">
        <v>314</v>
      </c>
      <c r="I106" s="94" t="s">
        <v>315</v>
      </c>
      <c r="J106" s="94" t="s">
        <v>316</v>
      </c>
      <c r="K106" s="94" t="s">
        <v>317</v>
      </c>
      <c r="L106" s="94" t="s">
        <v>318</v>
      </c>
      <c r="M106" s="94" t="s">
        <v>319</v>
      </c>
      <c r="N106" s="94" t="s">
        <v>320</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321</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322</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323</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324</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20"/>
      <c r="U111" s="120"/>
      <c r="V111" s="120"/>
      <c r="W111" s="120"/>
      <c r="X111" s="120"/>
      <c r="Y111" s="120"/>
      <c r="Z111" s="120"/>
      <c r="AA111" s="120"/>
      <c r="AB111" s="120"/>
      <c r="AC111" s="120"/>
      <c r="AD111" s="120"/>
      <c r="AE111" s="120"/>
      <c r="AF111" s="120"/>
      <c r="AG111" s="120"/>
      <c r="AH111" s="120"/>
      <c r="AI111" s="120"/>
    </row>
    <row r="112" spans="4:35" ht="20.100000000000001" customHeight="1" x14ac:dyDescent="0.25">
      <c r="D112" s="116" t="s">
        <v>413</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7" t="s">
        <v>414</v>
      </c>
    </row>
    <row r="114" spans="4:34" ht="20.100000000000001" customHeight="1" x14ac:dyDescent="0.25">
      <c r="D114" s="118" t="s">
        <v>74</v>
      </c>
      <c r="E114" s="94" t="s">
        <v>312</v>
      </c>
      <c r="F114" s="94" t="s">
        <v>198</v>
      </c>
      <c r="G114" s="94" t="s">
        <v>313</v>
      </c>
      <c r="H114" s="94" t="s">
        <v>314</v>
      </c>
      <c r="I114" s="94" t="s">
        <v>315</v>
      </c>
      <c r="J114" s="94" t="s">
        <v>316</v>
      </c>
      <c r="K114" s="94" t="s">
        <v>317</v>
      </c>
      <c r="L114" s="94" t="s">
        <v>318</v>
      </c>
      <c r="M114" s="94" t="s">
        <v>319</v>
      </c>
      <c r="N114" s="94" t="s">
        <v>320</v>
      </c>
      <c r="U114" s="116" t="s">
        <v>409</v>
      </c>
    </row>
    <row r="115" spans="4:34" ht="20.100000000000001" customHeight="1" x14ac:dyDescent="0.25">
      <c r="D115" s="25" t="s">
        <v>321</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7" t="s">
        <v>411</v>
      </c>
      <c r="AH115" s="26"/>
    </row>
    <row r="116" spans="4:34" ht="20.100000000000001" customHeight="1" x14ac:dyDescent="0.25">
      <c r="D116" s="25" t="s">
        <v>322</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8" t="s">
        <v>73</v>
      </c>
      <c r="V116" s="94" t="s">
        <v>312</v>
      </c>
      <c r="W116" s="94" t="s">
        <v>198</v>
      </c>
      <c r="X116" s="94" t="s">
        <v>313</v>
      </c>
      <c r="Y116" s="94" t="s">
        <v>314</v>
      </c>
      <c r="Z116" s="94" t="s">
        <v>315</v>
      </c>
      <c r="AA116" s="94" t="s">
        <v>316</v>
      </c>
      <c r="AB116" s="94" t="s">
        <v>317</v>
      </c>
      <c r="AC116" s="94" t="s">
        <v>318</v>
      </c>
      <c r="AD116" s="94" t="s">
        <v>319</v>
      </c>
      <c r="AE116" s="94" t="s">
        <v>320</v>
      </c>
      <c r="AF116" s="26"/>
      <c r="AH116" s="26"/>
    </row>
    <row r="117" spans="4:34" ht="20.100000000000001" customHeight="1" x14ac:dyDescent="0.25">
      <c r="D117" s="25" t="s">
        <v>323</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324</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6" t="s">
        <v>561</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7" t="s">
        <v>562</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8" t="s">
        <v>74</v>
      </c>
      <c r="E122" s="118" t="s">
        <v>312</v>
      </c>
      <c r="F122" s="118" t="s">
        <v>198</v>
      </c>
      <c r="G122" s="118" t="s">
        <v>313</v>
      </c>
      <c r="H122" s="118" t="s">
        <v>314</v>
      </c>
      <c r="I122" s="118" t="s">
        <v>315</v>
      </c>
      <c r="J122" s="118" t="s">
        <v>316</v>
      </c>
      <c r="K122" s="118" t="s">
        <v>317</v>
      </c>
      <c r="L122" s="118" t="s">
        <v>318</v>
      </c>
      <c r="M122" s="118" t="s">
        <v>319</v>
      </c>
      <c r="N122" s="118" t="s">
        <v>320</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321</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322</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323</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324</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21" t="s">
        <v>420</v>
      </c>
      <c r="E128" s="122">
        <f ca="1">SUM(E123:N126)</f>
        <v>54.595755432192263</v>
      </c>
      <c r="F128" s="123"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4" t="str" cm="1">
        <f t="array" ref="D130:E131">Common_Equations.Common_ConvertCH4ToCO2e_Arguments()</f>
        <v>ECH4</v>
      </c>
      <c r="E130" s="125" t="str">
        <v>Methane emissions (t CH4)</v>
      </c>
      <c r="F130" s="126"/>
      <c r="G130" s="25">
        <f ca="1">VEERG_3_2_1_1__1_TotalAnnualMethaneFromEntericFermentation_Result_Method1</f>
        <v>54.595755432192263</v>
      </c>
      <c r="Q130" s="26"/>
      <c r="U130" s="116" t="s">
        <v>417</v>
      </c>
    </row>
    <row r="131" spans="4:34" ht="20.100000000000001" customHeight="1" x14ac:dyDescent="0.25">
      <c r="D131" s="124" t="str">
        <v>GWPCH4</v>
      </c>
      <c r="E131" s="125" t="str">
        <v>Global warming potential for methane (t CO2-e / t CH4)</v>
      </c>
      <c r="F131" s="126"/>
      <c r="G131" s="25">
        <f>Common_InputFunctions.Utility_LookupValueInTableNumber("CH4",Table_GWPData[Gas],Table_GWPData[CO2-e factor])</f>
        <v>28</v>
      </c>
      <c r="U131" s="117" t="s">
        <v>419</v>
      </c>
      <c r="AH131" s="26"/>
    </row>
    <row r="132" spans="4:34" ht="20.100000000000001" customHeight="1" x14ac:dyDescent="0.25">
      <c r="U132" s="118" t="s">
        <v>73</v>
      </c>
      <c r="V132" s="94" t="s">
        <v>312</v>
      </c>
      <c r="W132" s="94" t="s">
        <v>198</v>
      </c>
      <c r="X132" s="94" t="s">
        <v>313</v>
      </c>
      <c r="Y132" s="94" t="s">
        <v>314</v>
      </c>
      <c r="Z132" s="94" t="s">
        <v>315</v>
      </c>
      <c r="AA132" s="94" t="s">
        <v>316</v>
      </c>
      <c r="AB132" s="94" t="s">
        <v>317</v>
      </c>
      <c r="AC132" s="94" t="s">
        <v>318</v>
      </c>
      <c r="AD132" s="94" t="s">
        <v>319</v>
      </c>
      <c r="AE132" s="94" t="s">
        <v>320</v>
      </c>
      <c r="AF132" s="26"/>
      <c r="AH132" s="26"/>
    </row>
    <row r="133" spans="4:34" ht="20.100000000000001" customHeight="1" x14ac:dyDescent="0.25">
      <c r="D133" s="120" t="s">
        <v>422</v>
      </c>
      <c r="E133" s="120" cm="1">
        <f t="array" aca="1" ref="E133" ca="1">Common_Equations.Common_ConvertN2OToCO2e(G130,G131)</f>
        <v>1528.6811521013833</v>
      </c>
      <c r="F133" s="127"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6" t="s">
        <v>563</v>
      </c>
    </row>
    <row r="147" spans="21:32" ht="20.100000000000001" customHeight="1" x14ac:dyDescent="0.25">
      <c r="U147" s="117" t="s">
        <v>564</v>
      </c>
    </row>
    <row r="148" spans="21:32" ht="20.100000000000001" customHeight="1" x14ac:dyDescent="0.25">
      <c r="U148" s="118" t="s">
        <v>73</v>
      </c>
      <c r="V148" s="118" t="s">
        <v>312</v>
      </c>
      <c r="W148" s="118" t="s">
        <v>198</v>
      </c>
      <c r="X148" s="118" t="s">
        <v>313</v>
      </c>
      <c r="Y148" s="118" t="s">
        <v>314</v>
      </c>
      <c r="Z148" s="118" t="s">
        <v>315</v>
      </c>
      <c r="AA148" s="118" t="s">
        <v>316</v>
      </c>
      <c r="AB148" s="118" t="s">
        <v>317</v>
      </c>
      <c r="AC148" s="118" t="s">
        <v>318</v>
      </c>
      <c r="AD148" s="118" t="s">
        <v>319</v>
      </c>
      <c r="AE148" s="118" t="s">
        <v>320</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row r="162" spans="21:24" ht="20.100000000000001" customHeight="1" x14ac:dyDescent="0.25">
      <c r="U162" s="121" t="s">
        <v>420</v>
      </c>
      <c r="V162" s="122">
        <f ca="1">SUM(V149:AE160)</f>
        <v>22664.29155712877</v>
      </c>
      <c r="W162" s="123" t="str">
        <f>$E$98</f>
        <v>t CH4</v>
      </c>
    </row>
    <row r="163" spans="21:24" ht="20.100000000000001" customHeight="1" x14ac:dyDescent="0.25"/>
    <row r="164" spans="21:24" ht="20.100000000000001" customHeight="1" x14ac:dyDescent="0.25">
      <c r="U164" s="124" t="str" cm="1">
        <f t="array" ref="U164:V165">Common_Equations.Common_ConvertCH4ToCO2e_Arguments()</f>
        <v>ECH4</v>
      </c>
      <c r="V164" s="125" t="str">
        <v>Methane emissions (t CH4)</v>
      </c>
      <c r="W164" s="126"/>
      <c r="X164" s="25">
        <f ca="1">VEERG_3_2_1_1__1_TotalAnnualMethaneFromEntericFermentation_Result_Method2</f>
        <v>22664.29155712877</v>
      </c>
    </row>
    <row r="165" spans="21:24" ht="20.100000000000001" customHeight="1" x14ac:dyDescent="0.25">
      <c r="U165" s="124" t="str">
        <v>GWPCH4</v>
      </c>
      <c r="V165" s="125" t="str">
        <v>Global warming potential for methane (t CO2-e / t CH4)</v>
      </c>
      <c r="W165" s="126"/>
      <c r="X165" s="25">
        <f>Common_InputFunctions.Utility_LookupValueInTableNumber("CH4",Table_GWPData[Gas],Table_GWPData[CO2-e factor])</f>
        <v>28</v>
      </c>
    </row>
    <row r="166" spans="21:24" ht="20.100000000000001" customHeight="1" x14ac:dyDescent="0.25"/>
    <row r="167" spans="21:24" ht="20.100000000000001" customHeight="1" x14ac:dyDescent="0.25">
      <c r="U167" s="120" t="s">
        <v>422</v>
      </c>
      <c r="V167" s="120" cm="1">
        <f t="array" aca="1" ref="V167" ca="1">Common_Equations.Common_ConvertN2OToCO2e(X164,X165)</f>
        <v>634600.16359960556</v>
      </c>
      <c r="W167" s="127"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88C7FE5F-889C-4E01-B051-4F938844E341}"/>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F2C1D-C9E5-4BF6-A8A4-84AE3B66E612}">
  <sheetPr>
    <tabColor rgb="FF008000"/>
  </sheetPr>
  <dimension ref="A1:L342"/>
  <sheetViews>
    <sheetView showGridLines="0" topLeftCell="A174"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931</v>
      </c>
    </row>
    <row r="2" spans="1:12" s="3" customFormat="1" ht="20.100000000000001" customHeight="1" x14ac:dyDescent="0.25">
      <c r="A2"/>
    </row>
    <row r="3" spans="1:12" ht="20.100000000000001" customHeight="1" x14ac:dyDescent="0.25">
      <c r="A3" s="5"/>
      <c r="C3" s="33"/>
      <c r="D3" s="33" t="s">
        <v>145</v>
      </c>
      <c r="E3" s="33"/>
      <c r="F3" s="33"/>
      <c r="G3" s="33"/>
      <c r="H3" s="33"/>
      <c r="I3" s="33"/>
      <c r="J3" s="33"/>
      <c r="K3" s="33"/>
      <c r="L3" s="33"/>
    </row>
    <row r="4" spans="1:12" ht="20.100000000000001" customHeight="1" x14ac:dyDescent="0.25">
      <c r="A4" s="5"/>
    </row>
    <row r="5" spans="1:12" ht="20.100000000000001" customHeight="1" x14ac:dyDescent="0.25">
      <c r="A5" s="5"/>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7" t="s">
        <v>358</v>
      </c>
      <c r="E7" s="107" t="str" cm="1">
        <f t="array" aca="1" ref="E7" ca="1">Common_InputFunctions.Utility_DisplayFunctionName(I21)</f>
        <v>=WasteSolid_Equations.VEERG_10_1_1_1__2_MassOfWasteFromVolume</v>
      </c>
    </row>
    <row r="8" spans="1:12" ht="20.100000000000001" customHeight="1" x14ac:dyDescent="0.25">
      <c r="A8" s="7"/>
    </row>
    <row r="9" spans="1:12" ht="20.100000000000001" customHeight="1" x14ac:dyDescent="0.25">
      <c r="A9" s="5"/>
    </row>
    <row r="10" spans="1:12" ht="20.100000000000001" customHeight="1" x14ac:dyDescent="0.25">
      <c r="A10" s="5"/>
      <c r="D10" s="88" t="s">
        <v>360</v>
      </c>
      <c r="E10" s="1" t="str" cm="1">
        <f t="array" ref="E10">WasteSolid_Equations.VEERG_10_1_1_1__2_MassOfWasteFromVolume_Variable()</f>
        <v>Q_wt</v>
      </c>
    </row>
    <row r="11" spans="1:12" ht="20.100000000000001" customHeight="1" x14ac:dyDescent="0.25">
      <c r="A11" s="5"/>
      <c r="D11" s="88" t="s">
        <v>128</v>
      </c>
      <c r="E11" s="15" t="str" cm="1">
        <f t="array" ref="E11">WasteSolid_Equations.VEERG_10_1_1_1__2_MassOfWasteFromVolume_Unit()</f>
        <v>t</v>
      </c>
    </row>
    <row r="12" spans="1:12" ht="20.100000000000001" customHeight="1" x14ac:dyDescent="0.25">
      <c r="A12" s="5"/>
    </row>
    <row r="13" spans="1:12" ht="20.100000000000001" customHeight="1" x14ac:dyDescent="0.25">
      <c r="A13" s="5"/>
      <c r="D13" s="109" t="str" cm="1">
        <f t="array" ref="D13:E16">_xlfn.CHOOSECOLS(WasteSolid_Equations.VEERG_10_1_1_1__2_MassOfWasteFromVolume_Arguments(),1,2)</f>
        <v>V_wt</v>
      </c>
      <c r="E13" s="110" t="str">
        <v>volume of solid waste type w being sent to treatment facility t</v>
      </c>
      <c r="F13" s="112"/>
      <c r="G13" s="109" t="str" cm="1">
        <f t="array" ref="G13:H16">_xlfn.CHOOSECOLS(WasteSolid_Equations.VEERG_10_1_1_1__2_MassOfWasteFromVolume_Arguments(),3,4)</f>
        <v>m3</v>
      </c>
      <c r="H13" s="11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5">
      <c r="A14" s="5"/>
      <c r="D14" s="109" t="str">
        <v>VTM_w</v>
      </c>
      <c r="E14" s="110" t="str">
        <v>conversion factor of volume to mass for waste type w</v>
      </c>
      <c r="F14" s="112"/>
      <c r="G14" s="109" t="str">
        <v>t/m3</v>
      </c>
      <c r="H14" s="114"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5">
      <c r="A15" s="5"/>
      <c r="D15" s="109" t="str">
        <v>w</v>
      </c>
      <c r="E15" s="110" t="str">
        <v>waste type</v>
      </c>
      <c r="F15" s="112"/>
      <c r="G15" s="109" t="str">
        <v/>
      </c>
      <c r="H15" s="11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5">
      <c r="A16" s="5"/>
      <c r="D16" s="109" t="str">
        <v>t</v>
      </c>
      <c r="E16" s="110" t="str">
        <v>treatment facility</v>
      </c>
      <c r="F16" s="112"/>
      <c r="G16" s="109" t="str">
        <v/>
      </c>
      <c r="H16" s="11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5">
      <c r="A17" s="5"/>
    </row>
    <row r="18" spans="1:9" ht="20.100000000000001" customHeight="1" x14ac:dyDescent="0.25">
      <c r="A18" s="5"/>
      <c r="D18" s="116" t="s">
        <v>932</v>
      </c>
    </row>
    <row r="19" spans="1:9" ht="20.100000000000001" customHeight="1" x14ac:dyDescent="0.25">
      <c r="A19" s="5"/>
      <c r="D19" s="117" t="s">
        <v>933</v>
      </c>
    </row>
    <row r="20" spans="1:9" ht="20.100000000000001" customHeight="1" x14ac:dyDescent="0.25">
      <c r="A20" s="5"/>
      <c r="D20" s="94" t="s">
        <v>934</v>
      </c>
      <c r="E20" s="94" t="s">
        <v>935</v>
      </c>
      <c r="F20" s="94"/>
      <c r="G20" s="94" t="s">
        <v>936</v>
      </c>
      <c r="H20" s="118" t="s">
        <v>937</v>
      </c>
      <c r="I20" s="118" t="s">
        <v>938</v>
      </c>
    </row>
    <row r="21" spans="1:9" ht="20.100000000000001" customHeight="1" x14ac:dyDescent="0.25">
      <c r="A21" s="5"/>
      <c r="D21" s="109" t="str" cm="1">
        <f t="array" ref="D21:D54">Table_SourceData_WasteSolid_WasteTreatmentEFs[Treatment type t]</f>
        <v>Landfill</v>
      </c>
      <c r="E21" s="110" t="str" cm="1">
        <f t="array" ref="E21:E54">Table_SourceData_WasteSolid_WasteTreatmentEFs[Waste type w]</f>
        <v>Food waste (including animal carcasses, spoiled animal feed or crop)</v>
      </c>
      <c r="F21" s="173"/>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c r="D22" s="109" t="str">
        <v>Landfill</v>
      </c>
      <c r="E22" s="110" t="str">
        <v>Paper and cardboard</v>
      </c>
      <c r="F22" s="173"/>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c r="D23" s="109" t="str">
        <v>Landfill</v>
      </c>
      <c r="E23" s="110" t="str">
        <v>Green waste (including crop residues or prunings)</v>
      </c>
      <c r="F23" s="173"/>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c r="D24" s="109" t="str">
        <v>Landfill</v>
      </c>
      <c r="E24" s="110" t="str">
        <v>Wood</v>
      </c>
      <c r="F24" s="173"/>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c r="D25" s="109" t="str">
        <v>Landfill</v>
      </c>
      <c r="E25" s="110" t="str">
        <v>Textiles</v>
      </c>
      <c r="F25" s="173"/>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c r="D26" s="109" t="str">
        <v>Landfill</v>
      </c>
      <c r="E26" s="110" t="str">
        <v>Sludge</v>
      </c>
      <c r="F26" s="173"/>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D27" s="109" t="str">
        <v>Landfill</v>
      </c>
      <c r="E27" s="110" t="str">
        <v>Rubber and leather</v>
      </c>
      <c r="F27" s="173"/>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D28" s="109" t="str">
        <v>Landfill</v>
      </c>
      <c r="E28" s="110" t="str">
        <v>Inert waste (including concrete, metal, plastic or glass)</v>
      </c>
      <c r="F28" s="173"/>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6"/>
      <c r="D29" s="109" t="str">
        <v>Landfill</v>
      </c>
      <c r="E29" s="110" t="str">
        <v>Municipal solid waste</v>
      </c>
      <c r="F29" s="173"/>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c r="D30" s="109" t="str">
        <v>Landfill</v>
      </c>
      <c r="E30" s="110" t="str">
        <v>Commercial and industrial waste</v>
      </c>
      <c r="F30" s="173"/>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c r="D31" s="109" t="str">
        <v>Landfill</v>
      </c>
      <c r="E31" s="110" t="str">
        <v>Construction and demolition waste</v>
      </c>
      <c r="F31" s="173"/>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c r="D32" s="109" t="str">
        <v>Incineration</v>
      </c>
      <c r="E32" s="110" t="str">
        <v>Food waste, green waste, wood, sludge</v>
      </c>
      <c r="F32" s="173"/>
      <c r="G32" s="25" t="s">
        <v>659</v>
      </c>
      <c r="H32" s="25" t="s">
        <v>659</v>
      </c>
      <c r="I32" s="25" t="s">
        <v>659</v>
      </c>
    </row>
    <row r="33" spans="1:9" ht="20.100000000000001" customHeight="1" x14ac:dyDescent="0.25">
      <c r="A33" s="5"/>
      <c r="D33" s="109" t="str">
        <v>Incineration</v>
      </c>
      <c r="E33" s="110" t="str">
        <v>Food waste (including animal carcasses, spoiled animal feed or crop)</v>
      </c>
      <c r="F33" s="173"/>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c r="D34" s="109" t="str">
        <v>Incineration</v>
      </c>
      <c r="E34" s="110" t="str">
        <v>Green waste (including crop residues or prunings)</v>
      </c>
      <c r="F34" s="173"/>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c r="D35" s="109" t="str">
        <v>Incineration</v>
      </c>
      <c r="E35" s="110" t="str">
        <v>Wood</v>
      </c>
      <c r="F35" s="173"/>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c r="D36" s="109" t="str">
        <v>Incineration</v>
      </c>
      <c r="E36" s="110" t="str">
        <v>Sludge</v>
      </c>
      <c r="F36" s="173"/>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c r="D37" s="109" t="str">
        <v>Incineration</v>
      </c>
      <c r="E37" s="110" t="str">
        <v>Paper and cardboard</v>
      </c>
      <c r="F37" s="173"/>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c r="D38" s="109" t="str">
        <v>Incineration</v>
      </c>
      <c r="E38" s="110" t="str">
        <v>Textiles</v>
      </c>
      <c r="F38" s="173"/>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c r="D39" s="109" t="str">
        <v>Incineration</v>
      </c>
      <c r="E39" s="110" t="str">
        <v>Rubber and leather</v>
      </c>
      <c r="F39" s="173"/>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c r="D40" s="109" t="str">
        <v>Incineration</v>
      </c>
      <c r="E40" s="109" t="str">
        <v>Inert waste (including concrete, metal, plastic or glass)</v>
      </c>
      <c r="F40" s="109"/>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c r="D41" s="109" t="str">
        <v>Incineration</v>
      </c>
      <c r="E41" s="110" t="str">
        <v>Municipal solid waste</v>
      </c>
      <c r="F41" s="112"/>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c r="D42" s="109" t="str">
        <v>Incineration</v>
      </c>
      <c r="E42" s="110" t="str">
        <v>Commercial and industrial waste</v>
      </c>
      <c r="F42" s="112"/>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c r="D43" s="109" t="str">
        <v>Composting</v>
      </c>
      <c r="E43" s="110" t="str">
        <v>All organic waste</v>
      </c>
      <c r="F43" s="112"/>
      <c r="G43" s="25" t="s">
        <v>659</v>
      </c>
      <c r="H43" s="25" t="s">
        <v>659</v>
      </c>
      <c r="I43" s="25" t="s">
        <v>659</v>
      </c>
    </row>
    <row r="44" spans="1:9" ht="20.100000000000001" customHeight="1" x14ac:dyDescent="0.25">
      <c r="A44" s="5"/>
      <c r="D44" s="109" t="str">
        <v>Composting</v>
      </c>
      <c r="E44" s="110" t="str">
        <v>Food waste (including animal carcasses, spoiled animal feed or crop)</v>
      </c>
      <c r="F44" s="112"/>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c r="D45" s="109" t="str">
        <v>Composting</v>
      </c>
      <c r="E45" s="110" t="str">
        <v>Green waste (including crop residues or prunings)</v>
      </c>
      <c r="F45" s="112"/>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c r="D46" s="109" t="str">
        <v>Composting</v>
      </c>
      <c r="E46" s="110" t="str">
        <v>Wood</v>
      </c>
      <c r="F46" s="112"/>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c r="D47" s="109" t="str">
        <v>Composting</v>
      </c>
      <c r="E47" s="110" t="str">
        <v>Sludge</v>
      </c>
      <c r="F47" s="112"/>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108"/>
      <c r="D48" s="109" t="str">
        <v>Composting</v>
      </c>
      <c r="E48" s="110" t="str">
        <v>Paper and cardboard</v>
      </c>
      <c r="F48" s="112"/>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D49" s="109" t="str">
        <v>Anaerobic digestion</v>
      </c>
      <c r="E49" s="110" t="str">
        <v>All organic waste</v>
      </c>
      <c r="F49" s="112"/>
      <c r="G49" s="25" t="s">
        <v>659</v>
      </c>
      <c r="H49" s="25" t="s">
        <v>659</v>
      </c>
      <c r="I49" s="25" t="s">
        <v>659</v>
      </c>
    </row>
    <row r="50" spans="1:9" ht="20.100000000000001" customHeight="1" x14ac:dyDescent="0.25">
      <c r="D50" s="109" t="str">
        <v>Anaerobic digestion</v>
      </c>
      <c r="E50" s="110" t="str">
        <v>Food waste (including animal carcasses, spoiled animal feed or crop)</v>
      </c>
      <c r="F50" s="112"/>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100"/>
      <c r="D51" s="109" t="str">
        <v>Anaerobic digestion</v>
      </c>
      <c r="E51" s="110" t="str">
        <v>Green waste (including crop residues or prunings)</v>
      </c>
      <c r="F51" s="112"/>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c r="D52" s="109" t="str">
        <v>Anaerobic digestion</v>
      </c>
      <c r="E52" s="110" t="str">
        <v>Wood</v>
      </c>
      <c r="F52" s="112"/>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c r="D53" s="109" t="str">
        <v>Anaerobic digestion</v>
      </c>
      <c r="E53" s="110" t="str">
        <v>Sludge</v>
      </c>
      <c r="F53" s="112"/>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c r="D54" s="109" t="str">
        <v>Anaerobic digestion</v>
      </c>
      <c r="E54" s="110" t="str">
        <v>Paper and cardboard</v>
      </c>
      <c r="F54" s="112"/>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row>
    <row r="56" spans="1:9" ht="20.100000000000001" customHeight="1" x14ac:dyDescent="0.25">
      <c r="A56" s="5"/>
      <c r="D56" s="116" t="s">
        <v>939</v>
      </c>
    </row>
    <row r="57" spans="1:9" ht="20.100000000000001" customHeight="1" x14ac:dyDescent="0.25">
      <c r="A57" s="5"/>
      <c r="D57" s="117" t="s">
        <v>940</v>
      </c>
    </row>
    <row r="58" spans="1:9" ht="20.100000000000001" customHeight="1" x14ac:dyDescent="0.25">
      <c r="A58" s="5"/>
      <c r="D58" s="94" t="s">
        <v>934</v>
      </c>
      <c r="E58" s="94" t="s">
        <v>935</v>
      </c>
      <c r="F58" s="94"/>
      <c r="G58" s="94" t="s">
        <v>936</v>
      </c>
      <c r="H58" s="118" t="s">
        <v>937</v>
      </c>
      <c r="I58" s="118" t="s">
        <v>938</v>
      </c>
    </row>
    <row r="59" spans="1:9" ht="20.100000000000001" customHeight="1" x14ac:dyDescent="0.25">
      <c r="A59" s="5"/>
      <c r="D59" s="109" t="str" cm="1">
        <f t="array" ref="D59:D92">Table_SourceData_WasteSolid_WasteTreatmentEFs[Treatment type t]</f>
        <v>Landfill</v>
      </c>
      <c r="E59" s="110" t="str" cm="1">
        <f t="array" ref="E59:E92">Table_SourceData_WasteSolid_WasteTreatmentEFs[Waste type w]</f>
        <v>Food waste (including animal carcasses, spoiled animal feed or crop)</v>
      </c>
      <c r="F59" s="173"/>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c r="D60" s="109" t="str">
        <v>Landfill</v>
      </c>
      <c r="E60" s="110" t="str">
        <v>Paper and cardboard</v>
      </c>
      <c r="F60" s="173"/>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c r="D61" s="109" t="str">
        <v>Landfill</v>
      </c>
      <c r="E61" s="110" t="str">
        <v>Green waste (including crop residues or prunings)</v>
      </c>
      <c r="F61" s="173"/>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9" t="str">
        <v>Landfill</v>
      </c>
      <c r="E62" s="110" t="str">
        <v>Wood</v>
      </c>
      <c r="F62" s="173"/>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9" t="str">
        <v>Landfill</v>
      </c>
      <c r="E63" s="110" t="str">
        <v>Textiles</v>
      </c>
      <c r="F63" s="173"/>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9" t="str">
        <v>Landfill</v>
      </c>
      <c r="E64" s="110" t="str">
        <v>Sludge</v>
      </c>
      <c r="F64" s="173"/>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9" t="str">
        <v>Landfill</v>
      </c>
      <c r="E65" s="110" t="str">
        <v>Rubber and leather</v>
      </c>
      <c r="F65" s="173"/>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9" t="str">
        <v>Landfill</v>
      </c>
      <c r="E66" s="110" t="str">
        <v>Inert waste (including concrete, metal, plastic or glass)</v>
      </c>
      <c r="F66" s="173"/>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9" t="str">
        <v>Landfill</v>
      </c>
      <c r="E67" s="110" t="str">
        <v>Municipal solid waste</v>
      </c>
      <c r="F67" s="173"/>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9" t="str">
        <v>Landfill</v>
      </c>
      <c r="E68" s="110" t="str">
        <v>Commercial and industrial waste</v>
      </c>
      <c r="F68" s="173"/>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9" t="str">
        <v>Landfill</v>
      </c>
      <c r="E69" s="110" t="str">
        <v>Construction and demolition waste</v>
      </c>
      <c r="F69" s="173"/>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9" t="str">
        <v>Incineration</v>
      </c>
      <c r="E70" s="110" t="str">
        <v>Food waste, green waste, wood, sludge</v>
      </c>
      <c r="F70" s="173"/>
      <c r="G70" s="25" t="s">
        <v>659</v>
      </c>
      <c r="H70" s="25" t="s">
        <v>659</v>
      </c>
      <c r="I70" s="25" t="s">
        <v>659</v>
      </c>
    </row>
    <row r="71" spans="4:9" ht="20.100000000000001" customHeight="1" x14ac:dyDescent="0.25">
      <c r="D71" s="109" t="str">
        <v>Incineration</v>
      </c>
      <c r="E71" s="110" t="str">
        <v>Food waste (including animal carcasses, spoiled animal feed or crop)</v>
      </c>
      <c r="F71" s="173"/>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9" t="str">
        <v>Incineration</v>
      </c>
      <c r="E72" s="110" t="str">
        <v>Green waste (including crop residues or prunings)</v>
      </c>
      <c r="F72" s="173"/>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9" t="str">
        <v>Incineration</v>
      </c>
      <c r="E73" s="110" t="str">
        <v>Wood</v>
      </c>
      <c r="F73" s="173"/>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9" t="str">
        <v>Incineration</v>
      </c>
      <c r="E74" s="110" t="str">
        <v>Sludge</v>
      </c>
      <c r="F74" s="173"/>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9" t="str">
        <v>Incineration</v>
      </c>
      <c r="E75" s="110" t="str">
        <v>Paper and cardboard</v>
      </c>
      <c r="F75" s="173"/>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9" t="str">
        <v>Incineration</v>
      </c>
      <c r="E76" s="110" t="str">
        <v>Textiles</v>
      </c>
      <c r="F76" s="173"/>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9" t="str">
        <v>Incineration</v>
      </c>
      <c r="E77" s="110" t="str">
        <v>Rubber and leather</v>
      </c>
      <c r="F77" s="173"/>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9" t="str">
        <v>Incineration</v>
      </c>
      <c r="E78" s="110" t="str">
        <v>Inert waste (including concrete, metal, plastic or glass)</v>
      </c>
      <c r="F78" s="173"/>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9" t="str">
        <v>Incineration</v>
      </c>
      <c r="E79" s="110" t="str">
        <v>Municipal solid waste</v>
      </c>
      <c r="F79" s="112"/>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9" t="str">
        <v>Incineration</v>
      </c>
      <c r="E80" s="110" t="str">
        <v>Commercial and industrial waste</v>
      </c>
      <c r="F80" s="112"/>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9" t="str">
        <v>Composting</v>
      </c>
      <c r="E81" s="110" t="str">
        <v>All organic waste</v>
      </c>
      <c r="F81" s="112"/>
      <c r="G81" s="25" t="s">
        <v>659</v>
      </c>
      <c r="H81" s="25" t="s">
        <v>659</v>
      </c>
      <c r="I81" s="25" t="s">
        <v>659</v>
      </c>
    </row>
    <row r="82" spans="3:12" ht="20.100000000000001" customHeight="1" x14ac:dyDescent="0.25">
      <c r="D82" s="109" t="str">
        <v>Composting</v>
      </c>
      <c r="E82" s="110" t="str">
        <v>Food waste (including animal carcasses, spoiled animal feed or crop)</v>
      </c>
      <c r="F82" s="112"/>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9" t="str">
        <v>Composting</v>
      </c>
      <c r="E83" s="110" t="str">
        <v>Green waste (including crop residues or prunings)</v>
      </c>
      <c r="F83" s="112"/>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9" t="str">
        <v>Composting</v>
      </c>
      <c r="E84" s="110" t="str">
        <v>Wood</v>
      </c>
      <c r="F84" s="112"/>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9" t="str">
        <v>Composting</v>
      </c>
      <c r="E85" s="110" t="str">
        <v>Sludge</v>
      </c>
      <c r="F85" s="112"/>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9" t="str">
        <v>Composting</v>
      </c>
      <c r="E86" s="110" t="str">
        <v>Paper and cardboard</v>
      </c>
      <c r="F86" s="112"/>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9" t="str">
        <v>Anaerobic digestion</v>
      </c>
      <c r="E87" s="110" t="str">
        <v>All organic waste</v>
      </c>
      <c r="F87" s="112"/>
      <c r="G87" s="25" t="s">
        <v>659</v>
      </c>
      <c r="H87" s="25" t="s">
        <v>659</v>
      </c>
      <c r="I87" s="25" t="s">
        <v>659</v>
      </c>
    </row>
    <row r="88" spans="3:12" ht="20.100000000000001" customHeight="1" x14ac:dyDescent="0.25">
      <c r="D88" s="109" t="str">
        <v>Anaerobic digestion</v>
      </c>
      <c r="E88" s="110" t="str">
        <v>Food waste (including animal carcasses, spoiled animal feed or crop)</v>
      </c>
      <c r="F88" s="112"/>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9" t="str">
        <v>Anaerobic digestion</v>
      </c>
      <c r="E89" s="110" t="str">
        <v>Green waste (including crop residues or prunings)</v>
      </c>
      <c r="F89" s="112"/>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9" t="str">
        <v>Anaerobic digestion</v>
      </c>
      <c r="E90" s="110" t="str">
        <v>Wood</v>
      </c>
      <c r="F90" s="112"/>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9" t="str">
        <v>Anaerobic digestion</v>
      </c>
      <c r="E91" s="110" t="str">
        <v>Sludge</v>
      </c>
      <c r="F91" s="112"/>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9" t="str">
        <v>Anaerobic digestion</v>
      </c>
      <c r="E92" s="110" t="str">
        <v>Paper and cardboard</v>
      </c>
      <c r="F92" s="112"/>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20"/>
      <c r="D95" s="120"/>
      <c r="E95" s="120"/>
      <c r="F95" s="120"/>
      <c r="G95" s="120"/>
      <c r="H95" s="120"/>
      <c r="I95" s="120"/>
      <c r="J95" s="120"/>
      <c r="K95" s="120"/>
      <c r="L95" s="12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7" t="s">
        <v>358</v>
      </c>
      <c r="E99" s="107"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360</v>
      </c>
      <c r="E102" s="1" t="str" cm="1">
        <f t="array" ref="E102">WasteSolid_Equations.VEERG_10_1_1_1__1_EmissionsFromWasteManagement_Variable()</f>
        <v>E_g</v>
      </c>
    </row>
    <row r="103" spans="4:9" ht="20.100000000000001" customHeight="1" x14ac:dyDescent="0.25">
      <c r="D103" s="88" t="s">
        <v>128</v>
      </c>
      <c r="E103" s="15" t="str" cm="1">
        <f t="array" ref="E103">WasteSolid_Equations.VEERG_10_1_1_1__1_EmissionsFromWasteManagement_Unit()</f>
        <v>t CO2e</v>
      </c>
    </row>
    <row r="104" spans="4:9" ht="20.100000000000001" customHeight="1" x14ac:dyDescent="0.25"/>
    <row r="105" spans="4:9" ht="20.100000000000001" customHeight="1" x14ac:dyDescent="0.25">
      <c r="D105" s="109" t="str" cm="1">
        <f t="array" ref="D105:E111">_xlfn.CHOOSECOLS(WasteSolid_Equations.VEERG_10_1_1_1__1_EmissionsFromWasteManagement_Arguments(),1,2)</f>
        <v>Q_wt</v>
      </c>
      <c r="E105" s="110" t="str">
        <v>quantity of solid waste of type w being sent to treatment facility t, on a wet weight basis</v>
      </c>
      <c r="F105" s="111"/>
      <c r="G105" s="112"/>
      <c r="H105" s="109" t="str" cm="1">
        <f t="array" ref="H105:I111">_xlfn.CHOOSECOLS(WasteSolid_Equations.VEERG_10_1_1_1__1_EmissionsFromWasteManagement_Arguments(),3,4)</f>
        <v>t</v>
      </c>
      <c r="I105" s="114" t="str">
        <v>Sum of Q_volwt and Q_masswt</v>
      </c>
    </row>
    <row r="106" spans="4:9" ht="20.100000000000001" customHeight="1" x14ac:dyDescent="0.25">
      <c r="D106" s="109" t="str">
        <v>EF_wtg</v>
      </c>
      <c r="E106" s="110" t="str">
        <v>emission factor for greenhouse gas g for the management of waste at treatment facility t</v>
      </c>
      <c r="F106" s="111"/>
      <c r="G106" s="112"/>
      <c r="H106" s="109" t="str">
        <v>t CO2e/t</v>
      </c>
      <c r="I106" s="114" t="str">
        <v>Constant</v>
      </c>
    </row>
    <row r="107" spans="4:9" ht="20.100000000000001" customHeight="1" x14ac:dyDescent="0.25">
      <c r="D107" s="109" t="str">
        <v>w</v>
      </c>
      <c r="E107" s="110" t="str">
        <v>waste type</v>
      </c>
      <c r="F107" s="111"/>
      <c r="G107" s="112"/>
      <c r="H107" s="109" t="str">
        <v/>
      </c>
      <c r="I107" s="113" t="str">
        <v>Input</v>
      </c>
    </row>
    <row r="108" spans="4:9" ht="20.100000000000001" customHeight="1" x14ac:dyDescent="0.25">
      <c r="D108" s="109" t="str">
        <v>t</v>
      </c>
      <c r="E108" s="110" t="str">
        <v>treatment facility</v>
      </c>
      <c r="F108" s="111"/>
      <c r="G108" s="112"/>
      <c r="H108" s="109" t="str">
        <v/>
      </c>
      <c r="I108" s="113" t="str">
        <v>Input</v>
      </c>
    </row>
    <row r="109" spans="4:9" ht="20.100000000000001" customHeight="1" x14ac:dyDescent="0.25">
      <c r="D109" s="109" t="str">
        <v>g</v>
      </c>
      <c r="E109" s="110" t="str">
        <v>greenhouse gas</v>
      </c>
      <c r="F109" s="111"/>
      <c r="G109" s="112"/>
      <c r="H109" s="109" t="str">
        <v/>
      </c>
      <c r="I109" s="113" t="str">
        <v>Input</v>
      </c>
    </row>
    <row r="110" spans="4:9" ht="20.100000000000001" customHeight="1" x14ac:dyDescent="0.25">
      <c r="D110" s="109" t="str">
        <v>Q_volwt</v>
      </c>
      <c r="E110" s="110" t="str">
        <v>quantity of sold waste input as volume and converted to tonnes</v>
      </c>
      <c r="F110" s="111"/>
      <c r="G110" s="112"/>
      <c r="H110" s="109" t="str">
        <v>tonnes</v>
      </c>
      <c r="I110" s="114" t="str">
        <v>Calculated from 10.1.1.1 (2)</v>
      </c>
    </row>
    <row r="111" spans="4:9" ht="20.100000000000001" customHeight="1" x14ac:dyDescent="0.25">
      <c r="D111" s="109" t="str">
        <v>Q_masswt</v>
      </c>
      <c r="E111" s="110" t="str">
        <v>quantity of solid waste input as mass</v>
      </c>
      <c r="F111" s="111"/>
      <c r="G111" s="112"/>
      <c r="H111" s="109" t="str">
        <v>tonnes</v>
      </c>
      <c r="I111" s="113" t="str">
        <v>Input</v>
      </c>
    </row>
    <row r="112" spans="4:9" ht="20.100000000000001" customHeight="1" x14ac:dyDescent="0.25"/>
    <row r="113" spans="4:11" ht="20.100000000000001" customHeight="1" x14ac:dyDescent="0.25">
      <c r="D113" s="116" t="s">
        <v>941</v>
      </c>
    </row>
    <row r="114" spans="4:11" ht="20.100000000000001" customHeight="1" x14ac:dyDescent="0.25">
      <c r="D114" s="117" t="s">
        <v>942</v>
      </c>
    </row>
    <row r="115" spans="4:11" ht="20.100000000000001" customHeight="1" x14ac:dyDescent="0.25">
      <c r="D115" s="94" t="s">
        <v>934</v>
      </c>
      <c r="E115" s="94" t="s">
        <v>935</v>
      </c>
      <c r="F115" s="94"/>
      <c r="G115" s="94" t="s">
        <v>943</v>
      </c>
      <c r="H115" s="118" t="s">
        <v>944</v>
      </c>
      <c r="I115" s="118" t="s">
        <v>938</v>
      </c>
      <c r="J115" s="118" t="s">
        <v>945</v>
      </c>
      <c r="K115" s="118" t="s">
        <v>946</v>
      </c>
    </row>
    <row r="116" spans="4:11" ht="20.100000000000001" customHeight="1" x14ac:dyDescent="0.25">
      <c r="D116" s="109" t="str" cm="1">
        <f t="array" ref="D116:D149">Table_SourceData_WasteSolid_WasteTreatmentEFs[Treatment type t]</f>
        <v>Landfill</v>
      </c>
      <c r="E116" s="110" t="str" cm="1">
        <f t="array" ref="E116:E149">Table_SourceData_WasteSolid_WasteTreatmentEFs[Waste type w]</f>
        <v>Food waste (including animal carcasses, spoiled animal feed or crop)</v>
      </c>
      <c r="F116" s="173"/>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9" t="str">
        <v>Landfill</v>
      </c>
      <c r="E117" s="110" t="str">
        <v>Paper and cardboard</v>
      </c>
      <c r="F117" s="173"/>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9" t="str">
        <v>Landfill</v>
      </c>
      <c r="E118" s="110" t="str">
        <v>Green waste (including crop residues or prunings)</v>
      </c>
      <c r="F118" s="173"/>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9" t="str">
        <v>Landfill</v>
      </c>
      <c r="E119" s="110" t="str">
        <v>Wood</v>
      </c>
      <c r="F119" s="173"/>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9" t="str">
        <v>Landfill</v>
      </c>
      <c r="E120" s="110" t="str">
        <v>Textiles</v>
      </c>
      <c r="F120" s="173"/>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9" t="str">
        <v>Landfill</v>
      </c>
      <c r="E121" s="110" t="str">
        <v>Sludge</v>
      </c>
      <c r="F121" s="173"/>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9" t="str">
        <v>Landfill</v>
      </c>
      <c r="E122" s="110" t="str">
        <v>Rubber and leather</v>
      </c>
      <c r="F122" s="173"/>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9" t="str">
        <v>Landfill</v>
      </c>
      <c r="E123" s="110" t="str">
        <v>Inert waste (including concrete, metal, plastic or glass)</v>
      </c>
      <c r="F123" s="173"/>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9" t="str">
        <v>Landfill</v>
      </c>
      <c r="E124" s="110" t="str">
        <v>Municipal solid waste</v>
      </c>
      <c r="F124" s="173"/>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9" t="str">
        <v>Landfill</v>
      </c>
      <c r="E125" s="110" t="str">
        <v>Commercial and industrial waste</v>
      </c>
      <c r="F125" s="173"/>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9" t="str">
        <v>Landfill</v>
      </c>
      <c r="E126" s="110" t="str">
        <v>Construction and demolition waste</v>
      </c>
      <c r="F126" s="173"/>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9" t="str">
        <v>Incineration</v>
      </c>
      <c r="E127" s="110" t="str">
        <v>Food waste, green waste, wood, sludge</v>
      </c>
      <c r="F127" s="173"/>
      <c r="G127" s="25" t="s">
        <v>659</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9" t="str">
        <v>Incineration</v>
      </c>
      <c r="E128" s="110" t="str">
        <v>Food waste (including animal carcasses, spoiled animal feed or crop)</v>
      </c>
      <c r="F128" s="173"/>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947</v>
      </c>
      <c r="J128" s="25" t="s">
        <v>659</v>
      </c>
      <c r="K128" s="25" t="s">
        <v>659</v>
      </c>
    </row>
    <row r="129" spans="4:11" ht="20.100000000000001" customHeight="1" x14ac:dyDescent="0.25">
      <c r="D129" s="109" t="str">
        <v>Incineration</v>
      </c>
      <c r="E129" s="110" t="str">
        <v>Green waste (including crop residues or prunings)</v>
      </c>
      <c r="F129" s="173"/>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947</v>
      </c>
      <c r="J129" s="25" t="s">
        <v>659</v>
      </c>
      <c r="K129" s="25" t="s">
        <v>659</v>
      </c>
    </row>
    <row r="130" spans="4:11" ht="20.100000000000001" customHeight="1" x14ac:dyDescent="0.25">
      <c r="D130" s="109" t="str">
        <v>Incineration</v>
      </c>
      <c r="E130" s="110" t="str">
        <v>Wood</v>
      </c>
      <c r="F130" s="173"/>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947</v>
      </c>
      <c r="J130" s="25" t="s">
        <v>659</v>
      </c>
      <c r="K130" s="25" t="s">
        <v>659</v>
      </c>
    </row>
    <row r="131" spans="4:11" ht="20.100000000000001" customHeight="1" x14ac:dyDescent="0.25">
      <c r="D131" s="109" t="str">
        <v>Incineration</v>
      </c>
      <c r="E131" s="110" t="str">
        <v>Sludge</v>
      </c>
      <c r="F131" s="173"/>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947</v>
      </c>
      <c r="J131" s="25" t="s">
        <v>659</v>
      </c>
      <c r="K131" s="25" t="s">
        <v>659</v>
      </c>
    </row>
    <row r="132" spans="4:11" ht="20.100000000000001" customHeight="1" x14ac:dyDescent="0.25">
      <c r="D132" s="109" t="str">
        <v>Incineration</v>
      </c>
      <c r="E132" s="110" t="str">
        <v>Paper and cardboard</v>
      </c>
      <c r="F132" s="173"/>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9" t="str">
        <v>Incineration</v>
      </c>
      <c r="E133" s="110" t="str">
        <v>Textiles</v>
      </c>
      <c r="F133" s="173"/>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9" t="str">
        <v>Incineration</v>
      </c>
      <c r="E134" s="110" t="str">
        <v>Rubber and leather</v>
      </c>
      <c r="F134" s="173"/>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9" t="str">
        <v>Incineration</v>
      </c>
      <c r="E135" s="110" t="str">
        <v>Inert waste (including concrete, metal, plastic or glass)</v>
      </c>
      <c r="F135" s="173"/>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9" t="str">
        <v>Incineration</v>
      </c>
      <c r="E136" s="110" t="str">
        <v>Municipal solid waste</v>
      </c>
      <c r="F136" s="112"/>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9" t="str">
        <v>Incineration</v>
      </c>
      <c r="E137" s="110" t="str">
        <v>Commercial and industrial waste</v>
      </c>
      <c r="F137" s="112"/>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9" t="str">
        <v>Composting</v>
      </c>
      <c r="E138" s="110" t="str">
        <v>All organic waste</v>
      </c>
      <c r="F138" s="112"/>
      <c r="G138" s="25" t="s">
        <v>659</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9" t="str">
        <v>Composting</v>
      </c>
      <c r="E139" s="110" t="str">
        <v>Food waste (including animal carcasses, spoiled animal feed or crop)</v>
      </c>
      <c r="F139" s="112"/>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947</v>
      </c>
      <c r="J139" s="25" t="s">
        <v>659</v>
      </c>
      <c r="K139" s="25" t="s">
        <v>659</v>
      </c>
    </row>
    <row r="140" spans="4:11" ht="20.100000000000001" customHeight="1" x14ac:dyDescent="0.25">
      <c r="D140" s="109" t="str">
        <v>Composting</v>
      </c>
      <c r="E140" s="110" t="str">
        <v>Green waste (including crop residues or prunings)</v>
      </c>
      <c r="F140" s="112"/>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947</v>
      </c>
      <c r="J140" s="25" t="s">
        <v>659</v>
      </c>
      <c r="K140" s="25" t="s">
        <v>659</v>
      </c>
    </row>
    <row r="141" spans="4:11" ht="20.100000000000001" customHeight="1" x14ac:dyDescent="0.25">
      <c r="D141" s="109" t="str">
        <v>Composting</v>
      </c>
      <c r="E141" s="110" t="str">
        <v>Wood</v>
      </c>
      <c r="F141" s="112"/>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947</v>
      </c>
      <c r="J141" s="25" t="s">
        <v>659</v>
      </c>
      <c r="K141" s="25" t="s">
        <v>659</v>
      </c>
    </row>
    <row r="142" spans="4:11" ht="20.100000000000001" customHeight="1" x14ac:dyDescent="0.25">
      <c r="D142" s="109" t="str">
        <v>Composting</v>
      </c>
      <c r="E142" s="110" t="str">
        <v>Sludge</v>
      </c>
      <c r="F142" s="112"/>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947</v>
      </c>
      <c r="J142" s="25" t="s">
        <v>659</v>
      </c>
      <c r="K142" s="25" t="s">
        <v>659</v>
      </c>
    </row>
    <row r="143" spans="4:11" ht="20.100000000000001" customHeight="1" x14ac:dyDescent="0.25">
      <c r="D143" s="109" t="str">
        <v>Composting</v>
      </c>
      <c r="E143" s="110" t="str">
        <v>Paper and cardboard</v>
      </c>
      <c r="F143" s="112"/>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947</v>
      </c>
      <c r="J143" s="25" t="s">
        <v>659</v>
      </c>
      <c r="K143" s="25" t="s">
        <v>659</v>
      </c>
    </row>
    <row r="144" spans="4:11" ht="20.100000000000001" customHeight="1" x14ac:dyDescent="0.25">
      <c r="D144" s="109" t="str">
        <v>Anaerobic digestion</v>
      </c>
      <c r="E144" s="110" t="str">
        <v>All organic waste</v>
      </c>
      <c r="F144" s="112"/>
      <c r="G144" s="25" t="s">
        <v>659</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9" t="str">
        <v>Anaerobic digestion</v>
      </c>
      <c r="E145" s="110" t="str">
        <v>Food waste (including animal carcasses, spoiled animal feed or crop)</v>
      </c>
      <c r="F145" s="112"/>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947</v>
      </c>
      <c r="J145" s="25" t="s">
        <v>659</v>
      </c>
      <c r="K145" s="25" t="s">
        <v>659</v>
      </c>
    </row>
    <row r="146" spans="4:11" ht="20.100000000000001" customHeight="1" x14ac:dyDescent="0.25">
      <c r="D146" s="109" t="str">
        <v>Anaerobic digestion</v>
      </c>
      <c r="E146" s="110" t="str">
        <v>Green waste (including crop residues or prunings)</v>
      </c>
      <c r="F146" s="112"/>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947</v>
      </c>
      <c r="J146" s="25" t="s">
        <v>659</v>
      </c>
      <c r="K146" s="25" t="s">
        <v>659</v>
      </c>
    </row>
    <row r="147" spans="4:11" ht="20.100000000000001" customHeight="1" x14ac:dyDescent="0.25">
      <c r="D147" s="109" t="str">
        <v>Anaerobic digestion</v>
      </c>
      <c r="E147" s="110" t="str">
        <v>Wood</v>
      </c>
      <c r="F147" s="112"/>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947</v>
      </c>
      <c r="J147" s="25" t="s">
        <v>659</v>
      </c>
      <c r="K147" s="25" t="s">
        <v>659</v>
      </c>
    </row>
    <row r="148" spans="4:11" ht="20.100000000000001" customHeight="1" x14ac:dyDescent="0.25">
      <c r="D148" s="109" t="str">
        <v>Anaerobic digestion</v>
      </c>
      <c r="E148" s="110" t="str">
        <v>Sludge</v>
      </c>
      <c r="F148" s="112"/>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947</v>
      </c>
      <c r="J148" s="25" t="s">
        <v>659</v>
      </c>
      <c r="K148" s="25" t="s">
        <v>659</v>
      </c>
    </row>
    <row r="149" spans="4:11" ht="20.100000000000001" customHeight="1" x14ac:dyDescent="0.25">
      <c r="D149" s="109" t="str">
        <v>Anaerobic digestion</v>
      </c>
      <c r="E149" s="110" t="str">
        <v>Paper and cardboard</v>
      </c>
      <c r="F149" s="112"/>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947</v>
      </c>
      <c r="J149" s="25" t="s">
        <v>659</v>
      </c>
      <c r="K149" s="25" t="s">
        <v>659</v>
      </c>
    </row>
    <row r="150" spans="4:11" ht="20.100000000000001" customHeight="1" x14ac:dyDescent="0.25"/>
    <row r="151" spans="4:11" ht="20.100000000000001" customHeight="1" x14ac:dyDescent="0.25">
      <c r="D151" s="121" t="s">
        <v>948</v>
      </c>
      <c r="E151" s="122">
        <f>SUM(K116:K149)</f>
        <v>438.82805000000002</v>
      </c>
      <c r="F151" s="123" t="str">
        <f>$E$103</f>
        <v>t CO2e</v>
      </c>
    </row>
    <row r="152" spans="4:11" ht="20.100000000000001" customHeight="1" x14ac:dyDescent="0.25"/>
    <row r="153" spans="4:11" ht="20.100000000000001" customHeight="1" x14ac:dyDescent="0.25"/>
    <row r="154" spans="4:11" ht="20.100000000000001" customHeight="1" x14ac:dyDescent="0.25">
      <c r="D154" s="116" t="s">
        <v>949</v>
      </c>
    </row>
    <row r="155" spans="4:11" ht="20.100000000000001" customHeight="1" x14ac:dyDescent="0.25">
      <c r="D155" s="117" t="s">
        <v>950</v>
      </c>
    </row>
    <row r="156" spans="4:11" ht="20.100000000000001" customHeight="1" x14ac:dyDescent="0.25">
      <c r="D156" s="94" t="s">
        <v>934</v>
      </c>
      <c r="E156" s="94" t="s">
        <v>935</v>
      </c>
      <c r="F156" s="94"/>
      <c r="G156" s="94" t="s">
        <v>943</v>
      </c>
      <c r="H156" s="118" t="s">
        <v>944</v>
      </c>
      <c r="I156" s="118" t="s">
        <v>938</v>
      </c>
      <c r="J156" s="118" t="s">
        <v>945</v>
      </c>
      <c r="K156" s="118" t="s">
        <v>946</v>
      </c>
    </row>
    <row r="157" spans="4:11" ht="20.100000000000001" customHeight="1" x14ac:dyDescent="0.25">
      <c r="D157" s="109" t="str" cm="1">
        <f t="array" ref="D157:D190">Table_SourceData_WasteSolid_WasteTreatmentEFs[Treatment type t]</f>
        <v>Landfill</v>
      </c>
      <c r="E157" s="110" t="str" cm="1">
        <f t="array" ref="E157:E190">Table_SourceData_WasteSolid_WasteTreatmentEFs[Waste type w]</f>
        <v>Food waste (including animal carcasses, spoiled animal feed or crop)</v>
      </c>
      <c r="F157" s="173"/>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9" t="str">
        <v>Landfill</v>
      </c>
      <c r="E158" s="110" t="str">
        <v>Paper and cardboard</v>
      </c>
      <c r="F158" s="173"/>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9" t="str">
        <v>Landfill</v>
      </c>
      <c r="E159" s="110" t="str">
        <v>Green waste (including crop residues or prunings)</v>
      </c>
      <c r="F159" s="173"/>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9" t="str">
        <v>Landfill</v>
      </c>
      <c r="E160" s="110" t="str">
        <v>Wood</v>
      </c>
      <c r="F160" s="173"/>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9" t="str">
        <v>Landfill</v>
      </c>
      <c r="E161" s="110" t="str">
        <v>Textiles</v>
      </c>
      <c r="F161" s="173"/>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9" t="str">
        <v>Landfill</v>
      </c>
      <c r="E162" s="110" t="str">
        <v>Sludge</v>
      </c>
      <c r="F162" s="173"/>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9" t="str">
        <v>Landfill</v>
      </c>
      <c r="E163" s="110" t="str">
        <v>Rubber and leather</v>
      </c>
      <c r="F163" s="173"/>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9" t="str">
        <v>Landfill</v>
      </c>
      <c r="E164" s="110" t="str">
        <v>Inert waste (including concrete, metal, plastic or glass)</v>
      </c>
      <c r="F164" s="173"/>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9" t="str">
        <v>Landfill</v>
      </c>
      <c r="E165" s="110" t="str">
        <v>Municipal solid waste</v>
      </c>
      <c r="F165" s="173"/>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9" t="str">
        <v>Landfill</v>
      </c>
      <c r="E166" s="110" t="str">
        <v>Commercial and industrial waste</v>
      </c>
      <c r="F166" s="173"/>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9" t="str">
        <v>Landfill</v>
      </c>
      <c r="E167" s="110" t="str">
        <v>Construction and demolition waste</v>
      </c>
      <c r="F167" s="173"/>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9" t="str">
        <v>Incineration</v>
      </c>
      <c r="E168" s="110" t="str">
        <v>Food waste, green waste, wood, sludge</v>
      </c>
      <c r="F168" s="173"/>
      <c r="G168" s="25" t="s">
        <v>659</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9" t="str">
        <v>Incineration</v>
      </c>
      <c r="E169" s="110" t="str">
        <v>Food waste (including animal carcasses, spoiled animal feed or crop)</v>
      </c>
      <c r="F169" s="173"/>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947</v>
      </c>
      <c r="J169" s="25" t="s">
        <v>659</v>
      </c>
      <c r="K169" s="25" t="s">
        <v>659</v>
      </c>
    </row>
    <row r="170" spans="4:11" ht="20.100000000000001" customHeight="1" x14ac:dyDescent="0.25">
      <c r="D170" s="109" t="str">
        <v>Incineration</v>
      </c>
      <c r="E170" s="110" t="str">
        <v>Green waste (including crop residues or prunings)</v>
      </c>
      <c r="F170" s="173"/>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947</v>
      </c>
      <c r="J170" s="25" t="s">
        <v>659</v>
      </c>
      <c r="K170" s="25" t="s">
        <v>659</v>
      </c>
    </row>
    <row r="171" spans="4:11" ht="20.100000000000001" customHeight="1" x14ac:dyDescent="0.25">
      <c r="D171" s="109" t="str">
        <v>Incineration</v>
      </c>
      <c r="E171" s="110" t="str">
        <v>Wood</v>
      </c>
      <c r="F171" s="173"/>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947</v>
      </c>
      <c r="J171" s="25" t="s">
        <v>659</v>
      </c>
      <c r="K171" s="25" t="s">
        <v>659</v>
      </c>
    </row>
    <row r="172" spans="4:11" ht="20.100000000000001" customHeight="1" x14ac:dyDescent="0.25">
      <c r="D172" s="109" t="str">
        <v>Incineration</v>
      </c>
      <c r="E172" s="110" t="str">
        <v>Sludge</v>
      </c>
      <c r="F172" s="173"/>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947</v>
      </c>
      <c r="J172" s="25" t="s">
        <v>659</v>
      </c>
      <c r="K172" s="25" t="s">
        <v>659</v>
      </c>
    </row>
    <row r="173" spans="4:11" ht="20.100000000000001" customHeight="1" x14ac:dyDescent="0.25">
      <c r="D173" s="109" t="str">
        <v>Incineration</v>
      </c>
      <c r="E173" s="110" t="str">
        <v>Paper and cardboard</v>
      </c>
      <c r="F173" s="173"/>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9" t="str">
        <v>Incineration</v>
      </c>
      <c r="E174" s="110" t="str">
        <v>Textiles</v>
      </c>
      <c r="F174" s="173"/>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9" t="str">
        <v>Incineration</v>
      </c>
      <c r="E175" s="110" t="str">
        <v>Rubber and leather</v>
      </c>
      <c r="F175" s="173"/>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9" t="str">
        <v>Incineration</v>
      </c>
      <c r="E176" s="110" t="str">
        <v>Inert waste (including concrete, metal, plastic or glass)</v>
      </c>
      <c r="F176" s="173"/>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9" t="str">
        <v>Incineration</v>
      </c>
      <c r="E177" s="110" t="str">
        <v>Municipal solid waste</v>
      </c>
      <c r="F177" s="112"/>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9" t="str">
        <v>Incineration</v>
      </c>
      <c r="E178" s="110" t="str">
        <v>Commercial and industrial waste</v>
      </c>
      <c r="F178" s="112"/>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9" t="str">
        <v>Composting</v>
      </c>
      <c r="E179" s="110" t="str">
        <v>All organic waste</v>
      </c>
      <c r="F179" s="112"/>
      <c r="G179" s="25" t="s">
        <v>659</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9" t="str">
        <v>Composting</v>
      </c>
      <c r="E180" s="110" t="str">
        <v>Food waste (including animal carcasses, spoiled animal feed or crop)</v>
      </c>
      <c r="F180" s="112"/>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947</v>
      </c>
      <c r="J180" s="25" t="s">
        <v>659</v>
      </c>
      <c r="K180" s="25" t="s">
        <v>659</v>
      </c>
    </row>
    <row r="181" spans="4:11" ht="20.100000000000001" customHeight="1" x14ac:dyDescent="0.25">
      <c r="D181" s="109" t="str">
        <v>Composting</v>
      </c>
      <c r="E181" s="110" t="str">
        <v>Green waste (including crop residues or prunings)</v>
      </c>
      <c r="F181" s="112"/>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947</v>
      </c>
      <c r="J181" s="25" t="s">
        <v>659</v>
      </c>
      <c r="K181" s="25" t="s">
        <v>659</v>
      </c>
    </row>
    <row r="182" spans="4:11" ht="20.100000000000001" customHeight="1" x14ac:dyDescent="0.25">
      <c r="D182" s="109" t="str">
        <v>Composting</v>
      </c>
      <c r="E182" s="110" t="str">
        <v>Wood</v>
      </c>
      <c r="F182" s="112"/>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947</v>
      </c>
      <c r="J182" s="25" t="s">
        <v>659</v>
      </c>
      <c r="K182" s="25" t="s">
        <v>659</v>
      </c>
    </row>
    <row r="183" spans="4:11" ht="20.100000000000001" customHeight="1" x14ac:dyDescent="0.25">
      <c r="D183" s="109" t="str">
        <v>Composting</v>
      </c>
      <c r="E183" s="110" t="str">
        <v>Sludge</v>
      </c>
      <c r="F183" s="112"/>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947</v>
      </c>
      <c r="J183" s="25" t="s">
        <v>659</v>
      </c>
      <c r="K183" s="25" t="s">
        <v>659</v>
      </c>
    </row>
    <row r="184" spans="4:11" ht="20.100000000000001" customHeight="1" x14ac:dyDescent="0.25">
      <c r="D184" s="109" t="str">
        <v>Composting</v>
      </c>
      <c r="E184" s="110" t="str">
        <v>Paper and cardboard</v>
      </c>
      <c r="F184" s="112"/>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947</v>
      </c>
      <c r="J184" s="25" t="s">
        <v>659</v>
      </c>
      <c r="K184" s="25" t="s">
        <v>659</v>
      </c>
    </row>
    <row r="185" spans="4:11" ht="20.100000000000001" customHeight="1" x14ac:dyDescent="0.25">
      <c r="D185" s="109" t="str">
        <v>Anaerobic digestion</v>
      </c>
      <c r="E185" s="110" t="str">
        <v>All organic waste</v>
      </c>
      <c r="F185" s="112"/>
      <c r="G185" s="25" t="s">
        <v>659</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9" t="str">
        <v>Anaerobic digestion</v>
      </c>
      <c r="E186" s="110" t="str">
        <v>Food waste (including animal carcasses, spoiled animal feed or crop)</v>
      </c>
      <c r="F186" s="112"/>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947</v>
      </c>
      <c r="J186" s="25" t="s">
        <v>659</v>
      </c>
      <c r="K186" s="25" t="s">
        <v>659</v>
      </c>
    </row>
    <row r="187" spans="4:11" ht="20.100000000000001" customHeight="1" x14ac:dyDescent="0.25">
      <c r="D187" s="109" t="str">
        <v>Anaerobic digestion</v>
      </c>
      <c r="E187" s="110" t="str">
        <v>Green waste (including crop residues or prunings)</v>
      </c>
      <c r="F187" s="112"/>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947</v>
      </c>
      <c r="J187" s="25" t="s">
        <v>659</v>
      </c>
      <c r="K187" s="25" t="s">
        <v>659</v>
      </c>
    </row>
    <row r="188" spans="4:11" ht="20.100000000000001" customHeight="1" x14ac:dyDescent="0.25">
      <c r="D188" s="109" t="str">
        <v>Anaerobic digestion</v>
      </c>
      <c r="E188" s="110" t="str">
        <v>Wood</v>
      </c>
      <c r="F188" s="112"/>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947</v>
      </c>
      <c r="J188" s="25" t="s">
        <v>659</v>
      </c>
      <c r="K188" s="25" t="s">
        <v>659</v>
      </c>
    </row>
    <row r="189" spans="4:11" ht="20.100000000000001" customHeight="1" x14ac:dyDescent="0.25">
      <c r="D189" s="109" t="str">
        <v>Anaerobic digestion</v>
      </c>
      <c r="E189" s="110" t="str">
        <v>Sludge</v>
      </c>
      <c r="F189" s="112"/>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947</v>
      </c>
      <c r="J189" s="25" t="s">
        <v>659</v>
      </c>
      <c r="K189" s="25" t="s">
        <v>659</v>
      </c>
    </row>
    <row r="190" spans="4:11" ht="20.100000000000001" customHeight="1" x14ac:dyDescent="0.25">
      <c r="D190" s="109" t="str">
        <v>Anaerobic digestion</v>
      </c>
      <c r="E190" s="110" t="str">
        <v>Paper and cardboard</v>
      </c>
      <c r="F190" s="112"/>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947</v>
      </c>
      <c r="J190" s="25" t="s">
        <v>659</v>
      </c>
      <c r="K190" s="25" t="s">
        <v>659</v>
      </c>
    </row>
    <row r="191" spans="4:11" ht="20.100000000000001" customHeight="1" x14ac:dyDescent="0.25"/>
    <row r="192" spans="4:11" ht="20.100000000000001" customHeight="1" x14ac:dyDescent="0.25">
      <c r="D192" s="121" t="s">
        <v>948</v>
      </c>
      <c r="E192" s="122">
        <f>SUM(K157:K190)</f>
        <v>441.15000000000003</v>
      </c>
      <c r="F192" s="123"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3CF356C2-8284-416F-A51F-C26378D4B108}"/>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3DE13-3471-47FA-817F-B01EDE92AFB4}">
  <sheetPr>
    <tabColor theme="2" tint="-0.499984740745262"/>
  </sheetPr>
  <dimension ref="A1:AI165"/>
  <sheetViews>
    <sheetView showGridLines="0" topLeftCell="A29"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951</v>
      </c>
      <c r="AG1"/>
      <c r="AH1"/>
      <c r="AI1"/>
    </row>
    <row r="2" spans="1:35" s="3" customFormat="1" ht="20.100000000000001" customHeight="1" x14ac:dyDescent="0.25">
      <c r="A2"/>
      <c r="AG2"/>
      <c r="AH2"/>
      <c r="AI2"/>
    </row>
    <row r="3" spans="1:35" ht="20.100000000000001" customHeight="1" x14ac:dyDescent="0.25">
      <c r="A3" s="5"/>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row>
    <row r="5" spans="1:35" ht="20.100000000000001" customHeight="1" x14ac:dyDescent="0.25">
      <c r="A5" s="5"/>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c r="D8" s="36" t="str">
        <v>Fixed typo 'paper and carboard' to 'paper and cardboard'</v>
      </c>
    </row>
    <row r="9" spans="1:35" ht="20.100000000000001" customHeight="1" x14ac:dyDescent="0.25">
      <c r="A9" s="5"/>
      <c r="D9" s="36" t="str">
        <v>Fixed typo 'prunnings' to 'prunings'</v>
      </c>
    </row>
    <row r="10" spans="1:35" ht="20.100000000000001" customHeight="1" x14ac:dyDescent="0.25">
      <c r="A10" s="5"/>
      <c r="D10" s="36" t="str">
        <v>Added EF source column with specific references</v>
      </c>
    </row>
    <row r="11" spans="1:35" ht="20.100000000000001" customHeight="1" x14ac:dyDescent="0.25">
      <c r="A11" s="5"/>
      <c r="D11" s="36" t="str">
        <v>Added sub-categories for 'Incineration: Food waste, green waste, wood, sludge' in order to use volume to mass conversion factor values</v>
      </c>
    </row>
    <row r="12" spans="1:35" ht="20.100000000000001" customHeight="1" x14ac:dyDescent="0.25">
      <c r="A12" s="5"/>
      <c r="D12" s="36" t="str">
        <v>Added sub-categories for 'Composting: All organic waste' in order to use volume to mass conversion factor values</v>
      </c>
    </row>
    <row r="13" spans="1:35" ht="20.100000000000001" customHeight="1" x14ac:dyDescent="0.25">
      <c r="A13" s="5"/>
      <c r="D13" s="36" t="str">
        <v>Added sub-categories for 'Anaerobic digestion: All organic waste' in order to use volume to mass conversion factor values</v>
      </c>
    </row>
    <row r="14" spans="1:35" ht="20.100000000000001" customHeight="1" x14ac:dyDescent="0.25">
      <c r="A14" s="5"/>
      <c r="D14" s="1" t="str" cm="1">
        <f t="array" ref="D14">WasteSolid_SourceData.Waste_EmissionFactorsForWasteTreatment_Variable()</f>
        <v>EFwt</v>
      </c>
    </row>
    <row r="15" spans="1:35" ht="20.100000000000001" customHeight="1" x14ac:dyDescent="0.25">
      <c r="A15" s="5"/>
      <c r="D15" s="15" t="str" cm="1">
        <f t="array" ref="D15">WasteSolid_SourceData.Waste_EmissionFactorsForWasteTreatment_Unit()</f>
        <v>t CO2e / t</v>
      </c>
      <c r="I15" s="1" t="s">
        <v>952</v>
      </c>
      <c r="K15" s="1" t="s">
        <v>953</v>
      </c>
      <c r="M15" s="1" t="s">
        <v>954</v>
      </c>
      <c r="O15" s="1" t="s">
        <v>955</v>
      </c>
    </row>
    <row r="16" spans="1:35" ht="20.100000000000001" customHeight="1" x14ac:dyDescent="0.25">
      <c r="A16" s="5"/>
      <c r="D16" s="30" t="s">
        <v>956</v>
      </c>
      <c r="E16" s="30" t="s">
        <v>957</v>
      </c>
      <c r="F16" s="30" t="s">
        <v>958</v>
      </c>
      <c r="G16" s="30" t="s">
        <v>959</v>
      </c>
      <c r="I16" s="30" t="s">
        <v>957</v>
      </c>
      <c r="K16" s="241" t="s">
        <v>957</v>
      </c>
      <c r="M16" s="241" t="s">
        <v>957</v>
      </c>
      <c r="O16" s="241" t="s">
        <v>957</v>
      </c>
    </row>
    <row r="17" spans="1:15" ht="20.100000000000001" customHeight="1" x14ac:dyDescent="0.25">
      <c r="A17" s="5"/>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6"/>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42"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42"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42"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42"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42"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42"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42"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42"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42"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42"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42"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42"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42"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42"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100"/>
    </row>
    <row r="52" spans="1:7" ht="20.100000000000001" customHeight="1" x14ac:dyDescent="0.25">
      <c r="A52" s="5"/>
      <c r="D52" s="2" t="str" cm="1">
        <f t="array" ref="D52">WasteSolid_SourceData.Waste_WasteVolumeToMassConversion_Title()</f>
        <v>Volume to mass conversion factor for various waste types</v>
      </c>
    </row>
    <row r="53" spans="1:7" ht="20.100000000000001" customHeight="1" x14ac:dyDescent="0.25">
      <c r="A53" s="5"/>
      <c r="D53" s="27" t="str" cm="1">
        <f t="array" ref="D53">WasteSolid_SourceData.Waste_WasteVolumeToMassConversion_Source()</f>
        <v>VEERG 2026: Table A.4.1.2</v>
      </c>
    </row>
    <row r="54" spans="1:7" ht="20.100000000000001" customHeight="1" x14ac:dyDescent="0.25">
      <c r="A54" s="5"/>
      <c r="D54" s="36" t="str" cm="1">
        <f t="array" ref="D54">WasteSolid_SourceData.Waste_WasteVolumeToMassConversion_Variation()</f>
        <v>VARIATION OF SOURCE: Changed column header CFw to VTMw to match title variable.</v>
      </c>
    </row>
    <row r="55" spans="1:7" ht="20.100000000000001" customHeight="1" x14ac:dyDescent="0.25">
      <c r="A55" s="5"/>
      <c r="D55" s="1" t="str" cm="1">
        <f t="array" ref="D55">WasteSolid_SourceData.Waste_WasteVolumeToMassConversion_Variable()</f>
        <v>VTMw</v>
      </c>
    </row>
    <row r="56" spans="1:7" ht="20.100000000000001" customHeight="1" x14ac:dyDescent="0.25">
      <c r="A56" s="5"/>
      <c r="D56" s="15" t="str" cm="1">
        <f t="array" ref="D56">WasteSolid_SourceData.Waste_WasteVolumeToMassConversion_Unit()</f>
        <v>t/m3</v>
      </c>
    </row>
    <row r="57" spans="1:7" ht="20.100000000000001" customHeight="1" x14ac:dyDescent="0.25">
      <c r="A57" s="5"/>
      <c r="D57" s="30" t="s">
        <v>957</v>
      </c>
      <c r="E57" s="30" t="s">
        <v>960</v>
      </c>
    </row>
    <row r="58" spans="1:7" ht="20.100000000000001" customHeight="1" x14ac:dyDescent="0.25">
      <c r="A58" s="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101"/>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F4113-B4C2-488A-B573-24F0F97FF374}">
  <dimension ref="A1:AV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70" t="s">
        <v>1285</v>
      </c>
      <c r="D1" s="271"/>
      <c r="E1" s="271"/>
      <c r="F1" s="271"/>
      <c r="G1" s="271"/>
      <c r="H1" s="271"/>
      <c r="I1" s="271"/>
      <c r="J1" s="271"/>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row>
    <row r="2" spans="1:42" ht="20.100000000000001" customHeight="1" x14ac:dyDescent="0.25">
      <c r="C2" s="271"/>
      <c r="D2" s="271"/>
      <c r="E2" s="271"/>
      <c r="F2" s="271"/>
      <c r="G2" s="271"/>
      <c r="H2" s="271"/>
      <c r="I2" s="271"/>
      <c r="J2" s="271"/>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2"/>
    </row>
    <row r="3" spans="1:42" ht="20.100000000000001" customHeight="1" x14ac:dyDescent="0.25">
      <c r="A3" s="5"/>
      <c r="C3" s="273"/>
      <c r="D3" s="273"/>
      <c r="E3" s="273"/>
      <c r="F3" s="273"/>
      <c r="G3" s="273"/>
      <c r="H3" s="273"/>
      <c r="I3" s="273"/>
      <c r="J3" s="273"/>
      <c r="K3" s="273"/>
      <c r="L3" s="273"/>
      <c r="M3" s="273"/>
      <c r="N3" s="273"/>
      <c r="O3" s="273"/>
      <c r="P3" s="273"/>
      <c r="Q3" s="273"/>
      <c r="R3" s="273"/>
      <c r="S3" s="273"/>
      <c r="T3" s="273"/>
      <c r="U3" s="273"/>
      <c r="V3" s="273"/>
      <c r="W3" s="273"/>
      <c r="X3" s="273"/>
      <c r="Y3" s="273"/>
      <c r="Z3" s="273"/>
      <c r="AA3" s="273"/>
      <c r="AB3" s="273"/>
      <c r="AC3" s="273"/>
      <c r="AD3" s="273"/>
      <c r="AE3" s="273"/>
      <c r="AF3" s="273"/>
      <c r="AG3" s="273"/>
      <c r="AH3" s="273"/>
      <c r="AI3" s="273"/>
      <c r="AJ3" s="273"/>
      <c r="AK3" s="273"/>
      <c r="AL3" s="273"/>
      <c r="AM3" s="273"/>
      <c r="AN3" s="273"/>
      <c r="AO3" s="273"/>
    </row>
    <row r="4" spans="1:42" ht="20.100000000000001" customHeight="1" x14ac:dyDescent="0.25">
      <c r="A4" s="274"/>
    </row>
    <row r="5" spans="1:42" ht="20.100000000000001" customHeight="1" x14ac:dyDescent="0.25">
      <c r="A5" s="5"/>
      <c r="D5" s="135" t="s">
        <v>1286</v>
      </c>
      <c r="E5" s="54"/>
      <c r="F5" s="54"/>
      <c r="G5" s="54"/>
      <c r="H5" s="54"/>
      <c r="I5" s="54"/>
      <c r="J5" s="54"/>
      <c r="K5" s="54"/>
      <c r="L5" s="54"/>
      <c r="M5" s="54"/>
      <c r="N5" s="54"/>
      <c r="O5" s="55"/>
    </row>
    <row r="6" spans="1:42" ht="20.100000000000001" customHeight="1" x14ac:dyDescent="0.25">
      <c r="D6" s="275" t="s">
        <v>1287</v>
      </c>
      <c r="E6" s="57"/>
      <c r="F6" s="57"/>
      <c r="G6" s="57"/>
      <c r="H6" s="57"/>
      <c r="I6" s="57"/>
      <c r="J6" s="57"/>
      <c r="K6" s="57"/>
      <c r="L6" s="57"/>
      <c r="M6" s="57"/>
      <c r="N6" s="57"/>
      <c r="O6" s="58"/>
    </row>
    <row r="7" spans="1:42" ht="20.100000000000001" customHeight="1" x14ac:dyDescent="0.25"/>
    <row r="8" spans="1:42" ht="20.100000000000001" customHeight="1" x14ac:dyDescent="0.25">
      <c r="A8" s="7"/>
    </row>
    <row r="9" spans="1:42" ht="20.100000000000001" customHeight="1" x14ac:dyDescent="0.25">
      <c r="A9" s="5"/>
    </row>
    <row r="10" spans="1:42" ht="20.100000000000001" customHeight="1" x14ac:dyDescent="0.25">
      <c r="A10" s="5"/>
    </row>
    <row r="11" spans="1:42" ht="20.100000000000001" customHeight="1" x14ac:dyDescent="0.25">
      <c r="A11" s="5"/>
    </row>
    <row r="12" spans="1:42" ht="20.100000000000001" customHeight="1" x14ac:dyDescent="0.25">
      <c r="A12" s="5"/>
    </row>
    <row r="13" spans="1:42" ht="20.100000000000001" customHeight="1" x14ac:dyDescent="0.25">
      <c r="A13" s="5"/>
    </row>
    <row r="14" spans="1:42" ht="20.100000000000001" customHeight="1" x14ac:dyDescent="0.25">
      <c r="A14" s="5"/>
    </row>
    <row r="15" spans="1:42" ht="20.100000000000001" customHeight="1" x14ac:dyDescent="0.25">
      <c r="A15" s="5"/>
    </row>
    <row r="16" spans="1:42" ht="20.100000000000001" customHeight="1" x14ac:dyDescent="0.25">
      <c r="A16" s="5"/>
    </row>
    <row r="17" spans="1:1" ht="20.100000000000001" customHeight="1" x14ac:dyDescent="0.25">
      <c r="A17" s="5"/>
    </row>
    <row r="18" spans="1:1" ht="20.100000000000001" customHeight="1" x14ac:dyDescent="0.25">
      <c r="A18" s="5"/>
    </row>
    <row r="19" spans="1:1" ht="20.100000000000001" customHeight="1" x14ac:dyDescent="0.25">
      <c r="A19" s="5"/>
    </row>
    <row r="20" spans="1:1" ht="20.100000000000001" customHeight="1" x14ac:dyDescent="0.25">
      <c r="A20" s="5"/>
    </row>
    <row r="21" spans="1:1" ht="20.100000000000001" customHeight="1" x14ac:dyDescent="0.25">
      <c r="A21" s="5"/>
    </row>
    <row r="22" spans="1:1" ht="20.100000000000001" customHeight="1" x14ac:dyDescent="0.25">
      <c r="A22" s="5"/>
    </row>
    <row r="23" spans="1:1" ht="20.100000000000001" customHeight="1" x14ac:dyDescent="0.25">
      <c r="A23" s="5"/>
    </row>
    <row r="24" spans="1:1" ht="20.100000000000001" customHeight="1" x14ac:dyDescent="0.25">
      <c r="A24" s="5"/>
    </row>
    <row r="25" spans="1:1" ht="20.100000000000001" customHeight="1" x14ac:dyDescent="0.25">
      <c r="A25" s="5"/>
    </row>
    <row r="26" spans="1:1" ht="20.100000000000001" customHeight="1" x14ac:dyDescent="0.25">
      <c r="A26" s="5"/>
    </row>
    <row r="27" spans="1:1" ht="20.100000000000001" customHeight="1" x14ac:dyDescent="0.25"/>
    <row r="28" spans="1:1" ht="20.100000000000001" customHeight="1" x14ac:dyDescent="0.25"/>
    <row r="29" spans="1:1" ht="20.100000000000001" customHeight="1" x14ac:dyDescent="0.25">
      <c r="A29" s="6"/>
    </row>
    <row r="30" spans="1:1" ht="20.100000000000001" customHeight="1" x14ac:dyDescent="0.25">
      <c r="A30" s="5"/>
    </row>
    <row r="31" spans="1:1" ht="20.100000000000001" customHeight="1" x14ac:dyDescent="0.25">
      <c r="A31" s="5"/>
    </row>
    <row r="32" spans="1:1" ht="20.100000000000001" customHeight="1" x14ac:dyDescent="0.25">
      <c r="A32" s="5"/>
    </row>
    <row r="33" spans="1:48" ht="20.100000000000001" customHeight="1" x14ac:dyDescent="0.25">
      <c r="A33" s="5"/>
    </row>
    <row r="34" spans="1:48" ht="20.100000000000001" customHeight="1" x14ac:dyDescent="0.25">
      <c r="A34" s="5"/>
    </row>
    <row r="35" spans="1:48" ht="20.100000000000001" customHeight="1" x14ac:dyDescent="0.25">
      <c r="A35" s="5"/>
    </row>
    <row r="36" spans="1:48" ht="20.100000000000001" customHeight="1" x14ac:dyDescent="0.25">
      <c r="A36" s="5"/>
    </row>
    <row r="37" spans="1:48" ht="20.100000000000001" customHeight="1" x14ac:dyDescent="0.25">
      <c r="A37" s="5"/>
      <c r="L37" s="1" t="s">
        <v>1288</v>
      </c>
    </row>
    <row r="38" spans="1:48" ht="20.100000000000001" customHeight="1" x14ac:dyDescent="0.25">
      <c r="A38" s="5"/>
    </row>
    <row r="39" spans="1:48" ht="20.100000000000001" customHeight="1" x14ac:dyDescent="0.25">
      <c r="A39" s="5"/>
    </row>
    <row r="40" spans="1:48" ht="20.100000000000001" customHeight="1" x14ac:dyDescent="0.25">
      <c r="A40" s="5"/>
    </row>
    <row r="41" spans="1:48" ht="20.100000000000001" customHeight="1" x14ac:dyDescent="0.25">
      <c r="A41" s="5"/>
    </row>
    <row r="42" spans="1:48" ht="20.100000000000001" customHeight="1" x14ac:dyDescent="0.25">
      <c r="A42" s="5"/>
    </row>
    <row r="43" spans="1:48" x14ac:dyDescent="0.25">
      <c r="A43" s="5"/>
    </row>
    <row r="44" spans="1:48" x14ac:dyDescent="0.25">
      <c r="A44" s="5"/>
    </row>
    <row r="45" spans="1:48" x14ac:dyDescent="0.25">
      <c r="A45" s="5"/>
      <c r="AV45" t="s">
        <v>1289</v>
      </c>
    </row>
    <row r="46" spans="1:48" x14ac:dyDescent="0.25">
      <c r="A46" s="5"/>
    </row>
    <row r="47" spans="1:48" x14ac:dyDescent="0.25">
      <c r="A47" s="5"/>
    </row>
    <row r="48" spans="1:48" x14ac:dyDescent="0.25">
      <c r="A48" s="5"/>
    </row>
    <row r="51" spans="1:1" x14ac:dyDescent="0.25">
      <c r="A51" s="100"/>
    </row>
    <row r="52" spans="1:1" x14ac:dyDescent="0.25">
      <c r="A52" s="5"/>
    </row>
    <row r="53" spans="1:1" x14ac:dyDescent="0.25">
      <c r="A53" s="5"/>
    </row>
    <row r="54" spans="1:1" x14ac:dyDescent="0.25">
      <c r="A54" s="5"/>
    </row>
    <row r="55" spans="1:1" x14ac:dyDescent="0.25">
      <c r="A55" s="5"/>
    </row>
    <row r="56" spans="1:1" x14ac:dyDescent="0.25">
      <c r="A56" s="5"/>
    </row>
    <row r="57" spans="1:1" x14ac:dyDescent="0.25">
      <c r="A57" s="5"/>
    </row>
    <row r="58" spans="1:1" x14ac:dyDescent="0.25">
      <c r="A58" s="5"/>
    </row>
    <row r="59" spans="1:1" x14ac:dyDescent="0.25">
      <c r="A59" s="5"/>
    </row>
    <row r="60" spans="1:1" x14ac:dyDescent="0.25">
      <c r="A60" s="5"/>
    </row>
    <row r="61" spans="1:1" x14ac:dyDescent="0.25">
      <c r="A61" s="5"/>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71"/>
  <sheetViews>
    <sheetView showGridLines="0" tabSelected="1" topLeftCell="A37" workbookViewId="0" zoomScale="100" zoomScaleNormal="100">
      <selection activeCell="A60" sqref="A60"/>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199</v>
      </c>
    </row>
    <row r="2" spans="1:13" s="3" customFormat="1" x14ac:dyDescent="0.25">
      <c r="A2"/>
    </row>
    <row r="3" spans="1:13" ht="20.25" x14ac:dyDescent="0.25">
      <c r="A3" s="5"/>
      <c r="C3" s="39"/>
      <c r="D3" s="39"/>
      <c r="E3" s="39"/>
      <c r="F3" s="39"/>
      <c r="G3" s="39"/>
      <c r="H3" s="39"/>
      <c r="I3" s="39"/>
      <c r="J3" s="39"/>
      <c r="K3" s="39"/>
      <c r="L3" s="39"/>
      <c r="M3" s="39"/>
    </row>
    <row r="4" spans="1:13" x14ac:dyDescent="0.25">
      <c r="A4" s="5"/>
    </row>
    <row r="5" spans="1:13" ht="23.25" x14ac:dyDescent="0.25">
      <c r="A5" s="5"/>
      <c r="D5" s="2" t="s">
        <v>251</v>
      </c>
    </row>
    <row r="7" spans="1:13" x14ac:dyDescent="0.25">
      <c r="D7" s="94" t="s">
        <v>200</v>
      </c>
      <c r="E7" s="94" t="s">
        <v>252</v>
      </c>
      <c r="F7" s="94" t="s">
        <v>253</v>
      </c>
      <c r="G7" s="94" t="s">
        <v>254</v>
      </c>
      <c r="H7" s="94" t="s">
        <v>201</v>
      </c>
      <c r="I7" s="94" t="s">
        <v>202</v>
      </c>
      <c r="J7" s="94" t="s">
        <v>203</v>
      </c>
    </row>
    <row r="8" spans="1:13" x14ac:dyDescent="0.25">
      <c r="A8" s="7"/>
      <c r="D8" s="95" t="s">
        <v>20</v>
      </c>
      <c r="E8" s="23" t="s">
        <v>255</v>
      </c>
      <c r="F8" s="23" t="s">
        <v>301</v>
      </c>
      <c r="G8" s="23" t="s">
        <v>257</v>
      </c>
      <c r="H8" s="96"/>
      <c r="I8" s="96"/>
      <c r="J8" s="25">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9" spans="1:13" x14ac:dyDescent="0.25">
      <c r="A9" s="5"/>
      <c r="D9" s="95" t="s">
        <v>258</v>
      </c>
      <c r="E9" s="23" t="s">
        <v>267</v>
      </c>
      <c r="F9" s="23" t="s">
        <v>256</v>
      </c>
      <c r="G9" s="23" t="s">
        <v>262</v>
      </c>
      <c r="H9" s="96"/>
      <c r="I9" s="96"/>
      <c r="J9" s="25">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0" spans="1:13" x14ac:dyDescent="0.25">
      <c r="A10" s="5"/>
      <c r="D10" s="95" t="s">
        <v>260</v>
      </c>
      <c r="E10" s="23" t="s">
        <v>268</v>
      </c>
      <c r="F10" s="23" t="s">
        <v>261</v>
      </c>
      <c r="G10" s="23" t="s">
        <v>262</v>
      </c>
      <c r="H10" s="96"/>
      <c r="I10" s="96"/>
      <c r="J10" s="25">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1" spans="1:13" x14ac:dyDescent="0.25">
      <c r="A11" s="5"/>
      <c r="D11" s="95" t="s">
        <v>263</v>
      </c>
      <c r="E11" s="23" t="s">
        <v>303</v>
      </c>
      <c r="F11" s="23" t="s">
        <v>288</v>
      </c>
      <c r="G11" s="23" t="s">
        <v>275</v>
      </c>
      <c r="H11" s="96"/>
      <c r="I11" s="96"/>
      <c r="J11" s="25">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2" spans="1:13" x14ac:dyDescent="0.25">
      <c r="A12" s="5"/>
      <c r="D12" s="95" t="s">
        <v>264</v>
      </c>
      <c r="E12" s="23" t="s">
        <v>304</v>
      </c>
      <c r="F12" s="23" t="s">
        <v>302</v>
      </c>
      <c r="G12" s="23" t="s">
        <v>277</v>
      </c>
      <c r="H12" s="96"/>
      <c r="I12" s="96"/>
      <c r="J12" s="25">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3" spans="1:13" x14ac:dyDescent="0.25">
      <c r="A13" s="5"/>
      <c r="D13" s="95" t="s">
        <v>265</v>
      </c>
      <c r="E13" s="23" t="s">
        <v>255</v>
      </c>
      <c r="F13" s="23" t="s">
        <v>256</v>
      </c>
      <c r="G13" s="23" t="s">
        <v>257</v>
      </c>
      <c r="H13" s="96"/>
      <c r="I13" s="96"/>
      <c r="J13" s="25">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4" spans="1:13" x14ac:dyDescent="0.25">
      <c r="A14" s="5"/>
    </row>
    <row r="15" spans="1:13" x14ac:dyDescent="0.25">
      <c r="A15" s="5"/>
    </row>
    <row r="16" spans="1:13" ht="23.25" x14ac:dyDescent="0.25">
      <c r="A16" s="5"/>
      <c r="D16" s="2" t="s">
        <v>266</v>
      </c>
    </row>
    <row r="17" spans="1:10" x14ac:dyDescent="0.25">
      <c r="A17" s="5"/>
    </row>
    <row r="18" spans="1:10" x14ac:dyDescent="0.25">
      <c r="A18" s="5"/>
      <c r="D18" s="94" t="s">
        <v>200</v>
      </c>
      <c r="E18" s="94" t="s">
        <v>252</v>
      </c>
      <c r="F18" s="94" t="s">
        <v>253</v>
      </c>
      <c r="G18" s="94" t="s">
        <v>254</v>
      </c>
      <c r="H18" s="94" t="s">
        <v>201</v>
      </c>
      <c r="I18" s="94" t="s">
        <v>202</v>
      </c>
      <c r="J18" s="94" t="s">
        <v>203</v>
      </c>
    </row>
    <row r="19" spans="1:10" x14ac:dyDescent="0.25">
      <c r="A19" s="5"/>
      <c r="D19" s="95" t="s">
        <v>110</v>
      </c>
      <c r="E19" s="23" t="s">
        <v>267</v>
      </c>
      <c r="F19" s="23" t="s">
        <v>261</v>
      </c>
      <c r="G19" s="23" t="s">
        <v>257</v>
      </c>
      <c r="H19" s="96"/>
      <c r="I19" s="96"/>
      <c r="J19" s="25">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0" spans="1:10" x14ac:dyDescent="0.25">
      <c r="A20" s="5"/>
      <c r="D20" s="97" t="s">
        <v>43</v>
      </c>
      <c r="E20" s="23" t="s">
        <v>267</v>
      </c>
      <c r="F20" s="23" t="s">
        <v>261</v>
      </c>
      <c r="G20" s="23" t="s">
        <v>257</v>
      </c>
      <c r="H20" s="96"/>
      <c r="I20" s="96"/>
      <c r="J20" s="25">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1" spans="1:10" x14ac:dyDescent="0.25">
      <c r="A21" s="5"/>
      <c r="D21" s="97" t="s">
        <v>113</v>
      </c>
      <c r="E21" s="23" t="s">
        <v>267</v>
      </c>
      <c r="F21" s="23" t="s">
        <v>261</v>
      </c>
      <c r="G21" s="23" t="s">
        <v>257</v>
      </c>
      <c r="H21" s="96"/>
      <c r="I21" s="96"/>
      <c r="J21" s="25">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2" spans="1:10" x14ac:dyDescent="0.25">
      <c r="A22" s="5"/>
      <c r="D22" s="97" t="s">
        <v>115</v>
      </c>
      <c r="E22" s="23" t="s">
        <v>255</v>
      </c>
      <c r="F22" s="23" t="s">
        <v>256</v>
      </c>
      <c r="G22" s="23" t="s">
        <v>257</v>
      </c>
      <c r="H22" s="96"/>
      <c r="I22" s="96"/>
      <c r="J22" s="25">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3" spans="1:10" x14ac:dyDescent="0.25">
      <c r="A23" s="5"/>
      <c r="D23" s="97" t="s">
        <v>117</v>
      </c>
      <c r="E23" s="23" t="s">
        <v>267</v>
      </c>
      <c r="F23" s="23" t="s">
        <v>261</v>
      </c>
      <c r="G23" s="23" t="s">
        <v>257</v>
      </c>
      <c r="H23" s="96"/>
      <c r="I23" s="96"/>
      <c r="J23" s="25">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4" spans="1:10" x14ac:dyDescent="0.25">
      <c r="A24" s="5"/>
      <c r="D24" s="98" t="s">
        <v>118</v>
      </c>
      <c r="E24" s="99" t="s">
        <v>268</v>
      </c>
      <c r="F24" s="99" t="s">
        <v>261</v>
      </c>
      <c r="G24" s="99" t="s">
        <v>257</v>
      </c>
      <c r="H24" s="96"/>
      <c r="I24" s="96"/>
      <c r="J24" s="25">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5" spans="1:10" x14ac:dyDescent="0.25">
      <c r="A25" s="5"/>
    </row>
    <row r="26" spans="1:10" x14ac:dyDescent="0.25">
      <c r="A26" s="103"/>
    </row>
    <row r="27" spans="1:10" ht="23.25" x14ac:dyDescent="0.25">
      <c r="D27" s="2" t="s">
        <v>269</v>
      </c>
    </row>
    <row r="29" spans="1:10" x14ac:dyDescent="0.25">
      <c r="A29" s="6"/>
      <c r="D29" s="94" t="s">
        <v>200</v>
      </c>
      <c r="E29" s="94" t="s">
        <v>252</v>
      </c>
      <c r="F29" s="94" t="s">
        <v>253</v>
      </c>
      <c r="G29" s="94" t="s">
        <v>254</v>
      </c>
      <c r="H29" s="94" t="s">
        <v>201</v>
      </c>
      <c r="I29" s="94" t="s">
        <v>202</v>
      </c>
      <c r="J29" s="94" t="s">
        <v>203</v>
      </c>
    </row>
    <row r="30" spans="1:10" x14ac:dyDescent="0.25">
      <c r="A30" s="5"/>
      <c r="D30" s="95" t="s">
        <v>270</v>
      </c>
      <c r="E30" s="23" t="s">
        <v>255</v>
      </c>
      <c r="F30" s="23" t="s">
        <v>261</v>
      </c>
      <c r="G30" s="23" t="s">
        <v>257</v>
      </c>
      <c r="H30" s="96"/>
      <c r="I30" s="96"/>
      <c r="J30"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1" spans="1:10" x14ac:dyDescent="0.25">
      <c r="A31" s="5"/>
      <c r="D31" s="97" t="s">
        <v>271</v>
      </c>
      <c r="E31" s="23" t="s">
        <v>255</v>
      </c>
      <c r="F31" s="23" t="s">
        <v>256</v>
      </c>
      <c r="G31" s="23" t="s">
        <v>257</v>
      </c>
      <c r="H31" s="96"/>
      <c r="I31" s="96"/>
      <c r="J31"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2" spans="1:10" x14ac:dyDescent="0.25">
      <c r="A32" s="5"/>
      <c r="D32" s="97" t="s">
        <v>272</v>
      </c>
      <c r="E32" s="23" t="s">
        <v>255</v>
      </c>
      <c r="F32" s="23" t="s">
        <v>256</v>
      </c>
      <c r="G32" s="23" t="s">
        <v>262</v>
      </c>
      <c r="H32" s="96"/>
      <c r="I32" s="96"/>
      <c r="J32"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3" spans="1:10" x14ac:dyDescent="0.25">
      <c r="A33" s="5"/>
      <c r="D33" s="97" t="s">
        <v>273</v>
      </c>
      <c r="E33" s="23" t="s">
        <v>255</v>
      </c>
      <c r="F33" s="23" t="s">
        <v>256</v>
      </c>
      <c r="G33" s="23" t="s">
        <v>259</v>
      </c>
      <c r="H33" s="96"/>
      <c r="I33" s="96"/>
      <c r="J33"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4" spans="1:10" x14ac:dyDescent="0.25">
      <c r="A34" s="5"/>
      <c r="D34" s="97" t="s">
        <v>274</v>
      </c>
      <c r="E34" s="23" t="s">
        <v>255</v>
      </c>
      <c r="F34" s="23" t="s">
        <v>256</v>
      </c>
      <c r="G34" s="23" t="s">
        <v>275</v>
      </c>
      <c r="H34" s="96"/>
      <c r="I34" s="96"/>
      <c r="J34"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5" spans="1:10" x14ac:dyDescent="0.25">
      <c r="A35" s="5"/>
      <c r="D35" s="98" t="s">
        <v>276</v>
      </c>
      <c r="E35" s="23" t="s">
        <v>255</v>
      </c>
      <c r="F35" s="99" t="s">
        <v>261</v>
      </c>
      <c r="G35" s="99" t="s">
        <v>277</v>
      </c>
      <c r="H35" s="96"/>
      <c r="I35" s="96"/>
      <c r="J35"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6" spans="1:10" x14ac:dyDescent="0.25">
      <c r="A36" s="5"/>
      <c r="D36" s="95" t="s">
        <v>278</v>
      </c>
      <c r="E36" s="23" t="s">
        <v>255</v>
      </c>
      <c r="F36" s="99" t="s">
        <v>261</v>
      </c>
      <c r="G36" s="99" t="s">
        <v>277</v>
      </c>
      <c r="H36" s="96"/>
      <c r="I36" s="96"/>
      <c r="J36"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7" spans="1:10" x14ac:dyDescent="0.25">
      <c r="A37" s="5"/>
      <c r="D37" s="95" t="s">
        <v>279</v>
      </c>
      <c r="E37" s="23" t="s">
        <v>255</v>
      </c>
      <c r="F37" s="99" t="s">
        <v>256</v>
      </c>
      <c r="G37" s="99" t="s">
        <v>257</v>
      </c>
      <c r="H37" s="96"/>
      <c r="I37" s="96"/>
      <c r="J37"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8" spans="1:10" x14ac:dyDescent="0.25">
      <c r="A38" s="5"/>
      <c r="D38" s="95" t="s">
        <v>280</v>
      </c>
      <c r="E38" s="23" t="s">
        <v>255</v>
      </c>
      <c r="F38" s="99" t="s">
        <v>256</v>
      </c>
      <c r="G38" s="99" t="s">
        <v>262</v>
      </c>
      <c r="H38" s="96"/>
      <c r="I38" s="96"/>
      <c r="J38"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9" spans="1:10" x14ac:dyDescent="0.25">
      <c r="A39" s="5"/>
      <c r="D39" s="95" t="s">
        <v>281</v>
      </c>
      <c r="E39" s="23" t="s">
        <v>255</v>
      </c>
      <c r="F39" s="99" t="s">
        <v>256</v>
      </c>
      <c r="G39" s="99" t="s">
        <v>262</v>
      </c>
      <c r="H39" s="96"/>
      <c r="I39" s="96"/>
      <c r="J39"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40" spans="1:10" x14ac:dyDescent="0.25">
      <c r="A40" s="5"/>
      <c r="D40" s="95" t="s">
        <v>282</v>
      </c>
      <c r="E40" s="23" t="s">
        <v>255</v>
      </c>
      <c r="F40" s="99" t="s">
        <v>256</v>
      </c>
      <c r="G40" s="99" t="s">
        <v>257</v>
      </c>
      <c r="H40" s="96"/>
      <c r="I40" s="96"/>
      <c r="J40"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41" spans="1:10" x14ac:dyDescent="0.25">
      <c r="A41" s="5"/>
      <c r="D41" s="95" t="s">
        <v>283</v>
      </c>
      <c r="E41" s="23" t="s">
        <v>255</v>
      </c>
      <c r="F41" s="99" t="s">
        <v>256</v>
      </c>
      <c r="G41" s="99" t="s">
        <v>257</v>
      </c>
      <c r="H41" s="96"/>
      <c r="I41" s="96"/>
      <c r="J41" s="25">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42" spans="1:10" x14ac:dyDescent="0.25">
      <c r="A42" s="5"/>
    </row>
    <row r="43" spans="1:10" x14ac:dyDescent="0.25">
      <c r="A43" s="5"/>
    </row>
    <row r="44" spans="1:10" ht="23.25" x14ac:dyDescent="0.25">
      <c r="A44" s="5"/>
      <c r="D44" s="2" t="s">
        <v>284</v>
      </c>
    </row>
    <row r="45" spans="1:10" x14ac:dyDescent="0.25">
      <c r="A45" s="5"/>
    </row>
    <row r="46" spans="1:10" x14ac:dyDescent="0.25">
      <c r="A46" s="5"/>
      <c r="D46" s="94" t="s">
        <v>200</v>
      </c>
      <c r="E46" s="94" t="s">
        <v>252</v>
      </c>
      <c r="F46" s="94" t="s">
        <v>253</v>
      </c>
      <c r="G46" s="94" t="s">
        <v>254</v>
      </c>
      <c r="H46" s="94" t="s">
        <v>201</v>
      </c>
      <c r="I46" s="94" t="s">
        <v>202</v>
      </c>
      <c r="J46" s="94" t="s">
        <v>203</v>
      </c>
    </row>
    <row r="47" spans="1:10" x14ac:dyDescent="0.25">
      <c r="A47" s="5"/>
      <c r="D47" s="95" t="s">
        <v>285</v>
      </c>
      <c r="E47" s="23" t="s">
        <v>255</v>
      </c>
      <c r="F47" s="23" t="s">
        <v>256</v>
      </c>
      <c r="G47" s="23" t="s">
        <v>257</v>
      </c>
      <c r="H47" s="96"/>
      <c r="I47" s="96"/>
      <c r="J47" s="25">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48" spans="1:10" x14ac:dyDescent="0.25">
      <c r="A48" s="5"/>
      <c r="D48" s="97" t="s">
        <v>70</v>
      </c>
      <c r="E48" s="23" t="s">
        <v>255</v>
      </c>
      <c r="F48" s="23" t="s">
        <v>256</v>
      </c>
      <c r="G48" s="23" t="s">
        <v>257</v>
      </c>
      <c r="H48" s="96"/>
      <c r="I48" s="96"/>
      <c r="J48" s="25">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49" spans="1:10" x14ac:dyDescent="0.25">
      <c r="D49" s="97" t="s">
        <v>286</v>
      </c>
      <c r="E49" s="23" t="s">
        <v>255</v>
      </c>
      <c r="F49" s="23" t="s">
        <v>256</v>
      </c>
      <c r="G49" s="23" t="s">
        <v>257</v>
      </c>
      <c r="H49" s="96"/>
      <c r="I49" s="96"/>
      <c r="J49" s="25">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50" spans="1:10" x14ac:dyDescent="0.25">
      <c r="D50" s="97" t="s">
        <v>287</v>
      </c>
      <c r="E50" s="23" t="s">
        <v>255</v>
      </c>
      <c r="F50" s="23" t="s">
        <v>288</v>
      </c>
      <c r="G50" s="23" t="s">
        <v>277</v>
      </c>
      <c r="H50" s="96"/>
      <c r="I50" s="96"/>
      <c r="J50" s="25">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51" spans="1:10" x14ac:dyDescent="0.25">
      <c r="A51" s="100"/>
      <c r="D51" s="97" t="s">
        <v>289</v>
      </c>
      <c r="E51" s="23" t="s">
        <v>255</v>
      </c>
      <c r="F51" s="23" t="s">
        <v>256</v>
      </c>
      <c r="G51" s="23" t="s">
        <v>257</v>
      </c>
      <c r="H51" s="96"/>
      <c r="I51" s="96"/>
      <c r="J51" s="25">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52" spans="1:10" x14ac:dyDescent="0.25">
      <c r="A52" s="5"/>
    </row>
    <row r="53" spans="1:10" x14ac:dyDescent="0.25">
      <c r="A53" s="5"/>
    </row>
    <row r="54" spans="1:10" ht="23.25" x14ac:dyDescent="0.25">
      <c r="A54" s="5"/>
      <c r="D54" s="2" t="s">
        <v>290</v>
      </c>
    </row>
    <row r="55" spans="1:10" x14ac:dyDescent="0.25">
      <c r="A55" s="5"/>
    </row>
    <row r="56" spans="1:10" x14ac:dyDescent="0.25">
      <c r="A56" s="5"/>
      <c r="D56" s="94" t="s">
        <v>200</v>
      </c>
      <c r="E56" s="94" t="s">
        <v>252</v>
      </c>
      <c r="F56" s="94" t="s">
        <v>253</v>
      </c>
      <c r="G56" s="94" t="s">
        <v>254</v>
      </c>
      <c r="H56" s="94" t="s">
        <v>201</v>
      </c>
      <c r="I56" s="94" t="s">
        <v>202</v>
      </c>
      <c r="J56" s="94" t="s">
        <v>203</v>
      </c>
    </row>
    <row r="57" spans="1:10" x14ac:dyDescent="0.25">
      <c r="A57" s="5"/>
      <c r="D57" s="95" t="s">
        <v>291</v>
      </c>
      <c r="E57" s="23" t="s">
        <v>255</v>
      </c>
      <c r="F57" s="23" t="s">
        <v>256</v>
      </c>
      <c r="G57" s="23" t="s">
        <v>262</v>
      </c>
      <c r="H57" s="96"/>
      <c r="I57" s="96"/>
      <c r="J57" s="25">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58" spans="1:10" x14ac:dyDescent="0.25">
      <c r="A58" s="5"/>
      <c r="D58" s="97" t="s">
        <v>292</v>
      </c>
      <c r="E58" s="23" t="s">
        <v>255</v>
      </c>
      <c r="F58" s="23" t="s">
        <v>256</v>
      </c>
      <c r="G58" s="23" t="s">
        <v>257</v>
      </c>
      <c r="H58" s="96"/>
      <c r="I58" s="96"/>
      <c r="J58" s="25">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59" spans="1:10" x14ac:dyDescent="0.25">
      <c r="A59" s="5"/>
      <c r="D59" s="97" t="s">
        <v>293</v>
      </c>
      <c r="E59" s="23" t="s">
        <v>255</v>
      </c>
      <c r="F59" s="23" t="s">
        <v>256</v>
      </c>
      <c r="G59" s="23" t="s">
        <v>257</v>
      </c>
      <c r="H59" s="96"/>
      <c r="I59" s="96"/>
      <c r="J59" s="25">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60" spans="1:10" x14ac:dyDescent="0.25">
      <c r="A60" s="5"/>
      <c r="D60" s="97" t="s">
        <v>294</v>
      </c>
      <c r="E60" s="23" t="s">
        <v>255</v>
      </c>
      <c r="F60" s="23" t="s">
        <v>256</v>
      </c>
      <c r="G60" s="23" t="s">
        <v>257</v>
      </c>
      <c r="H60" s="96"/>
      <c r="I60" s="96"/>
      <c r="J60" s="25">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61" spans="1:10" x14ac:dyDescent="0.25">
      <c r="A61" s="5"/>
    </row>
    <row r="63" spans="1:10" x14ac:dyDescent="0.25">
      <c r="D63" s="1" t="s">
        <v>295</v>
      </c>
    </row>
    <row r="64" spans="1:10" x14ac:dyDescent="0.25">
      <c r="D64" s="1" t="s">
        <v>296</v>
      </c>
    </row>
    <row r="65" spans="4:4" x14ac:dyDescent="0.25">
      <c r="D65" s="1" t="s">
        <v>297</v>
      </c>
    </row>
    <row r="66" spans="4:4" x14ac:dyDescent="0.25">
      <c r="D66" s="1" t="s">
        <v>298</v>
      </c>
    </row>
    <row r="67" spans="4:4" x14ac:dyDescent="0.25">
      <c r="D67" s="1" t="s">
        <v>299</v>
      </c>
    </row>
    <row r="71" spans="4:4" x14ac:dyDescent="0.25">
      <c r="D71" s="1" t="s">
        <v>300</v>
      </c>
    </row>
  </sheetData>
  <dataValidations count="3">
    <dataValidation type="list" allowBlank="1" showInputMessage="1" showErrorMessage="1" sqref="F8:F13 F19:F24 F30:F41 F47:F51 F57:F60" xr:uid="{7A41F482-9DC2-427F-BD67-9E7030E9FA1D}">
      <formula1>INDIRECT("Table_SourceData_DataQuality_SpatialRepresentativeness[User friendly description]")</formula1>
    </dataValidation>
    <dataValidation type="list" allowBlank="1" showInputMessage="1" showErrorMessage="1" sqref="E8:E13 E19:E24 E30:E41 E47:E51 E57:E60" xr:uid="{A2F79B94-E5F1-44B9-A20F-B6166F7EA291}">
      <formula1>INDIRECT("Table_SourceData_DataQuality_TemporalRepresentativeness[User friendly description]")</formula1>
    </dataValidation>
    <dataValidation type="list" allowBlank="1" showInputMessage="1" showErrorMessage="1" sqref="G8:G13 G19:G24 G30:G41 G47:G51 G57:G60" xr:uid="{BA67DDE5-AE35-4EC9-9563-5791102272E4}">
      <formula1>INDIRECT("Table_SourceData_DataQuality_SampleSize[User friendly description]")</formula1>
    </dataValidation>
  </dataValidations>
  <pageMargins left="0.7" right="0.7" top="0.75" bottom="0.75" header="0.3" footer="0.3"/>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312</vt:i4>
      </vt:variant>
    </vt:vector>
  </HeadingPairs>
  <TitlesOfParts>
    <vt:vector size="362"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Manure sent off-site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3.2.1.1-2 Enteric Methane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2026-08-10T11:51:26Z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