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drawings/drawing24.xml" ContentType="application/vnd.openxmlformats-officedocument.drawing+xml"/>
  <Override PartName="/xl/tables/table1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2E908D6E-C0E2-47F6-9B49-87FAD0124AEA}" xr6:coauthVersionLast="47" xr6:coauthVersionMax="47" xr10:uidLastSave="{00000000-0000-0000-0000-000000000000}"/>
  <bookViews>
    <workbookView xWindow="615" yWindow="2460" windowWidth="37785" windowHeight="19140" firstSheet="1" activeTab="1" xr2:uid="{992023F3-CAB7-4E5B-A348-08D563A0EF40}"/>
  </bookViews>
  <sheets>
    <sheet name="Home" sheetId="71" r:id="rId1"/>
    <sheet name="Results" sheetId="13" r:id="rId2"/>
    <sheet name="Input - Enterprise" sheetId="72" r:id="rId3"/>
    <sheet name="Input - Site" sheetId="75" r:id="rId4"/>
    <sheet name="Input - Dairy" sheetId="79" r:id="rId5"/>
    <sheet name="Input - Dairy (Enteric)" sheetId="89" r:id="rId6"/>
    <sheet name="Input - Livestock sales" sheetId="77" r:id="rId7"/>
    <sheet name="Input - Dairy cattle purchases" sheetId="113" r:id="rId8"/>
    <sheet name="Input - Pasture" sheetId="109" r:id="rId9"/>
    <sheet name="Input - Fert Prod System" sheetId="76" r:id="rId10"/>
    <sheet name="Input - Fertiliser" sheetId="91" r:id="rId11"/>
    <sheet name="Input - Fuel" sheetId="102" r:id="rId12"/>
    <sheet name="Input - Electricity" sheetId="99" r:id="rId13"/>
    <sheet name="Input - Farm Inputs" sheetId="114" r:id="rId14"/>
    <sheet name="Input - Freight" sheetId="115" r:id="rId15"/>
    <sheet name="Input - Manure sent off-site" sheetId="116" r:id="rId16"/>
    <sheet name="5.1.1.1-2 Inorganic fert N2O" sheetId="92" r:id="rId17"/>
    <sheet name="5.1.1.3-4 Inorganic fert CO2" sheetId="93" r:id="rId18"/>
    <sheet name="5.2.1.1-2 Organic Fert N2O" sheetId="94" r:id="rId19"/>
    <sheet name="5.3.1.1-2 Lime CO2" sheetId="95" r:id="rId20"/>
    <sheet name="5.4.1.1-4 Atmos deposition" sheetId="96" r:id="rId21"/>
    <sheet name="5.5.1.1-2 Leaching and runoff" sheetId="97" r:id="rId22"/>
    <sheet name="6.2.1.1-2 Pasture residue N2O" sheetId="110" r:id="rId23"/>
    <sheet name="6.3.1.1-2 Leach runoff pasture" sheetId="111" r:id="rId24"/>
    <sheet name="8.1.1.1-2 Transport fuel" sheetId="103" r:id="rId25"/>
    <sheet name="8.2.1.1-2 Stationary fuel" sheetId="104" r:id="rId26"/>
    <sheet name="14.1.1-2 Purchased electricity" sheetId="100" r:id="rId27"/>
    <sheet name="15 Scope 3" sheetId="117" r:id="rId28"/>
    <sheet name="Calcs - Manure sent off-site" sheetId="118" r:id="rId29"/>
    <sheet name="Constants - Dairy" sheetId="88" r:id="rId30"/>
    <sheet name="Constants - Ag Residue" sheetId="112" r:id="rId31"/>
    <sheet name="Constants - Common Livestock" sheetId="120" r:id="rId32"/>
    <sheet name="Constants - Electricity" sheetId="101" r:id="rId33"/>
    <sheet name="Constants - Fertiliser" sheetId="98" r:id="rId34"/>
    <sheet name="Constants - Fuel" sheetId="105" r:id="rId35"/>
    <sheet name="Constants - Scope 3" sheetId="119" r:id="rId36"/>
    <sheet name="Constants - Common" sheetId="74" r:id="rId37"/>
    <sheet name="Acknowledgements" sheetId="122" r:id="rId38"/>
    <sheet name="Input - Solid waste" sheetId="106" r:id="rId39"/>
    <sheet name="4.3.1.1-2 Methane" sheetId="80" r:id="rId40"/>
    <sheet name="4.3.1.3-4 Direct N20" sheetId="81" r:id="rId41"/>
    <sheet name="4.3.1.5 Atmos deposition" sheetId="82" r:id="rId42"/>
    <sheet name="4.3.1.6-7 Leaching and runoff" sheetId="83" r:id="rId43"/>
    <sheet name="4.3.1.8 Manure applied to soils" sheetId="84" r:id="rId44"/>
    <sheet name="4.3.1.9 Soil direct N2O" sheetId="85" r:id="rId45"/>
    <sheet name="4.3.1.10-11 Soil Atmos Dep" sheetId="86" r:id="rId46"/>
    <sheet name="4.3.1.12-13 Soil leach runoff" sheetId="87" r:id="rId47"/>
    <sheet name="3.3.1.1-2 Enteric Methane" sheetId="90" r:id="rId48"/>
    <sheet name="10.1.1-2 Solid waste treatment" sheetId="107" r:id="rId49"/>
    <sheet name="Constants - Solid Waste" sheetId="108" r:id="rId50"/>
    <sheet name="Overview" sheetId="121" r:id="rId51"/>
    <sheet name="Input - Data quality" sheetId="78" r:id="rId52"/>
  </sheets>
  <definedNames>
    <definedName name="_Toc225350871" localSheetId="20">'5.4.1.1-4 Atmos deposition'!$C$1</definedName>
    <definedName name="_Toc225350871" localSheetId="21">'5.5.1.1-2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 localSheetId="27">_xlfn.LAMBDA(_xlpm.Mburnc,_xlpm.CCc,_xlpm.EFCH4,_xlpm.C_CH4, _xlpm.Mburnc * _xlpm.CCc * _xlpm.EFCH4 * _xlpm.C_CH4 * 10 ^ (-3))</definedName>
    <definedName name="AgResidue_Equations_FieldBurning.VEERG_6_4_1_1__1__MethaneEmissionsFromBurningOfCropResidues" localSheetId="28">_xlfn.LAMBDA(_xlpm.Mburnc,_xlpm.CCc,_xlpm.EFCH4,_xlpm.C_CH4, _xlpm.Mburnc * _xlpm.CCc * _xlpm.EFCH4 * _xlpm.C_CH4 * 10 ^ (-3))</definedName>
    <definedName name="AgResidue_Equations_FieldBurning.VEERG_6_4_1_1__1__MethaneEmissionsFromBurningOfCropResidues" localSheetId="35">_xlfn.LAMBDA(_xlpm.Mburnc,_xlpm.CCc,_xlpm.EFCH4,_xlpm.C_CH4, _xlpm.Mburnc * _xlpm.CCc * _xlpm.EFCH4 * _xlpm.C_CH4 * 10 ^ (-3))</definedName>
    <definedName name="AgResidue_Equations_FieldBurning.VEERG_6_4_1_1__1__MethaneEmissionsFromBurningOfCropResidues" localSheetId="7">_xlfn.LAMBDA(_xlpm.Mburnc,_xlpm.CCc,_xlpm.EFCH4,_xlpm.C_CH4, _xlpm.Mburnc * _xlpm.CCc * _xlpm.EFCH4 * _xlpm.C_CH4 * 10 ^ (-3))</definedName>
    <definedName name="AgResidue_Equations_FieldBurning.VEERG_6_4_1_1__1__MethaneEmissionsFromBurningOfCropResidues" localSheetId="13">_xlfn.LAMBDA(_xlpm.Mburnc,_xlpm.CCc,_xlpm.EFCH4,_xlpm.C_CH4, _xlpm.Mburnc * _xlpm.CCc * _xlpm.EFCH4 * _xlpm.C_CH4 * 10 ^ (-3))</definedName>
    <definedName name="AgResidue_Equations_FieldBurning.VEERG_6_4_1_1__1__MethaneEmissionsFromBurningOfCropResidues" localSheetId="14">_xlfn.LAMBDA(_xlpm.Mburnc,_xlpm.CCc,_xlpm.EFCH4,_xlpm.C_CH4, _xlpm.Mburnc * _xlpm.CCc * _xlpm.EFCH4 * _xlpm.C_CH4 * 10 ^ (-3))</definedName>
    <definedName name="AgResidue_Equations_FieldBurning.VEERG_6_4_1_1__1__MethaneEmissionsFromBurningOfCropResidues" localSheetId="15">_xlfn.LAMBDA(_xlpm.Mburnc,_xlpm.CCc,_xlpm.EFCH4,_xlpm.C_CH4, _xlpm.Mburnc * _xlpm.CCc * _xlpm.EFCH4 * _xlpm.C_CH4 * 10 ^ (-3))</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 localSheetId="27">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28">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35">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7">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3">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4">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5">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27">_xlfn.LAMBDA("E_{CH4}=\sum_{c}(M_{burn,c}\times CC_{c}\times EF_{CH4}\times C_{CH4}\times 10^{-3})")</definedName>
    <definedName name="AgResidue_Equations_FieldBurning.VEERG_6_4_1_1__1__MethaneEmissionsFromBurningOfCropResidues_LatexEquation" localSheetId="28">_xlfn.LAMBDA("E_{CH4}=\sum_{c}(M_{burn,c}\times CC_{c}\times EF_{CH4}\times C_{CH4}\times 10^{-3})")</definedName>
    <definedName name="AgResidue_Equations_FieldBurning.VEERG_6_4_1_1__1__MethaneEmissionsFromBurningOfCropResidues_LatexEquation" localSheetId="35">_xlfn.LAMBDA("E_{CH4}=\sum_{c}(M_{burn,c}\times CC_{c}\times EF_{CH4}\times C_{CH4}\times 10^{-3})")</definedName>
    <definedName name="AgResidue_Equations_FieldBurning.VEERG_6_4_1_1__1__MethaneEmissionsFromBurningOfCropResidues_LatexEquation" localSheetId="7">_xlfn.LAMBDA("E_{CH4}=\sum_{c}(M_{burn,c}\times CC_{c}\times EF_{CH4}\times C_{CH4}\times 10^{-3})")</definedName>
    <definedName name="AgResidue_Equations_FieldBurning.VEERG_6_4_1_1__1__MethaneEmissionsFromBurningOfCropResidues_LatexEquation" localSheetId="13">_xlfn.LAMBDA("E_{CH4}=\sum_{c}(M_{burn,c}\times CC_{c}\times EF_{CH4}\times C_{CH4}\times 10^{-3})")</definedName>
    <definedName name="AgResidue_Equations_FieldBurning.VEERG_6_4_1_1__1__MethaneEmissionsFromBurningOfCropResidues_LatexEquation" localSheetId="14">_xlfn.LAMBDA("E_{CH4}=\sum_{c}(M_{burn,c}\times CC_{c}\times EF_{CH4}\times C_{CH4}\times 10^{-3})")</definedName>
    <definedName name="AgResidue_Equations_FieldBurning.VEERG_6_4_1_1__1__MethaneEmissionsFromBurningOfCropResidues_LatexEquation" localSheetId="15">_xlfn.LAMBDA("E_{CH4}=\sum_{c}(M_{burn,c}\times CC_{c}\times EF_{CH4}\times C_{CH4}\times 10^{-3})")</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27">_xlfn.LAMBDA(_xlpm.Mburnc,_xlpm.NCAGc,_xlpm.EFN2O,_xlpm.CN2O, _xlpm.Mburnc * _xlpm.NCAGc * _xlpm.EFN2O * _xlpm.CN2O * 10 ^ (-3))</definedName>
    <definedName name="AgResidue_Equations_FieldBurning.VEERG_6_4_1_1__2__NitrousOxideEmissionsFromBurningOfCropResidues" localSheetId="28">_xlfn.LAMBDA(_xlpm.Mburnc,_xlpm.NCAGc,_xlpm.EFN2O,_xlpm.CN2O, _xlpm.Mburnc * _xlpm.NCAGc * _xlpm.EFN2O * _xlpm.CN2O * 10 ^ (-3))</definedName>
    <definedName name="AgResidue_Equations_FieldBurning.VEERG_6_4_1_1__2__NitrousOxideEmissionsFromBurningOfCropResidues" localSheetId="35">_xlfn.LAMBDA(_xlpm.Mburnc,_xlpm.NCAGc,_xlpm.EFN2O,_xlpm.CN2O, _xlpm.Mburnc * _xlpm.NCAGc * _xlpm.EFN2O * _xlpm.CN2O * 10 ^ (-3))</definedName>
    <definedName name="AgResidue_Equations_FieldBurning.VEERG_6_4_1_1__2__NitrousOxideEmissionsFromBurningOfCropResidues" localSheetId="7">_xlfn.LAMBDA(_xlpm.Mburnc,_xlpm.NCAGc,_xlpm.EFN2O,_xlpm.CN2O, _xlpm.Mburnc * _xlpm.NCAGc * _xlpm.EFN2O * _xlpm.CN2O * 10 ^ (-3))</definedName>
    <definedName name="AgResidue_Equations_FieldBurning.VEERG_6_4_1_1__2__NitrousOxideEmissionsFromBurningOfCropResidues" localSheetId="13">_xlfn.LAMBDA(_xlpm.Mburnc,_xlpm.NCAGc,_xlpm.EFN2O,_xlpm.CN2O, _xlpm.Mburnc * _xlpm.NCAGc * _xlpm.EFN2O * _xlpm.CN2O * 10 ^ (-3))</definedName>
    <definedName name="AgResidue_Equations_FieldBurning.VEERG_6_4_1_1__2__NitrousOxideEmissionsFromBurningOfCropResidues" localSheetId="14">_xlfn.LAMBDA(_xlpm.Mburnc,_xlpm.NCAGc,_xlpm.EFN2O,_xlpm.CN2O, _xlpm.Mburnc * _xlpm.NCAGc * _xlpm.EFN2O * _xlpm.CN2O * 10 ^ (-3))</definedName>
    <definedName name="AgResidue_Equations_FieldBurning.VEERG_6_4_1_1__2__NitrousOxideEmissionsFromBurningOfCropResidues" localSheetId="15">_xlfn.LAMBDA(_xlpm.Mburnc,_xlpm.NCAGc,_xlpm.EFN2O,_xlpm.CN2O, _xlpm.Mburnc * _xlpm.NCAGc * _xlpm.EFN2O * _xlpm.CN2O * 10 ^ (-3))</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 localSheetId="27">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28">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35">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7">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3">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4">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5">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27">_xlfn.LAMBDA("E_{N2O}=\sum_{c}(M_{burn,c}\times NC_{AGc}\times EF_{N2O}\times C_{N2O}\times 10^{-3})")</definedName>
    <definedName name="AgResidue_Equations_FieldBurning.VEERG_6_4_1_1__2__NitrousOxideEmissionsFromBurningOfCropResidues_LatexEquation" localSheetId="28">_xlfn.LAMBDA("E_{N2O}=\sum_{c}(M_{burn,c}\times NC_{AGc}\times EF_{N2O}\times C_{N2O}\times 10^{-3})")</definedName>
    <definedName name="AgResidue_Equations_FieldBurning.VEERG_6_4_1_1__2__NitrousOxideEmissionsFromBurningOfCropResidues_LatexEquation" localSheetId="35">_xlfn.LAMBDA("E_{N2O}=\sum_{c}(M_{burn,c}\times NC_{AGc}\times EF_{N2O}\times C_{N2O}\times 10^{-3})")</definedName>
    <definedName name="AgResidue_Equations_FieldBurning.VEERG_6_4_1_1__2__NitrousOxideEmissionsFromBurningOfCropResidues_LatexEquation" localSheetId="7">_xlfn.LAMBDA("E_{N2O}=\sum_{c}(M_{burn,c}\times NC_{AGc}\times EF_{N2O}\times C_{N2O}\times 10^{-3})")</definedName>
    <definedName name="AgResidue_Equations_FieldBurning.VEERG_6_4_1_1__2__NitrousOxideEmissionsFromBurningOfCropResidues_LatexEquation" localSheetId="13">_xlfn.LAMBDA("E_{N2O}=\sum_{c}(M_{burn,c}\times NC_{AGc}\times EF_{N2O}\times C_{N2O}\times 10^{-3})")</definedName>
    <definedName name="AgResidue_Equations_FieldBurning.VEERG_6_4_1_1__2__NitrousOxideEmissionsFromBurningOfCropResidues_LatexEquation" localSheetId="14">_xlfn.LAMBDA("E_{N2O}=\sum_{c}(M_{burn,c}\times NC_{AGc}\times EF_{N2O}\times C_{N2O}\times 10^{-3})")</definedName>
    <definedName name="AgResidue_Equations_FieldBurning.VEERG_6_4_1_1__2__NitrousOxideEmissionsFromBurningOfCropResidues_LatexEquation" localSheetId="15">_xlfn.LAMBDA("E_{N2O}=\sum_{c}(M_{burn,c}\times NC_{AGc}\times EF_{N2O}\times C_{N2O}\times 10^{-3})")</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27">_xlfn.LAMBDA(_xlpm.Pc,_xlpm.RAGc,_xlpm.Sc,_xlpm.DMc,_xlpm.Zc,_xlpm.Fc, _xlpm.Pc * _xlpm.RAGc * _xlpm.Sc * _xlpm.DMc * _xlpm.Zc * _xlpm.Fc)</definedName>
    <definedName name="AgResidue_Equations_FieldBurning.VEERG_6_4_1_1__3__MassOfCropResidueBurnt" localSheetId="28">_xlfn.LAMBDA(_xlpm.Pc,_xlpm.RAGc,_xlpm.Sc,_xlpm.DMc,_xlpm.Zc,_xlpm.Fc, _xlpm.Pc * _xlpm.RAGc * _xlpm.Sc * _xlpm.DMc * _xlpm.Zc * _xlpm.Fc)</definedName>
    <definedName name="AgResidue_Equations_FieldBurning.VEERG_6_4_1_1__3__MassOfCropResidueBurnt" localSheetId="35">_xlfn.LAMBDA(_xlpm.Pc,_xlpm.RAGc,_xlpm.Sc,_xlpm.DMc,_xlpm.Zc,_xlpm.Fc, _xlpm.Pc * _xlpm.RAGc * _xlpm.Sc * _xlpm.DMc * _xlpm.Zc * _xlpm.Fc)</definedName>
    <definedName name="AgResidue_Equations_FieldBurning.VEERG_6_4_1_1__3__MassOfCropResidueBurnt" localSheetId="7">_xlfn.LAMBDA(_xlpm.Pc,_xlpm.RAGc,_xlpm.Sc,_xlpm.DMc,_xlpm.Zc,_xlpm.Fc, _xlpm.Pc * _xlpm.RAGc * _xlpm.Sc * _xlpm.DMc * _xlpm.Zc * _xlpm.Fc)</definedName>
    <definedName name="AgResidue_Equations_FieldBurning.VEERG_6_4_1_1__3__MassOfCropResidueBurnt" localSheetId="13">_xlfn.LAMBDA(_xlpm.Pc,_xlpm.RAGc,_xlpm.Sc,_xlpm.DMc,_xlpm.Zc,_xlpm.Fc, _xlpm.Pc * _xlpm.RAGc * _xlpm.Sc * _xlpm.DMc * _xlpm.Zc * _xlpm.Fc)</definedName>
    <definedName name="AgResidue_Equations_FieldBurning.VEERG_6_4_1_1__3__MassOfCropResidueBurnt" localSheetId="14">_xlfn.LAMBDA(_xlpm.Pc,_xlpm.RAGc,_xlpm.Sc,_xlpm.DMc,_xlpm.Zc,_xlpm.Fc, _xlpm.Pc * _xlpm.RAGc * _xlpm.Sc * _xlpm.DMc * _xlpm.Zc * _xlpm.Fc)</definedName>
    <definedName name="AgResidue_Equations_FieldBurning.VEERG_6_4_1_1__3__MassOfCropResidueBurnt" localSheetId="15">_xlfn.LAMBDA(_xlpm.Pc,_xlpm.RAGc,_xlpm.Sc,_xlpm.DMc,_xlpm.Zc,_xlpm.Fc, _xlpm.Pc * _xlpm.RAGc * _xlpm.Sc * _xlpm.DMc * _xlpm.Zc * _xlpm.Fc)</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 localSheetId="27">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28">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35">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7">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3">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4">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5">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27">_xlfn.LAMBDA("Mburnc")</definedName>
    <definedName name="AgResidue_Equations_FieldBurning.VEERG_6_4_1_1__3__MassOfCropResidueBurnt_Variable" localSheetId="28">_xlfn.LAMBDA("Mburnc")</definedName>
    <definedName name="AgResidue_Equations_FieldBurning.VEERG_6_4_1_1__3__MassOfCropResidueBurnt_Variable" localSheetId="35">_xlfn.LAMBDA("Mburnc")</definedName>
    <definedName name="AgResidue_Equations_FieldBurning.VEERG_6_4_1_1__3__MassOfCropResidueBurnt_Variable" localSheetId="7">_xlfn.LAMBDA("Mburnc")</definedName>
    <definedName name="AgResidue_Equations_FieldBurning.VEERG_6_4_1_1__3__MassOfCropResidueBurnt_Variable" localSheetId="13">_xlfn.LAMBDA("Mburnc")</definedName>
    <definedName name="AgResidue_Equations_FieldBurning.VEERG_6_4_1_1__3__MassOfCropResidueBurnt_Variable" localSheetId="14">_xlfn.LAMBDA("Mburnc")</definedName>
    <definedName name="AgResidue_Equations_FieldBurning.VEERG_6_4_1_1__3__MassOfCropResidueBurnt_Variable" localSheetId="15">_xlfn.LAMBDA("Mburnc")</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2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5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 localSheetId="2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5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 localSheetId="24">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25">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34">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11">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 localSheetId="24">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25">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34">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11">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 localSheetId="2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2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3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3">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4">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2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2">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3">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3">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2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2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3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Dairy cattle purchases'!Fertiliser_InputFunctions.Fertiliser_SumProductApplied(_xlpm.ChemicalCompound, _xlpm.ProductIngredient1, _xlpm.calculatedAmount1) + IFERROR('Input - Dairy cattle purchases'!Fertiliser_InputFunctions.Fertiliser_SumProductApplied(_xlpm.ChemicalCompound, _xlpm.ProductIngredient2, _xlpm.calculatedAmount2), 0) + IFERROR('Input - Dairy cattle purchases'!Fertiliser_InputFunctions.Fertiliser_SumProductApplied(_xlpm.ChemicalCompound,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Farm Inputs'!Fertiliser_InputFunctions.Fertiliser_SumProductApplied(_xlpm.ChemicalCompound, _xlpm.ProductIngredient1, _xlpm.calculatedAmount1) + IFERROR('Input - Farm Inputs'!Fertiliser_InputFunctions.Fertiliser_SumProductApplied(_xlpm.ChemicalCompound, _xlpm.ProductIngredient2, _xlpm.calculatedAmount2), 0) + IFERROR('Input - Farm Inputs'!Fertiliser_InputFunctions.Fertiliser_SumProductApplied(_xlpm.ChemicalCompound,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 + IFERROR('15 Scope 3'!Fertiliser_InputFunctions.Fertiliser_SumProductApplied(_xlpm.ChemicalCompound, _xlpm.ProductIngredient4, _xlpm.calculatedAmount4), 0) + IFERROR('15 Scope 3'!Fertiliser_InputFunctions.Fertiliser_SumProductApplied(_xlpm.ChemicalCompound, _xlpm.ProductIngredient5, _xlpm.calculatedAmount5), 0) + IFERROR('15 Scope 3'!Fertiliser_InputFunctions.Fertiliser_SumProductApplied(_xlpm.ChemicalCompound,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'6.2.1.1-2 Pasture residue N2O'!Fertiliser_InputFunctions.Fertiliser_SumProductApplied(
      _xlpm.ChemicalCompound,
      _xlpm.ProductIngredient1,
      _xlpm.calculatedAmount1
    ) + IFERROR(
      '6.2.1.1-2 Pasture residue N2O'!Fertiliser_InputFunctions.Fertiliser_SumProductApplied(
        _xlpm.ChemicalCompound,
        _xlpm.ProductIngredient2,
        _xlpm.calculatedAmount2
      ),
      0
    ) + IFERROR(
      '6.2.1.1-2 Pasture residue N2O'!Fertiliser_InputFunctions.Fertiliser_SumProductApplied(
        _xlpm.ChemicalCompound,
        _xlpm.ProductIngredient3,
        _xlpm.calculatedAmount3
      ),
      0
    ) + IFERROR(
      '6.2.1.1-2 Pasture residue N2O'!Fertiliser_InputFunctions.Fertiliser_SumProductApplied(
        _xlpm.ChemicalCompound,
        _xlpm.ProductIngredient4,
        _xlpm.calculatedAmount4
      ),
      0
    ) + IFERROR(
      '6.2.1.1-2 Pasture residue N2O'!Fertiliser_InputFunctions.Fertiliser_SumProductApplied(
        _xlpm.ChemicalCompound,
        _xlpm.ProductIngredient5,
        _xlpm.calculatedAmount5
      ),
      0
    ) + IFERROR(
      '6.2.1.1-2 Pasture residue N2O'!Fertiliser_InputFunctions.Fertiliser_SumProductApplied(
        _xlpm.ChemicalCompound,
        _xlpm.ProductIngredient6,
        _xlpm.calculatedAmount6
      ),
      0
    )
  )
)</definedName>
    <definedName name="Fertiliser_InputFunctions.Fertiliser_TotalChemicalCompoundAppliedAllIngredients" localSheetId="2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'6.3.1.1-2 Leach runoff pasture'!Fertiliser_InputFunctions.Fertiliser_SumProductApplied(
      _xlpm.ChemicalCompound,
      _xlpm.ProductIngredient1,
      _xlpm.calculatedAmount1
    ) + IFERROR(
      '6.3.1.1-2 Leach runoff pasture'!Fertiliser_InputFunctions.Fertiliser_SumProductApplied(
        _xlpm.ChemicalCompound,
        _xlpm.ProductIngredient2,
        _xlpm.calculatedAmount2
      ),
      0
    ) + IFERROR(
      '6.3.1.1-2 Leach runoff pasture'!Fertiliser_InputFunctions.Fertiliser_SumProductApplied(
        _xlpm.ChemicalCompound,
        _xlpm.ProductIngredient3,
        _xlpm.calculatedAmount3
      ),
      0
    ) + IFERROR(
      '6.3.1.1-2 Leach runoff pasture'!Fertiliser_InputFunctions.Fertiliser_SumProductApplied(
        _xlpm.ChemicalCompound,
        _xlpm.ProductIngredient4,
        _xlpm.calculatedAmount4
      ),
      0
    ) + IFERROR(
      '6.3.1.1-2 Leach runoff pasture'!Fertiliser_InputFunctions.Fertiliser_SumProductApplied(
        _xlpm.ChemicalCompound,
        _xlpm.ProductIngredient5,
        _xlpm.calculatedAmount5
      ),
      0
    ) + IFERROR(
      '6.3.1.1-2 Leach runoff pasture'!Fertiliser_InputFunctions.Fertiliser_SumProductApplied(
        _xlpm.ChemicalCompound,
        _xlpm.ProductIngredient6,
        _xlpm.calculatedAmount6
      ),
      0
    )
  )
)</definedName>
    <definedName name="Fertiliser_InputFunctions.Fertiliser_TotalChemicalCompoundAppliedAllIngredients" localSheetId="2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 + IFERROR('Calcs - Manure sent off-site'!Fertiliser_InputFunctions.Fertiliser_SumProductApplied(_xlpm.ChemicalCompound, _xlpm.ProductIngredient4, _xlpm.calculatedAmount4), 0) + IFERROR('Calcs - Manure sent off-site'!Fertiliser_InputFunctions.Fertiliser_SumProductApplied(_xlpm.ChemicalCompound, _xlpm.ProductIngredient5, _xlpm.calculatedAmount5), 0) + IFERROR('Calcs - Manure sent off-site'!Fertiliser_InputFunctions.Fertiliser_SumProductApplied(_xlpm.ChemicalCompound,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'Constants - Ag Residue'!Fertiliser_InputFunctions.Fertiliser_SumProductApplied(
      _xlpm.ChemicalCompound,
      _xlpm.ProductIngredient1,
      _xlpm.calculatedAmount1
    ) + IFERROR(
      'Constants - Ag Residue'!Fertiliser_InputFunctions.Fertiliser_SumProductApplied(
        _xlpm.ChemicalCompound,
        _xlpm.ProductIngredient2,
        _xlpm.calculatedAmount2
      ),
      0
    ) + IFERROR(
      'Constants - Ag Residue'!Fertiliser_InputFunctions.Fertiliser_SumProductApplied(
        _xlpm.ChemicalCompound,
        _xlpm.ProductIngredient3,
        _xlpm.calculatedAmount3
      ),
      0
    ) + IFERROR(
      'Constants - Ag Residue'!Fertiliser_InputFunctions.Fertiliser_SumProductApplied(
        _xlpm.ChemicalCompound,
        _xlpm.ProductIngredient4,
        _xlpm.calculatedAmount4
      ),
      0
    ) + IFERROR(
      'Constants - Ag Residue'!Fertiliser_InputFunctions.Fertiliser_SumProductApplied(
        _xlpm.ChemicalCompound,
        _xlpm.ProductIngredient5,
        _xlpm.calculatedAmount5
      ),
      0
    ) + IFERROR(
      'Constants - Ag Residue'!Fertiliser_InputFunctions.Fertiliser_SumProductApplied(
        _xlpm.ChemicalCompound,
        _xlpm.ProductIngredient6,
        _xlpm.calculatedAmount6
      ),
      0
    )
  )
)</definedName>
    <definedName name="Fertiliser_InputFunctions.Fertiliser_TotalChemicalCompoundAppliedAllIngredients" localSheetId="3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 + IFERROR('Constants - Scope 3'!Fertiliser_InputFunctions.Fertiliser_SumProductApplied(_xlpm.ChemicalCompound, _xlpm.ProductIngredient4, _xlpm.calculatedAmount4), 0) + IFERROR('Constants - Scope 3'!Fertiliser_InputFunctions.Fertiliser_SumProductApplied(_xlpm.ChemicalCompound, _xlpm.ProductIngredient5, _xlpm.calculatedAmount5), 0) + IFERROR('Constants - Scope 3'!Fertiliser_InputFunctions.Fertiliser_SumProductApplied(_xlpm.ChemicalCompound,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Dairy cattle purchases'!Fertiliser_InputFunctions.Fertiliser_SumProductApplied(_xlpm.ChemicalCompound, _xlpm.ProductIngredient1, _xlpm.calculatedAmount1) + IFERROR('Input - Dairy cattle purchases'!Fertiliser_InputFunctions.Fertiliser_SumProductApplied(_xlpm.ChemicalCompound, _xlpm.ProductIngredient2, _xlpm.calculatedAmount2), 0) + IFERROR('Input - Dairy cattle purchases'!Fertiliser_InputFunctions.Fertiliser_SumProductApplied(_xlpm.ChemicalCompound, _xlpm.ProductIngredient3, _xlpm.calculatedAmount3), 0) + IFERROR('Input - Dairy cattle purchases'!Fertiliser_InputFunctions.Fertiliser_SumProductApplied(_xlpm.ChemicalCompound, _xlpm.ProductIngredient4, _xlpm.calculatedAmount4), 0) + IFERROR('Input - Dairy cattle purchases'!Fertiliser_InputFunctions.Fertiliser_SumProductApplied(_xlpm.ChemicalCompound, _xlpm.ProductIngredient5, _xlpm.calculatedAmount5), 0) + IFERROR('Input - Dairy cattle purchases'!Fertiliser_InputFunctions.Fertiliser_SumProductApplied(_xlpm.ChemicalCompound,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Farm Inputs'!Fertiliser_InputFunctions.Fertiliser_SumProductApplied(_xlpm.ChemicalCompound, _xlpm.ProductIngredient1, _xlpm.calculatedAmount1) + IFERROR('Input - Farm Inputs'!Fertiliser_InputFunctions.Fertiliser_SumProductApplied(_xlpm.ChemicalCompound, _xlpm.ProductIngredient2, _xlpm.calculatedAmount2), 0) + IFERROR('Input - Farm Inputs'!Fertiliser_InputFunctions.Fertiliser_SumProductApplied(_xlpm.ChemicalCompound, _xlpm.ProductIngredient3, _xlpm.calculatedAmount3), 0) + IFERROR('Input - Farm Inputs'!Fertiliser_InputFunctions.Fertiliser_SumProductApplied(_xlpm.ChemicalCompound, _xlpm.ProductIngredient4, _xlpm.calculatedAmount4), 0) + IFERROR('Input - Farm Inputs'!Fertiliser_InputFunctions.Fertiliser_SumProductApplied(_xlpm.ChemicalCompound, _xlpm.ProductIngredient5, _xlpm.calculatedAmount5), 0) + IFERROR('Input - Farm Inputs'!Fertiliser_InputFunctions.Fertiliser_SumProductApplied(_xlpm.ChemicalCompound,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 + IFERROR('Input - Freight'!Fertiliser_InputFunctions.Fertiliser_SumProductApplied(_xlpm.ChemicalCompound, _xlpm.ProductIngredient4, _xlpm.calculatedAmount4), 0) + IFERROR('Input - Freight'!Fertiliser_InputFunctions.Fertiliser_SumProductApplied(_xlpm.ChemicalCompound, _xlpm.ProductIngredient5, _xlpm.calculatedAmount5), 0) + IFERROR('Input - Freight'!Fertiliser_InputFunctions.Fertiliser_SumProductApplied(_xlpm.ChemicalCompound,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 + IFERROR('Input - Manure sent off-site'!Fertiliser_InputFunctions.Fertiliser_SumProductApplied(_xlpm.ChemicalCompound, _xlpm.ProductIngredient4, _xlpm.calculatedAmount4), 0) + IFERROR('Input - Manure sent off-site'!Fertiliser_InputFunctions.Fertiliser_SumProductApplied(_xlpm.ChemicalCompound, _xlpm.ProductIngredient5, _xlpm.calculatedAmount5), 0) + IFERROR('Input - Manure sent off-site'!Fertiliser_InputFunctions.Fertiliser_SumProductApplied(_xlpm.ChemicalCompound,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'Input - Pasture'!Fertiliser_InputFunctions.Fertiliser_SumProductApplied(
      _xlpm.ChemicalCompound,
      _xlpm.ProductIngredient1,
      _xlpm.calculatedAmount1
    ) + IFERROR(
      'Input - Pasture'!Fertiliser_InputFunctions.Fertiliser_SumProductApplied(
        _xlpm.ChemicalCompound,
        _xlpm.ProductIngredient2,
        _xlpm.calculatedAmount2
      ),
      0
    ) + IFERROR(
      'Input - Pasture'!Fertiliser_InputFunctions.Fertiliser_SumProductApplied(
        _xlpm.ChemicalCompound,
        _xlpm.ProductIngredient3,
        _xlpm.calculatedAmount3
      ),
      0
    ) + IFERROR(
      'Input - Pasture'!Fertiliser_InputFunctions.Fertiliser_SumProductApplied(
        _xlpm.ChemicalCompound,
        _xlpm.ProductIngredient4,
        _xlpm.calculatedAmount4
      ),
      0
    ) + IFERROR(
      'Input - Pasture'!Fertiliser_InputFunctions.Fertiliser_SumProductApplied(
        _xlpm.ChemicalCompound,
        _xlpm.ProductIngredient5,
        _xlpm.calculatedAmount5
      ),
      0
    ) + IFERROR(
      'Input - Pasture'!Fertiliser_InputFunctions.Fertiliser_SumProductApplied(
        _xlpm.ChemicalCompound,
        _xlpm.ProductIngredient6,
        _xlpm.calculatedAmount6
      ),
      0
    )
  )
)</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2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'15 Scope 3'!Fertiliser_InputFunctions.Fertiliser_SumProductApplied(_xlpm.ChemicalCompound, _xlpm.ProductIngredient1, _xlpm.calculatedAmount1, _xlpm.Source, _xlpm.ProductIngredientSource) + IFERROR('15 Scope 3'!Fertiliser_InputFunctions.Fertiliser_SumProductApplied(_xlpm.ChemicalCompound, _xlpm.ProductIngredient2, _xlpm.calculatedAmount2, _xlpm.Source, _xlpm.ProductIngredientSource), 0) + IFERROR('15 Scope 3'!Fertiliser_InputFunctions.Fertiliser_SumProductApplied(_xlpm.ChemicalCompound, _xlpm.ProductIngredient3, _xlpm.calculatedAmount3, _xlpm.Source, _xlpm.ProductIngredientSource), 0) + IFERROR('15 Scope 3'!Fertiliser_InputFunctions.Fertiliser_SumProductApplied(_xlpm.ChemicalCompound, _xlpm.ProductIngredient4, _xlpm.calculatedAmount4, _xlpm.Source, _xlpm.ProductIngredientSource), 0) + IFERROR('15 Scope 3'!Fertiliser_InputFunctions.Fertiliser_SumProductApplied(_xlpm.ChemicalCompound, _xlpm.ProductIngredient5, _xlpm.calculatedAmount5, _xlpm.Source, _xlpm.ProductIngredientSource), 0) + IFERROR('15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'6.2.1.1-2 Pasture residue N2O'!Fertiliser_InputFunctions.Fertiliser_SumProductApplied(
      _xlpm.ChemicalCompound,
      _xlpm.ProductIngredient1,
      _xlpm.calculatedAmount1,
      _xlpm.Source,
      _xlpm.ProductIngredientSource
    ) + IFERROR(
      '6.2.1.1-2 Pasture residue N2O'!Fertiliser_InputFunctions.Fertiliser_SumProductApplied(
        _xlpm.ChemicalCompound,
        _xlpm.ProductIngredient2,
        _xlpm.calculatedAmount2,
        _xlpm.Source,
        _xlpm.ProductIngredientSource
      ),
      0
    ) + IFERROR(
      '6.2.1.1-2 Pasture residue N2O'!Fertiliser_InputFunctions.Fertiliser_SumProductApplied(
        _xlpm.ChemicalCompound,
        _xlpm.ProductIngredient3,
        _xlpm.calculatedAmount3,
        _xlpm.Source,
        _xlpm.ProductIngredientSource
      ),
      0
    ) + IFERROR(
      '6.2.1.1-2 Pasture residue N2O'!Fertiliser_InputFunctions.Fertiliser_SumProductApplied(
        _xlpm.ChemicalCompound,
        _xlpm.ProductIngredient4,
        _xlpm.calculatedAmount4,
        _xlpm.Source,
        _xlpm.ProductIngredientSource
      ),
      0
    ) + IFERROR(
      '6.2.1.1-2 Pasture residue N2O'!Fertiliser_InputFunctions.Fertiliser_SumProductApplied(
        _xlpm.ChemicalCompound,
        _xlpm.ProductIngredient5,
        _xlpm.calculatedAmount5,
        _xlpm.Source,
        _xlpm.ProductIngredientSource
      ),
      0
    ) + IFERROR(
      '6.2.1.1-2 Pasture residue N2O'!Fertiliser_InputFunctions.Fertiliser_SumProductApplied(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2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'6.3.1.1-2 Leach runoff pasture'!Fertiliser_InputFunctions.Fertiliser_SumProductApplied(
      _xlpm.ChemicalCompound,
      _xlpm.ProductIngredient1,
      _xlpm.calculatedAmount1,
      _xlpm.Source,
      _xlpm.ProductIngredientSource
    ) + IFERROR(
      '6.3.1.1-2 Leach runoff pasture'!Fertiliser_InputFunctions.Fertiliser_SumProductApplied(
        _xlpm.ChemicalCompound,
        _xlpm.ProductIngredient2,
        _xlpm.calculatedAmount2,
        _xlpm.Source,
        _xlpm.ProductIngredientSource
      ),
      0
    ) + IFERROR(
      '6.3.1.1-2 Leach runoff pasture'!Fertiliser_InputFunctions.Fertiliser_SumProductApplied(
        _xlpm.ChemicalCompound,
        _xlpm.ProductIngredient3,
        _xlpm.calculatedAmount3,
        _xlpm.Source,
        _xlpm.ProductIngredientSource
      ),
      0
    ) + IFERROR(
      '6.3.1.1-2 Leach runoff pasture'!Fertiliser_InputFunctions.Fertiliser_SumProductApplied(
        _xlpm.ChemicalCompound,
        _xlpm.ProductIngredient4,
        _xlpm.calculatedAmount4,
        _xlpm.Source,
        _xlpm.ProductIngredientSource
      ),
      0
    ) + IFERROR(
      '6.3.1.1-2 Leach runoff pasture'!Fertiliser_InputFunctions.Fertiliser_SumProductApplied(
        _xlpm.ChemicalCompound,
        _xlpm.ProductIngredient5,
        _xlpm.calculatedAmount5,
        _xlpm.Source,
        _xlpm.ProductIngredientSource
      ),
      0
    ) + IFERROR(
      '6.3.1.1-2 Leach runoff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2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'Calcs - Manure sent off-site'!Fertiliser_InputFunctions.Fertiliser_SumProductApplied(_xlpm.ChemicalCompound, _xlpm.ProductIngredient1, _xlpm.calculatedAmount1, _xlpm.Source, _xlpm.ProductIngredientSource) + IFERROR('Calcs - Manure sent off-site'!Fertiliser_InputFunctions.Fertiliser_SumProductApplied(_xlpm.ChemicalCompound, _xlpm.ProductIngredient2, _xlpm.calculatedAmount2, _xlpm.Source, _xlpm.ProductIngredientSource), 0) + IFERROR('Calcs - Manure sent off-site'!Fertiliser_InputFunctions.Fertiliser_SumProductApplied(_xlpm.ChemicalCompound, _xlpm.ProductIngredient3, _xlpm.calculatedAmount3, _xlpm.Source, _xlpm.ProductIngredientSource), 0) + IFERROR('Calcs - Manure sent off-site'!Fertiliser_InputFunctions.Fertiliser_SumProductApplied(_xlpm.ChemicalCompound, _xlpm.ProductIngredient4, _xlpm.calculatedAmount4, _xlpm.Source, _xlpm.ProductIngredientSource), 0) + IFERROR('Calcs - Manure sent off-site'!Fertiliser_InputFunctions.Fertiliser_SumProductApplied(_xlpm.ChemicalCompound, _xlpm.ProductIngredient5, _xlpm.calculatedAmount5, _xlpm.Source, _xlpm.ProductIngredientSource), 0) + IFERROR('Calcs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'Constants - Ag Residue'!Fertiliser_InputFunctions.Fertiliser_SumProductApplied(
      _xlpm.ChemicalCompound,
      _xlpm.ProductIngredient1,
      _xlpm.calculatedAmount1,
      _xlpm.Source,
      _xlpm.ProductIngredientSource
    ) + IFERROR(
      'Constants - Ag Residue'!Fertiliser_InputFunctions.Fertiliser_SumProductApplied(
        _xlpm.ChemicalCompound,
        _xlpm.ProductIngredient2,
        _xlpm.calculatedAmount2,
        _xlpm.Source,
        _xlpm.ProductIngredientSource
      ),
      0
    ) + IFERROR(
      'Constants - Ag Residue'!Fertiliser_InputFunctions.Fertiliser_SumProductApplied(
        _xlpm.ChemicalCompound,
        _xlpm.ProductIngredient3,
        _xlpm.calculatedAmount3,
        _xlpm.Source,
        _xlpm.ProductIngredientSource
      ),
      0
    ) + IFERROR(
      'Constants - Ag Residue'!Fertiliser_InputFunctions.Fertiliser_SumProductApplied(
        _xlpm.ChemicalCompound,
        _xlpm.ProductIngredient4,
        _xlpm.calculatedAmount4,
        _xlpm.Source,
        _xlpm.ProductIngredientSource
      ),
      0
    ) + IFERROR(
      'Constants - Ag Residue'!Fertiliser_InputFunctions.Fertiliser_SumProductApplied(
        _xlpm.ChemicalCompound,
        _xlpm.ProductIngredient5,
        _xlpm.calculatedAmount5,
        _xlpm.Source,
        _xlpm.ProductIngredientSource
      ),
      0
    ) + IFERROR(
      'Constants - Ag Residue'!Fertiliser_InputFunctions.Fertiliser_SumProductApplied(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3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Scope 3'!Fertiliser_InputFunctions.Fertiliser_SumProductApplied(_xlpm.ChemicalCompound, _xlpm.ProductIngredient1, _xlpm.calculatedAmount1, _xlpm.Source, _xlpm.ProductIngredientSource) + IFERROR('Constants - Scope 3'!Fertiliser_InputFunctions.Fertiliser_SumProductApplied(_xlpm.ChemicalCompound, _xlpm.ProductIngredient2, _xlpm.calculatedAmount2, _xlpm.Source, _xlpm.ProductIngredientSource), 0) + IFERROR('Constants - Scope 3'!Fertiliser_InputFunctions.Fertiliser_SumProductApplied(_xlpm.ChemicalCompound, _xlpm.ProductIngredient3, _xlpm.calculatedAmount3, _xlpm.Source, _xlpm.ProductIngredientSource), 0) + IFERROR('Constants - Scope 3'!Fertiliser_InputFunctions.Fertiliser_SumProductApplied(_xlpm.ChemicalCompound, _xlpm.ProductIngredient4, _xlpm.calculatedAmount4, _xlpm.Source, _xlpm.ProductIngredientSource), 0) + IFERROR('Constants - Scope 3'!Fertiliser_InputFunctions.Fertiliser_SumProductApplied(_xlpm.ChemicalCompound, _xlpm.ProductIngredient5, _xlpm.calculatedAmount5, _xlpm.Source, _xlpm.ProductIngredientSource), 0) + IFERROR('Constants -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Dairy cattle purchases'!Fertiliser_InputFunctions.Fertiliser_SumProductApplied(_xlpm.ChemicalCompound, _xlpm.ProductIngredient1, _xlpm.calculatedAmount1, _xlpm.Source, _xlpm.ProductIngredientSource) + IFERROR('Input - Dairy cattle purchases'!Fertiliser_InputFunctions.Fertiliser_SumProductApplied(_xlpm.ChemicalCompound, _xlpm.ProductIngredient2, _xlpm.calculatedAmount2, _xlpm.Source, _xlpm.ProductIngredientSource), 0) + IFERROR('Input - Dairy cattle purchases'!Fertiliser_InputFunctions.Fertiliser_SumProductApplied(_xlpm.ChemicalCompound, _xlpm.ProductIngredient3, _xlpm.calculatedAmount3, _xlpm.Source, _xlpm.ProductIngredientSource), 0) + IFERROR('Input - Dairy cattle purchases'!Fertiliser_InputFunctions.Fertiliser_SumProductApplied(_xlpm.ChemicalCompound, _xlpm.ProductIngredient4, _xlpm.calculatedAmount4, _xlpm.Source, _xlpm.ProductIngredientSource), 0) + IFERROR('Input - Dairy cattle purchases'!Fertiliser_InputFunctions.Fertiliser_SumProductApplied(_xlpm.ChemicalCompound, _xlpm.ProductIngredient5, _xlpm.calculatedAmount5, _xlpm.Source, _xlpm.ProductIngredientSource), 0) + IFERROR('Input - Dairy cattle purchases'!Fertiliser_InputFunctions.Fertiliser_SumProductApplied(_xlpm.ChemicalCompound,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Farm Inputs'!Fertiliser_InputFunctions.Fertiliser_SumProductApplied(_xlpm.ChemicalCompound, _xlpm.ProductIngredient1, _xlpm.calculatedAmount1, _xlpm.Source, _xlpm.ProductIngredientSource) + IFERROR('Input - Farm Inputs'!Fertiliser_InputFunctions.Fertiliser_SumProductApplied(_xlpm.ChemicalCompound, _xlpm.ProductIngredient2, _xlpm.calculatedAmount2, _xlpm.Source, _xlpm.ProductIngredientSource), 0) + IFERROR('Input - Farm Inputs'!Fertiliser_InputFunctions.Fertiliser_SumProductApplied(_xlpm.ChemicalCompound, _xlpm.ProductIngredient3, _xlpm.calculatedAmount3, _xlpm.Source, _xlpm.ProductIngredientSource), 0) + IFERROR('Input - Farm Inputs'!Fertiliser_InputFunctions.Fertiliser_SumProductApplied(_xlpm.ChemicalCompound, _xlpm.ProductIngredient4, _xlpm.calculatedAmount4, _xlpm.Source, _xlpm.ProductIngredientSource), 0) + IFERROR('Input - Farm Inputs'!Fertiliser_InputFunctions.Fertiliser_SumProductApplied(_xlpm.ChemicalCompound, _xlpm.ProductIngredient5, _xlpm.calculatedAmount5, _xlpm.Source, _xlpm.ProductIngredientSource), 0) + IFERROR('Input -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Freight'!Fertiliser_InputFunctions.Fertiliser_SumProductApplied(_xlpm.ChemicalCompound, _xlpm.ProductIngredient1, _xlpm.calculatedAmount1, _xlpm.Source, _xlpm.ProductIngredientSource) + IFERROR('Input - Freight'!Fertiliser_InputFunctions.Fertiliser_SumProductApplied(_xlpm.ChemicalCompound, _xlpm.ProductIngredient2, _xlpm.calculatedAmount2, _xlpm.Source, _xlpm.ProductIngredientSource), 0) + IFERROR('Input - Freight'!Fertiliser_InputFunctions.Fertiliser_SumProductApplied(_xlpm.ChemicalCompound, _xlpm.ProductIngredient3, _xlpm.calculatedAmount3, _xlpm.Source, _xlpm.ProductIngredientSource), 0) + IFERROR('Input - Freight'!Fertiliser_InputFunctions.Fertiliser_SumProductApplied(_xlpm.ChemicalCompound, _xlpm.ProductIngredient4, _xlpm.calculatedAmount4, _xlpm.Source, _xlpm.ProductIngredientSource), 0) + IFERROR('Input - Freight'!Fertiliser_InputFunctions.Fertiliser_SumProductApplied(_xlpm.ChemicalCompound, _xlpm.ProductIngredient5, _xlpm.calculatedAmount5, _xlpm.Source, _xlpm.ProductIngredientSource), 0) + IFERROR('Input - Freight'!Fertiliser_InputFunctions.Fertiliser_SumProductApplied(_xlpm.ChemicalCompound,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Manure sent off-site'!Fertiliser_InputFunctions.Fertiliser_SumProductApplied(_xlpm.ChemicalCompound, _xlpm.ProductIngredient1, _xlpm.calculatedAmount1, _xlpm.Source, _xlpm.ProductIngredientSource) + IFERROR('Input - Manure sent off-site'!Fertiliser_InputFunctions.Fertiliser_SumProductApplied(_xlpm.ChemicalCompound, _xlpm.ProductIngredient2, _xlpm.calculatedAmount2, _xlpm.Source, _xlpm.ProductIngredientSource), 0) + IFERROR('Input - Manure sent off-site'!Fertiliser_InputFunctions.Fertiliser_SumProductApplied(_xlpm.ChemicalCompound, _xlpm.ProductIngredient3, _xlpm.calculatedAmount3, _xlpm.Source, _xlpm.ProductIngredientSource), 0) + IFERROR('Input - Manure sent off-site'!Fertiliser_InputFunctions.Fertiliser_SumProductApplied(_xlpm.ChemicalCompound, _xlpm.ProductIngredient4, _xlpm.calculatedAmount4, _xlpm.Source, _xlpm.ProductIngredientSource), 0) + IFERROR('Input - Manure sent off-site'!Fertiliser_InputFunctions.Fertiliser_SumProductApplied(_xlpm.ChemicalCompound, _xlpm.ProductIngredient5, _xlpm.calculatedAmount5, _xlpm.Source, _xlpm.ProductIngredientSource), 0) + IFERROR('Input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'Input - Pasture'!Fertiliser_InputFunctions.Fertiliser_SumProductApplied(
      _xlpm.ChemicalCompound,
      _xlpm.ProductIngredient1,
      _xlpm.calculatedAmount1,
      _xlpm.Source,
      _xlpm.ProductIngredientSource
    ) + IFERROR(
      'Input - Pasture'!Fertiliser_InputFunctions.Fertiliser_SumProductApplied(
        _xlpm.ChemicalCompound,
        _xlpm.ProductIngredient2,
        _xlpm.calculatedAmount2,
        _xlpm.Source,
        _xlpm.ProductIngredientSource
      ),
      0
    ) + IFERROR(
      'Input - Pasture'!Fertiliser_InputFunctions.Fertiliser_SumProductApplied(
        _xlpm.ChemicalCompound,
        _xlpm.ProductIngredient3,
        _xlpm.calculatedAmount3,
        _xlpm.Source,
        _xlpm.ProductIngredientSource
      ),
      0
    ) + IFERROR(
      'Input - Pasture'!Fertiliser_InputFunctions.Fertiliser_SumProductApplied(
        _xlpm.ChemicalCompound,
        _xlpm.ProductIngredient4,
        _xlpm.calculatedAmount4,
        _xlpm.Source,
        _xlpm.ProductIngredientSource
      ),
      0
    ) + IFERROR(
      'Input - Pasture'!Fertiliser_InputFunctions.Fertiliser_SumProductApplied(
        _xlpm.ChemicalCompound,
        _xlpm.ProductIngredient5,
        _xlpm.calculatedAmount5,
        _xlpm.Source,
        _xlpm.ProductIngredientSource
      ),
      0
    ) + IFERROR(
      'Input -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 localSheetId="27">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28">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35">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7">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13">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14">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15">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 localSheetId="27">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28">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35">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7">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13">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14">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15">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27">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28">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35">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7">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13">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14">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15">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27">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25">_xlfn.LAMBDA(_xlpm.Q_Transtq,_xlpm.EC_Transq,_xlpm.EF_Trans1tqg, [0]!Fuel_Equations.VEERG_8_FuelCombustion(_xlpm.Q_Transtq, _xlpm.EC_Transq, _xlpm.EF_Trans1tqg))</definedName>
    <definedName name="Fuel_Equations.VEERG_8_1_1_1__1_FuelCombustionTransport" localSheetId="28">_xlfn.LAMBDA(_xlpm.Q_Transtq,_xlpm.EC_Transq,_xlpm.EF_Trans1tqg, [0]!Fuel_Equations.VEERG_8_FuelCombustion(_xlpm.Q_Transtq, _xlpm.EC_Transq, _xlpm.EF_Trans1tqg))</definedName>
    <definedName name="Fuel_Equations.VEERG_8_1_1_1__1_FuelCombustionTransport" localSheetId="34">_xlfn.LAMBDA(_xlpm.Q_Transtq,_xlpm.EC_Transq,_xlpm.EF_Trans1tqg, [0]!Fuel_Equations.VEERG_8_FuelCombustion(_xlpm.Q_Transtq, _xlpm.EC_Transq, _xlpm.EF_Trans1tqg))</definedName>
    <definedName name="Fuel_Equations.VEERG_8_1_1_1__1_FuelCombustionTransport" localSheetId="35">_xlfn.LAMBDA(_xlpm.Q_Transtq,_xlpm.EC_Transq,_xlpm.EF_Trans1tqg, [0]!Fuel_Equations.VEERG_8_FuelCombustion(_xlpm.Q_Transtq, _xlpm.EC_Transq, _xlpm.EF_Trans1tqg))</definedName>
    <definedName name="Fuel_Equations.VEERG_8_1_1_1__1_FuelCombustionTransport" localSheetId="7">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15">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27">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25">_xlfn.LAMBDA(_xlpm.Q_SCq,_xlpm.EC_SCq,_xlpm.EF_SC1qg, [0]!Fuel_Equations.VEERG_8_FuelCombustion(_xlpm.Q_SCq, _xlpm.EC_SCq, _xlpm.EF_SC1qg))</definedName>
    <definedName name="Fuel_Equations.VEERG_8_2_1_1__1_FuelCombustionStationary" localSheetId="28">_xlfn.LAMBDA(_xlpm.Q_SCq,_xlpm.EC_SCq,_xlpm.EF_SC1qg, [0]!Fuel_Equations.VEERG_8_FuelCombustion(_xlpm.Q_SCq, _xlpm.EC_SCq, _xlpm.EF_SC1qg))</definedName>
    <definedName name="Fuel_Equations.VEERG_8_2_1_1__1_FuelCombustionStationary" localSheetId="34">_xlfn.LAMBDA(_xlpm.Q_SCq,_xlpm.EC_SCq,_xlpm.EF_SC1qg, [0]!Fuel_Equations.VEERG_8_FuelCombustion(_xlpm.Q_SCq, _xlpm.EC_SCq, _xlpm.EF_SC1qg))</definedName>
    <definedName name="Fuel_Equations.VEERG_8_2_1_1__1_FuelCombustionStationary" localSheetId="35">_xlfn.LAMBDA(_xlpm.Q_SCq,_xlpm.EC_SCq,_xlpm.EF_SC1qg, [0]!Fuel_Equations.VEERG_8_FuelCombustion(_xlpm.Q_SCq, _xlpm.EC_SCq, _xlpm.EF_SC1qg))</definedName>
    <definedName name="Fuel_Equations.VEERG_8_2_1_1__1_FuelCombustionStationary" localSheetId="7">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15">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27">_xlfn.LAMBDA(_xlpm.Cell, RIGHT(_xlpm.Cell, LEN(_xlpm.Cell) - FIND(", ", _xlpm.Cell)))</definedName>
    <definedName name="Fuel_InputFunctions.Fuel_GetStationaryFuelString" localSheetId="28">_xlfn.LAMBDA(_xlpm.Cell, RIGHT(_xlpm.Cell, LEN(_xlpm.Cell) - FIND(", ", _xlpm.Cell)))</definedName>
    <definedName name="Fuel_InputFunctions.Fuel_GetStationaryFuelString" localSheetId="35">_xlfn.LAMBDA(_xlpm.Cell, RIGHT(_xlpm.Cell, LEN(_xlpm.Cell) - FIND(", ", _xlpm.Cell)))</definedName>
    <definedName name="Fuel_InputFunctions.Fuel_GetStationaryFuelString" localSheetId="7">_xlfn.LAMBDA(_xlpm.Cell, RIGHT(_xlpm.Cell, LEN(_xlpm.Cell) - FIND(", ", _xlpm.Cell)))</definedName>
    <definedName name="Fuel_InputFunctions.Fuel_GetStationaryFuelString" localSheetId="13">_xlfn.LAMBDA(_xlpm.Cell, RIGHT(_xlpm.Cell, LEN(_xlpm.Cell) - FIND(", ", _xlpm.Cell)))</definedName>
    <definedName name="Fuel_InputFunctions.Fuel_GetStationaryFuelString" localSheetId="14">_xlfn.LAMBDA(_xlpm.Cell, RIGHT(_xlpm.Cell, LEN(_xlpm.Cell) - FIND(", ", _xlpm.Cell)))</definedName>
    <definedName name="Fuel_InputFunctions.Fuel_GetStationaryFuelString" localSheetId="15">_xlfn.LAMBDA(_xlpm.Cell, RIGHT(_xlpm.Cell, LEN(_xlpm.Cell) - FIND(", ", _xlpm.Cell)))</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 localSheetId="47">'3.3.1.1-2 Enteric Methane'!$D$164:$H$165</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 localSheetId="47">'3.3.1.1-2 Enteric Methane'!$D$18:$H$19</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DPW_j35">'3.3.1.1-2 Enteric Methane'!$D$169:$H$170</definedName>
    <definedName name="M1_Table_E_CH4">'4.3.1.1-2 Methane'!$O$289:$U$298</definedName>
    <definedName name="M1_Table_E_CH4_Consumer_1">'4.3.1.1-2 Methane'!$D$289:$J$298</definedName>
    <definedName name="M1_Table_E_CO2">'5.1.1.3-4 Inorganic fert CO2'!$D$57:$E$76</definedName>
    <definedName name="M1_Table_E_enteric">'3.3.1.1-2 Enteric Methane'!$M$179:$Q$180</definedName>
    <definedName name="M1_Table_E_enteric_Consumer_1">'3.3.1.1-2 Enteric Methane'!$D$179:$H$180</definedName>
    <definedName name="M1_Table_E_N2O" localSheetId="23">'6.3.1.1-2 Leach runoff pasture'!$N$44:$O$46</definedName>
    <definedName name="M1_Table_E_N2O">'5.1.1.1-2 Inorganic fert N2O'!$D$59:$E$78</definedName>
    <definedName name="M1_Table_E_N2O_Consumer_1" localSheetId="23">'6.3.1.1-2 Leach runoff pasture'!$D$44:$E$46</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 localSheetId="47">'3.3.1.1-2 Enteric Methane'!$D$114:$H$115</definedName>
    <definedName name="M1_Table_I_j">'4.3.1.1-2 Methane'!$D$113:$H$114</definedName>
    <definedName name="M1_Table_I_j_Consumer_1">'4.3.1.3-4 Direct N20'!$D$49:$H$50</definedName>
    <definedName name="M1_Table_L_j">'4.3.1.3-4 Direct N20'!$D$64:$H$65</definedName>
    <definedName name="M1_Table_LWG_j" localSheetId="47">'3.3.1.1-2 Enteric Methane'!$D$104:$H$105</definedName>
    <definedName name="M1_Table_LWG_j">'4.3.1.3-4 Direct N20'!$D$97:$H$98</definedName>
    <definedName name="M1_Table_LWG_j_Consumer_1">'4.3.1.1-2 Methane'!$D$103:$H$104</definedName>
    <definedName name="M1_Table_M_j">'3.3.1.1-2 Enteric Methane'!$D$131:$H$132</definedName>
    <definedName name="M1_Table_M_leach_cp" localSheetId="23">'6.3.1.1-2 Leach runoff pasture'!$D$23:$I$25</definedName>
    <definedName name="M1_Table_M_leach_M14">'4.3.1.12-13 Soil leach runoff'!$D$27:$J$28</definedName>
    <definedName name="M1_Table_M_vol_m14">'4.3.1.10-11 Soil Atmos Dep'!$D$23:$J$24</definedName>
    <definedName name="M1_Table_MI_j" localSheetId="47">'3.3.1.1-2 Enteric Methane'!$D$79:$H$80</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 localSheetId="47">'3.3.1.1-2 Enteric Methane'!$D$49:$H$50</definedName>
    <definedName name="M1_Table_MP_j_from_solids">'4.3.1.1-2 Methane'!$D$49:$H$50</definedName>
    <definedName name="M1_Table_MP_j_from_solids_Consumer_1">'4.3.1.3-4 Direct N20'!$D$87:$H$88</definedName>
    <definedName name="M1_Table_MPW_j35">'3.3.1.1-2 Enteric Methane'!$D$174:$E$175</definedName>
    <definedName name="M1_Table_MS_j" localSheetId="47">'3.3.1.1-2 Enteric Methane'!$D$44:$H$45</definedName>
    <definedName name="M1_Table_MS_j">'4.3.1.1-2 Methane'!$D$44:$H$45</definedName>
    <definedName name="M1_Table_NE_j">'4.3.1.3-4 Direct N20'!$D$145:$H$146</definedName>
    <definedName name="M1_Table_NR_j">'4.3.1.3-4 Direct N20'!$D$102:$H$103</definedName>
    <definedName name="M1_Table_qm_j" localSheetId="47">'3.3.1.1-2 Enteric Methane'!$D$23:$H$24</definedName>
    <definedName name="M1_Table_qm_j">'4.3.1.1-2 Methane'!$D$23:$H$24</definedName>
    <definedName name="M1_Table_SS_m">'4.3.1.1-2 Methane'!$D$161:$F$168</definedName>
    <definedName name="M1_Table_VS_j">'4.3.1.1-2 Methane'!$D$132:$H$133</definedName>
    <definedName name="M1_Table_W_j" localSheetId="47">'3.3.1.1-2 Enteric Methane'!$D$99:$H$100</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 localSheetId="47">'3.3.1.1-2 Enteric Methane'!$M$164:$Q$165</definedName>
    <definedName name="M2_Table_D_j">'4.3.1.1-2 Methane'!$O$274:$S$275</definedName>
    <definedName name="M2_Table_D_j124">'4.3.1.3-4 Direct N20'!$N$170:$R$171</definedName>
    <definedName name="M2_Table_DMD_j" localSheetId="47">'3.3.1.1-2 Enteric Methane'!$M$18:$Q$19</definedName>
    <definedName name="M2_Table_DMD_j">'4.3.1.1-2 Methane'!$O$18:$S$19</definedName>
    <definedName name="M2_Table_DPW_j">'3.3.1.1-2 Enteric Methane'!$M$169:$Q$170</definedName>
    <definedName name="M2_Table_E_N2O_dir">'4.3.1.3-4 Direct N20'!$N$277:$T$285</definedName>
    <definedName name="M2_Table_E_N2O_dir_Consumer_1">'4.3.1.9 Soil direct N2O'!$O$50:$U$51</definedName>
    <definedName name="M2_Table_EF_N2O_leach">'4.3.1.6-7 Leaching and runoff'!$O$48:$U$50</definedName>
    <definedName name="M2_Table_FertApplications">'5.1.1.1-2 Inorganic fert N2O'!$M$44:$W$54</definedName>
    <definedName name="M2_Table_FVS_j_m4">'4.3.1.1-2 Methane'!$O$204:$U$206</definedName>
    <definedName name="M2_Table_I_j" localSheetId="47">'3.3.1.1-2 Enteric Methane'!$M$114:$Q$115</definedName>
    <definedName name="M2_Table_I_j">'4.3.1.1-2 Methane'!$O$113:$S$114</definedName>
    <definedName name="M2_Table_I_j_Consumer_1">'4.3.1.3-4 Direct N20'!$N$49:$R$50</definedName>
    <definedName name="M2_Table_L_j">'4.3.1.3-4 Direct N20'!$N$64:$R$65</definedName>
    <definedName name="M2_Table_LWG_j" localSheetId="47">'3.3.1.1-2 Enteric Methane'!$M$104:$Q$105</definedName>
    <definedName name="M2_Table_LWG_j">'4.3.1.3-4 Direct N20'!$N$97:$R$98</definedName>
    <definedName name="M2_Table_LWG_j_Consumer_1">'4.3.1.1-2 Methane'!$O$103:$S$104</definedName>
    <definedName name="M2_Table_M_j">'3.3.1.1-2 Enteric Methane'!$M$131:$Q$132</definedName>
    <definedName name="M2_Table_M_leach_cp" localSheetId="23">'6.3.1.1-2 Leach runoff pasture'!$N$23:$S$23</definedName>
    <definedName name="M2_Table_M_leach_M14">'4.3.1.12-13 Soil leach runoff'!$O$27:$U$28</definedName>
    <definedName name="M2_Table_M_vol_m14">'4.3.1.10-11 Soil Atmos Dep'!$O$23:$U$24</definedName>
    <definedName name="M2_Table_MI_j" localSheetId="47">'3.3.1.1-2 Enteric Methane'!$M$79:$Q$80</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 localSheetId="47">'3.3.1.1-2 Enteric Methane'!$M$49:$Q$50</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 localSheetId="47">'3.3.1.1-2 Enteric Methane'!$M$23:$Q$24</definedName>
    <definedName name="M2_Table_qm_j">'4.3.1.1-2 Methane'!$O$23:$S$24</definedName>
    <definedName name="M2_Table_SS_m">'4.3.1.1-2 Methane'!$O$161:$Q$168</definedName>
    <definedName name="M2_Table_VS_j">'4.3.1.1-2 Methane'!$O$132:$S$133</definedName>
    <definedName name="M2_Table_W_j" localSheetId="47">'3.3.1.1-2 Enteric Methane'!$M$99:$Q$100</definedName>
    <definedName name="M2_Table_W_j">'4.3.1.3-4 Direct N20'!$N$18:$R$19</definedName>
    <definedName name="M2_Table_W_j_Consumer_1">'4.3.1.1-2 Methane'!$O$98:$S$99</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 localSheetId="27">_xlfn.LAMBDA(_xlpm.MP_j,_xlpm.L_j,_xlpm.Z_j,_xlpm.LWG_j,
    (((0.032 * _xlpm.MP_j * 1.03) / 6.38) + ((0.212 - 0.008 * (_xlpm.L_j - 2) - ((0.14 - 0.008 * (_xlpm.L_j - 2)) / (1 + EXP(-6 * (_xlpm.Z_j - 0.4))))) * (_xlpm.LWG_j * 0.92))) * (1 / 6.25)
  )</definedName>
    <definedName name="MMS_Dairy_N2ODirect_Equations.VEERG_4_3_1_3__6_NitrogenRetainedByBody" localSheetId="28">_xlfn.LAMBDA(_xlpm.MP_j,_xlpm.L_j,_xlpm.Z_j,_xlpm.LWG_j,
    (((0.032 * _xlpm.MP_j * 1.03) / 6.38) + ((0.212 - 0.008 * (_xlpm.L_j - 2) - ((0.14 - 0.008 * (_xlpm.L_j - 2)) / (1 + EXP(-6 * (_xlpm.Z_j - 0.4))))) * (_xlpm.LWG_j * 0.92))) * (1 / 6.25)
  )</definedName>
    <definedName name="MMS_Dairy_N2ODirect_Equations.VEERG_4_3_1_3__6_NitrogenRetainedByBody" localSheetId="35">_xlfn.LAMBDA(_xlpm.MP_j,_xlpm.L_j,_xlpm.Z_j,_xlpm.LWG_j,
    (((0.032 * _xlpm.MP_j * 1.03) / 6.38) + ((0.212 - 0.008 * (_xlpm.L_j - 2) - ((0.14 - 0.008 * (_xlpm.L_j - 2)) / (1 + EXP(-6 * (_xlpm.Z_j - 0.4))))) * (_xlpm.LWG_j * 0.92))) * (1 / 6.25)
  )</definedName>
    <definedName name="MMS_Dairy_N2ODirect_Equations.VEERG_4_3_1_3__6_NitrogenRetainedByBody" localSheetId="7">_xlfn.LAMBDA(_xlpm.MP_j,_xlpm.L_j,_xlpm.Z_j,_xlpm.LWG_j,
    (((0.032 * _xlpm.MP_j * 1.03) / 6.38) + ((0.212 - 0.008 * (_xlpm.L_j - 2) - ((0.14 - 0.008 * (_xlpm.L_j - 2)) / (1 + EXP(-6 * (_xlpm.Z_j - 0.4))))) * (_xlpm.LWG_j * 0.92))) * (1 / 6.25)
  )</definedName>
    <definedName name="MMS_Dairy_N2ODirect_Equations.VEERG_4_3_1_3__6_NitrogenRetainedByBody" localSheetId="13">_xlfn.LAMBDA(_xlpm.MP_j,_xlpm.L_j,_xlpm.Z_j,_xlpm.LWG_j,
    (((0.032 * _xlpm.MP_j * 1.03) / 6.38) + ((0.212 - 0.008 * (_xlpm.L_j - 2) - ((0.14 - 0.008 * (_xlpm.L_j - 2)) / (1 + EXP(-6 * (_xlpm.Z_j - 0.4))))) * (_xlpm.LWG_j * 0.92))) * (1 / 6.25)
  )</definedName>
    <definedName name="MMS_Dairy_N2ODirect_Equations.VEERG_4_3_1_3__6_NitrogenRetainedByBody" localSheetId="14">_xlfn.LAMBDA(_xlpm.MP_j,_xlpm.L_j,_xlpm.Z_j,_xlpm.LWG_j,
    (((0.032 * _xlpm.MP_j * 1.03) / 6.38) + ((0.212 - 0.008 * (_xlpm.L_j - 2) - ((0.14 - 0.008 * (_xlpm.L_j - 2)) / (1 + EXP(-6 * (_xlpm.Z_j - 0.4))))) * (_xlpm.LWG_j * 0.92))) * (1 / 6.25)
  )</definedName>
    <definedName name="MMS_Dairy_N2ODirect_Equations.VEERG_4_3_1_3__6_NitrogenRetainedByBody" localSheetId="15">_xlfn.LAMBDA(_xlpm.MP_j,_xlpm.L_j,_xlpm.Z_j,_xlpm.LWG_j,
    (((0.032 * _xlpm.MP_j * 1.03) / 6.38) + ((0.212 - 0.008 * (_xlpm.L_j - 2) - ((0.14 - 0.008 * (_xlpm.L_j - 2)) / (1 + EXP(-6 * (_xlpm.Z_j - 0.4))))) * (_xlpm.LWG_j * 0.92))) * (1 / 6.25)
  )</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Results!$E$56</definedName>
    <definedName name="Result_EmissionsForWholeProductionCycle_Method1">Results!$E$45</definedName>
    <definedName name="Result_EmissionsForWholeProductionCycle_Method2">Results!$F$45</definedName>
    <definedName name="Result_Enterprise_Method1">Results!$H$31</definedName>
    <definedName name="Result_Enterprise_Method2">Results!$I$31</definedName>
    <definedName name="Result_NetEmissions_Method1">Results!$E$62</definedName>
    <definedName name="Result_NetEmissions_Method2">Results!$F$62</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27">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28">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35">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7">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3">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4">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5">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27">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28">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35">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7">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3">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4">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5">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 localSheetId="27">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28">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35">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7">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3">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4">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5">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 localSheetId="27">_xlfn.LAMBDA(_xlpm.E_N2O,_xlpm.E_ad,_xlpm.E_leach, _xlpm.E_N2O + _xlpm.E_ad + _xlpm.E_leach)</definedName>
    <definedName name="Scope3_Equations.VEERG_15_13_1_3__1_EmissionsFromSolidWasteTreatmentFacility" localSheetId="28">_xlfn.LAMBDA(_xlpm.E_N2O,_xlpm.E_ad,_xlpm.E_leach, _xlpm.E_N2O + _xlpm.E_ad + _xlpm.E_leach)</definedName>
    <definedName name="Scope3_Equations.VEERG_15_13_1_3__1_EmissionsFromSolidWasteTreatmentFacility" localSheetId="35">_xlfn.LAMBDA(_xlpm.E_N2O,_xlpm.E_ad,_xlpm.E_leach, _xlpm.E_N2O + _xlpm.E_ad + _xlpm.E_leach)</definedName>
    <definedName name="Scope3_Equations.VEERG_15_13_1_3__1_EmissionsFromSolidWasteTreatmentFacility" localSheetId="7">_xlfn.LAMBDA(_xlpm.E_N2O,_xlpm.E_ad,_xlpm.E_leach, _xlpm.E_N2O + _xlpm.E_ad + _xlpm.E_leach)</definedName>
    <definedName name="Scope3_Equations.VEERG_15_13_1_3__1_EmissionsFromSolidWasteTreatmentFacility" localSheetId="13">_xlfn.LAMBDA(_xlpm.E_N2O,_xlpm.E_ad,_xlpm.E_leach, _xlpm.E_N2O + _xlpm.E_ad + _xlpm.E_leach)</definedName>
    <definedName name="Scope3_Equations.VEERG_15_13_1_3__1_EmissionsFromSolidWasteTreatmentFacility" localSheetId="14">_xlfn.LAMBDA(_xlpm.E_N2O,_xlpm.E_ad,_xlpm.E_leach, _xlpm.E_N2O + _xlpm.E_ad + _xlpm.E_leach)</definedName>
    <definedName name="Scope3_Equations.VEERG_15_13_1_3__1_EmissionsFromSolidWasteTreatmentFacility" localSheetId="15">_xlfn.LAMBDA(_xlpm.E_N2O,_xlpm.E_ad,_xlpm.E_leach, _xlpm.E_N2O + _xlpm.E_ad + _xlpm.E_leach)</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 localSheetId="47">'Constants - Dairy'!$D$221</definedName>
    <definedName name="SourceData_Dairy_FatContentInMilk_Data" localSheetId="5">'Constants - Dairy'!$D$221</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 localSheetId="47">'Constants - Dairy'!$D$227</definedName>
    <definedName name="SourceData_Dairy_ProteinContentInMilk_Data" localSheetId="5">'Constants - Dairy'!$D$227</definedName>
    <definedName name="SourceData_Dairy_ProteinContentInMilk_Data">'Constants - Dairy'!$D$233</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P_j" localSheetId="47">'3.3.1.1-2 Enteric Methane'!$D$74:$H$75</definedName>
    <definedName name="Table_MP_j">'4.3.1.3-4 Direct N20'!$D$92:$H$93</definedName>
    <definedName name="Table_MP_j_Consumer_1">'4.3.1.1-2 Methane'!$D$73:$H$74</definedName>
    <definedName name="Table_MPW_manure_j35">'4.3.1.1-2 Methane'!$D$279:$H$280</definedName>
    <definedName name="Table_MR_j" localSheetId="47">'3.3.1.1-2 Enteric Methane'!$D$109:$H$110</definedName>
    <definedName name="Table_MR_j">'4.3.1.3-4 Direct N20'!$D$54:$H$55</definedName>
    <definedName name="Table_MR_j_Consumer_1">'4.3.1.1-2 Methane'!$D$108:$H$109</definedName>
    <definedName name="Table_MU_j_f">'5.1.1.3-4 Inorganic fert CO2'!$D$18:$G$37</definedName>
    <definedName name="Table_N_j" localSheetId="47">'3.3.1.1-2 Enteric Methane'!$D$159:$H$160</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V_w_t_offsite">'10.1.1-2 Solid waste treatment'!$D$58:$E$92</definedName>
    <definedName name="Table_V_w_t_onsite">'10.1.1-2 Solid waste treatment'!$D$20:$E$54</definedName>
    <definedName name="Table_WR_j">'4.3.1.3-4 Direct N20'!$D$23:$H$24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1_AnnualEmissionsFromLeachingAndRunoffFromMMS_Result_Method1">'4.3.1.6-7 Leaching and runoff'!$E$52</definedName>
    <definedName name="VEERG_4_3_1_6__1_AnnualEmissionsFromLeachingAndRunoffFromMMS_Result_Method2">'4.3.1.6-7 Leaching and runoff'!$P$52</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 localSheetId="27">'Calcs - Manure sent off-site'!$E$55</definedName>
    <definedName name="VEERG_5_4_1_3__1_OrganicFertiliserAtmosphericDepositionN2OEmissions_Result_Method1" localSheetId="28">'Calcs - Manure sent off-site'!$E$55</definedName>
    <definedName name="VEERG_5_4_1_3__1_OrganicFertiliserAtmosphericDepositionN2OEmissions_Result_Method1" localSheetId="35">'Calcs - Manure sent off-site'!$E$55</definedName>
    <definedName name="VEERG_5_4_1_3__1_OrganicFertiliserAtmosphericDepositionN2OEmissions_Result_Method1" localSheetId="7">'Calcs - Manure sent off-site'!$E$55</definedName>
    <definedName name="VEERG_5_4_1_3__1_OrganicFertiliserAtmosphericDepositionN2OEmissions_Result_Method1" localSheetId="13">'Calcs - Manure sent off-site'!$E$55</definedName>
    <definedName name="VEERG_5_4_1_3__1_OrganicFertiliserAtmosphericDepositionN2OEmissions_Result_Method1" localSheetId="14">'Calcs - Manure sent off-site'!$E$55</definedName>
    <definedName name="VEERG_5_4_1_3__1_OrganicFertiliserAtmosphericDepositionN2OEmissions_Result_Method1" localSheetId="15">'Calcs - Manure sent off-site'!$E$55</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 localSheetId="27">'Calcs - Manure sent off-site'!$E$90</definedName>
    <definedName name="VEERG_5_5_1_1__1_FertiliserLeachingAndRunoffN2OEmissions_Result_Method1" localSheetId="28">'Calcs - Manure sent off-site'!$E$90</definedName>
    <definedName name="VEERG_5_5_1_1__1_FertiliserLeachingAndRunoffN2OEmissions_Result_Method1" localSheetId="35">'Calcs - Manure sent off-site'!$E$90</definedName>
    <definedName name="VEERG_5_5_1_1__1_FertiliserLeachingAndRunoffN2OEmissions_Result_Method1" localSheetId="7">'Calcs - Manure sent off-site'!$E$90</definedName>
    <definedName name="VEERG_5_5_1_1__1_FertiliserLeachingAndRunoffN2OEmissions_Result_Method1" localSheetId="13">'Calcs - Manure sent off-site'!$E$90</definedName>
    <definedName name="VEERG_5_5_1_1__1_FertiliserLeachingAndRunoffN2OEmissions_Result_Method1" localSheetId="14">'Calcs - Manure sent off-site'!$E$90</definedName>
    <definedName name="VEERG_5_5_1_1__1_FertiliserLeachingAndRunoffN2OEmissions_Result_Method1" localSheetId="15">'Calcs - Manure sent off-site'!$E$90</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23">'6.3.1.1-2 Leach runoff pasture'!$E$48</definedName>
    <definedName name="VEERG_6_3_1_1__1__LeachingAndRunoffEmissionsCropAndPastureResidue_Result_Method2" localSheetId="23">'6.3.1.1-2 Leach runoff pasture'!$O$48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Dairy_Breed" localSheetId="5">'Input - Dairy (Enteric)'!$E$7</definedName>
    <definedName name="X_Cell_Dairy_Breed">'Input - Dairy'!$E$7</definedName>
    <definedName name="X_Cell_Dairy_ManureAppliedIrrigationMethod">'Input - Dairy'!$E$124</definedName>
    <definedName name="X_Cell_Dairy_ManureAppliedProductionSystem">'Input - Dairy'!$E$123</definedName>
    <definedName name="X_Cell_Dairy_MilkProductionAmount" localSheetId="5">'Input - Dairy (Enteric)'!$E$50</definedName>
    <definedName name="X_Cell_Dairy_MilkProductionAmount">'Input - Dairy'!$E$50</definedName>
    <definedName name="X_Cell_Dairy_MilkProductionUnit" localSheetId="5">'Input - Dairy (Enteric)'!$E$47</definedName>
    <definedName name="X_Cell_Dairy_MilkProductionUnit">'Input - Dairy'!$E$47</definedName>
    <definedName name="X_Cell_Dairy_MilkSolidsFatContent_Method1">'Input - Dairy'!$E$53</definedName>
    <definedName name="X_Cell_Dairy_MilkSolidsFatContent_Method2">'Input - Dairy'!$F$53</definedName>
    <definedName name="X_Cell_Dairy_MilkSolidsProteinContent_Method1">'Input - Dairy'!$E$54</definedName>
    <definedName name="X_Cell_Dairy_MilkSolidsProteinContent_Method2">'Input - Dairy'!$F$54</definedName>
    <definedName name="X_Cell_Dairy_ProductionSystemTemplate">'Input - Dairy'!$E$60</definedName>
    <definedName name="X_Cell_Dairy_Stage1MMS_1_AnaerobicLagoon_AmountSeparated_Method1">'Input - Dairy'!$E$81</definedName>
    <definedName name="X_Cell_Dairy_Stage1MMS_1_AnaerobicLagoon_AmountSeparated_Method2">'Input - Dairy'!$E$82</definedName>
    <definedName name="X_Cell_Dairy_Stage1MMS_1_AnaerobicLagoon_SolidsSeparated">'Input - Dairy'!$E$80</definedName>
    <definedName name="X_Cell_Dairy_Stage1MMS_1_DrainsToPaddock_AmountSeparated_Method1">'Input - Dairy'!$E$91</definedName>
    <definedName name="X_Cell_Dairy_Stage1MMS_1_DrainsToPaddock_AmountSeparated_Method2">'Input - Dairy'!$E$92</definedName>
    <definedName name="X_Cell_Dairy_Stage1MMS_1_DrainsToPaddock_SolidsSeparated">'Input - Dairy'!$E$90</definedName>
    <definedName name="X_Cell_Dairy_Stage1MMS_1_SumpAndDispersal_AmountSeparated_Method1">'Input - Dairy'!$E$86</definedName>
    <definedName name="X_Cell_Dairy_Stage1MMS_1_SumpAndDispersal_AmountSeparated_Method2">'Input - Dairy'!$E$87</definedName>
    <definedName name="X_Cell_Dairy_Stage1MMS_1_SumpAndDispersal_SolidsSeparated">'Input - Dairy'!$E$85</definedName>
    <definedName name="X_Cell_Dairy_Stage1MMS_2_AnaerobicLagoon_AmountSeparated_Method1">'Input - Dairy'!$E$105</definedName>
    <definedName name="X_Cell_Dairy_Stage1MMS_2_AnaerobicLagoon_AmountSeparated_Method2">'Input - Dairy'!$E$106</definedName>
    <definedName name="X_Cell_Dairy_Stage1MMS_2_AnaerobicLagoon_SolidsSeparated">'Input - Dairy'!$E$104</definedName>
    <definedName name="X_Cell_Dairy_Stage1MMS_2_DrainsToPaddock_AmountSeparated_Method1">'Input - Dairy'!$E$115</definedName>
    <definedName name="X_Cell_Dairy_Stage1MMS_2_DrainsToPaddock_AmountSeparated_Method2">'Input - Dairy'!$E$116</definedName>
    <definedName name="X_Cell_Dairy_Stage1MMS_2_DrainsToPaddock_SolidsSeparated">'Input - Dairy'!$E$114</definedName>
    <definedName name="X_Cell_Dairy_Stage1MMS_2_SumpAndDispersal_AmountSeparated_Method1">'Input - Dairy'!$E$110</definedName>
    <definedName name="X_Cell_Dairy_Stage1MMS_2_SumpAndDispersal_AmountSeparated_Method2">'Input - Dairy'!$E$111</definedName>
    <definedName name="X_Cell_Dairy_Stage1MMS_2_SumpAndDispersal_SolidsSeparated">'Input - Dairy'!$E$109</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PercentIncomeFromGrain">'Input - Enterprise'!$E$32</definedName>
    <definedName name="X_Cell_Enterprise_ProductionTimeframeEnd">'Input - Enterprise'!$E$19</definedName>
    <definedName name="X_Cell_Enterprise_ProductionTimeframeStart">'Input - Enterprise'!$E$18</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Dairy_Diet_Method1" localSheetId="5">'Input - Dairy (Enteric)'!$D$35:$I$37</definedName>
    <definedName name="X_Table_Dairy_Diet_Method1">'Input - Dairy'!$D$35:$I$37</definedName>
    <definedName name="X_Table_Dairy_Diet_Method2" localSheetId="5">'Input - Dairy (Enteric)'!$D$39:$I$41</definedName>
    <definedName name="X_Table_Dairy_Diet_Method2">'Input - Dairy'!$D$39:$I$41</definedName>
    <definedName name="X_Table_Dairy_DurationOfStay_Method1" localSheetId="5">'Input - Dairy (Enteric)'!$D$23:$I$25</definedName>
    <definedName name="X_Table_Dairy_DurationOfStay_Method1">'Input - Dairy'!$D$23:$I$25</definedName>
    <definedName name="X_Table_Dairy_DurationOfStay_Method2" localSheetId="5">'Input - Dairy (Enteric)'!$D$27:$I$29</definedName>
    <definedName name="X_Table_Dairy_DurationOfStay_Method2">'Input - Dairy'!$D$27:$I$29</definedName>
    <definedName name="X_Table_Dairy_HerdMovement" localSheetId="5">'Input - Dairy (Enteric)'!$D$9:$I$10</definedName>
    <definedName name="X_Table_Dairy_HerdMovement">'Input - Dairy'!$D$9:$I$10</definedName>
    <definedName name="X_Table_Dairy_Liveweight_Method1" localSheetId="5">'Input - Dairy (Enteric)'!$D$13:$I$15</definedName>
    <definedName name="X_Table_Dairy_Liveweight_Method1">'Input - Dairy'!$D$13:$I$15</definedName>
    <definedName name="X_Table_Dairy_Liveweight_Method2" localSheetId="5">'Input - Dairy (Enteric)'!$D$17:$I$19</definedName>
    <definedName name="X_Table_Dairy_Liveweight_Method2">'Input - Dairy'!$D$17:$I$19</definedName>
    <definedName name="X_Table_Dairy_MilkSolidAttributes" localSheetId="5">'Input - Dairy (Enteric)'!$D$52:$F$54</definedName>
    <definedName name="X_Table_Dairy_MilkSolidAttributes">'Input - Dairy'!$D$52:$F$54</definedName>
    <definedName name="X_Table_Dairy_ProductionSystems_Method1">'Input - Dairy'!$D$62:$I$65</definedName>
    <definedName name="X_Table_Dairy_ProductionSystems_Method2">'Input - Dairy'!$D$67:$I$70</definedName>
    <definedName name="X_Table_Dairy_Stage1MMS_1_AnaerobicLagoon">'Input - Dairy'!$D$78:$I$79</definedName>
    <definedName name="X_Table_Dairy_Stage1MMS_1_AnaerobicLagoon_Destinations">'Input - Dairy'!$K$78:$N$79</definedName>
    <definedName name="X_Table_Dairy_Stage1MMS_1_DrainsToPaddock">'Input - Dairy'!$D$88:$I$89</definedName>
    <definedName name="X_Table_Dairy_Stage1MMS_1_DrainsToPaddock_Destinations">'Input - Dairy'!$K$88:$N$89</definedName>
    <definedName name="X_Table_Dairy_Stage1MMS_1_SolidStorage">'Input - Dairy'!$D$93:$I$94</definedName>
    <definedName name="X_Table_Dairy_Stage1MMS_1_SolidStorage_Destinations">'Input - Dairy'!$K$93:$N$94</definedName>
    <definedName name="X_Table_Dairy_Stage1MMS_1_SumpAndDispersal">'Input - Dairy'!$D$83:$I$84</definedName>
    <definedName name="X_Table_Dairy_Stage1MMS_1_SumpAndDispersal_Destinations">'Input - Dairy'!$K$83:$N$84</definedName>
    <definedName name="X_Table_Dairy_Stage1MMS_2_AnaerobicLagoon">'Input - Dairy'!$D$102:$I$103</definedName>
    <definedName name="X_Table_Dairy_Stage1MMS_2_AnaerobicLagoon_Destinations">'Input - Dairy'!$K$102:$N$103</definedName>
    <definedName name="X_Table_Dairy_Stage1MMS_2_DrainsToPaddock">'Input - Dairy'!$D$112:$I$113</definedName>
    <definedName name="X_Table_Dairy_Stage1MMS_2_DrainsToPaddock_Destinations">'Input - Dairy'!$K$112:$N$113</definedName>
    <definedName name="X_Table_Dairy_Stage1MMS_2_SolidStorage">'Input - Dairy'!$D$117:$I$118</definedName>
    <definedName name="X_Table_Dairy_Stage1MMS_2_SolidStorage_Destinations">'Input - Dairy'!$K$117:$N$118</definedName>
    <definedName name="X_Table_Dairy_Stage1MMS_2_SumpAndDispersal">'Input - Dairy'!$D$107:$I$108</definedName>
    <definedName name="X_Table_Dairy_Stage1MMS_2_SumpAndDispersal_Destinations">'Input - Dairy'!$K$107:$N$108</definedName>
    <definedName name="X_Table_Result_ActivityPeriodEmissions_RowsToCols">Results!$D$39:$F$44</definedName>
    <definedName name="X_Table_Result_CarbonRemovalsFromPlantings_RowsToCols">Results!$D$50:$E$55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13" l="1"/>
  <c r="E55" i="13"/>
  <c r="E54" i="13"/>
  <c r="E53" i="13"/>
  <c r="E52" i="13"/>
  <c r="E51" i="13"/>
  <c r="F44" i="13"/>
  <c r="E44" i="13"/>
  <c r="F43" i="13"/>
  <c r="E43" i="13"/>
  <c r="F42" i="13"/>
  <c r="E42" i="13"/>
  <c r="F40" i="13"/>
  <c r="E40" i="13"/>
  <c r="A63" i="78"/>
  <c r="A62" i="78"/>
  <c r="A61" i="78"/>
  <c r="A60" i="78"/>
  <c r="A59" i="78"/>
  <c r="A58" i="78"/>
  <c r="A57" i="78"/>
  <c r="A56" i="78"/>
  <c r="A55" i="78"/>
  <c r="A54" i="78"/>
  <c r="A50" i="78"/>
  <c r="A49" i="78"/>
  <c r="A48" i="78"/>
  <c r="A47" i="78"/>
  <c r="A46" i="78"/>
  <c r="A45" i="78"/>
  <c r="A44" i="78"/>
  <c r="A43" i="78"/>
  <c r="A42" i="78"/>
  <c r="A41" i="78"/>
  <c r="A40" i="78"/>
  <c r="A39" i="78"/>
  <c r="A38" i="78"/>
  <c r="A37" i="78"/>
  <c r="A36" i="78"/>
  <c r="A35" i="78"/>
  <c r="A34" i="78"/>
  <c r="A33" i="78"/>
  <c r="A32" i="78"/>
  <c r="A31" i="78"/>
  <c r="A30" i="78"/>
  <c r="A29" i="78"/>
  <c r="A28" i="78"/>
  <c r="A24" i="78"/>
  <c r="A23" i="78"/>
  <c r="A22" i="78"/>
  <c r="A21" i="78"/>
  <c r="A20" i="78"/>
  <c r="A19" i="78"/>
  <c r="A18" i="78"/>
  <c r="A17" i="78"/>
  <c r="A16" i="78"/>
  <c r="A15" i="78"/>
  <c r="A14" i="78"/>
  <c r="A13" i="78"/>
  <c r="A12" i="78"/>
  <c r="A11" i="78"/>
  <c r="A10" i="78"/>
  <c r="A9" i="78"/>
  <c r="A5" i="78"/>
  <c r="A4" i="78"/>
  <c r="A3" i="78"/>
  <c r="A63" i="121"/>
  <c r="A62" i="121"/>
  <c r="A61" i="121"/>
  <c r="A60" i="121"/>
  <c r="A59" i="121"/>
  <c r="A58" i="121"/>
  <c r="A57" i="121"/>
  <c r="A56" i="121"/>
  <c r="A55" i="121"/>
  <c r="A54" i="121"/>
  <c r="A50" i="121"/>
  <c r="A49" i="121"/>
  <c r="A48" i="121"/>
  <c r="A47" i="121"/>
  <c r="A46" i="121"/>
  <c r="A45" i="121"/>
  <c r="A44" i="121"/>
  <c r="A43" i="121"/>
  <c r="A42" i="121"/>
  <c r="A41" i="121"/>
  <c r="A40" i="121"/>
  <c r="A39" i="121"/>
  <c r="A38" i="121"/>
  <c r="A37" i="121"/>
  <c r="A36" i="121"/>
  <c r="A35" i="121"/>
  <c r="A34" i="121"/>
  <c r="A33" i="121"/>
  <c r="A32" i="121"/>
  <c r="A31" i="121"/>
  <c r="A30" i="121"/>
  <c r="A29" i="121"/>
  <c r="A28" i="121"/>
  <c r="A24" i="121"/>
  <c r="A23" i="121"/>
  <c r="A22" i="121"/>
  <c r="A21" i="121"/>
  <c r="A20" i="121"/>
  <c r="A19" i="121"/>
  <c r="A18" i="121"/>
  <c r="A17" i="121"/>
  <c r="A16" i="121"/>
  <c r="A15" i="121"/>
  <c r="A14" i="121"/>
  <c r="A13" i="121"/>
  <c r="A12" i="121"/>
  <c r="A11" i="121"/>
  <c r="A10" i="121"/>
  <c r="A9" i="121"/>
  <c r="A5" i="121"/>
  <c r="A4" i="121"/>
  <c r="A3" i="121"/>
  <c r="A63" i="108"/>
  <c r="A62" i="108"/>
  <c r="A61" i="108"/>
  <c r="A60" i="108"/>
  <c r="A59" i="108"/>
  <c r="A58" i="108"/>
  <c r="A57" i="108"/>
  <c r="A56" i="108"/>
  <c r="A55" i="108"/>
  <c r="A54" i="108"/>
  <c r="A50" i="108"/>
  <c r="A49" i="108"/>
  <c r="A48" i="108"/>
  <c r="A47" i="108"/>
  <c r="A46" i="108"/>
  <c r="A45" i="108"/>
  <c r="A44" i="108"/>
  <c r="A43" i="108"/>
  <c r="A42" i="108"/>
  <c r="A41" i="108"/>
  <c r="A40" i="108"/>
  <c r="A39" i="108"/>
  <c r="A38" i="108"/>
  <c r="A37" i="108"/>
  <c r="A36" i="108"/>
  <c r="A35" i="108"/>
  <c r="A34" i="108"/>
  <c r="A33" i="108"/>
  <c r="A32" i="108"/>
  <c r="A31" i="108"/>
  <c r="A30" i="108"/>
  <c r="A29" i="108"/>
  <c r="A28" i="108"/>
  <c r="A24" i="108"/>
  <c r="A23" i="108"/>
  <c r="A22" i="108"/>
  <c r="A21" i="108"/>
  <c r="A20" i="108"/>
  <c r="A19" i="108"/>
  <c r="A18" i="108"/>
  <c r="A17" i="108"/>
  <c r="A16" i="108"/>
  <c r="A15" i="108"/>
  <c r="A14" i="108"/>
  <c r="A13" i="108"/>
  <c r="A12" i="108"/>
  <c r="A11" i="108"/>
  <c r="A10" i="108"/>
  <c r="A9" i="108"/>
  <c r="A5" i="108"/>
  <c r="A4" i="108"/>
  <c r="A3" i="108"/>
  <c r="A63" i="107"/>
  <c r="A62" i="107"/>
  <c r="A61" i="107"/>
  <c r="A60" i="107"/>
  <c r="A59" i="107"/>
  <c r="A58" i="107"/>
  <c r="A57" i="107"/>
  <c r="A56" i="107"/>
  <c r="A55" i="107"/>
  <c r="A54" i="107"/>
  <c r="A50" i="107"/>
  <c r="A49" i="107"/>
  <c r="A48" i="107"/>
  <c r="A47" i="107"/>
  <c r="A46" i="107"/>
  <c r="A45" i="107"/>
  <c r="A44" i="107"/>
  <c r="A43" i="107"/>
  <c r="A42" i="107"/>
  <c r="A41" i="107"/>
  <c r="A40" i="107"/>
  <c r="A39" i="107"/>
  <c r="A38" i="107"/>
  <c r="A37" i="107"/>
  <c r="A36" i="107"/>
  <c r="A35" i="107"/>
  <c r="A34" i="107"/>
  <c r="A33" i="107"/>
  <c r="A32" i="107"/>
  <c r="A31" i="107"/>
  <c r="A30" i="107"/>
  <c r="A29" i="107"/>
  <c r="A28" i="107"/>
  <c r="A24" i="107"/>
  <c r="A23" i="107"/>
  <c r="A22" i="107"/>
  <c r="A21" i="107"/>
  <c r="A20" i="107"/>
  <c r="A19" i="107"/>
  <c r="A18" i="107"/>
  <c r="A17" i="107"/>
  <c r="A16" i="107"/>
  <c r="A15" i="107"/>
  <c r="A14" i="107"/>
  <c r="A13" i="107"/>
  <c r="A12" i="107"/>
  <c r="A11" i="107"/>
  <c r="A10" i="107"/>
  <c r="A9" i="107"/>
  <c r="A5" i="107"/>
  <c r="A4" i="107"/>
  <c r="A3" i="107"/>
  <c r="A63" i="90"/>
  <c r="A62" i="90"/>
  <c r="A61" i="90"/>
  <c r="A60" i="90"/>
  <c r="A59" i="90"/>
  <c r="A58" i="90"/>
  <c r="A57" i="90"/>
  <c r="A56" i="90"/>
  <c r="A55" i="90"/>
  <c r="A54" i="90"/>
  <c r="A50" i="90"/>
  <c r="A49" i="90"/>
  <c r="A48" i="90"/>
  <c r="A47" i="90"/>
  <c r="A46" i="90"/>
  <c r="A45" i="90"/>
  <c r="A44" i="90"/>
  <c r="A43" i="90"/>
  <c r="A42" i="90"/>
  <c r="A41" i="90"/>
  <c r="A40" i="90"/>
  <c r="A39" i="90"/>
  <c r="A38" i="90"/>
  <c r="A37" i="90"/>
  <c r="A36" i="90"/>
  <c r="A35" i="90"/>
  <c r="A34" i="90"/>
  <c r="A33" i="90"/>
  <c r="A32" i="90"/>
  <c r="A31" i="90"/>
  <c r="A30" i="90"/>
  <c r="A29" i="90"/>
  <c r="A28" i="90"/>
  <c r="A24" i="90"/>
  <c r="A23" i="90"/>
  <c r="A22" i="90"/>
  <c r="A21" i="90"/>
  <c r="A20" i="90"/>
  <c r="A19" i="90"/>
  <c r="A18" i="90"/>
  <c r="A17" i="90"/>
  <c r="A16" i="90"/>
  <c r="A15" i="90"/>
  <c r="A14" i="90"/>
  <c r="A13" i="90"/>
  <c r="A12" i="90"/>
  <c r="A11" i="90"/>
  <c r="A10" i="90"/>
  <c r="A9" i="90"/>
  <c r="A5" i="90"/>
  <c r="A4" i="90"/>
  <c r="A3" i="90"/>
  <c r="A63" i="87"/>
  <c r="A62" i="87"/>
  <c r="A61" i="87"/>
  <c r="A60" i="87"/>
  <c r="A59" i="87"/>
  <c r="A58" i="87"/>
  <c r="A57" i="87"/>
  <c r="A56" i="87"/>
  <c r="A55" i="87"/>
  <c r="A54" i="87"/>
  <c r="A50" i="87"/>
  <c r="A49" i="87"/>
  <c r="A48" i="87"/>
  <c r="A47" i="87"/>
  <c r="A46" i="87"/>
  <c r="A45" i="87"/>
  <c r="A44" i="87"/>
  <c r="A43" i="87"/>
  <c r="A42" i="87"/>
  <c r="A41" i="87"/>
  <c r="A40" i="87"/>
  <c r="A39" i="87"/>
  <c r="A38" i="87"/>
  <c r="A37" i="87"/>
  <c r="A36" i="87"/>
  <c r="A35" i="87"/>
  <c r="A34" i="87"/>
  <c r="A33" i="87"/>
  <c r="A32" i="87"/>
  <c r="A31" i="87"/>
  <c r="A30" i="87"/>
  <c r="A29" i="87"/>
  <c r="A28" i="87"/>
  <c r="A24" i="87"/>
  <c r="A23" i="87"/>
  <c r="A22" i="87"/>
  <c r="A21" i="87"/>
  <c r="A20" i="87"/>
  <c r="A19" i="87"/>
  <c r="A18" i="87"/>
  <c r="A17" i="87"/>
  <c r="A16" i="87"/>
  <c r="A15" i="87"/>
  <c r="A14" i="87"/>
  <c r="A13" i="87"/>
  <c r="A12" i="87"/>
  <c r="A11" i="87"/>
  <c r="A10" i="87"/>
  <c r="A9" i="87"/>
  <c r="A5" i="87"/>
  <c r="A4" i="87"/>
  <c r="A3" i="87"/>
  <c r="A63" i="86"/>
  <c r="A62" i="86"/>
  <c r="A61" i="86"/>
  <c r="A60" i="86"/>
  <c r="A59" i="86"/>
  <c r="A58" i="86"/>
  <c r="A57" i="86"/>
  <c r="A56" i="86"/>
  <c r="A55" i="86"/>
  <c r="A54" i="86"/>
  <c r="A50" i="86"/>
  <c r="A49" i="86"/>
  <c r="A48" i="86"/>
  <c r="A47" i="86"/>
  <c r="A46" i="86"/>
  <c r="A45" i="86"/>
  <c r="A44" i="86"/>
  <c r="A43" i="86"/>
  <c r="A42" i="86"/>
  <c r="A41" i="86"/>
  <c r="A40" i="86"/>
  <c r="A39" i="86"/>
  <c r="A38" i="86"/>
  <c r="A37" i="86"/>
  <c r="A36" i="86"/>
  <c r="A35" i="86"/>
  <c r="A34" i="86"/>
  <c r="A33" i="86"/>
  <c r="A32" i="86"/>
  <c r="A31" i="86"/>
  <c r="A30" i="86"/>
  <c r="A29" i="86"/>
  <c r="A28" i="86"/>
  <c r="A24" i="86"/>
  <c r="A23" i="86"/>
  <c r="A22" i="86"/>
  <c r="A21" i="86"/>
  <c r="A20" i="86"/>
  <c r="A19" i="86"/>
  <c r="A18" i="86"/>
  <c r="A17" i="86"/>
  <c r="A16" i="86"/>
  <c r="A15" i="86"/>
  <c r="A14" i="86"/>
  <c r="A13" i="86"/>
  <c r="A12" i="86"/>
  <c r="A11" i="86"/>
  <c r="A10" i="86"/>
  <c r="A9" i="86"/>
  <c r="A5" i="86"/>
  <c r="A4" i="86"/>
  <c r="A3" i="86"/>
  <c r="A63" i="85"/>
  <c r="A62" i="85"/>
  <c r="A61" i="85"/>
  <c r="A60" i="85"/>
  <c r="A59" i="85"/>
  <c r="A58" i="85"/>
  <c r="A57" i="85"/>
  <c r="A56" i="85"/>
  <c r="A55" i="85"/>
  <c r="A54" i="85"/>
  <c r="A50" i="85"/>
  <c r="A49" i="85"/>
  <c r="A48" i="85"/>
  <c r="A47" i="85"/>
  <c r="A46" i="85"/>
  <c r="A45" i="85"/>
  <c r="A44" i="85"/>
  <c r="A43" i="85"/>
  <c r="A42" i="85"/>
  <c r="A41" i="85"/>
  <c r="A40" i="85"/>
  <c r="A39" i="85"/>
  <c r="A38" i="85"/>
  <c r="A37" i="85"/>
  <c r="A36" i="85"/>
  <c r="A35" i="85"/>
  <c r="A34" i="85"/>
  <c r="A33" i="85"/>
  <c r="A32" i="85"/>
  <c r="A31" i="85"/>
  <c r="A30" i="85"/>
  <c r="A29" i="85"/>
  <c r="A28" i="85"/>
  <c r="A24" i="85"/>
  <c r="A23" i="85"/>
  <c r="A22" i="85"/>
  <c r="A21" i="85"/>
  <c r="A20" i="85"/>
  <c r="A19" i="85"/>
  <c r="A18" i="85"/>
  <c r="A17" i="85"/>
  <c r="A16" i="85"/>
  <c r="A15" i="85"/>
  <c r="A14" i="85"/>
  <c r="A13" i="85"/>
  <c r="A12" i="85"/>
  <c r="A11" i="85"/>
  <c r="A10" i="85"/>
  <c r="A9" i="85"/>
  <c r="A5" i="85"/>
  <c r="A4" i="85"/>
  <c r="A3" i="85"/>
  <c r="A63" i="84"/>
  <c r="A62" i="84"/>
  <c r="A61" i="84"/>
  <c r="A60" i="84"/>
  <c r="A59" i="84"/>
  <c r="A58" i="84"/>
  <c r="A57" i="84"/>
  <c r="A56" i="84"/>
  <c r="A55" i="84"/>
  <c r="A54" i="84"/>
  <c r="A50" i="84"/>
  <c r="A49" i="84"/>
  <c r="A48" i="84"/>
  <c r="A47" i="84"/>
  <c r="A46" i="84"/>
  <c r="A45" i="84"/>
  <c r="A44" i="84"/>
  <c r="A43" i="84"/>
  <c r="A42" i="84"/>
  <c r="A41" i="84"/>
  <c r="A40" i="84"/>
  <c r="A39" i="84"/>
  <c r="A38" i="84"/>
  <c r="A37" i="84"/>
  <c r="A36" i="84"/>
  <c r="A35" i="84"/>
  <c r="A34" i="84"/>
  <c r="A33" i="84"/>
  <c r="A32" i="84"/>
  <c r="A31" i="84"/>
  <c r="A30" i="84"/>
  <c r="A29" i="84"/>
  <c r="A28" i="84"/>
  <c r="A24" i="84"/>
  <c r="A23" i="84"/>
  <c r="A22" i="84"/>
  <c r="A21" i="84"/>
  <c r="A20" i="84"/>
  <c r="A19" i="84"/>
  <c r="A18" i="84"/>
  <c r="A17" i="84"/>
  <c r="A16" i="84"/>
  <c r="A15" i="84"/>
  <c r="A14" i="84"/>
  <c r="A13" i="84"/>
  <c r="A12" i="84"/>
  <c r="A11" i="84"/>
  <c r="A10" i="84"/>
  <c r="A9" i="84"/>
  <c r="A5" i="84"/>
  <c r="A4" i="84"/>
  <c r="A3" i="84"/>
  <c r="A63" i="83"/>
  <c r="A62" i="83"/>
  <c r="A61" i="83"/>
  <c r="A60" i="83"/>
  <c r="A59" i="83"/>
  <c r="A58" i="83"/>
  <c r="A57" i="83"/>
  <c r="A56" i="83"/>
  <c r="A55" i="83"/>
  <c r="A54" i="83"/>
  <c r="A50" i="83"/>
  <c r="A49" i="83"/>
  <c r="A48" i="83"/>
  <c r="A47" i="83"/>
  <c r="A46" i="83"/>
  <c r="A45" i="83"/>
  <c r="A44" i="83"/>
  <c r="A43" i="83"/>
  <c r="A42" i="83"/>
  <c r="A41" i="83"/>
  <c r="A40" i="83"/>
  <c r="A39" i="83"/>
  <c r="A38" i="83"/>
  <c r="A37" i="83"/>
  <c r="A36" i="83"/>
  <c r="A35" i="83"/>
  <c r="A34" i="83"/>
  <c r="A33" i="83"/>
  <c r="A32" i="83"/>
  <c r="A31" i="83"/>
  <c r="A30" i="83"/>
  <c r="A29" i="83"/>
  <c r="A28" i="83"/>
  <c r="A24" i="83"/>
  <c r="A23" i="83"/>
  <c r="A22" i="83"/>
  <c r="A21" i="83"/>
  <c r="A20" i="83"/>
  <c r="A19" i="83"/>
  <c r="A18" i="83"/>
  <c r="A17" i="83"/>
  <c r="A16" i="83"/>
  <c r="A15" i="83"/>
  <c r="A14" i="83"/>
  <c r="A13" i="83"/>
  <c r="A12" i="83"/>
  <c r="A11" i="83"/>
  <c r="A10" i="83"/>
  <c r="A9" i="83"/>
  <c r="A5" i="83"/>
  <c r="A4" i="83"/>
  <c r="A3" i="83"/>
  <c r="A63" i="82"/>
  <c r="A62" i="82"/>
  <c r="A61" i="82"/>
  <c r="A60" i="82"/>
  <c r="A59" i="82"/>
  <c r="A58" i="82"/>
  <c r="A57" i="82"/>
  <c r="A56" i="82"/>
  <c r="A55" i="82"/>
  <c r="A54" i="82"/>
  <c r="A50" i="82"/>
  <c r="A49" i="82"/>
  <c r="A48" i="82"/>
  <c r="A47" i="82"/>
  <c r="A46" i="82"/>
  <c r="A45" i="82"/>
  <c r="A44" i="82"/>
  <c r="A43" i="82"/>
  <c r="A42" i="82"/>
  <c r="A41" i="82"/>
  <c r="A40" i="82"/>
  <c r="A39" i="82"/>
  <c r="A38" i="82"/>
  <c r="A37" i="82"/>
  <c r="A36" i="82"/>
  <c r="A35" i="82"/>
  <c r="A34" i="82"/>
  <c r="A33" i="82"/>
  <c r="A32" i="82"/>
  <c r="A31" i="82"/>
  <c r="A30" i="82"/>
  <c r="A29" i="82"/>
  <c r="A28" i="82"/>
  <c r="A24" i="82"/>
  <c r="A23" i="82"/>
  <c r="A22" i="82"/>
  <c r="A21" i="82"/>
  <c r="A20" i="82"/>
  <c r="A19" i="82"/>
  <c r="A18" i="82"/>
  <c r="A17" i="82"/>
  <c r="A16" i="82"/>
  <c r="A15" i="82"/>
  <c r="A14" i="82"/>
  <c r="A13" i="82"/>
  <c r="A12" i="82"/>
  <c r="A11" i="82"/>
  <c r="A10" i="82"/>
  <c r="A9" i="82"/>
  <c r="A5" i="82"/>
  <c r="A4" i="82"/>
  <c r="A3" i="82"/>
  <c r="A63" i="81"/>
  <c r="A62" i="81"/>
  <c r="A61" i="81"/>
  <c r="A60" i="81"/>
  <c r="A59" i="81"/>
  <c r="A58" i="81"/>
  <c r="A57" i="81"/>
  <c r="A56" i="81"/>
  <c r="A55" i="81"/>
  <c r="A54" i="81"/>
  <c r="A50" i="81"/>
  <c r="A49" i="81"/>
  <c r="A48" i="81"/>
  <c r="A47" i="81"/>
  <c r="A46" i="81"/>
  <c r="A45" i="81"/>
  <c r="A44" i="81"/>
  <c r="A43" i="81"/>
  <c r="A42" i="81"/>
  <c r="A41" i="81"/>
  <c r="A40" i="81"/>
  <c r="A39" i="81"/>
  <c r="A38" i="81"/>
  <c r="A37" i="81"/>
  <c r="A36" i="81"/>
  <c r="A35" i="81"/>
  <c r="A34" i="81"/>
  <c r="A33" i="81"/>
  <c r="A32" i="81"/>
  <c r="A31" i="81"/>
  <c r="A30" i="81"/>
  <c r="A29" i="81"/>
  <c r="A28" i="81"/>
  <c r="A24" i="81"/>
  <c r="A23" i="81"/>
  <c r="A22" i="81"/>
  <c r="A21" i="81"/>
  <c r="A20" i="81"/>
  <c r="A19" i="81"/>
  <c r="A18" i="81"/>
  <c r="A17" i="81"/>
  <c r="A16" i="81"/>
  <c r="A15" i="81"/>
  <c r="A14" i="81"/>
  <c r="A13" i="81"/>
  <c r="A12" i="81"/>
  <c r="A11" i="81"/>
  <c r="A10" i="81"/>
  <c r="A9" i="81"/>
  <c r="A5" i="81"/>
  <c r="A4" i="81"/>
  <c r="A3" i="81"/>
  <c r="A63" i="80"/>
  <c r="A62" i="80"/>
  <c r="A61" i="80"/>
  <c r="A60" i="80"/>
  <c r="A59" i="80"/>
  <c r="A58" i="80"/>
  <c r="A57" i="80"/>
  <c r="A56" i="80"/>
  <c r="A55" i="80"/>
  <c r="A54" i="80"/>
  <c r="A50" i="80"/>
  <c r="A49" i="80"/>
  <c r="A48" i="80"/>
  <c r="A47" i="80"/>
  <c r="A46" i="80"/>
  <c r="A45" i="80"/>
  <c r="A44" i="80"/>
  <c r="A43" i="80"/>
  <c r="A42" i="80"/>
  <c r="A41" i="80"/>
  <c r="A40" i="80"/>
  <c r="A39" i="80"/>
  <c r="A38" i="80"/>
  <c r="A37" i="80"/>
  <c r="A36" i="80"/>
  <c r="A35" i="80"/>
  <c r="A34" i="80"/>
  <c r="A33" i="80"/>
  <c r="A32" i="80"/>
  <c r="A31" i="80"/>
  <c r="A30" i="80"/>
  <c r="A29" i="80"/>
  <c r="A28" i="80"/>
  <c r="A24" i="80"/>
  <c r="A23" i="80"/>
  <c r="A22" i="80"/>
  <c r="A21" i="80"/>
  <c r="A20" i="80"/>
  <c r="A19" i="80"/>
  <c r="A18" i="80"/>
  <c r="A17" i="80"/>
  <c r="A16" i="80"/>
  <c r="A15" i="80"/>
  <c r="A14" i="80"/>
  <c r="A13" i="80"/>
  <c r="A12" i="80"/>
  <c r="A11" i="80"/>
  <c r="A10" i="80"/>
  <c r="A9" i="80"/>
  <c r="A5" i="80"/>
  <c r="A4" i="80"/>
  <c r="A3" i="80"/>
  <c r="A63" i="106"/>
  <c r="A62" i="106"/>
  <c r="A61" i="106"/>
  <c r="A60" i="106"/>
  <c r="A59" i="106"/>
  <c r="A58" i="106"/>
  <c r="A57" i="106"/>
  <c r="A56" i="106"/>
  <c r="A55" i="106"/>
  <c r="A54" i="106"/>
  <c r="A50" i="106"/>
  <c r="A49" i="106"/>
  <c r="A48" i="106"/>
  <c r="A47" i="106"/>
  <c r="A46" i="106"/>
  <c r="A45" i="106"/>
  <c r="A44" i="106"/>
  <c r="A43" i="106"/>
  <c r="A42" i="106"/>
  <c r="A41" i="106"/>
  <c r="A40" i="106"/>
  <c r="A39" i="106"/>
  <c r="A38" i="106"/>
  <c r="A37" i="106"/>
  <c r="A36" i="106"/>
  <c r="A35" i="106"/>
  <c r="A34" i="106"/>
  <c r="A33" i="106"/>
  <c r="A32" i="106"/>
  <c r="A31" i="106"/>
  <c r="A30" i="106"/>
  <c r="A29" i="106"/>
  <c r="A28" i="106"/>
  <c r="A24" i="106"/>
  <c r="A23" i="106"/>
  <c r="A22" i="106"/>
  <c r="A21" i="106"/>
  <c r="A20" i="106"/>
  <c r="A19" i="106"/>
  <c r="A18" i="106"/>
  <c r="A17" i="106"/>
  <c r="A16" i="106"/>
  <c r="A15" i="106"/>
  <c r="A14" i="106"/>
  <c r="A13" i="106"/>
  <c r="A12" i="106"/>
  <c r="A11" i="106"/>
  <c r="A10" i="106"/>
  <c r="A9" i="106"/>
  <c r="A5" i="106"/>
  <c r="A4" i="106"/>
  <c r="A3" i="106"/>
  <c r="A63" i="122"/>
  <c r="A62" i="122"/>
  <c r="A61" i="122"/>
  <c r="A60" i="122"/>
  <c r="A59" i="122"/>
  <c r="A58" i="122"/>
  <c r="A57" i="122"/>
  <c r="A56" i="122"/>
  <c r="A55" i="122"/>
  <c r="A54" i="122"/>
  <c r="A50" i="122"/>
  <c r="A49" i="122"/>
  <c r="A48" i="122"/>
  <c r="A47" i="122"/>
  <c r="A46" i="122"/>
  <c r="A45" i="122"/>
  <c r="A44" i="122"/>
  <c r="A43" i="122"/>
  <c r="A42" i="122"/>
  <c r="A41" i="122"/>
  <c r="A40" i="122"/>
  <c r="A39" i="122"/>
  <c r="A38" i="122"/>
  <c r="A37" i="122"/>
  <c r="A36" i="122"/>
  <c r="A35" i="122"/>
  <c r="A34" i="122"/>
  <c r="A33" i="122"/>
  <c r="A32" i="122"/>
  <c r="A31" i="122"/>
  <c r="A30" i="122"/>
  <c r="A29" i="122"/>
  <c r="A28" i="122"/>
  <c r="A24" i="122"/>
  <c r="A23" i="122"/>
  <c r="A22" i="122"/>
  <c r="A21" i="122"/>
  <c r="A20" i="122"/>
  <c r="A19" i="122"/>
  <c r="A18" i="122"/>
  <c r="A17" i="122"/>
  <c r="A16" i="122"/>
  <c r="A15" i="122"/>
  <c r="A14" i="122"/>
  <c r="A13" i="122"/>
  <c r="A12" i="122"/>
  <c r="A11" i="122"/>
  <c r="A10" i="122"/>
  <c r="A9" i="122"/>
  <c r="A5" i="122"/>
  <c r="A4" i="122"/>
  <c r="A3" i="122"/>
  <c r="A63" i="74"/>
  <c r="A62" i="74"/>
  <c r="A61" i="74"/>
  <c r="A60" i="74"/>
  <c r="A59" i="74"/>
  <c r="A58" i="74"/>
  <c r="A57" i="74"/>
  <c r="A56" i="74"/>
  <c r="A55" i="74"/>
  <c r="A54" i="74"/>
  <c r="A50" i="74"/>
  <c r="A49" i="74"/>
  <c r="A48" i="74"/>
  <c r="A47" i="74"/>
  <c r="A46" i="74"/>
  <c r="A45" i="74"/>
  <c r="A44" i="74"/>
  <c r="A43" i="74"/>
  <c r="A42" i="74"/>
  <c r="A41" i="74"/>
  <c r="A40" i="74"/>
  <c r="A39" i="74"/>
  <c r="A38" i="74"/>
  <c r="A37" i="74"/>
  <c r="A36" i="74"/>
  <c r="A35" i="74"/>
  <c r="A34" i="74"/>
  <c r="A33" i="74"/>
  <c r="A32" i="74"/>
  <c r="A31" i="74"/>
  <c r="A30" i="74"/>
  <c r="A29" i="74"/>
  <c r="A28" i="74"/>
  <c r="A24" i="74"/>
  <c r="A23" i="74"/>
  <c r="A22" i="74"/>
  <c r="A21" i="74"/>
  <c r="A20" i="74"/>
  <c r="A19" i="74"/>
  <c r="A18" i="74"/>
  <c r="A17" i="74"/>
  <c r="A16" i="74"/>
  <c r="A15" i="74"/>
  <c r="A14" i="74"/>
  <c r="A13" i="74"/>
  <c r="A12" i="74"/>
  <c r="A11" i="74"/>
  <c r="A10" i="74"/>
  <c r="A9" i="74"/>
  <c r="A5" i="74"/>
  <c r="A4" i="74"/>
  <c r="A3" i="74"/>
  <c r="A63" i="119"/>
  <c r="A62" i="119"/>
  <c r="A61" i="119"/>
  <c r="A60" i="119"/>
  <c r="A59" i="119"/>
  <c r="A58" i="119"/>
  <c r="A57" i="119"/>
  <c r="A56" i="119"/>
  <c r="A55" i="119"/>
  <c r="A54" i="119"/>
  <c r="A50" i="119"/>
  <c r="A49" i="119"/>
  <c r="A48" i="119"/>
  <c r="A47" i="119"/>
  <c r="A46" i="119"/>
  <c r="A45" i="119"/>
  <c r="A44" i="119"/>
  <c r="A43" i="119"/>
  <c r="A42" i="119"/>
  <c r="A41" i="119"/>
  <c r="A40" i="119"/>
  <c r="A39" i="119"/>
  <c r="A38" i="119"/>
  <c r="A37" i="119"/>
  <c r="A36" i="119"/>
  <c r="A35" i="119"/>
  <c r="A34" i="119"/>
  <c r="A33" i="119"/>
  <c r="A32" i="119"/>
  <c r="A31" i="119"/>
  <c r="A30" i="119"/>
  <c r="A29" i="119"/>
  <c r="A28" i="119"/>
  <c r="A24" i="119"/>
  <c r="A23" i="119"/>
  <c r="A22" i="119"/>
  <c r="A21" i="119"/>
  <c r="A20" i="119"/>
  <c r="A19" i="119"/>
  <c r="A18" i="119"/>
  <c r="A17" i="119"/>
  <c r="A16" i="119"/>
  <c r="A15" i="119"/>
  <c r="A14" i="119"/>
  <c r="A13" i="119"/>
  <c r="A12" i="119"/>
  <c r="A11" i="119"/>
  <c r="A10" i="119"/>
  <c r="A9" i="119"/>
  <c r="A5" i="119"/>
  <c r="A4" i="119"/>
  <c r="A3" i="119"/>
  <c r="A63" i="105"/>
  <c r="A62" i="105"/>
  <c r="A61" i="105"/>
  <c r="A60" i="105"/>
  <c r="A59" i="105"/>
  <c r="A58" i="105"/>
  <c r="A57" i="105"/>
  <c r="A56" i="105"/>
  <c r="A55" i="105"/>
  <c r="A54" i="105"/>
  <c r="A50" i="105"/>
  <c r="A49" i="105"/>
  <c r="A48" i="105"/>
  <c r="A47" i="105"/>
  <c r="A46" i="105"/>
  <c r="A45" i="105"/>
  <c r="A44" i="105"/>
  <c r="A43" i="105"/>
  <c r="A42" i="105"/>
  <c r="A41" i="105"/>
  <c r="A40" i="105"/>
  <c r="A39" i="105"/>
  <c r="A38" i="105"/>
  <c r="A37" i="105"/>
  <c r="A36" i="105"/>
  <c r="A35" i="105"/>
  <c r="A34" i="105"/>
  <c r="A33" i="105"/>
  <c r="A32" i="105"/>
  <c r="A31" i="105"/>
  <c r="A30" i="105"/>
  <c r="A29" i="105"/>
  <c r="A28" i="105"/>
  <c r="A24" i="105"/>
  <c r="A23" i="105"/>
  <c r="A22" i="105"/>
  <c r="A21" i="105"/>
  <c r="A20" i="105"/>
  <c r="A19" i="105"/>
  <c r="A18" i="105"/>
  <c r="A17" i="105"/>
  <c r="A16" i="105"/>
  <c r="A15" i="105"/>
  <c r="A14" i="105"/>
  <c r="A13" i="105"/>
  <c r="A12" i="105"/>
  <c r="A11" i="105"/>
  <c r="A10" i="105"/>
  <c r="A9" i="105"/>
  <c r="A5" i="105"/>
  <c r="A4" i="105"/>
  <c r="A3" i="105"/>
  <c r="A63" i="98"/>
  <c r="A62" i="98"/>
  <c r="A61" i="98"/>
  <c r="A60" i="98"/>
  <c r="A59" i="98"/>
  <c r="A58" i="98"/>
  <c r="A57" i="98"/>
  <c r="A56" i="98"/>
  <c r="A55" i="98"/>
  <c r="A54" i="98"/>
  <c r="A50" i="98"/>
  <c r="A49" i="98"/>
  <c r="A48" i="98"/>
  <c r="A47" i="98"/>
  <c r="A46" i="98"/>
  <c r="A45" i="98"/>
  <c r="A44" i="98"/>
  <c r="A43" i="98"/>
  <c r="A42" i="98"/>
  <c r="A41" i="98"/>
  <c r="A40" i="98"/>
  <c r="A39" i="98"/>
  <c r="A38" i="98"/>
  <c r="A37" i="98"/>
  <c r="A36" i="98"/>
  <c r="A35" i="98"/>
  <c r="A34" i="98"/>
  <c r="A33" i="98"/>
  <c r="A32" i="98"/>
  <c r="A31" i="98"/>
  <c r="A30" i="98"/>
  <c r="A29" i="98"/>
  <c r="A28" i="98"/>
  <c r="A24" i="98"/>
  <c r="A23" i="98"/>
  <c r="A22" i="98"/>
  <c r="A21" i="98"/>
  <c r="A20" i="98"/>
  <c r="A19" i="98"/>
  <c r="A18" i="98"/>
  <c r="A17" i="98"/>
  <c r="A16" i="98"/>
  <c r="A15" i="98"/>
  <c r="A14" i="98"/>
  <c r="A13" i="98"/>
  <c r="A12" i="98"/>
  <c r="A11" i="98"/>
  <c r="A10" i="98"/>
  <c r="A9" i="98"/>
  <c r="A5" i="98"/>
  <c r="A4" i="98"/>
  <c r="A3" i="98"/>
  <c r="A63" i="101"/>
  <c r="A62" i="101"/>
  <c r="A61" i="101"/>
  <c r="A60" i="101"/>
  <c r="A59" i="101"/>
  <c r="A58" i="101"/>
  <c r="A57" i="101"/>
  <c r="A56" i="101"/>
  <c r="A55" i="101"/>
  <c r="A54" i="101"/>
  <c r="A50" i="101"/>
  <c r="A49" i="101"/>
  <c r="A48" i="101"/>
  <c r="A47" i="101"/>
  <c r="A46" i="101"/>
  <c r="A45" i="101"/>
  <c r="A44" i="101"/>
  <c r="A43" i="101"/>
  <c r="A42" i="101"/>
  <c r="A41" i="101"/>
  <c r="A40" i="101"/>
  <c r="A39" i="101"/>
  <c r="A38" i="101"/>
  <c r="A37" i="101"/>
  <c r="A36" i="101"/>
  <c r="A35" i="101"/>
  <c r="A34" i="101"/>
  <c r="A33" i="101"/>
  <c r="A32" i="101"/>
  <c r="A31" i="101"/>
  <c r="A30" i="101"/>
  <c r="A29" i="101"/>
  <c r="A28" i="101"/>
  <c r="A24" i="101"/>
  <c r="A23" i="101"/>
  <c r="A22" i="101"/>
  <c r="A21" i="101"/>
  <c r="A20" i="101"/>
  <c r="A19" i="101"/>
  <c r="A18" i="101"/>
  <c r="A17" i="101"/>
  <c r="A16" i="101"/>
  <c r="A15" i="101"/>
  <c r="A14" i="101"/>
  <c r="A13" i="101"/>
  <c r="A12" i="101"/>
  <c r="A11" i="101"/>
  <c r="A10" i="101"/>
  <c r="A9" i="101"/>
  <c r="A5" i="101"/>
  <c r="A4" i="101"/>
  <c r="A3" i="101"/>
  <c r="A63" i="120"/>
  <c r="A62" i="120"/>
  <c r="A61" i="120"/>
  <c r="A60" i="120"/>
  <c r="A59" i="120"/>
  <c r="A58" i="120"/>
  <c r="A57" i="120"/>
  <c r="A56" i="120"/>
  <c r="A55" i="120"/>
  <c r="A54" i="120"/>
  <c r="A50" i="120"/>
  <c r="A49" i="120"/>
  <c r="A48" i="120"/>
  <c r="A47" i="120"/>
  <c r="A46" i="120"/>
  <c r="A45" i="120"/>
  <c r="A44" i="120"/>
  <c r="A43" i="120"/>
  <c r="A42" i="120"/>
  <c r="A41" i="120"/>
  <c r="A40" i="120"/>
  <c r="A39" i="120"/>
  <c r="A38" i="120"/>
  <c r="A37" i="120"/>
  <c r="A36" i="120"/>
  <c r="A35" i="120"/>
  <c r="A34" i="120"/>
  <c r="A33" i="120"/>
  <c r="A32" i="120"/>
  <c r="A31" i="120"/>
  <c r="A30" i="120"/>
  <c r="A29" i="120"/>
  <c r="A28" i="120"/>
  <c r="A24" i="120"/>
  <c r="A23" i="120"/>
  <c r="A22" i="120"/>
  <c r="A21" i="120"/>
  <c r="A20" i="120"/>
  <c r="A19" i="120"/>
  <c r="A18" i="120"/>
  <c r="A17" i="120"/>
  <c r="A16" i="120"/>
  <c r="A15" i="120"/>
  <c r="A14" i="120"/>
  <c r="A13" i="120"/>
  <c r="A12" i="120"/>
  <c r="A11" i="120"/>
  <c r="A10" i="120"/>
  <c r="A9" i="120"/>
  <c r="A5" i="120"/>
  <c r="A4" i="120"/>
  <c r="A3" i="120"/>
  <c r="A63" i="112"/>
  <c r="A62" i="112"/>
  <c r="A61" i="112"/>
  <c r="A60" i="112"/>
  <c r="A59" i="112"/>
  <c r="A58" i="112"/>
  <c r="A57" i="112"/>
  <c r="A56" i="112"/>
  <c r="A55" i="112"/>
  <c r="A54" i="112"/>
  <c r="A50" i="112"/>
  <c r="A49" i="112"/>
  <c r="A48" i="112"/>
  <c r="A47" i="112"/>
  <c r="A46" i="112"/>
  <c r="A45" i="112"/>
  <c r="A44" i="112"/>
  <c r="A43" i="112"/>
  <c r="A42" i="112"/>
  <c r="A41" i="112"/>
  <c r="A40" i="112"/>
  <c r="A39" i="112"/>
  <c r="A38" i="112"/>
  <c r="A37" i="112"/>
  <c r="A36" i="112"/>
  <c r="A35" i="112"/>
  <c r="A34" i="112"/>
  <c r="A33" i="112"/>
  <c r="A32" i="112"/>
  <c r="A31" i="112"/>
  <c r="A30" i="112"/>
  <c r="A29" i="112"/>
  <c r="A28" i="112"/>
  <c r="A24" i="112"/>
  <c r="A23" i="112"/>
  <c r="A22" i="112"/>
  <c r="A21" i="112"/>
  <c r="A20" i="112"/>
  <c r="A19" i="112"/>
  <c r="A18" i="112"/>
  <c r="A17" i="112"/>
  <c r="A16" i="112"/>
  <c r="A15" i="112"/>
  <c r="A14" i="112"/>
  <c r="A13" i="112"/>
  <c r="A12" i="112"/>
  <c r="A11" i="112"/>
  <c r="A10" i="112"/>
  <c r="A9" i="112"/>
  <c r="A5" i="112"/>
  <c r="A4" i="112"/>
  <c r="A3" i="112"/>
  <c r="A63" i="88"/>
  <c r="A62" i="88"/>
  <c r="A61" i="88"/>
  <c r="A60" i="88"/>
  <c r="A59" i="88"/>
  <c r="A58" i="88"/>
  <c r="A57" i="88"/>
  <c r="A56" i="88"/>
  <c r="A55" i="88"/>
  <c r="A54" i="88"/>
  <c r="A50" i="88"/>
  <c r="A49" i="88"/>
  <c r="A48" i="88"/>
  <c r="A47" i="88"/>
  <c r="A46" i="88"/>
  <c r="A45" i="88"/>
  <c r="A44" i="88"/>
  <c r="A43" i="88"/>
  <c r="A42" i="88"/>
  <c r="A41" i="88"/>
  <c r="A40" i="88"/>
  <c r="A39" i="88"/>
  <c r="A38" i="88"/>
  <c r="A37" i="88"/>
  <c r="A36" i="88"/>
  <c r="A35" i="88"/>
  <c r="A34" i="88"/>
  <c r="A33" i="88"/>
  <c r="A32" i="88"/>
  <c r="A31" i="88"/>
  <c r="A30" i="88"/>
  <c r="A29" i="88"/>
  <c r="A28" i="88"/>
  <c r="A24" i="88"/>
  <c r="A23" i="88"/>
  <c r="A22" i="88"/>
  <c r="A21" i="88"/>
  <c r="A20" i="88"/>
  <c r="A19" i="88"/>
  <c r="A18" i="88"/>
  <c r="A17" i="88"/>
  <c r="A16" i="88"/>
  <c r="A15" i="88"/>
  <c r="A14" i="88"/>
  <c r="A13" i="88"/>
  <c r="A12" i="88"/>
  <c r="A11" i="88"/>
  <c r="A10" i="88"/>
  <c r="A9" i="88"/>
  <c r="A5" i="88"/>
  <c r="A4" i="88"/>
  <c r="A3" i="88"/>
  <c r="A63" i="118"/>
  <c r="A62" i="118"/>
  <c r="A61" i="118"/>
  <c r="A60" i="118"/>
  <c r="A59" i="118"/>
  <c r="A58" i="118"/>
  <c r="A57" i="118"/>
  <c r="A56" i="118"/>
  <c r="A55" i="118"/>
  <c r="A54" i="118"/>
  <c r="A50" i="118"/>
  <c r="A49" i="118"/>
  <c r="A48" i="118"/>
  <c r="A47" i="118"/>
  <c r="A46" i="118"/>
  <c r="A45" i="118"/>
  <c r="A44" i="118"/>
  <c r="A43" i="118"/>
  <c r="A42" i="118"/>
  <c r="A41" i="118"/>
  <c r="A40" i="118"/>
  <c r="A39" i="118"/>
  <c r="A38" i="118"/>
  <c r="A37" i="118"/>
  <c r="A36" i="118"/>
  <c r="A35" i="118"/>
  <c r="A34" i="118"/>
  <c r="A33" i="118"/>
  <c r="A32" i="118"/>
  <c r="A31" i="118"/>
  <c r="A30" i="118"/>
  <c r="A29" i="118"/>
  <c r="A28" i="118"/>
  <c r="A24" i="118"/>
  <c r="A23" i="118"/>
  <c r="A22" i="118"/>
  <c r="A21" i="118"/>
  <c r="A20" i="118"/>
  <c r="A19" i="118"/>
  <c r="A18" i="118"/>
  <c r="A17" i="118"/>
  <c r="A16" i="118"/>
  <c r="A15" i="118"/>
  <c r="A14" i="118"/>
  <c r="A13" i="118"/>
  <c r="A12" i="118"/>
  <c r="A11" i="118"/>
  <c r="A10" i="118"/>
  <c r="A9" i="118"/>
  <c r="A5" i="118"/>
  <c r="A4" i="118"/>
  <c r="A3" i="118"/>
  <c r="A63" i="117"/>
  <c r="A62" i="117"/>
  <c r="A61" i="117"/>
  <c r="A60" i="117"/>
  <c r="A59" i="117"/>
  <c r="A58" i="117"/>
  <c r="A57" i="117"/>
  <c r="A56" i="117"/>
  <c r="A55" i="117"/>
  <c r="A54" i="117"/>
  <c r="A50" i="117"/>
  <c r="A49" i="117"/>
  <c r="A48" i="117"/>
  <c r="A47" i="117"/>
  <c r="A46" i="117"/>
  <c r="A45" i="117"/>
  <c r="A44" i="117"/>
  <c r="A43" i="117"/>
  <c r="A42" i="117"/>
  <c r="A41" i="117"/>
  <c r="A40" i="117"/>
  <c r="A39" i="117"/>
  <c r="A38" i="117"/>
  <c r="A37" i="117"/>
  <c r="A36" i="117"/>
  <c r="A35" i="117"/>
  <c r="A34" i="117"/>
  <c r="A33" i="117"/>
  <c r="A32" i="117"/>
  <c r="A31" i="117"/>
  <c r="A30" i="117"/>
  <c r="A29" i="117"/>
  <c r="A28" i="117"/>
  <c r="A24" i="117"/>
  <c r="A23" i="117"/>
  <c r="A22" i="117"/>
  <c r="A21" i="117"/>
  <c r="A20" i="117"/>
  <c r="A19" i="117"/>
  <c r="A18" i="117"/>
  <c r="A17" i="117"/>
  <c r="A16" i="117"/>
  <c r="A15" i="117"/>
  <c r="A14" i="117"/>
  <c r="A13" i="117"/>
  <c r="A12" i="117"/>
  <c r="A11" i="117"/>
  <c r="A10" i="117"/>
  <c r="A9" i="117"/>
  <c r="A5" i="117"/>
  <c r="A4" i="117"/>
  <c r="A3" i="117"/>
  <c r="A63" i="100"/>
  <c r="A62" i="100"/>
  <c r="A61" i="100"/>
  <c r="A60" i="100"/>
  <c r="A59" i="100"/>
  <c r="A58" i="100"/>
  <c r="A57" i="100"/>
  <c r="A56" i="100"/>
  <c r="A55" i="100"/>
  <c r="A54" i="100"/>
  <c r="A50" i="100"/>
  <c r="A49" i="100"/>
  <c r="A48" i="100"/>
  <c r="A47" i="100"/>
  <c r="A46" i="100"/>
  <c r="A45" i="100"/>
  <c r="A44" i="100"/>
  <c r="A43" i="100"/>
  <c r="A42" i="100"/>
  <c r="A41" i="100"/>
  <c r="A40" i="100"/>
  <c r="A39" i="100"/>
  <c r="A38" i="100"/>
  <c r="A37" i="100"/>
  <c r="A36" i="100"/>
  <c r="A35" i="100"/>
  <c r="A34" i="100"/>
  <c r="A33" i="100"/>
  <c r="A32" i="100"/>
  <c r="A31" i="100"/>
  <c r="A30" i="100"/>
  <c r="A29" i="100"/>
  <c r="A28" i="100"/>
  <c r="A24" i="100"/>
  <c r="A23" i="100"/>
  <c r="A22" i="100"/>
  <c r="A21" i="100"/>
  <c r="A20" i="100"/>
  <c r="A19" i="100"/>
  <c r="A18" i="100"/>
  <c r="A17" i="100"/>
  <c r="A16" i="100"/>
  <c r="A15" i="100"/>
  <c r="A14" i="100"/>
  <c r="A13" i="100"/>
  <c r="A12" i="100"/>
  <c r="A11" i="100"/>
  <c r="A10" i="100"/>
  <c r="A9" i="100"/>
  <c r="A5" i="100"/>
  <c r="A4" i="100"/>
  <c r="A3" i="100"/>
  <c r="A63" i="104"/>
  <c r="A62" i="104"/>
  <c r="A61" i="104"/>
  <c r="A60" i="104"/>
  <c r="A59" i="104"/>
  <c r="A58" i="104"/>
  <c r="A57" i="104"/>
  <c r="A56" i="104"/>
  <c r="A55" i="104"/>
  <c r="A54" i="104"/>
  <c r="A50" i="104"/>
  <c r="A49" i="104"/>
  <c r="A48" i="104"/>
  <c r="A47" i="104"/>
  <c r="A46" i="104"/>
  <c r="A45" i="104"/>
  <c r="A44" i="104"/>
  <c r="A43" i="104"/>
  <c r="A42" i="104"/>
  <c r="A41" i="104"/>
  <c r="A40" i="104"/>
  <c r="A39" i="104"/>
  <c r="A38" i="104"/>
  <c r="A37" i="104"/>
  <c r="A36" i="104"/>
  <c r="A35" i="104"/>
  <c r="A34" i="104"/>
  <c r="A33" i="104"/>
  <c r="A32" i="104"/>
  <c r="A31" i="104"/>
  <c r="A30" i="104"/>
  <c r="A29" i="104"/>
  <c r="A28" i="104"/>
  <c r="A24" i="104"/>
  <c r="A23" i="104"/>
  <c r="A22" i="104"/>
  <c r="A21" i="104"/>
  <c r="A20" i="104"/>
  <c r="A19" i="104"/>
  <c r="A18" i="104"/>
  <c r="A17" i="104"/>
  <c r="A16" i="104"/>
  <c r="A15" i="104"/>
  <c r="A14" i="104"/>
  <c r="A13" i="104"/>
  <c r="A12" i="104"/>
  <c r="A11" i="104"/>
  <c r="A10" i="104"/>
  <c r="A9" i="104"/>
  <c r="A5" i="104"/>
  <c r="A4" i="104"/>
  <c r="A3" i="104"/>
  <c r="A63" i="103"/>
  <c r="A62" i="103"/>
  <c r="A61" i="103"/>
  <c r="A60" i="103"/>
  <c r="A59" i="103"/>
  <c r="A58" i="103"/>
  <c r="A57" i="103"/>
  <c r="A56" i="103"/>
  <c r="A55" i="103"/>
  <c r="A54" i="103"/>
  <c r="A50" i="103"/>
  <c r="A49" i="103"/>
  <c r="A48" i="103"/>
  <c r="A47" i="103"/>
  <c r="A46" i="103"/>
  <c r="A45" i="103"/>
  <c r="A44" i="103"/>
  <c r="A43" i="103"/>
  <c r="A42" i="103"/>
  <c r="A41" i="103"/>
  <c r="A40" i="103"/>
  <c r="A39" i="103"/>
  <c r="A38" i="103"/>
  <c r="A37" i="103"/>
  <c r="A36" i="103"/>
  <c r="A35" i="103"/>
  <c r="A34" i="103"/>
  <c r="A33" i="103"/>
  <c r="A32" i="103"/>
  <c r="A31" i="103"/>
  <c r="A30" i="103"/>
  <c r="A29" i="103"/>
  <c r="A28" i="103"/>
  <c r="A24" i="103"/>
  <c r="A23" i="103"/>
  <c r="A22" i="103"/>
  <c r="A21" i="103"/>
  <c r="A20" i="103"/>
  <c r="A19" i="103"/>
  <c r="A18" i="103"/>
  <c r="A17" i="103"/>
  <c r="A16" i="103"/>
  <c r="A15" i="103"/>
  <c r="A14" i="103"/>
  <c r="A13" i="103"/>
  <c r="A12" i="103"/>
  <c r="A11" i="103"/>
  <c r="A10" i="103"/>
  <c r="A9" i="103"/>
  <c r="A5" i="103"/>
  <c r="A4" i="103"/>
  <c r="A3" i="103"/>
  <c r="A63" i="111"/>
  <c r="A62" i="111"/>
  <c r="A61" i="111"/>
  <c r="A60" i="111"/>
  <c r="A59" i="111"/>
  <c r="A58" i="111"/>
  <c r="A57" i="111"/>
  <c r="A56" i="111"/>
  <c r="A55" i="111"/>
  <c r="A54" i="111"/>
  <c r="A50" i="111"/>
  <c r="A49" i="111"/>
  <c r="A48" i="111"/>
  <c r="A47" i="111"/>
  <c r="A46" i="111"/>
  <c r="A45" i="111"/>
  <c r="A44" i="111"/>
  <c r="A43" i="111"/>
  <c r="A42" i="111"/>
  <c r="A41" i="111"/>
  <c r="A40" i="111"/>
  <c r="A39" i="111"/>
  <c r="A38" i="111"/>
  <c r="A37" i="111"/>
  <c r="A36" i="111"/>
  <c r="A35" i="111"/>
  <c r="A34" i="111"/>
  <c r="A33" i="111"/>
  <c r="A32" i="111"/>
  <c r="A31" i="111"/>
  <c r="A30" i="111"/>
  <c r="A29" i="111"/>
  <c r="A28" i="111"/>
  <c r="A24" i="111"/>
  <c r="A23" i="111"/>
  <c r="A22" i="111"/>
  <c r="A21" i="111"/>
  <c r="A20" i="111"/>
  <c r="A19" i="111"/>
  <c r="A18" i="111"/>
  <c r="A17" i="111"/>
  <c r="A16" i="111"/>
  <c r="A15" i="111"/>
  <c r="A14" i="111"/>
  <c r="A13" i="111"/>
  <c r="A12" i="111"/>
  <c r="A11" i="111"/>
  <c r="A10" i="111"/>
  <c r="A9" i="111"/>
  <c r="A5" i="111"/>
  <c r="A4" i="111"/>
  <c r="A3" i="111"/>
  <c r="A63" i="110"/>
  <c r="A62" i="110"/>
  <c r="A61" i="110"/>
  <c r="A60" i="110"/>
  <c r="A59" i="110"/>
  <c r="A58" i="110"/>
  <c r="A57" i="110"/>
  <c r="A56" i="110"/>
  <c r="A55" i="110"/>
  <c r="A54" i="110"/>
  <c r="A50" i="110"/>
  <c r="A49" i="110"/>
  <c r="A48" i="110"/>
  <c r="A47" i="110"/>
  <c r="A46" i="110"/>
  <c r="A45" i="110"/>
  <c r="A44" i="110"/>
  <c r="A43" i="110"/>
  <c r="A42" i="110"/>
  <c r="A41" i="110"/>
  <c r="A40" i="110"/>
  <c r="A39" i="110"/>
  <c r="A38" i="110"/>
  <c r="A37" i="110"/>
  <c r="A36" i="110"/>
  <c r="A35" i="110"/>
  <c r="A34" i="110"/>
  <c r="A33" i="110"/>
  <c r="A32" i="110"/>
  <c r="A31" i="110"/>
  <c r="A30" i="110"/>
  <c r="A29" i="110"/>
  <c r="A28" i="110"/>
  <c r="A24" i="110"/>
  <c r="A23" i="110"/>
  <c r="A22" i="110"/>
  <c r="A21" i="110"/>
  <c r="A20" i="110"/>
  <c r="A19" i="110"/>
  <c r="A18" i="110"/>
  <c r="A17" i="110"/>
  <c r="A16" i="110"/>
  <c r="A15" i="110"/>
  <c r="A14" i="110"/>
  <c r="A13" i="110"/>
  <c r="A12" i="110"/>
  <c r="A11" i="110"/>
  <c r="A10" i="110"/>
  <c r="A9" i="110"/>
  <c r="A5" i="110"/>
  <c r="A4" i="110"/>
  <c r="A3" i="110"/>
  <c r="A63" i="97"/>
  <c r="A62" i="97"/>
  <c r="A61" i="97"/>
  <c r="A60" i="97"/>
  <c r="A59" i="97"/>
  <c r="A58" i="97"/>
  <c r="A57" i="97"/>
  <c r="A56" i="97"/>
  <c r="A55" i="97"/>
  <c r="A54" i="97"/>
  <c r="A50" i="97"/>
  <c r="A49" i="97"/>
  <c r="A48" i="97"/>
  <c r="A47" i="97"/>
  <c r="A46" i="97"/>
  <c r="A45" i="97"/>
  <c r="A44" i="97"/>
  <c r="A43" i="97"/>
  <c r="A42" i="97"/>
  <c r="A41" i="97"/>
  <c r="A40" i="97"/>
  <c r="A39" i="97"/>
  <c r="A38" i="97"/>
  <c r="A37" i="97"/>
  <c r="A36" i="97"/>
  <c r="A35" i="97"/>
  <c r="A34" i="97"/>
  <c r="A33" i="97"/>
  <c r="A32" i="97"/>
  <c r="A31" i="97"/>
  <c r="A30" i="97"/>
  <c r="A29" i="97"/>
  <c r="A28" i="97"/>
  <c r="A24" i="97"/>
  <c r="A23" i="97"/>
  <c r="A22" i="97"/>
  <c r="A21" i="97"/>
  <c r="A20" i="97"/>
  <c r="A19" i="97"/>
  <c r="A18" i="97"/>
  <c r="A17" i="97"/>
  <c r="A16" i="97"/>
  <c r="A15" i="97"/>
  <c r="A14" i="97"/>
  <c r="A13" i="97"/>
  <c r="A12" i="97"/>
  <c r="A11" i="97"/>
  <c r="A10" i="97"/>
  <c r="A9" i="97"/>
  <c r="A5" i="97"/>
  <c r="A4" i="97"/>
  <c r="A3" i="97"/>
  <c r="A63" i="96"/>
  <c r="A62" i="96"/>
  <c r="A61" i="96"/>
  <c r="A60" i="96"/>
  <c r="A59" i="96"/>
  <c r="A58" i="96"/>
  <c r="A57" i="96"/>
  <c r="A56" i="96"/>
  <c r="A55" i="96"/>
  <c r="A54" i="96"/>
  <c r="A50" i="96"/>
  <c r="A49" i="96"/>
  <c r="A48" i="96"/>
  <c r="A47" i="96"/>
  <c r="A46" i="96"/>
  <c r="A45" i="96"/>
  <c r="A44" i="96"/>
  <c r="A43" i="96"/>
  <c r="A42" i="96"/>
  <c r="A41" i="96"/>
  <c r="A40" i="96"/>
  <c r="A39" i="96"/>
  <c r="A38" i="96"/>
  <c r="A37" i="96"/>
  <c r="A36" i="96"/>
  <c r="A35" i="96"/>
  <c r="A34" i="96"/>
  <c r="A33" i="96"/>
  <c r="A32" i="96"/>
  <c r="A31" i="96"/>
  <c r="A30" i="96"/>
  <c r="A29" i="96"/>
  <c r="A28" i="96"/>
  <c r="A24" i="96"/>
  <c r="A23" i="96"/>
  <c r="A22" i="96"/>
  <c r="A21" i="96"/>
  <c r="A20" i="96"/>
  <c r="A19" i="96"/>
  <c r="A18" i="96"/>
  <c r="A17" i="96"/>
  <c r="A16" i="96"/>
  <c r="A15" i="96"/>
  <c r="A14" i="96"/>
  <c r="A13" i="96"/>
  <c r="A12" i="96"/>
  <c r="A11" i="96"/>
  <c r="A10" i="96"/>
  <c r="A9" i="96"/>
  <c r="A5" i="96"/>
  <c r="A4" i="96"/>
  <c r="A3" i="96"/>
  <c r="A63" i="95"/>
  <c r="A62" i="95"/>
  <c r="A61" i="95"/>
  <c r="A60" i="95"/>
  <c r="A59" i="95"/>
  <c r="A58" i="95"/>
  <c r="A57" i="95"/>
  <c r="A56" i="95"/>
  <c r="A55" i="95"/>
  <c r="A54" i="95"/>
  <c r="A50" i="95"/>
  <c r="A49" i="95"/>
  <c r="A48" i="95"/>
  <c r="A47" i="95"/>
  <c r="A46" i="95"/>
  <c r="A45" i="95"/>
  <c r="A44" i="95"/>
  <c r="A43" i="95"/>
  <c r="A42" i="95"/>
  <c r="A41" i="95"/>
  <c r="A40" i="95"/>
  <c r="A39" i="95"/>
  <c r="A38" i="95"/>
  <c r="A37" i="95"/>
  <c r="A36" i="95"/>
  <c r="A35" i="95"/>
  <c r="A34" i="95"/>
  <c r="A33" i="95"/>
  <c r="A32" i="95"/>
  <c r="A31" i="95"/>
  <c r="A30" i="95"/>
  <c r="A29" i="95"/>
  <c r="A28" i="95"/>
  <c r="A24" i="95"/>
  <c r="A23" i="95"/>
  <c r="A22" i="95"/>
  <c r="A21" i="95"/>
  <c r="A20" i="95"/>
  <c r="A19" i="95"/>
  <c r="A18" i="95"/>
  <c r="A17" i="95"/>
  <c r="A16" i="95"/>
  <c r="A15" i="95"/>
  <c r="A14" i="95"/>
  <c r="A13" i="95"/>
  <c r="A12" i="95"/>
  <c r="A11" i="95"/>
  <c r="A10" i="95"/>
  <c r="A9" i="95"/>
  <c r="A5" i="95"/>
  <c r="A4" i="95"/>
  <c r="A3" i="95"/>
  <c r="A63" i="94"/>
  <c r="A62" i="94"/>
  <c r="A61" i="94"/>
  <c r="A60" i="94"/>
  <c r="A59" i="94"/>
  <c r="A58" i="94"/>
  <c r="A57" i="94"/>
  <c r="A56" i="94"/>
  <c r="A55" i="94"/>
  <c r="A54" i="94"/>
  <c r="A50" i="94"/>
  <c r="A49" i="94"/>
  <c r="A48" i="94"/>
  <c r="A47" i="94"/>
  <c r="A46" i="94"/>
  <c r="A45" i="94"/>
  <c r="A44" i="94"/>
  <c r="A43" i="94"/>
  <c r="A42" i="94"/>
  <c r="A41" i="94"/>
  <c r="A40" i="94"/>
  <c r="A39" i="94"/>
  <c r="A38" i="94"/>
  <c r="A37" i="94"/>
  <c r="A36" i="94"/>
  <c r="A35" i="94"/>
  <c r="A34" i="94"/>
  <c r="A33" i="94"/>
  <c r="A32" i="94"/>
  <c r="A31" i="94"/>
  <c r="A30" i="94"/>
  <c r="A29" i="94"/>
  <c r="A28" i="94"/>
  <c r="A24" i="94"/>
  <c r="A23" i="94"/>
  <c r="A22" i="94"/>
  <c r="A21" i="94"/>
  <c r="A20" i="94"/>
  <c r="A19" i="94"/>
  <c r="A18" i="94"/>
  <c r="A17" i="94"/>
  <c r="A16" i="94"/>
  <c r="A15" i="94"/>
  <c r="A14" i="94"/>
  <c r="A13" i="94"/>
  <c r="A12" i="94"/>
  <c r="A11" i="94"/>
  <c r="A10" i="94"/>
  <c r="A9" i="94"/>
  <c r="A5" i="94"/>
  <c r="A4" i="94"/>
  <c r="A3" i="94"/>
  <c r="A63" i="93"/>
  <c r="A62" i="93"/>
  <c r="A61" i="93"/>
  <c r="A60" i="93"/>
  <c r="A59" i="93"/>
  <c r="A58" i="93"/>
  <c r="A57" i="93"/>
  <c r="A56" i="93"/>
  <c r="A55" i="93"/>
  <c r="A54" i="93"/>
  <c r="A50" i="93"/>
  <c r="A49" i="93"/>
  <c r="A48" i="93"/>
  <c r="A47" i="93"/>
  <c r="A46" i="93"/>
  <c r="A45" i="93"/>
  <c r="A44" i="93"/>
  <c r="A43" i="93"/>
  <c r="A42" i="93"/>
  <c r="A41" i="93"/>
  <c r="A40" i="93"/>
  <c r="A39" i="93"/>
  <c r="A38" i="93"/>
  <c r="A37" i="93"/>
  <c r="A36" i="93"/>
  <c r="A35" i="93"/>
  <c r="A34" i="93"/>
  <c r="A33" i="93"/>
  <c r="A32" i="93"/>
  <c r="A31" i="93"/>
  <c r="A30" i="93"/>
  <c r="A29" i="93"/>
  <c r="A28" i="93"/>
  <c r="A24" i="93"/>
  <c r="A23" i="93"/>
  <c r="A22" i="93"/>
  <c r="A21" i="93"/>
  <c r="A20" i="93"/>
  <c r="A19" i="93"/>
  <c r="A18" i="93"/>
  <c r="A17" i="93"/>
  <c r="A16" i="93"/>
  <c r="A15" i="93"/>
  <c r="A14" i="93"/>
  <c r="A13" i="93"/>
  <c r="A12" i="93"/>
  <c r="A11" i="93"/>
  <c r="A10" i="93"/>
  <c r="A9" i="93"/>
  <c r="A5" i="93"/>
  <c r="A4" i="93"/>
  <c r="A3" i="93"/>
  <c r="A63" i="92"/>
  <c r="A62" i="92"/>
  <c r="A61" i="92"/>
  <c r="A60" i="92"/>
  <c r="A59" i="92"/>
  <c r="A58" i="92"/>
  <c r="A57" i="92"/>
  <c r="A56" i="92"/>
  <c r="A55" i="92"/>
  <c r="A54" i="92"/>
  <c r="A50" i="92"/>
  <c r="A49" i="92"/>
  <c r="A48" i="92"/>
  <c r="A47" i="92"/>
  <c r="A46" i="92"/>
  <c r="A45" i="92"/>
  <c r="A44" i="92"/>
  <c r="A43" i="92"/>
  <c r="A42" i="92"/>
  <c r="A41" i="92"/>
  <c r="A40" i="92"/>
  <c r="A39" i="92"/>
  <c r="A38" i="92"/>
  <c r="A37" i="92"/>
  <c r="A36" i="92"/>
  <c r="A35" i="92"/>
  <c r="A34" i="92"/>
  <c r="A33" i="92"/>
  <c r="A32" i="92"/>
  <c r="A31" i="92"/>
  <c r="A30" i="92"/>
  <c r="A29" i="92"/>
  <c r="A28" i="92"/>
  <c r="A24" i="92"/>
  <c r="A23" i="92"/>
  <c r="A22" i="92"/>
  <c r="A21" i="92"/>
  <c r="A20" i="92"/>
  <c r="A19" i="92"/>
  <c r="A18" i="92"/>
  <c r="A17" i="92"/>
  <c r="A16" i="92"/>
  <c r="A15" i="92"/>
  <c r="A14" i="92"/>
  <c r="A13" i="92"/>
  <c r="A12" i="92"/>
  <c r="A11" i="92"/>
  <c r="A10" i="92"/>
  <c r="A9" i="92"/>
  <c r="A5" i="92"/>
  <c r="A4" i="92"/>
  <c r="A3" i="92"/>
  <c r="A63" i="116"/>
  <c r="A62" i="116"/>
  <c r="A61" i="116"/>
  <c r="A60" i="116"/>
  <c r="A59" i="116"/>
  <c r="A58" i="116"/>
  <c r="A57" i="116"/>
  <c r="A56" i="116"/>
  <c r="A55" i="116"/>
  <c r="A54" i="116"/>
  <c r="A50" i="116"/>
  <c r="A49" i="116"/>
  <c r="A48" i="116"/>
  <c r="A47" i="116"/>
  <c r="A46" i="116"/>
  <c r="A45" i="116"/>
  <c r="A44" i="116"/>
  <c r="A43" i="116"/>
  <c r="A42" i="116"/>
  <c r="A41" i="116"/>
  <c r="A40" i="116"/>
  <c r="A39" i="116"/>
  <c r="A38" i="116"/>
  <c r="A37" i="116"/>
  <c r="A36" i="116"/>
  <c r="A35" i="116"/>
  <c r="A34" i="116"/>
  <c r="A33" i="116"/>
  <c r="A32" i="116"/>
  <c r="A31" i="116"/>
  <c r="A30" i="116"/>
  <c r="A29" i="116"/>
  <c r="A28" i="116"/>
  <c r="A24" i="116"/>
  <c r="A23" i="116"/>
  <c r="A22" i="116"/>
  <c r="A21" i="116"/>
  <c r="A20" i="116"/>
  <c r="A19" i="116"/>
  <c r="A18" i="116"/>
  <c r="A17" i="116"/>
  <c r="A16" i="116"/>
  <c r="A15" i="116"/>
  <c r="A14" i="116"/>
  <c r="A13" i="116"/>
  <c r="A12" i="116"/>
  <c r="A11" i="116"/>
  <c r="A10" i="116"/>
  <c r="A9" i="116"/>
  <c r="A5" i="116"/>
  <c r="A4" i="116"/>
  <c r="A3" i="116"/>
  <c r="A63" i="115"/>
  <c r="A62" i="115"/>
  <c r="A61" i="115"/>
  <c r="A60" i="115"/>
  <c r="A59" i="115"/>
  <c r="A58" i="115"/>
  <c r="A57" i="115"/>
  <c r="A56" i="115"/>
  <c r="A55" i="115"/>
  <c r="A54" i="115"/>
  <c r="A50" i="115"/>
  <c r="A49" i="115"/>
  <c r="A48" i="115"/>
  <c r="A47" i="115"/>
  <c r="A46" i="115"/>
  <c r="A45" i="115"/>
  <c r="A44" i="115"/>
  <c r="A43" i="115"/>
  <c r="A42" i="115"/>
  <c r="A41" i="115"/>
  <c r="A40" i="115"/>
  <c r="A39" i="115"/>
  <c r="A38" i="115"/>
  <c r="A37" i="115"/>
  <c r="A36" i="115"/>
  <c r="A35" i="115"/>
  <c r="A34" i="115"/>
  <c r="A33" i="115"/>
  <c r="A32" i="115"/>
  <c r="A31" i="115"/>
  <c r="A30" i="115"/>
  <c r="A29" i="115"/>
  <c r="A28" i="115"/>
  <c r="A24" i="115"/>
  <c r="A23" i="115"/>
  <c r="A22" i="115"/>
  <c r="A21" i="115"/>
  <c r="A20" i="115"/>
  <c r="A19" i="115"/>
  <c r="A18" i="115"/>
  <c r="A17" i="115"/>
  <c r="A16" i="115"/>
  <c r="A15" i="115"/>
  <c r="A14" i="115"/>
  <c r="A13" i="115"/>
  <c r="A12" i="115"/>
  <c r="A11" i="115"/>
  <c r="A10" i="115"/>
  <c r="A9" i="115"/>
  <c r="A5" i="115"/>
  <c r="A4" i="115"/>
  <c r="A3" i="115"/>
  <c r="A63" i="114"/>
  <c r="A62" i="114"/>
  <c r="A61" i="114"/>
  <c r="A60" i="114"/>
  <c r="A59" i="114"/>
  <c r="A58" i="114"/>
  <c r="A57" i="114"/>
  <c r="A56" i="114"/>
  <c r="A55" i="114"/>
  <c r="A54" i="114"/>
  <c r="A50" i="114"/>
  <c r="A49" i="114"/>
  <c r="A48" i="114"/>
  <c r="A47" i="114"/>
  <c r="A46" i="114"/>
  <c r="A45" i="114"/>
  <c r="A44" i="114"/>
  <c r="A43" i="114"/>
  <c r="A42" i="114"/>
  <c r="A41" i="114"/>
  <c r="A40" i="114"/>
  <c r="A39" i="114"/>
  <c r="A38" i="114"/>
  <c r="A37" i="114"/>
  <c r="A36" i="114"/>
  <c r="A35" i="114"/>
  <c r="A34" i="114"/>
  <c r="A33" i="114"/>
  <c r="A32" i="114"/>
  <c r="A31" i="114"/>
  <c r="A30" i="114"/>
  <c r="A29" i="114"/>
  <c r="A28" i="114"/>
  <c r="A24" i="114"/>
  <c r="A23" i="114"/>
  <c r="A22" i="114"/>
  <c r="A21" i="114"/>
  <c r="A20" i="114"/>
  <c r="A19" i="114"/>
  <c r="A18" i="114"/>
  <c r="A17" i="114"/>
  <c r="A16" i="114"/>
  <c r="A15" i="114"/>
  <c r="A14" i="114"/>
  <c r="A13" i="114"/>
  <c r="A12" i="114"/>
  <c r="A11" i="114"/>
  <c r="A10" i="114"/>
  <c r="A9" i="114"/>
  <c r="A5" i="114"/>
  <c r="A4" i="114"/>
  <c r="A3" i="114"/>
  <c r="A63" i="99"/>
  <c r="A62" i="99"/>
  <c r="A61" i="99"/>
  <c r="A60" i="99"/>
  <c r="A59" i="99"/>
  <c r="A58" i="99"/>
  <c r="A57" i="99"/>
  <c r="A56" i="99"/>
  <c r="A55" i="99"/>
  <c r="A54" i="99"/>
  <c r="A50" i="99"/>
  <c r="A49" i="99"/>
  <c r="A48" i="99"/>
  <c r="A47" i="99"/>
  <c r="A46" i="99"/>
  <c r="A45" i="99"/>
  <c r="A44" i="99"/>
  <c r="A43" i="99"/>
  <c r="A42" i="99"/>
  <c r="A41" i="99"/>
  <c r="A40" i="99"/>
  <c r="A39" i="99"/>
  <c r="A38" i="99"/>
  <c r="A37" i="99"/>
  <c r="A36" i="99"/>
  <c r="A35" i="99"/>
  <c r="A34" i="99"/>
  <c r="A33" i="99"/>
  <c r="A32" i="99"/>
  <c r="A31" i="99"/>
  <c r="A30" i="99"/>
  <c r="A29" i="99"/>
  <c r="A28" i="99"/>
  <c r="A24" i="99"/>
  <c r="A23" i="99"/>
  <c r="A22" i="99"/>
  <c r="A21" i="99"/>
  <c r="A20" i="99"/>
  <c r="A19" i="99"/>
  <c r="A18" i="99"/>
  <c r="A17" i="99"/>
  <c r="A16" i="99"/>
  <c r="A15" i="99"/>
  <c r="A14" i="99"/>
  <c r="A13" i="99"/>
  <c r="A12" i="99"/>
  <c r="A11" i="99"/>
  <c r="A10" i="99"/>
  <c r="A9" i="99"/>
  <c r="A5" i="99"/>
  <c r="A4" i="99"/>
  <c r="A3" i="99"/>
  <c r="A63" i="102"/>
  <c r="A62" i="102"/>
  <c r="A61" i="102"/>
  <c r="A60" i="102"/>
  <c r="A59" i="102"/>
  <c r="A58" i="102"/>
  <c r="A57" i="102"/>
  <c r="A56" i="102"/>
  <c r="A55" i="102"/>
  <c r="A54" i="102"/>
  <c r="A50" i="102"/>
  <c r="A49" i="102"/>
  <c r="A48" i="102"/>
  <c r="A47" i="102"/>
  <c r="A46" i="102"/>
  <c r="A45" i="102"/>
  <c r="A44" i="102"/>
  <c r="A43" i="102"/>
  <c r="A42" i="102"/>
  <c r="A41" i="102"/>
  <c r="A40" i="102"/>
  <c r="A39" i="102"/>
  <c r="A38" i="102"/>
  <c r="A37" i="102"/>
  <c r="A36" i="102"/>
  <c r="A35" i="102"/>
  <c r="A34" i="102"/>
  <c r="A33" i="102"/>
  <c r="A32" i="102"/>
  <c r="A31" i="102"/>
  <c r="A30" i="102"/>
  <c r="A29" i="102"/>
  <c r="A28" i="102"/>
  <c r="A24" i="102"/>
  <c r="A23" i="102"/>
  <c r="A22" i="102"/>
  <c r="A21" i="102"/>
  <c r="A20" i="102"/>
  <c r="A19" i="102"/>
  <c r="A18" i="102"/>
  <c r="A17" i="102"/>
  <c r="A16" i="102"/>
  <c r="A15" i="102"/>
  <c r="A14" i="102"/>
  <c r="A13" i="102"/>
  <c r="A12" i="102"/>
  <c r="A11" i="102"/>
  <c r="A10" i="102"/>
  <c r="A9" i="102"/>
  <c r="A5" i="102"/>
  <c r="A4" i="102"/>
  <c r="A3" i="102"/>
  <c r="A63" i="91"/>
  <c r="A62" i="91"/>
  <c r="A61" i="91"/>
  <c r="A60" i="91"/>
  <c r="A59" i="91"/>
  <c r="A58" i="91"/>
  <c r="A57" i="91"/>
  <c r="A56" i="91"/>
  <c r="A55" i="91"/>
  <c r="A54" i="91"/>
  <c r="A50" i="91"/>
  <c r="A49" i="91"/>
  <c r="A48" i="91"/>
  <c r="A47" i="91"/>
  <c r="A46" i="91"/>
  <c r="A45" i="91"/>
  <c r="A44" i="91"/>
  <c r="A43" i="91"/>
  <c r="A42" i="91"/>
  <c r="A41" i="91"/>
  <c r="A40" i="91"/>
  <c r="A39" i="91"/>
  <c r="A38" i="91"/>
  <c r="A37" i="91"/>
  <c r="A36" i="91"/>
  <c r="A35" i="91"/>
  <c r="A34" i="91"/>
  <c r="A33" i="91"/>
  <c r="A32" i="91"/>
  <c r="A31" i="91"/>
  <c r="A30" i="91"/>
  <c r="A29" i="91"/>
  <c r="A28" i="91"/>
  <c r="A24" i="91"/>
  <c r="A23" i="91"/>
  <c r="A22" i="91"/>
  <c r="A21" i="91"/>
  <c r="A20" i="91"/>
  <c r="A19" i="91"/>
  <c r="A18" i="91"/>
  <c r="A17" i="91"/>
  <c r="A16" i="91"/>
  <c r="A15" i="91"/>
  <c r="A14" i="91"/>
  <c r="A13" i="91"/>
  <c r="A12" i="91"/>
  <c r="A11" i="91"/>
  <c r="A10" i="91"/>
  <c r="A9" i="91"/>
  <c r="A5" i="91"/>
  <c r="A4" i="91"/>
  <c r="A3" i="91"/>
  <c r="A63" i="76"/>
  <c r="A62" i="76"/>
  <c r="A61" i="76"/>
  <c r="A60" i="76"/>
  <c r="A59" i="76"/>
  <c r="A58" i="76"/>
  <c r="A57" i="76"/>
  <c r="A56" i="76"/>
  <c r="A55" i="76"/>
  <c r="A54" i="76"/>
  <c r="A50" i="76"/>
  <c r="A49" i="76"/>
  <c r="A48" i="76"/>
  <c r="A47" i="76"/>
  <c r="A46" i="76"/>
  <c r="A45" i="76"/>
  <c r="A44" i="76"/>
  <c r="A43" i="76"/>
  <c r="A42" i="76"/>
  <c r="A41" i="76"/>
  <c r="A40" i="76"/>
  <c r="A39" i="76"/>
  <c r="A38" i="76"/>
  <c r="A37" i="76"/>
  <c r="A36" i="76"/>
  <c r="A35" i="76"/>
  <c r="A34" i="76"/>
  <c r="A33" i="76"/>
  <c r="A32" i="76"/>
  <c r="A31" i="76"/>
  <c r="A30" i="76"/>
  <c r="A29" i="76"/>
  <c r="A28" i="76"/>
  <c r="A24" i="76"/>
  <c r="A23" i="76"/>
  <c r="A22" i="76"/>
  <c r="A21" i="76"/>
  <c r="A20" i="76"/>
  <c r="A19" i="76"/>
  <c r="A18" i="76"/>
  <c r="A17" i="76"/>
  <c r="A16" i="76"/>
  <c r="A15" i="76"/>
  <c r="A14" i="76"/>
  <c r="A13" i="76"/>
  <c r="A12" i="76"/>
  <c r="A11" i="76"/>
  <c r="A10" i="76"/>
  <c r="A9" i="76"/>
  <c r="A5" i="76"/>
  <c r="A4" i="76"/>
  <c r="A3" i="76"/>
  <c r="A63" i="109"/>
  <c r="A62" i="109"/>
  <c r="A61" i="109"/>
  <c r="A60" i="109"/>
  <c r="A59" i="109"/>
  <c r="A58" i="109"/>
  <c r="A57" i="109"/>
  <c r="A56" i="109"/>
  <c r="A55" i="109"/>
  <c r="A54" i="109"/>
  <c r="A50" i="109"/>
  <c r="A49" i="109"/>
  <c r="A48" i="109"/>
  <c r="A47" i="109"/>
  <c r="A46" i="109"/>
  <c r="A45" i="109"/>
  <c r="A44" i="109"/>
  <c r="A43" i="109"/>
  <c r="A42" i="109"/>
  <c r="A41" i="109"/>
  <c r="A40" i="109"/>
  <c r="A39" i="109"/>
  <c r="A38" i="109"/>
  <c r="A37" i="109"/>
  <c r="A36" i="109"/>
  <c r="A35" i="109"/>
  <c r="A34" i="109"/>
  <c r="A33" i="109"/>
  <c r="A32" i="109"/>
  <c r="A31" i="109"/>
  <c r="A30" i="109"/>
  <c r="A29" i="109"/>
  <c r="A28" i="109"/>
  <c r="A24" i="109"/>
  <c r="A23" i="109"/>
  <c r="A22" i="109"/>
  <c r="A21" i="109"/>
  <c r="A20" i="109"/>
  <c r="A19" i="109"/>
  <c r="A18" i="109"/>
  <c r="A17" i="109"/>
  <c r="A16" i="109"/>
  <c r="A15" i="109"/>
  <c r="A14" i="109"/>
  <c r="A13" i="109"/>
  <c r="A12" i="109"/>
  <c r="A11" i="109"/>
  <c r="A10" i="109"/>
  <c r="A9" i="109"/>
  <c r="A5" i="109"/>
  <c r="A4" i="109"/>
  <c r="A3" i="109"/>
  <c r="A63" i="113"/>
  <c r="A62" i="113"/>
  <c r="A61" i="113"/>
  <c r="A60" i="113"/>
  <c r="A59" i="113"/>
  <c r="A58" i="113"/>
  <c r="A57" i="113"/>
  <c r="A56" i="113"/>
  <c r="A55" i="113"/>
  <c r="A54" i="113"/>
  <c r="A50" i="113"/>
  <c r="A49" i="113"/>
  <c r="A48" i="113"/>
  <c r="A47" i="113"/>
  <c r="A46" i="113"/>
  <c r="A45" i="113"/>
  <c r="A44" i="113"/>
  <c r="A43" i="113"/>
  <c r="A42" i="113"/>
  <c r="A41" i="113"/>
  <c r="A40" i="113"/>
  <c r="A39" i="113"/>
  <c r="A38" i="113"/>
  <c r="A37" i="113"/>
  <c r="A36" i="113"/>
  <c r="A35" i="113"/>
  <c r="A34" i="113"/>
  <c r="A33" i="113"/>
  <c r="A32" i="113"/>
  <c r="A31" i="113"/>
  <c r="A30" i="113"/>
  <c r="A29" i="113"/>
  <c r="A28" i="113"/>
  <c r="A24" i="113"/>
  <c r="A23" i="113"/>
  <c r="A22" i="113"/>
  <c r="A21" i="113"/>
  <c r="A20" i="113"/>
  <c r="A19" i="113"/>
  <c r="A18" i="113"/>
  <c r="A17" i="113"/>
  <c r="A16" i="113"/>
  <c r="A15" i="113"/>
  <c r="A14" i="113"/>
  <c r="A13" i="113"/>
  <c r="A12" i="113"/>
  <c r="A11" i="113"/>
  <c r="A10" i="113"/>
  <c r="A9" i="113"/>
  <c r="A5" i="113"/>
  <c r="A4" i="113"/>
  <c r="A3" i="113"/>
  <c r="A63" i="77"/>
  <c r="A62" i="77"/>
  <c r="A61" i="77"/>
  <c r="A60" i="77"/>
  <c r="A59" i="77"/>
  <c r="A58" i="77"/>
  <c r="A57" i="77"/>
  <c r="A56" i="77"/>
  <c r="A55" i="77"/>
  <c r="A54" i="77"/>
  <c r="A50" i="77"/>
  <c r="A49" i="77"/>
  <c r="A48" i="77"/>
  <c r="A47" i="77"/>
  <c r="A46" i="77"/>
  <c r="A45" i="77"/>
  <c r="A44" i="77"/>
  <c r="A43" i="77"/>
  <c r="A42" i="77"/>
  <c r="A41" i="77"/>
  <c r="A40" i="77"/>
  <c r="A39" i="77"/>
  <c r="A38" i="77"/>
  <c r="A37" i="77"/>
  <c r="A36" i="77"/>
  <c r="A35" i="77"/>
  <c r="A34" i="77"/>
  <c r="A33" i="77"/>
  <c r="A32" i="77"/>
  <c r="A31" i="77"/>
  <c r="A30" i="77"/>
  <c r="A29" i="77"/>
  <c r="A28" i="77"/>
  <c r="A24" i="77"/>
  <c r="A23" i="77"/>
  <c r="A22" i="77"/>
  <c r="A21" i="77"/>
  <c r="A20" i="77"/>
  <c r="A19" i="77"/>
  <c r="A18" i="77"/>
  <c r="A17" i="77"/>
  <c r="A16" i="77"/>
  <c r="A15" i="77"/>
  <c r="A14" i="77"/>
  <c r="A13" i="77"/>
  <c r="A12" i="77"/>
  <c r="A11" i="77"/>
  <c r="A10" i="77"/>
  <c r="A9" i="77"/>
  <c r="A5" i="77"/>
  <c r="A4" i="77"/>
  <c r="A3" i="77"/>
  <c r="A63" i="89"/>
  <c r="A62" i="89"/>
  <c r="A61" i="89"/>
  <c r="A60" i="89"/>
  <c r="A59" i="89"/>
  <c r="A58" i="89"/>
  <c r="A57" i="89"/>
  <c r="A56" i="89"/>
  <c r="A55" i="89"/>
  <c r="A54" i="89"/>
  <c r="A50" i="89"/>
  <c r="A49" i="89"/>
  <c r="A48" i="89"/>
  <c r="A47" i="89"/>
  <c r="A46" i="89"/>
  <c r="A45" i="89"/>
  <c r="A44" i="89"/>
  <c r="A43" i="89"/>
  <c r="A42" i="89"/>
  <c r="A41" i="89"/>
  <c r="A40" i="89"/>
  <c r="A39" i="89"/>
  <c r="A38" i="89"/>
  <c r="A37" i="89"/>
  <c r="A36" i="89"/>
  <c r="A35" i="89"/>
  <c r="A34" i="89"/>
  <c r="A33" i="89"/>
  <c r="A32" i="89"/>
  <c r="A31" i="89"/>
  <c r="A30" i="89"/>
  <c r="A29" i="89"/>
  <c r="A28" i="89"/>
  <c r="A24" i="89"/>
  <c r="A23" i="89"/>
  <c r="A22" i="89"/>
  <c r="A21" i="89"/>
  <c r="A20" i="89"/>
  <c r="A19" i="89"/>
  <c r="A18" i="89"/>
  <c r="A17" i="89"/>
  <c r="A16" i="89"/>
  <c r="A15" i="89"/>
  <c r="A14" i="89"/>
  <c r="A13" i="89"/>
  <c r="A12" i="89"/>
  <c r="A11" i="89"/>
  <c r="A10" i="89"/>
  <c r="A9" i="89"/>
  <c r="A5" i="89"/>
  <c r="A4" i="89"/>
  <c r="A3" i="89"/>
  <c r="A63" i="79"/>
  <c r="A62" i="79"/>
  <c r="A61" i="79"/>
  <c r="A60" i="79"/>
  <c r="A59" i="79"/>
  <c r="A58" i="79"/>
  <c r="A57" i="79"/>
  <c r="A56" i="79"/>
  <c r="A55" i="79"/>
  <c r="A54" i="79"/>
  <c r="A50" i="79"/>
  <c r="A49" i="79"/>
  <c r="A48" i="79"/>
  <c r="A47" i="79"/>
  <c r="A46" i="79"/>
  <c r="A45" i="79"/>
  <c r="A44" i="79"/>
  <c r="A43" i="79"/>
  <c r="A42" i="79"/>
  <c r="A41" i="79"/>
  <c r="A40" i="79"/>
  <c r="A39" i="79"/>
  <c r="A38" i="79"/>
  <c r="A37" i="79"/>
  <c r="A36" i="79"/>
  <c r="A35" i="79"/>
  <c r="A34" i="79"/>
  <c r="A33" i="79"/>
  <c r="A32" i="79"/>
  <c r="A31" i="79"/>
  <c r="A30" i="79"/>
  <c r="A29" i="79"/>
  <c r="A28" i="79"/>
  <c r="A24" i="79"/>
  <c r="A23" i="79"/>
  <c r="A22" i="79"/>
  <c r="A21" i="79"/>
  <c r="A20" i="79"/>
  <c r="A19" i="79"/>
  <c r="A18" i="79"/>
  <c r="A17" i="79"/>
  <c r="A16" i="79"/>
  <c r="A15" i="79"/>
  <c r="A14" i="79"/>
  <c r="A13" i="79"/>
  <c r="A12" i="79"/>
  <c r="A11" i="79"/>
  <c r="A10" i="79"/>
  <c r="A9" i="79"/>
  <c r="A5" i="79"/>
  <c r="A4" i="79"/>
  <c r="A3" i="79"/>
  <c r="A63" i="75"/>
  <c r="A62" i="75"/>
  <c r="A61" i="75"/>
  <c r="A60" i="75"/>
  <c r="A59" i="75"/>
  <c r="A58" i="75"/>
  <c r="A57" i="75"/>
  <c r="A56" i="75"/>
  <c r="A55" i="75"/>
  <c r="A54" i="75"/>
  <c r="A50" i="75"/>
  <c r="A49" i="75"/>
  <c r="A48" i="75"/>
  <c r="A47" i="75"/>
  <c r="A46" i="75"/>
  <c r="A45" i="75"/>
  <c r="A44" i="75"/>
  <c r="A43" i="75"/>
  <c r="A42" i="75"/>
  <c r="A41" i="75"/>
  <c r="A40" i="75"/>
  <c r="A39" i="75"/>
  <c r="A38" i="75"/>
  <c r="A37" i="75"/>
  <c r="A36" i="75"/>
  <c r="A35" i="75"/>
  <c r="A34" i="75"/>
  <c r="A33" i="75"/>
  <c r="A32" i="75"/>
  <c r="A31" i="75"/>
  <c r="A30" i="75"/>
  <c r="A29" i="75"/>
  <c r="A28" i="75"/>
  <c r="A24" i="75"/>
  <c r="A23" i="75"/>
  <c r="A22" i="75"/>
  <c r="A21" i="75"/>
  <c r="A20" i="75"/>
  <c r="A19" i="75"/>
  <c r="A18" i="75"/>
  <c r="A17" i="75"/>
  <c r="A16" i="75"/>
  <c r="A15" i="75"/>
  <c r="A14" i="75"/>
  <c r="A13" i="75"/>
  <c r="A12" i="75"/>
  <c r="A11" i="75"/>
  <c r="A10" i="75"/>
  <c r="A9" i="75"/>
  <c r="A5" i="75"/>
  <c r="A4" i="75"/>
  <c r="A3" i="75"/>
  <c r="A63" i="72"/>
  <c r="A62" i="72"/>
  <c r="A61" i="72"/>
  <c r="A60" i="72"/>
  <c r="A59" i="72"/>
  <c r="A58" i="72"/>
  <c r="A57" i="72"/>
  <c r="A56" i="72"/>
  <c r="A55" i="72"/>
  <c r="A54" i="72"/>
  <c r="A50" i="72"/>
  <c r="A49" i="72"/>
  <c r="A48" i="72"/>
  <c r="A47" i="72"/>
  <c r="A46" i="72"/>
  <c r="A45" i="72"/>
  <c r="A44" i="72"/>
  <c r="A43" i="72"/>
  <c r="A42" i="72"/>
  <c r="A41" i="72"/>
  <c r="A40" i="72"/>
  <c r="A39" i="72"/>
  <c r="A38" i="72"/>
  <c r="A37" i="72"/>
  <c r="A36" i="72"/>
  <c r="A35" i="72"/>
  <c r="A34" i="72"/>
  <c r="A33" i="72"/>
  <c r="A32" i="72"/>
  <c r="A31" i="72"/>
  <c r="A30" i="72"/>
  <c r="A29" i="72"/>
  <c r="A28" i="72"/>
  <c r="A24" i="72"/>
  <c r="A23" i="72"/>
  <c r="A22" i="72"/>
  <c r="A21" i="72"/>
  <c r="A20" i="72"/>
  <c r="A19" i="72"/>
  <c r="A18" i="72"/>
  <c r="A17" i="72"/>
  <c r="A16" i="72"/>
  <c r="A15" i="72"/>
  <c r="A14" i="72"/>
  <c r="A13" i="72"/>
  <c r="A12" i="72"/>
  <c r="A11" i="72"/>
  <c r="A10" i="72"/>
  <c r="A9" i="72"/>
  <c r="A5" i="72"/>
  <c r="A4" i="72"/>
  <c r="A3" i="72"/>
  <c r="A63" i="13"/>
  <c r="A62" i="13"/>
  <c r="A61" i="13"/>
  <c r="A60" i="13"/>
  <c r="A59" i="13"/>
  <c r="A58" i="13"/>
  <c r="A57" i="13"/>
  <c r="A56" i="13"/>
  <c r="A55" i="13"/>
  <c r="A54" i="13"/>
  <c r="A50" i="13"/>
  <c r="A49" i="13"/>
  <c r="A48" i="13"/>
  <c r="A47" i="13"/>
  <c r="A46" i="13"/>
  <c r="A45" i="13"/>
  <c r="A44" i="13"/>
  <c r="A43" i="13"/>
  <c r="A42" i="13"/>
  <c r="A41" i="13"/>
  <c r="A40" i="13"/>
  <c r="A39" i="13"/>
  <c r="A38" i="13"/>
  <c r="A37" i="13"/>
  <c r="A36" i="13"/>
  <c r="A35" i="13"/>
  <c r="A34" i="13"/>
  <c r="A33" i="13"/>
  <c r="A32" i="13"/>
  <c r="A31" i="13"/>
  <c r="A30" i="13"/>
  <c r="A29" i="13"/>
  <c r="A28" i="13"/>
  <c r="A24" i="13"/>
  <c r="A23" i="13"/>
  <c r="A22" i="13"/>
  <c r="A21" i="13"/>
  <c r="A20" i="13"/>
  <c r="A19" i="13"/>
  <c r="A18" i="13"/>
  <c r="A17" i="13"/>
  <c r="A16" i="13"/>
  <c r="A15" i="13"/>
  <c r="A14" i="13"/>
  <c r="A13" i="13"/>
  <c r="A12" i="13"/>
  <c r="A11" i="13"/>
  <c r="A10" i="13"/>
  <c r="A9" i="13"/>
  <c r="A5" i="13"/>
  <c r="A4" i="13"/>
  <c r="A3" i="13"/>
  <c r="A63" i="71"/>
  <c r="A62" i="71"/>
  <c r="A61" i="71"/>
  <c r="A60" i="71"/>
  <c r="A59" i="71"/>
  <c r="A58" i="71"/>
  <c r="A57" i="71"/>
  <c r="A56" i="71"/>
  <c r="A55" i="71"/>
  <c r="A54" i="71"/>
  <c r="A50" i="71"/>
  <c r="A49" i="71"/>
  <c r="A48" i="71"/>
  <c r="A47" i="71"/>
  <c r="A46" i="71"/>
  <c r="A45" i="71"/>
  <c r="A44" i="71"/>
  <c r="A43" i="71"/>
  <c r="A42" i="71"/>
  <c r="A41" i="71"/>
  <c r="A40" i="71"/>
  <c r="A39" i="71"/>
  <c r="A38" i="71"/>
  <c r="A37" i="71"/>
  <c r="A36" i="71"/>
  <c r="A35" i="71"/>
  <c r="A34" i="71"/>
  <c r="A33" i="71"/>
  <c r="A32" i="71"/>
  <c r="A31" i="71"/>
  <c r="A30" i="71"/>
  <c r="A29" i="71"/>
  <c r="A28" i="71"/>
  <c r="A24" i="71"/>
  <c r="A23" i="71"/>
  <c r="A22" i="71"/>
  <c r="A21" i="71"/>
  <c r="A20" i="71"/>
  <c r="A19" i="71"/>
  <c r="A18" i="71"/>
  <c r="A17" i="71"/>
  <c r="A16" i="71"/>
  <c r="A15" i="71"/>
  <c r="A14" i="71"/>
  <c r="A13" i="71"/>
  <c r="A12" i="71"/>
  <c r="A11" i="71"/>
  <c r="A10" i="71"/>
  <c r="A9" i="71"/>
  <c r="A5" i="71"/>
  <c r="A4" i="71"/>
  <c r="A3" i="71"/>
  <c r="H160" i="90"/>
  <c r="G160" i="90"/>
  <c r="F160" i="90"/>
  <c r="E160" i="90"/>
  <c r="D160" i="90"/>
  <c r="F627" i="117" a="1"/>
  <c r="F627" i="117" s="1"/>
  <c r="E627" i="117" a="1"/>
  <c r="E627" i="117" s="1"/>
  <c r="D627" i="117" a="1"/>
  <c r="D627" i="117" s="1"/>
  <c r="F609" i="117" a="1"/>
  <c r="F609" i="117" s="1"/>
  <c r="E609" i="117" a="1"/>
  <c r="E609" i="117" s="1"/>
  <c r="D609" i="117" a="1"/>
  <c r="D609" i="117" s="1"/>
  <c r="F490" i="117" a="1"/>
  <c r="F490" i="117" s="1"/>
  <c r="E490" i="117" a="1"/>
  <c r="E490" i="117" s="1"/>
  <c r="K490" i="117" s="1" a="1"/>
  <c r="K490" i="117" s="1"/>
  <c r="D490" i="117" a="1"/>
  <c r="D490" i="117" s="1"/>
  <c r="F448" i="117" a="1"/>
  <c r="F448" i="117" s="1"/>
  <c r="J448" i="117" s="1" a="1"/>
  <c r="J448" i="117" s="1"/>
  <c r="E448" i="117" a="1"/>
  <c r="E448" i="117" s="1"/>
  <c r="D448" i="117" a="1"/>
  <c r="D448" i="117" s="1"/>
  <c r="F430" i="117" a="1"/>
  <c r="F430" i="117" s="1"/>
  <c r="J430" i="117" s="1" a="1"/>
  <c r="J430" i="117" s="1"/>
  <c r="E430" i="117" a="1"/>
  <c r="D430" i="117" a="1"/>
  <c r="D430" i="117" s="1"/>
  <c r="F399" i="117" a="1"/>
  <c r="F399" i="117" s="1"/>
  <c r="E399" i="117" a="1"/>
  <c r="E399" i="117" s="1"/>
  <c r="J399" i="117" s="1" a="1"/>
  <c r="J399" i="117" s="1"/>
  <c r="D399" i="117" a="1"/>
  <c r="D399" i="117" s="1"/>
  <c r="E367" i="117" a="1"/>
  <c r="E367" i="117" s="1"/>
  <c r="D367" i="117" a="1"/>
  <c r="D367" i="117" s="1"/>
  <c r="G336" i="117" a="1"/>
  <c r="G336" i="117" s="1"/>
  <c r="F336" i="117" a="1"/>
  <c r="F336" i="117" s="1"/>
  <c r="K336" i="117" s="1" a="1"/>
  <c r="K336" i="117" s="1"/>
  <c r="E336" i="117" a="1"/>
  <c r="E336" i="117" s="1"/>
  <c r="D336" i="117" a="1"/>
  <c r="D336" i="117" s="1"/>
  <c r="D305" i="117" a="1"/>
  <c r="D305" i="117" s="1"/>
  <c r="AD237" i="117" a="1"/>
  <c r="AD237" i="117" s="1"/>
  <c r="AC237" i="117" a="1"/>
  <c r="Z237" i="117" a="1"/>
  <c r="Z237" i="117" s="1"/>
  <c r="Y237" i="117" a="1"/>
  <c r="Y237" i="117" s="1"/>
  <c r="V237" i="117" a="1"/>
  <c r="V237" i="117" s="1"/>
  <c r="U237" i="117" a="1"/>
  <c r="U237" i="117" s="1"/>
  <c r="R237" i="117" a="1"/>
  <c r="R237" i="117" s="1"/>
  <c r="Q237" i="117" a="1"/>
  <c r="P237" i="117" a="1"/>
  <c r="P237" i="117" s="1"/>
  <c r="O237" i="117" a="1"/>
  <c r="O237" i="117" s="1"/>
  <c r="D237" i="117" a="1"/>
  <c r="D237" i="117" s="1"/>
  <c r="D221" i="117" a="1"/>
  <c r="D221" i="117" s="1"/>
  <c r="AA119" i="117" a="1"/>
  <c r="AA119" i="117" s="1"/>
  <c r="Z119" i="117" a="1"/>
  <c r="Z119" i="117" s="1"/>
  <c r="Y119" i="117" a="1"/>
  <c r="Y119" i="117" s="1"/>
  <c r="W119" i="117" a="1"/>
  <c r="W119" i="117" s="1"/>
  <c r="V119" i="117" a="1"/>
  <c r="V119" i="117" s="1"/>
  <c r="U119" i="117" a="1"/>
  <c r="U119" i="117" s="1"/>
  <c r="S119" i="117" a="1"/>
  <c r="S119" i="117" s="1"/>
  <c r="R119" i="117" a="1"/>
  <c r="R119" i="117" s="1"/>
  <c r="Q119" i="117" a="1"/>
  <c r="Q119" i="117" s="1"/>
  <c r="O119" i="117" a="1"/>
  <c r="O119" i="117" s="1"/>
  <c r="N119" i="117" a="1"/>
  <c r="N119" i="117" s="1"/>
  <c r="M119" i="117" a="1"/>
  <c r="M119" i="117" s="1"/>
  <c r="E119" i="117" a="1"/>
  <c r="E119" i="117" s="1"/>
  <c r="I119" i="117" s="1" a="1"/>
  <c r="I119" i="117" s="1"/>
  <c r="D119" i="117" a="1"/>
  <c r="D119" i="117" s="1"/>
  <c r="H42" i="117" a="1"/>
  <c r="H42" i="117" s="1"/>
  <c r="E42" i="117" a="1"/>
  <c r="E42" i="117" s="1"/>
  <c r="D42" i="117" a="1"/>
  <c r="D42" i="117" s="1"/>
  <c r="D32" i="104"/>
  <c r="D25" i="104"/>
  <c r="F39" i="103"/>
  <c r="M39" i="103" s="1" a="1"/>
  <c r="M39" i="103" s="1"/>
  <c r="D37" i="103"/>
  <c r="D34" i="103"/>
  <c r="D33" i="103"/>
  <c r="D25" i="103"/>
  <c r="D75" i="97"/>
  <c r="D74" i="97"/>
  <c r="D73" i="97"/>
  <c r="D72" i="97"/>
  <c r="D71" i="97"/>
  <c r="D70" i="97"/>
  <c r="D69" i="97"/>
  <c r="D68" i="97"/>
  <c r="D134" i="96" a="1"/>
  <c r="D134" i="96" s="1"/>
  <c r="D102" i="96" a="1"/>
  <c r="D102" i="96" s="1"/>
  <c r="G25" i="95" a="1"/>
  <c r="G25" i="95" s="1"/>
  <c r="F25" i="95" a="1"/>
  <c r="F25" i="95" s="1"/>
  <c r="D25" i="95" a="1"/>
  <c r="D25" i="95" s="1"/>
  <c r="H20" i="94" a="1"/>
  <c r="H20" i="94" s="1"/>
  <c r="E20" i="94" a="1"/>
  <c r="E20" i="94" s="1"/>
  <c r="D20" i="94" a="1"/>
  <c r="D20" i="94" s="1"/>
  <c r="N82" i="92" a="1"/>
  <c r="N82" i="92" s="1"/>
  <c r="N77" i="92" a="1"/>
  <c r="N77" i="92" s="1"/>
  <c r="W54" i="92"/>
  <c r="W53" i="92"/>
  <c r="N50" i="92" a="1"/>
  <c r="N50" i="92" s="1"/>
  <c r="N45" i="92" a="1"/>
  <c r="N45" i="92" s="1"/>
  <c r="J21" i="102" a="1"/>
  <c r="J21" i="102" s="1"/>
  <c r="G21" i="102" a="1"/>
  <c r="G21" i="102" s="1"/>
  <c r="J20" i="102" a="1"/>
  <c r="J20" i="102" s="1"/>
  <c r="G20" i="102" a="1"/>
  <c r="G20" i="102" s="1"/>
  <c r="J19" i="102" a="1"/>
  <c r="J19" i="102" s="1"/>
  <c r="G19" i="102" a="1"/>
  <c r="G19" i="102" s="1"/>
  <c r="J18" i="102" a="1"/>
  <c r="J18" i="102" s="1"/>
  <c r="G18" i="102" a="1"/>
  <c r="G18" i="102" s="1"/>
  <c r="J17" i="102" a="1"/>
  <c r="J17" i="102" s="1"/>
  <c r="G17" i="102" a="1"/>
  <c r="G17" i="102" s="1"/>
  <c r="H16" i="113" a="1"/>
  <c r="H16" i="113" s="1"/>
  <c r="H15" i="113" a="1"/>
  <c r="H15" i="113" s="1"/>
  <c r="H14" i="113" a="1"/>
  <c r="H14" i="113" s="1"/>
  <c r="H13" i="113" a="1"/>
  <c r="H13" i="113" s="1"/>
  <c r="H12" i="113" a="1"/>
  <c r="H12" i="113" s="1"/>
  <c r="H11" i="113" a="1"/>
  <c r="H11" i="113" s="1"/>
  <c r="H10" i="113" a="1"/>
  <c r="H10" i="113" s="1"/>
  <c r="F27" i="120" a="1"/>
  <c r="F27" i="120" s="1"/>
  <c r="E27" i="120" a="1"/>
  <c r="E27" i="120" s="1"/>
  <c r="D27" i="120" a="1"/>
  <c r="D27" i="120" s="1"/>
  <c r="F26" i="120" a="1"/>
  <c r="F26" i="120" s="1"/>
  <c r="E26" i="120" a="1"/>
  <c r="E26" i="120" s="1"/>
  <c r="D26" i="120" a="1"/>
  <c r="D26" i="120" s="1"/>
  <c r="F25" i="120" a="1"/>
  <c r="F25" i="120" s="1"/>
  <c r="E25" i="120" a="1"/>
  <c r="E25" i="120" s="1"/>
  <c r="D25" i="120" a="1"/>
  <c r="D25" i="120" s="1"/>
  <c r="F24" i="120" a="1"/>
  <c r="F24" i="120" s="1"/>
  <c r="E24" i="120" a="1"/>
  <c r="E24" i="120" s="1"/>
  <c r="D24" i="120" a="1"/>
  <c r="D24" i="120" s="1"/>
  <c r="F23" i="120" a="1"/>
  <c r="F23" i="120" s="1"/>
  <c r="E23" i="120" a="1"/>
  <c r="E23" i="120" s="1"/>
  <c r="D23" i="120" a="1"/>
  <c r="D23" i="120" s="1"/>
  <c r="F22" i="120" a="1"/>
  <c r="F22" i="120" s="1"/>
  <c r="E22" i="120" a="1"/>
  <c r="E22" i="120" s="1"/>
  <c r="D22" i="120" a="1"/>
  <c r="D22" i="120" s="1"/>
  <c r="F21" i="120" a="1"/>
  <c r="F21" i="120" s="1"/>
  <c r="E21" i="120" a="1"/>
  <c r="E21" i="120" s="1"/>
  <c r="D21" i="120" a="1"/>
  <c r="D21" i="120" s="1"/>
  <c r="F20" i="120" a="1"/>
  <c r="F20" i="120" s="1"/>
  <c r="E20" i="120" a="1"/>
  <c r="E20" i="120" s="1"/>
  <c r="D20" i="120" a="1"/>
  <c r="D20" i="120" s="1"/>
  <c r="F19" i="120" a="1"/>
  <c r="F19" i="120" s="1"/>
  <c r="E19" i="120" a="1"/>
  <c r="E19" i="120" s="1"/>
  <c r="D19" i="120" a="1"/>
  <c r="D19" i="120" s="1"/>
  <c r="F18" i="120" a="1"/>
  <c r="F18" i="120" s="1"/>
  <c r="E18" i="120" a="1"/>
  <c r="E18" i="120" s="1"/>
  <c r="D18" i="120" a="1"/>
  <c r="D18" i="120" s="1"/>
  <c r="F17" i="120" a="1"/>
  <c r="F17" i="120" s="1"/>
  <c r="E17" i="120" a="1"/>
  <c r="E17" i="120" s="1"/>
  <c r="D17" i="120" a="1"/>
  <c r="D17" i="120" s="1"/>
  <c r="F16" i="120" a="1"/>
  <c r="F16" i="120" s="1"/>
  <c r="E16" i="120" a="1"/>
  <c r="E16" i="120" s="1"/>
  <c r="D16" i="120" a="1"/>
  <c r="D16" i="120" s="1"/>
  <c r="F15" i="120" a="1"/>
  <c r="F15" i="120" s="1"/>
  <c r="E11" i="88" s="1"/>
  <c r="E15" i="120" a="1"/>
  <c r="E15" i="120" s="1"/>
  <c r="D11" i="88" s="1"/>
  <c r="D118" i="79" s="1"/>
  <c r="O238" i="81" s="1"/>
  <c r="D15" i="120" a="1"/>
  <c r="D15" i="120" s="1"/>
  <c r="F14" i="120" a="1"/>
  <c r="F14" i="120" s="1"/>
  <c r="E10" i="88" s="1"/>
  <c r="E14" i="120" a="1"/>
  <c r="E14" i="120" s="1"/>
  <c r="D10" i="88" s="1"/>
  <c r="D113" i="79" s="1"/>
  <c r="D14" i="120" a="1"/>
  <c r="D14" i="120" s="1"/>
  <c r="F13" i="120" a="1"/>
  <c r="F13" i="120" s="1"/>
  <c r="E9" i="88" s="1"/>
  <c r="E13" i="120" a="1"/>
  <c r="E13" i="120" s="1"/>
  <c r="D9" i="88" s="1"/>
  <c r="D13" i="120" a="1"/>
  <c r="D13" i="120" s="1"/>
  <c r="F12" i="120" a="1"/>
  <c r="F12" i="120" s="1"/>
  <c r="E12" i="120" a="1"/>
  <c r="E12" i="120" s="1"/>
  <c r="D12" i="120" a="1"/>
  <c r="D12" i="120" s="1"/>
  <c r="F11" i="120" a="1"/>
  <c r="F11" i="120" s="1"/>
  <c r="E11" i="120" a="1"/>
  <c r="E11" i="120" s="1"/>
  <c r="D11" i="120" a="1"/>
  <c r="D11" i="120" s="1"/>
  <c r="F10" i="120" a="1"/>
  <c r="F10" i="120" s="1"/>
  <c r="E8" i="88" s="1"/>
  <c r="E10" i="120" a="1"/>
  <c r="E10" i="120" s="1"/>
  <c r="D8" i="88" s="1"/>
  <c r="D103" i="79" s="1"/>
  <c r="D10" i="120" a="1"/>
  <c r="D10" i="120" s="1"/>
  <c r="D8" i="120" a="1"/>
  <c r="D8" i="120" s="1"/>
  <c r="D7" i="120" a="1"/>
  <c r="D7" i="120" s="1"/>
  <c r="D6" i="120" a="1"/>
  <c r="D6" i="120" s="1"/>
  <c r="I237" i="119" a="1"/>
  <c r="I237" i="119" s="1"/>
  <c r="H237" i="119" a="1"/>
  <c r="H237" i="119" s="1"/>
  <c r="G237" i="119" a="1"/>
  <c r="G237" i="119" s="1"/>
  <c r="F237" i="119" a="1"/>
  <c r="F237" i="119" s="1"/>
  <c r="E237" i="119" a="1"/>
  <c r="E237" i="119" s="1"/>
  <c r="D237" i="119" a="1"/>
  <c r="D237" i="119" s="1"/>
  <c r="I236" i="119" a="1"/>
  <c r="I236" i="119" s="1"/>
  <c r="H236" i="119" a="1"/>
  <c r="H236" i="119" s="1"/>
  <c r="G236" i="119" a="1"/>
  <c r="G236" i="119" s="1"/>
  <c r="F236" i="119" a="1"/>
  <c r="F236" i="119" s="1"/>
  <c r="E236" i="119" a="1"/>
  <c r="E236" i="119" s="1"/>
  <c r="D236" i="119" a="1"/>
  <c r="D236" i="119" s="1"/>
  <c r="I235" i="119" a="1"/>
  <c r="I235" i="119" s="1"/>
  <c r="H235" i="119" a="1"/>
  <c r="H235" i="119" s="1"/>
  <c r="G235" i="119" a="1"/>
  <c r="G235" i="119" s="1"/>
  <c r="F235" i="119" a="1"/>
  <c r="F235" i="119" s="1"/>
  <c r="E235" i="119" a="1"/>
  <c r="E235" i="119" s="1"/>
  <c r="D235" i="119" a="1"/>
  <c r="D235" i="119" s="1"/>
  <c r="I231" i="119" a="1"/>
  <c r="I231" i="119" s="1"/>
  <c r="H231" i="119" a="1"/>
  <c r="H231" i="119" s="1"/>
  <c r="G231" i="119" a="1"/>
  <c r="G231" i="119" s="1"/>
  <c r="F231" i="119" a="1"/>
  <c r="F231" i="119" s="1"/>
  <c r="E231" i="119" a="1"/>
  <c r="E231" i="119" s="1"/>
  <c r="D231" i="119" a="1"/>
  <c r="D231" i="119" s="1"/>
  <c r="I230" i="119" a="1"/>
  <c r="I230" i="119" s="1"/>
  <c r="H230" i="119" a="1"/>
  <c r="H230" i="119" s="1"/>
  <c r="G230" i="119" a="1"/>
  <c r="G230" i="119" s="1"/>
  <c r="F230" i="119" a="1"/>
  <c r="F230" i="119" s="1"/>
  <c r="E230" i="119" a="1"/>
  <c r="E230" i="119" s="1"/>
  <c r="D230" i="119" a="1"/>
  <c r="D230" i="119" s="1"/>
  <c r="I229" i="119" a="1"/>
  <c r="I229" i="119" s="1"/>
  <c r="H229" i="119" a="1"/>
  <c r="H229" i="119" s="1"/>
  <c r="G229" i="119" a="1"/>
  <c r="G229" i="119" s="1"/>
  <c r="F229" i="119" a="1"/>
  <c r="F229" i="119" s="1"/>
  <c r="E229" i="119" a="1"/>
  <c r="E229" i="119" s="1"/>
  <c r="D229" i="119" a="1"/>
  <c r="D229" i="119" s="1"/>
  <c r="I228" i="119" a="1"/>
  <c r="I228" i="119" s="1"/>
  <c r="H228" i="119" a="1"/>
  <c r="H228" i="119" s="1"/>
  <c r="G228" i="119" a="1"/>
  <c r="G228" i="119" s="1"/>
  <c r="F228" i="119" a="1"/>
  <c r="F228" i="119" s="1"/>
  <c r="E228" i="119" a="1"/>
  <c r="E228" i="119" s="1"/>
  <c r="D228" i="119" a="1"/>
  <c r="D228" i="119" s="1"/>
  <c r="I227" i="119" a="1"/>
  <c r="I227" i="119" s="1"/>
  <c r="H227" i="119" a="1"/>
  <c r="H227" i="119" s="1"/>
  <c r="G227" i="119" a="1"/>
  <c r="G227" i="119" s="1"/>
  <c r="F227" i="119" a="1"/>
  <c r="F227" i="119" s="1"/>
  <c r="E227" i="119" a="1"/>
  <c r="E227" i="119" s="1"/>
  <c r="D227" i="119" a="1"/>
  <c r="D227" i="119" s="1"/>
  <c r="I226" i="119" a="1"/>
  <c r="I226" i="119" s="1"/>
  <c r="H226" i="119" a="1"/>
  <c r="H226" i="119" s="1"/>
  <c r="G226" i="119" a="1"/>
  <c r="G226" i="119" s="1"/>
  <c r="F226" i="119" a="1"/>
  <c r="F226" i="119" s="1"/>
  <c r="E226" i="119" a="1"/>
  <c r="E226" i="119" s="1"/>
  <c r="D226" i="119" a="1"/>
  <c r="D226" i="119" s="1"/>
  <c r="I225" i="119" a="1"/>
  <c r="I225" i="119" s="1"/>
  <c r="H225" i="119" a="1"/>
  <c r="H225" i="119" s="1"/>
  <c r="G225" i="119" a="1"/>
  <c r="G225" i="119" s="1"/>
  <c r="F225" i="119" a="1"/>
  <c r="F225" i="119" s="1"/>
  <c r="E225" i="119" a="1"/>
  <c r="E225" i="119" s="1"/>
  <c r="D225" i="119" a="1"/>
  <c r="D225" i="119" s="1"/>
  <c r="I224" i="119" a="1"/>
  <c r="I224" i="119" s="1"/>
  <c r="H224" i="119" a="1"/>
  <c r="H224" i="119" s="1"/>
  <c r="G224" i="119" a="1"/>
  <c r="G224" i="119" s="1"/>
  <c r="F224" i="119" a="1"/>
  <c r="F224" i="119" s="1"/>
  <c r="E224" i="119" a="1"/>
  <c r="E224" i="119" s="1"/>
  <c r="D224" i="119" a="1"/>
  <c r="D224" i="119" s="1"/>
  <c r="I223" i="119" a="1"/>
  <c r="I223" i="119" s="1"/>
  <c r="H223" i="119" a="1"/>
  <c r="H223" i="119" s="1"/>
  <c r="G223" i="119" a="1"/>
  <c r="G223" i="119" s="1"/>
  <c r="F223" i="119" a="1"/>
  <c r="F223" i="119" s="1"/>
  <c r="E223" i="119" a="1"/>
  <c r="E223" i="119" s="1"/>
  <c r="D223" i="119" a="1"/>
  <c r="D223" i="119" s="1"/>
  <c r="I222" i="119" a="1"/>
  <c r="I222" i="119" s="1"/>
  <c r="H222" i="119" a="1"/>
  <c r="H222" i="119" s="1"/>
  <c r="G222" i="119" a="1"/>
  <c r="G222" i="119" s="1"/>
  <c r="F222" i="119" a="1"/>
  <c r="F222" i="119" s="1"/>
  <c r="E222" i="119" a="1"/>
  <c r="E222" i="119" s="1"/>
  <c r="D222" i="119" a="1"/>
  <c r="D222" i="119" s="1"/>
  <c r="I221" i="119" a="1"/>
  <c r="I221" i="119" s="1"/>
  <c r="H221" i="119" a="1"/>
  <c r="H221" i="119" s="1"/>
  <c r="G221" i="119" a="1"/>
  <c r="G221" i="119" s="1"/>
  <c r="F221" i="119" a="1"/>
  <c r="F221" i="119" s="1"/>
  <c r="E221" i="119" a="1"/>
  <c r="E221" i="119" s="1"/>
  <c r="D221" i="119" a="1"/>
  <c r="D221" i="119" s="1"/>
  <c r="I220" i="119" a="1"/>
  <c r="I220" i="119" s="1"/>
  <c r="H220" i="119" a="1"/>
  <c r="H220" i="119" s="1"/>
  <c r="G220" i="119" a="1"/>
  <c r="G220" i="119" s="1"/>
  <c r="F220" i="119" a="1"/>
  <c r="F220" i="119" s="1"/>
  <c r="E220" i="119" a="1"/>
  <c r="E220" i="119" s="1"/>
  <c r="D220" i="119" a="1"/>
  <c r="D220" i="119" s="1"/>
  <c r="I216" i="119" a="1"/>
  <c r="I216" i="119" s="1"/>
  <c r="H216" i="119" a="1"/>
  <c r="H216" i="119" s="1"/>
  <c r="G216" i="119" a="1"/>
  <c r="G216" i="119" s="1"/>
  <c r="F216" i="119" a="1"/>
  <c r="F216" i="119" s="1"/>
  <c r="E216" i="119" a="1"/>
  <c r="E216" i="119" s="1"/>
  <c r="D216" i="119" a="1"/>
  <c r="D216" i="119" s="1"/>
  <c r="I215" i="119" a="1"/>
  <c r="I215" i="119" s="1"/>
  <c r="H215" i="119" a="1"/>
  <c r="H215" i="119" s="1"/>
  <c r="G215" i="119" a="1"/>
  <c r="G215" i="119" s="1"/>
  <c r="F215" i="119" a="1"/>
  <c r="F215" i="119" s="1"/>
  <c r="E215" i="119" a="1"/>
  <c r="E215" i="119" s="1"/>
  <c r="D215" i="119" a="1"/>
  <c r="D215" i="119" s="1"/>
  <c r="I214" i="119" a="1"/>
  <c r="I214" i="119" s="1"/>
  <c r="H214" i="119" a="1"/>
  <c r="H214" i="119" s="1"/>
  <c r="G214" i="119" a="1"/>
  <c r="G214" i="119" s="1"/>
  <c r="F214" i="119" a="1"/>
  <c r="F214" i="119" s="1"/>
  <c r="E214" i="119" a="1"/>
  <c r="E214" i="119" s="1"/>
  <c r="D214" i="119" a="1"/>
  <c r="D214" i="119" s="1"/>
  <c r="I213" i="119" a="1"/>
  <c r="I213" i="119" s="1"/>
  <c r="H213" i="119" a="1"/>
  <c r="H213" i="119" s="1"/>
  <c r="G213" i="119" a="1"/>
  <c r="G213" i="119" s="1"/>
  <c r="F213" i="119" a="1"/>
  <c r="F213" i="119" s="1"/>
  <c r="E213" i="119" a="1"/>
  <c r="E213" i="119" s="1"/>
  <c r="D213" i="119" a="1"/>
  <c r="D213" i="119" s="1"/>
  <c r="I209" i="119" a="1"/>
  <c r="I209" i="119" s="1"/>
  <c r="H209" i="119" a="1"/>
  <c r="H209" i="119" s="1"/>
  <c r="G209" i="119" a="1"/>
  <c r="G209" i="119" s="1"/>
  <c r="F209" i="119" a="1"/>
  <c r="F209" i="119" s="1"/>
  <c r="E209" i="119" a="1"/>
  <c r="E209" i="119" s="1"/>
  <c r="D125" i="114" s="1"/>
  <c r="D470" i="117" s="1"/>
  <c r="F470" i="117" s="1" a="1"/>
  <c r="F470" i="117" s="1"/>
  <c r="D209" i="119" a="1"/>
  <c r="D209" i="119" s="1"/>
  <c r="I208" i="119" a="1"/>
  <c r="I208" i="119" s="1"/>
  <c r="H208" i="119" a="1"/>
  <c r="H208" i="119" s="1"/>
  <c r="G208" i="119" a="1"/>
  <c r="G208" i="119" s="1"/>
  <c r="F208" i="119" a="1"/>
  <c r="F208" i="119" s="1"/>
  <c r="E208" i="119" a="1"/>
  <c r="E208" i="119" s="1"/>
  <c r="D124" i="114" s="1"/>
  <c r="D469" i="117" s="1"/>
  <c r="D208" i="119" a="1"/>
  <c r="D208" i="119" s="1"/>
  <c r="I207" i="119" a="1"/>
  <c r="I207" i="119" s="1"/>
  <c r="H207" i="119" a="1"/>
  <c r="H207" i="119" s="1"/>
  <c r="G207" i="119" a="1"/>
  <c r="G207" i="119" s="1"/>
  <c r="F207" i="119" a="1"/>
  <c r="F207" i="119" s="1"/>
  <c r="E207" i="119" a="1"/>
  <c r="E207" i="119" s="1"/>
  <c r="D123" i="114" s="1"/>
  <c r="D468" i="117" s="1"/>
  <c r="F468" i="117" s="1" a="1"/>
  <c r="F468" i="117" s="1"/>
  <c r="D207" i="119" a="1"/>
  <c r="D207" i="119" s="1"/>
  <c r="I206" i="119" a="1"/>
  <c r="I206" i="119" s="1"/>
  <c r="H206" i="119" a="1"/>
  <c r="H206" i="119" s="1"/>
  <c r="G206" i="119" a="1"/>
  <c r="G206" i="119" s="1"/>
  <c r="F206" i="119" a="1"/>
  <c r="F206" i="119" s="1"/>
  <c r="E206" i="119" a="1"/>
  <c r="E206" i="119" s="1"/>
  <c r="D130" i="114" s="1"/>
  <c r="D481" i="117" s="1"/>
  <c r="D206" i="119" a="1"/>
  <c r="D206" i="119" s="1"/>
  <c r="I205" i="119" a="1"/>
  <c r="I205" i="119" s="1"/>
  <c r="H205" i="119" a="1"/>
  <c r="H205" i="119" s="1"/>
  <c r="G205" i="119" a="1"/>
  <c r="G205" i="119" s="1"/>
  <c r="F205" i="119" a="1"/>
  <c r="F205" i="119" s="1"/>
  <c r="E205" i="119" a="1"/>
  <c r="E205" i="119" s="1"/>
  <c r="D122" i="114" s="1"/>
  <c r="D467" i="117" s="1"/>
  <c r="F467" i="117" s="1" a="1"/>
  <c r="F467" i="117" s="1"/>
  <c r="D205" i="119" a="1"/>
  <c r="D205" i="119" s="1"/>
  <c r="I204" i="119" a="1"/>
  <c r="I204" i="119" s="1"/>
  <c r="H204" i="119" a="1"/>
  <c r="H204" i="119" s="1"/>
  <c r="G204" i="119" a="1"/>
  <c r="G204" i="119" s="1"/>
  <c r="F204" i="119" a="1"/>
  <c r="F204" i="119" s="1"/>
  <c r="E204" i="119" a="1"/>
  <c r="E204" i="119" s="1"/>
  <c r="D121" i="114" s="1"/>
  <c r="D466" i="117" s="1"/>
  <c r="D204" i="119" a="1"/>
  <c r="D204" i="119" s="1"/>
  <c r="I203" i="119" a="1"/>
  <c r="I203" i="119" s="1"/>
  <c r="H203" i="119" a="1"/>
  <c r="H203" i="119" s="1"/>
  <c r="G203" i="119" a="1"/>
  <c r="G203" i="119" s="1"/>
  <c r="F203" i="119" a="1"/>
  <c r="F203" i="119" s="1"/>
  <c r="E203" i="119" a="1"/>
  <c r="E203" i="119" s="1"/>
  <c r="D129" i="114" s="1"/>
  <c r="D480" i="117" s="1"/>
  <c r="F480" i="117" s="1" a="1"/>
  <c r="F480" i="117" s="1"/>
  <c r="D203" i="119" a="1"/>
  <c r="D203" i="119" s="1"/>
  <c r="I202" i="119" a="1"/>
  <c r="I202" i="119" s="1"/>
  <c r="H202" i="119" a="1"/>
  <c r="H202" i="119" s="1"/>
  <c r="G202" i="119" a="1"/>
  <c r="G202" i="119" s="1"/>
  <c r="F202" i="119" a="1"/>
  <c r="F202" i="119" s="1"/>
  <c r="E202" i="119" a="1"/>
  <c r="E202" i="119" s="1"/>
  <c r="D128" i="114" s="1"/>
  <c r="D479" i="117" s="1"/>
  <c r="D202" i="119" a="1"/>
  <c r="D202" i="119" s="1"/>
  <c r="M198" i="119" a="1"/>
  <c r="M198" i="119" s="1"/>
  <c r="L198" i="119" a="1"/>
  <c r="L198" i="119" s="1"/>
  <c r="K198" i="119" a="1"/>
  <c r="K198" i="119" s="1"/>
  <c r="F198" i="119" a="1"/>
  <c r="F198" i="119" s="1"/>
  <c r="E198" i="119" a="1"/>
  <c r="E198" i="119" s="1"/>
  <c r="D198" i="119" a="1"/>
  <c r="D198" i="119" s="1"/>
  <c r="M197" i="119" a="1"/>
  <c r="M197" i="119" s="1"/>
  <c r="L197" i="119" a="1"/>
  <c r="L197" i="119" s="1"/>
  <c r="K197" i="119" a="1"/>
  <c r="K197" i="119" s="1"/>
  <c r="F197" i="119" a="1"/>
  <c r="F197" i="119" s="1"/>
  <c r="E197" i="119" a="1"/>
  <c r="E197" i="119" s="1"/>
  <c r="D197" i="119" a="1"/>
  <c r="D197" i="119" s="1"/>
  <c r="M196" i="119" a="1"/>
  <c r="M196" i="119" s="1"/>
  <c r="L196" i="119" a="1"/>
  <c r="L196" i="119" s="1"/>
  <c r="K196" i="119" a="1"/>
  <c r="K196" i="119" s="1"/>
  <c r="F196" i="119" a="1"/>
  <c r="F196" i="119" s="1"/>
  <c r="E196" i="119" a="1"/>
  <c r="E196" i="119" s="1"/>
  <c r="D196" i="119" a="1"/>
  <c r="D196" i="119" s="1"/>
  <c r="M195" i="119" a="1"/>
  <c r="M195" i="119" s="1"/>
  <c r="L195" i="119" a="1"/>
  <c r="L195" i="119" s="1"/>
  <c r="K195" i="119" a="1"/>
  <c r="K195" i="119" s="1"/>
  <c r="F195" i="119" a="1"/>
  <c r="F195" i="119" s="1"/>
  <c r="E195" i="119" a="1"/>
  <c r="E195" i="119" s="1"/>
  <c r="D195" i="119" a="1"/>
  <c r="D195" i="119" s="1"/>
  <c r="M194" i="119" a="1"/>
  <c r="M194" i="119" s="1"/>
  <c r="L194" i="119" a="1"/>
  <c r="L194" i="119" s="1"/>
  <c r="K194" i="119" a="1"/>
  <c r="K194" i="119" s="1"/>
  <c r="F194" i="119" a="1"/>
  <c r="F194" i="119" s="1"/>
  <c r="E194" i="119" a="1"/>
  <c r="E194" i="119" s="1"/>
  <c r="D194" i="119" a="1"/>
  <c r="D194" i="119" s="1"/>
  <c r="M193" i="119" a="1"/>
  <c r="M193" i="119" s="1"/>
  <c r="L193" i="119" a="1"/>
  <c r="L193" i="119" s="1"/>
  <c r="K193" i="119" a="1"/>
  <c r="K193" i="119" s="1"/>
  <c r="F193" i="119" a="1"/>
  <c r="F193" i="119" s="1"/>
  <c r="E193" i="119" a="1"/>
  <c r="E193" i="119" s="1"/>
  <c r="D193" i="119" a="1"/>
  <c r="D193" i="119" s="1"/>
  <c r="M192" i="119" a="1"/>
  <c r="M192" i="119" s="1"/>
  <c r="L192" i="119" a="1"/>
  <c r="L192" i="119" s="1"/>
  <c r="K192" i="119" a="1"/>
  <c r="K192" i="119" s="1"/>
  <c r="F192" i="119" a="1"/>
  <c r="F192" i="119" s="1"/>
  <c r="E192" i="119" a="1"/>
  <c r="E192" i="119" s="1"/>
  <c r="D192" i="119" a="1"/>
  <c r="D192" i="119" s="1"/>
  <c r="M191" i="119" a="1"/>
  <c r="M191" i="119" s="1"/>
  <c r="L191" i="119" a="1"/>
  <c r="L191" i="119" s="1"/>
  <c r="K191" i="119" a="1"/>
  <c r="K191" i="119" s="1"/>
  <c r="F191" i="119" a="1"/>
  <c r="F191" i="119" s="1"/>
  <c r="E191" i="119" a="1"/>
  <c r="E191" i="119" s="1"/>
  <c r="D191" i="119" a="1"/>
  <c r="D191" i="119" s="1"/>
  <c r="M190" i="119" a="1"/>
  <c r="M190" i="119" s="1"/>
  <c r="L190" i="119" a="1"/>
  <c r="L190" i="119" s="1"/>
  <c r="K190" i="119" a="1"/>
  <c r="K190" i="119" s="1"/>
  <c r="F190" i="119" a="1"/>
  <c r="F190" i="119" s="1"/>
  <c r="E190" i="119" a="1"/>
  <c r="E190" i="119" s="1"/>
  <c r="D190" i="119" a="1"/>
  <c r="D190" i="119" s="1"/>
  <c r="M189" i="119" a="1"/>
  <c r="M189" i="119" s="1"/>
  <c r="L189" i="119" a="1"/>
  <c r="L189" i="119" s="1"/>
  <c r="K189" i="119" a="1"/>
  <c r="K189" i="119" s="1"/>
  <c r="F189" i="119" a="1"/>
  <c r="F189" i="119" s="1"/>
  <c r="E189" i="119" a="1"/>
  <c r="E189" i="119" s="1"/>
  <c r="D189" i="119" a="1"/>
  <c r="D189" i="119" s="1"/>
  <c r="M188" i="119" a="1"/>
  <c r="M188" i="119" s="1"/>
  <c r="L188" i="119" a="1"/>
  <c r="L188" i="119" s="1"/>
  <c r="K188" i="119" a="1"/>
  <c r="K188" i="119" s="1"/>
  <c r="F188" i="119" a="1"/>
  <c r="F188" i="119" s="1"/>
  <c r="E188" i="119" a="1"/>
  <c r="E188" i="119" s="1"/>
  <c r="D188" i="119" a="1"/>
  <c r="D188" i="119" s="1"/>
  <c r="M187" i="119" a="1"/>
  <c r="M187" i="119" s="1"/>
  <c r="L187" i="119" a="1"/>
  <c r="L187" i="119" s="1"/>
  <c r="K187" i="119" a="1"/>
  <c r="K187" i="119" s="1"/>
  <c r="F187" i="119" a="1"/>
  <c r="F187" i="119" s="1"/>
  <c r="E187" i="119" a="1"/>
  <c r="E187" i="119" s="1"/>
  <c r="D187" i="119" a="1"/>
  <c r="D187" i="119" s="1"/>
  <c r="M186" i="119" a="1"/>
  <c r="M186" i="119" s="1"/>
  <c r="L186" i="119" a="1"/>
  <c r="L186" i="119" s="1"/>
  <c r="K186" i="119" a="1"/>
  <c r="K186" i="119" s="1"/>
  <c r="F186" i="119" a="1"/>
  <c r="F186" i="119" s="1"/>
  <c r="E186" i="119" a="1"/>
  <c r="E186" i="119" s="1"/>
  <c r="D186" i="119" a="1"/>
  <c r="D186" i="119" s="1"/>
  <c r="M185" i="119" a="1"/>
  <c r="M185" i="119" s="1"/>
  <c r="L185" i="119" a="1"/>
  <c r="L185" i="119" s="1"/>
  <c r="K185" i="119" a="1"/>
  <c r="K185" i="119" s="1"/>
  <c r="F185" i="119" a="1"/>
  <c r="F185" i="119" s="1"/>
  <c r="E185" i="119" a="1"/>
  <c r="E185" i="119" s="1"/>
  <c r="D185" i="119" a="1"/>
  <c r="D185" i="119" s="1"/>
  <c r="M184" i="119" a="1"/>
  <c r="M184" i="119" s="1"/>
  <c r="L184" i="119" a="1"/>
  <c r="L184" i="119" s="1"/>
  <c r="K184" i="119" a="1"/>
  <c r="K184" i="119" s="1"/>
  <c r="F184" i="119" a="1"/>
  <c r="F184" i="119" s="1"/>
  <c r="E184" i="119" a="1"/>
  <c r="E184" i="119" s="1"/>
  <c r="D184" i="119" a="1"/>
  <c r="D184" i="119" s="1"/>
  <c r="M183" i="119" a="1"/>
  <c r="M183" i="119" s="1"/>
  <c r="L183" i="119" a="1"/>
  <c r="L183" i="119" s="1"/>
  <c r="K183" i="119" a="1"/>
  <c r="K183" i="119" s="1"/>
  <c r="F183" i="119" a="1"/>
  <c r="F183" i="119" s="1"/>
  <c r="E183" i="119" a="1"/>
  <c r="E183" i="119" s="1"/>
  <c r="D183" i="119" a="1"/>
  <c r="D183" i="119" s="1"/>
  <c r="M182" i="119" a="1"/>
  <c r="M182" i="119" s="1"/>
  <c r="L182" i="119" a="1"/>
  <c r="L182" i="119" s="1"/>
  <c r="K182" i="119" a="1"/>
  <c r="K182" i="119" s="1"/>
  <c r="F182" i="119" a="1"/>
  <c r="F182" i="119" s="1"/>
  <c r="E182" i="119" a="1"/>
  <c r="E182" i="119" s="1"/>
  <c r="D182" i="119" a="1"/>
  <c r="D182" i="119" s="1"/>
  <c r="M181" i="119" a="1"/>
  <c r="M181" i="119" s="1"/>
  <c r="L181" i="119" a="1"/>
  <c r="L181" i="119" s="1"/>
  <c r="K181" i="119" a="1"/>
  <c r="K181" i="119" s="1"/>
  <c r="F181" i="119" a="1"/>
  <c r="F181" i="119" s="1"/>
  <c r="E181" i="119" a="1"/>
  <c r="E181" i="119" s="1"/>
  <c r="D181" i="119" a="1"/>
  <c r="D181" i="119" s="1"/>
  <c r="M180" i="119" a="1"/>
  <c r="M180" i="119" s="1"/>
  <c r="L180" i="119" a="1"/>
  <c r="L180" i="119" s="1"/>
  <c r="K180" i="119" a="1"/>
  <c r="K180" i="119" s="1"/>
  <c r="F180" i="119" a="1"/>
  <c r="F180" i="119" s="1"/>
  <c r="E180" i="119" a="1"/>
  <c r="E180" i="119" s="1"/>
  <c r="D180" i="119" a="1"/>
  <c r="D180" i="119" s="1"/>
  <c r="M179" i="119" a="1"/>
  <c r="M179" i="119" s="1"/>
  <c r="L179" i="119" a="1"/>
  <c r="L179" i="119" s="1"/>
  <c r="K179" i="119" a="1"/>
  <c r="K179" i="119" s="1"/>
  <c r="F179" i="119" a="1"/>
  <c r="F179" i="119" s="1"/>
  <c r="E179" i="119" a="1"/>
  <c r="E179" i="119" s="1"/>
  <c r="D179" i="119" a="1"/>
  <c r="D179" i="119" s="1"/>
  <c r="M178" i="119" a="1"/>
  <c r="M178" i="119" s="1"/>
  <c r="L178" i="119" a="1"/>
  <c r="L178" i="119" s="1"/>
  <c r="K178" i="119" a="1"/>
  <c r="K178" i="119" s="1"/>
  <c r="F178" i="119" a="1"/>
  <c r="F178" i="119" s="1"/>
  <c r="E178" i="119" a="1"/>
  <c r="E178" i="119" s="1"/>
  <c r="D178" i="119" a="1"/>
  <c r="D178" i="119" s="1"/>
  <c r="M177" i="119" a="1"/>
  <c r="M177" i="119" s="1"/>
  <c r="L177" i="119" a="1"/>
  <c r="L177" i="119" s="1"/>
  <c r="K177" i="119" a="1"/>
  <c r="K177" i="119" s="1"/>
  <c r="F177" i="119" a="1"/>
  <c r="F177" i="119" s="1"/>
  <c r="E177" i="119" a="1"/>
  <c r="E177" i="119" s="1"/>
  <c r="D177" i="119" a="1"/>
  <c r="D177" i="119" s="1"/>
  <c r="M176" i="119" a="1"/>
  <c r="M176" i="119" s="1"/>
  <c r="L176" i="119" a="1"/>
  <c r="L176" i="119" s="1"/>
  <c r="K176" i="119" a="1"/>
  <c r="K176" i="119" s="1"/>
  <c r="F176" i="119" a="1"/>
  <c r="F176" i="119" s="1"/>
  <c r="E176" i="119" a="1"/>
  <c r="E176" i="119" s="1"/>
  <c r="D176" i="119" a="1"/>
  <c r="D176" i="119" s="1"/>
  <c r="M175" i="119" a="1"/>
  <c r="M175" i="119" s="1"/>
  <c r="L175" i="119" a="1"/>
  <c r="L175" i="119" s="1"/>
  <c r="K175" i="119" a="1"/>
  <c r="K175" i="119" s="1"/>
  <c r="F175" i="119" a="1"/>
  <c r="F175" i="119" s="1"/>
  <c r="E175" i="119" a="1"/>
  <c r="E175" i="119" s="1"/>
  <c r="D175" i="119" a="1"/>
  <c r="D175" i="119" s="1"/>
  <c r="M174" i="119" a="1"/>
  <c r="M174" i="119" s="1"/>
  <c r="L174" i="119" a="1"/>
  <c r="L174" i="119" s="1"/>
  <c r="K174" i="119" a="1"/>
  <c r="K174" i="119" s="1"/>
  <c r="F174" i="119" a="1"/>
  <c r="F174" i="119" s="1"/>
  <c r="E174" i="119" a="1"/>
  <c r="E174" i="119" s="1"/>
  <c r="D174" i="119" a="1"/>
  <c r="D174" i="119" s="1"/>
  <c r="I170" i="119" a="1"/>
  <c r="I170" i="119" s="1"/>
  <c r="H170" i="119" a="1"/>
  <c r="H170" i="119" s="1"/>
  <c r="G170" i="119" a="1"/>
  <c r="G170" i="119" s="1"/>
  <c r="F170" i="119" a="1"/>
  <c r="F170" i="119" s="1"/>
  <c r="E170" i="119" a="1"/>
  <c r="E170" i="119" s="1"/>
  <c r="D170" i="119" a="1"/>
  <c r="D170" i="119" s="1"/>
  <c r="I169" i="119" a="1"/>
  <c r="I169" i="119" s="1"/>
  <c r="H169" i="119" a="1"/>
  <c r="H169" i="119" s="1"/>
  <c r="G169" i="119" a="1"/>
  <c r="G169" i="119" s="1"/>
  <c r="F169" i="119" a="1"/>
  <c r="F169" i="119" s="1"/>
  <c r="E169" i="119" a="1"/>
  <c r="E169" i="119" s="1"/>
  <c r="D169" i="119" a="1"/>
  <c r="D169" i="119" s="1"/>
  <c r="I168" i="119" a="1"/>
  <c r="I168" i="119" s="1"/>
  <c r="H168" i="119" a="1"/>
  <c r="H168" i="119" s="1"/>
  <c r="G168" i="119" a="1"/>
  <c r="G168" i="119" s="1"/>
  <c r="F168" i="119" a="1"/>
  <c r="F168" i="119" s="1"/>
  <c r="E168" i="119" a="1"/>
  <c r="E168" i="119" s="1"/>
  <c r="D51" i="114" s="1" a="1"/>
  <c r="D168" i="119" a="1"/>
  <c r="D168" i="119" s="1"/>
  <c r="I165" i="119" a="1"/>
  <c r="I165" i="119" s="1"/>
  <c r="H165" i="119" a="1"/>
  <c r="H165" i="119" s="1"/>
  <c r="G165" i="119" a="1"/>
  <c r="G165" i="119" s="1"/>
  <c r="F165" i="119" a="1"/>
  <c r="F165" i="119" s="1"/>
  <c r="E165" i="119" a="1"/>
  <c r="E165" i="119" s="1"/>
  <c r="D165" i="119" a="1"/>
  <c r="D165" i="119" s="1"/>
  <c r="I164" i="119" a="1"/>
  <c r="I164" i="119" s="1"/>
  <c r="H164" i="119" a="1"/>
  <c r="H164" i="119" s="1"/>
  <c r="G164" i="119" a="1"/>
  <c r="G164" i="119" s="1"/>
  <c r="F164" i="119" a="1"/>
  <c r="F164" i="119" s="1"/>
  <c r="E164" i="119" a="1"/>
  <c r="E164" i="119" s="1"/>
  <c r="D164" i="119" a="1"/>
  <c r="D164" i="119" s="1"/>
  <c r="I163" i="119" a="1"/>
  <c r="I163" i="119" s="1"/>
  <c r="H163" i="119" a="1"/>
  <c r="H163" i="119" s="1"/>
  <c r="G163" i="119" a="1"/>
  <c r="G163" i="119" s="1"/>
  <c r="F163" i="119" a="1"/>
  <c r="F163" i="119" s="1"/>
  <c r="E163" i="119" a="1"/>
  <c r="E163" i="119" s="1"/>
  <c r="D163" i="119" a="1"/>
  <c r="D163" i="119" s="1"/>
  <c r="I162" i="119" a="1"/>
  <c r="I162" i="119" s="1"/>
  <c r="H162" i="119" a="1"/>
  <c r="H162" i="119" s="1"/>
  <c r="G162" i="119" a="1"/>
  <c r="G162" i="119" s="1"/>
  <c r="F162" i="119" a="1"/>
  <c r="F162" i="119" s="1"/>
  <c r="E162" i="119" a="1"/>
  <c r="E162" i="119" s="1"/>
  <c r="D162" i="119" a="1"/>
  <c r="D162" i="119" s="1"/>
  <c r="I159" i="119" a="1"/>
  <c r="I159" i="119" s="1"/>
  <c r="H159" i="119" a="1"/>
  <c r="H159" i="119" s="1"/>
  <c r="G159" i="119" a="1"/>
  <c r="G159" i="119" s="1"/>
  <c r="F159" i="119" a="1"/>
  <c r="F159" i="119" s="1"/>
  <c r="O159" i="119" s="1"/>
  <c r="E159" i="119" a="1"/>
  <c r="E159" i="119" s="1"/>
  <c r="N159" i="119" s="1"/>
  <c r="P158" i="119" s="1"/>
  <c r="D159" i="119" a="1"/>
  <c r="D159" i="119" s="1"/>
  <c r="I158" i="119" a="1"/>
  <c r="I158" i="119" s="1"/>
  <c r="H158" i="119" a="1"/>
  <c r="H158" i="119" s="1"/>
  <c r="G158" i="119" a="1"/>
  <c r="G158" i="119" s="1"/>
  <c r="F158" i="119" a="1"/>
  <c r="F158" i="119" s="1"/>
  <c r="L158" i="119" s="1"/>
  <c r="E158" i="119" a="1"/>
  <c r="E158" i="119" s="1"/>
  <c r="K158" i="119" s="1"/>
  <c r="M157" i="119" s="1"/>
  <c r="D158" i="119" a="1"/>
  <c r="D158" i="119" s="1"/>
  <c r="I157" i="119" a="1"/>
  <c r="I157" i="119" s="1"/>
  <c r="H157" i="119" a="1"/>
  <c r="H157" i="119" s="1"/>
  <c r="G157" i="119" a="1"/>
  <c r="G157" i="119" s="1"/>
  <c r="F157" i="119" a="1"/>
  <c r="F157" i="119" s="1"/>
  <c r="O157" i="119" s="1"/>
  <c r="E157" i="119" a="1"/>
  <c r="E157" i="119" s="1"/>
  <c r="N157" i="119" s="1"/>
  <c r="P156" i="119" s="1"/>
  <c r="D157" i="119" a="1"/>
  <c r="D157" i="119" s="1"/>
  <c r="I156" i="119" a="1"/>
  <c r="I156" i="119" s="1"/>
  <c r="H156" i="119" a="1"/>
  <c r="H156" i="119" s="1"/>
  <c r="G156" i="119" a="1"/>
  <c r="G156" i="119" s="1"/>
  <c r="F156" i="119" a="1"/>
  <c r="F156" i="119" s="1"/>
  <c r="L156" i="119" s="1"/>
  <c r="E156" i="119" a="1"/>
  <c r="E156" i="119" s="1"/>
  <c r="K156" i="119" s="1"/>
  <c r="M155" i="119" s="1"/>
  <c r="D156" i="119" a="1"/>
  <c r="D156" i="119" s="1"/>
  <c r="I155" i="119" a="1"/>
  <c r="I155" i="119" s="1"/>
  <c r="H155" i="119" a="1"/>
  <c r="H155" i="119" s="1"/>
  <c r="G155" i="119" a="1"/>
  <c r="G155" i="119" s="1"/>
  <c r="F155" i="119" a="1"/>
  <c r="F155" i="119" s="1"/>
  <c r="O155" i="119" s="1"/>
  <c r="E155" i="119" a="1"/>
  <c r="E155" i="119" s="1"/>
  <c r="N155" i="119" s="1"/>
  <c r="P154" i="119" s="1"/>
  <c r="D155" i="119" a="1"/>
  <c r="D155" i="119" s="1"/>
  <c r="I154" i="119" a="1"/>
  <c r="I154" i="119" s="1"/>
  <c r="H154" i="119" a="1"/>
  <c r="H154" i="119" s="1"/>
  <c r="G154" i="119" a="1"/>
  <c r="G154" i="119" s="1"/>
  <c r="F154" i="119" a="1"/>
  <c r="F154" i="119" s="1"/>
  <c r="L154" i="119" s="1"/>
  <c r="E154" i="119" a="1"/>
  <c r="E154" i="119" s="1"/>
  <c r="K154" i="119" s="1"/>
  <c r="M153" i="119" s="1"/>
  <c r="D154" i="119" a="1"/>
  <c r="D154" i="119" s="1"/>
  <c r="I153" i="119" a="1"/>
  <c r="I153" i="119" s="1"/>
  <c r="H153" i="119" a="1"/>
  <c r="H153" i="119" s="1"/>
  <c r="G153" i="119" a="1"/>
  <c r="G153" i="119" s="1"/>
  <c r="F153" i="119" a="1"/>
  <c r="F153" i="119" s="1"/>
  <c r="O153" i="119" s="1"/>
  <c r="E153" i="119" a="1"/>
  <c r="E153" i="119" s="1"/>
  <c r="N153" i="119" s="1"/>
  <c r="P152" i="119" s="1"/>
  <c r="D153" i="119" a="1"/>
  <c r="D153" i="119" s="1"/>
  <c r="I152" i="119" a="1"/>
  <c r="I152" i="119" s="1"/>
  <c r="H152" i="119" a="1"/>
  <c r="H152" i="119" s="1"/>
  <c r="G152" i="119" a="1"/>
  <c r="G152" i="119" s="1"/>
  <c r="F152" i="119" a="1"/>
  <c r="F152" i="119" s="1"/>
  <c r="L152" i="119" s="1"/>
  <c r="E152" i="119" a="1"/>
  <c r="E152" i="119" s="1"/>
  <c r="K152" i="119" s="1"/>
  <c r="M151" i="119" s="1"/>
  <c r="D152" i="119" a="1"/>
  <c r="D152" i="119" s="1"/>
  <c r="I151" i="119" a="1"/>
  <c r="I151" i="119" s="1"/>
  <c r="H151" i="119" a="1"/>
  <c r="H151" i="119" s="1"/>
  <c r="G151" i="119" a="1"/>
  <c r="G151" i="119" s="1"/>
  <c r="F151" i="119" a="1"/>
  <c r="F151" i="119" s="1"/>
  <c r="O151" i="119" s="1"/>
  <c r="E151" i="119" a="1"/>
  <c r="E151" i="119" s="1"/>
  <c r="N151" i="119" s="1"/>
  <c r="D151" i="119" a="1"/>
  <c r="D151" i="119" s="1"/>
  <c r="I150" i="119" a="1"/>
  <c r="I150" i="119" s="1"/>
  <c r="H150" i="119" a="1"/>
  <c r="H150" i="119" s="1"/>
  <c r="G150" i="119" a="1"/>
  <c r="G150" i="119" s="1"/>
  <c r="F150" i="119" a="1"/>
  <c r="F150" i="119" s="1"/>
  <c r="O150" i="119" s="1"/>
  <c r="E150" i="119" a="1"/>
  <c r="E150" i="119" s="1"/>
  <c r="N150" i="119" s="1"/>
  <c r="D150" i="119" a="1"/>
  <c r="D150" i="119" s="1"/>
  <c r="I149" i="119" a="1"/>
  <c r="I149" i="119" s="1"/>
  <c r="H149" i="119" a="1"/>
  <c r="H149" i="119" s="1"/>
  <c r="G149" i="119" a="1"/>
  <c r="G149" i="119" s="1"/>
  <c r="F149" i="119" a="1"/>
  <c r="F149" i="119" s="1"/>
  <c r="O149" i="119" s="1"/>
  <c r="E149" i="119" a="1"/>
  <c r="E149" i="119" s="1"/>
  <c r="N149" i="119" s="1"/>
  <c r="D149" i="119" a="1"/>
  <c r="D149" i="119" s="1"/>
  <c r="I148" i="119" a="1"/>
  <c r="I148" i="119" s="1"/>
  <c r="H148" i="119" a="1"/>
  <c r="H148" i="119" s="1"/>
  <c r="G148" i="119" a="1"/>
  <c r="G148" i="119" s="1"/>
  <c r="F148" i="119" a="1"/>
  <c r="F148" i="119" s="1"/>
  <c r="O148" i="119" s="1"/>
  <c r="E148" i="119" a="1"/>
  <c r="E148" i="119" s="1"/>
  <c r="N148" i="119" s="1"/>
  <c r="D148" i="119" a="1"/>
  <c r="D148" i="119" s="1"/>
  <c r="I147" i="119" a="1"/>
  <c r="I147" i="119" s="1"/>
  <c r="H147" i="119" a="1"/>
  <c r="H147" i="119" s="1"/>
  <c r="G147" i="119" a="1"/>
  <c r="G147" i="119" s="1"/>
  <c r="F147" i="119" a="1"/>
  <c r="F147" i="119" s="1"/>
  <c r="O147" i="119" s="1"/>
  <c r="E147" i="119" a="1"/>
  <c r="E147" i="119" s="1"/>
  <c r="N147" i="119" s="1"/>
  <c r="D147" i="119" a="1"/>
  <c r="D147" i="119" s="1"/>
  <c r="I146" i="119" a="1"/>
  <c r="I146" i="119" s="1"/>
  <c r="H146" i="119" a="1"/>
  <c r="H146" i="119" s="1"/>
  <c r="G146" i="119" a="1"/>
  <c r="G146" i="119" s="1"/>
  <c r="F146" i="119" a="1"/>
  <c r="F146" i="119" s="1"/>
  <c r="O146" i="119" s="1"/>
  <c r="E146" i="119" a="1"/>
  <c r="E146" i="119" s="1"/>
  <c r="N146" i="119" s="1"/>
  <c r="D146" i="119" a="1"/>
  <c r="D146" i="119" s="1"/>
  <c r="I145" i="119" a="1"/>
  <c r="I145" i="119" s="1"/>
  <c r="H145" i="119" a="1"/>
  <c r="H145" i="119" s="1"/>
  <c r="G145" i="119" a="1"/>
  <c r="G145" i="119" s="1"/>
  <c r="F145" i="119" a="1"/>
  <c r="F145" i="119" s="1"/>
  <c r="O145" i="119" s="1"/>
  <c r="E145" i="119" a="1"/>
  <c r="E145" i="119" s="1"/>
  <c r="N145" i="119" s="1"/>
  <c r="P144" i="119" s="1"/>
  <c r="D145" i="119" a="1"/>
  <c r="D145" i="119" s="1"/>
  <c r="I144" i="119" a="1"/>
  <c r="I144" i="119" s="1"/>
  <c r="H144" i="119" a="1"/>
  <c r="H144" i="119" s="1"/>
  <c r="G144" i="119" a="1"/>
  <c r="G144" i="119" s="1"/>
  <c r="F144" i="119" a="1"/>
  <c r="F144" i="119" s="1"/>
  <c r="L144" i="119" s="1"/>
  <c r="E144" i="119" a="1"/>
  <c r="E144" i="119" s="1"/>
  <c r="K144" i="119" s="1"/>
  <c r="D144" i="119" a="1"/>
  <c r="D144" i="119" s="1"/>
  <c r="I143" i="119" a="1"/>
  <c r="I143" i="119" s="1"/>
  <c r="H143" i="119" a="1"/>
  <c r="H143" i="119" s="1"/>
  <c r="G143" i="119" a="1"/>
  <c r="G143" i="119" s="1"/>
  <c r="F143" i="119" a="1"/>
  <c r="F143" i="119" s="1"/>
  <c r="L143" i="119" s="1"/>
  <c r="E143" i="119" a="1"/>
  <c r="E143" i="119" s="1"/>
  <c r="K143" i="119" s="1"/>
  <c r="D143" i="119" a="1"/>
  <c r="D143" i="119" s="1"/>
  <c r="I142" i="119" a="1"/>
  <c r="I142" i="119" s="1"/>
  <c r="H142" i="119" a="1"/>
  <c r="H142" i="119" s="1"/>
  <c r="G142" i="119" a="1"/>
  <c r="G142" i="119" s="1"/>
  <c r="F142" i="119" a="1"/>
  <c r="F142" i="119" s="1"/>
  <c r="L142" i="119" s="1"/>
  <c r="E142" i="119" a="1"/>
  <c r="E142" i="119" s="1"/>
  <c r="K142" i="119" s="1"/>
  <c r="D142" i="119" a="1"/>
  <c r="D142" i="119" s="1"/>
  <c r="I141" i="119" a="1"/>
  <c r="I141" i="119" s="1"/>
  <c r="H141" i="119" a="1"/>
  <c r="H141" i="119" s="1"/>
  <c r="G141" i="119" a="1"/>
  <c r="G141" i="119" s="1"/>
  <c r="F141" i="119" a="1"/>
  <c r="F141" i="119" s="1"/>
  <c r="L141" i="119" s="1"/>
  <c r="E141" i="119" a="1"/>
  <c r="E141" i="119" s="1"/>
  <c r="K141" i="119" s="1"/>
  <c r="D141" i="119" a="1"/>
  <c r="D141" i="119" s="1"/>
  <c r="I140" i="119" a="1"/>
  <c r="I140" i="119" s="1"/>
  <c r="H140" i="119" a="1"/>
  <c r="H140" i="119" s="1"/>
  <c r="G140" i="119" a="1"/>
  <c r="G140" i="119" s="1"/>
  <c r="F140" i="119" a="1"/>
  <c r="F140" i="119" s="1"/>
  <c r="L140" i="119" s="1"/>
  <c r="E140" i="119" a="1"/>
  <c r="E140" i="119" s="1"/>
  <c r="K140" i="119" s="1"/>
  <c r="D140" i="119" a="1"/>
  <c r="D140" i="119" s="1"/>
  <c r="I139" i="119" a="1"/>
  <c r="I139" i="119" s="1"/>
  <c r="H139" i="119" a="1"/>
  <c r="H139" i="119" s="1"/>
  <c r="G139" i="119" a="1"/>
  <c r="G139" i="119" s="1"/>
  <c r="F139" i="119" a="1"/>
  <c r="F139" i="119" s="1"/>
  <c r="L139" i="119" s="1"/>
  <c r="E139" i="119" a="1"/>
  <c r="E139" i="119" s="1"/>
  <c r="K139" i="119" s="1"/>
  <c r="M138" i="119" s="1"/>
  <c r="D139" i="119" a="1"/>
  <c r="D139" i="119" s="1"/>
  <c r="I138" i="119" a="1"/>
  <c r="I138" i="119" s="1"/>
  <c r="H138" i="119" a="1"/>
  <c r="H138" i="119" s="1"/>
  <c r="G138" i="119" a="1"/>
  <c r="G138" i="119" s="1"/>
  <c r="F138" i="119" a="1"/>
  <c r="F138" i="119" s="1"/>
  <c r="O138" i="119" s="1"/>
  <c r="E138" i="119" a="1"/>
  <c r="E138" i="119" s="1"/>
  <c r="N138" i="119" s="1"/>
  <c r="D138" i="119" a="1"/>
  <c r="D138" i="119" s="1"/>
  <c r="I137" i="119" a="1"/>
  <c r="I137" i="119" s="1"/>
  <c r="H137" i="119" a="1"/>
  <c r="H137" i="119" s="1"/>
  <c r="G137" i="119" a="1"/>
  <c r="G137" i="119" s="1"/>
  <c r="F137" i="119" a="1"/>
  <c r="F137" i="119" s="1"/>
  <c r="O137" i="119" s="1"/>
  <c r="E137" i="119" a="1"/>
  <c r="E137" i="119" s="1"/>
  <c r="N137" i="119" s="1"/>
  <c r="D137" i="119" a="1"/>
  <c r="D137" i="119" s="1"/>
  <c r="I136" i="119" a="1"/>
  <c r="I136" i="119" s="1"/>
  <c r="H136" i="119" a="1"/>
  <c r="H136" i="119" s="1"/>
  <c r="G136" i="119" a="1"/>
  <c r="G136" i="119" s="1"/>
  <c r="F136" i="119" a="1"/>
  <c r="F136" i="119" s="1"/>
  <c r="O136" i="119" s="1"/>
  <c r="E136" i="119" a="1"/>
  <c r="E136" i="119" s="1"/>
  <c r="N136" i="119" s="1"/>
  <c r="D136" i="119" a="1"/>
  <c r="D136" i="119" s="1"/>
  <c r="I135" i="119" a="1"/>
  <c r="I135" i="119" s="1"/>
  <c r="H135" i="119" a="1"/>
  <c r="H135" i="119" s="1"/>
  <c r="G135" i="119" a="1"/>
  <c r="G135" i="119" s="1"/>
  <c r="F135" i="119" a="1"/>
  <c r="F135" i="119" s="1"/>
  <c r="O135" i="119" s="1"/>
  <c r="E135" i="119" a="1"/>
  <c r="E135" i="119" s="1"/>
  <c r="N135" i="119" s="1"/>
  <c r="D135" i="119" a="1"/>
  <c r="D135" i="119" s="1"/>
  <c r="I134" i="119" a="1"/>
  <c r="I134" i="119" s="1"/>
  <c r="H134" i="119" a="1"/>
  <c r="H134" i="119" s="1"/>
  <c r="G134" i="119" a="1"/>
  <c r="G134" i="119" s="1"/>
  <c r="F134" i="119" a="1"/>
  <c r="F134" i="119" s="1"/>
  <c r="O134" i="119" s="1"/>
  <c r="E134" i="119" a="1"/>
  <c r="E134" i="119" s="1"/>
  <c r="N134" i="119" s="1"/>
  <c r="D134" i="119" a="1"/>
  <c r="D134" i="119" s="1"/>
  <c r="I133" i="119" a="1"/>
  <c r="I133" i="119" s="1"/>
  <c r="H133" i="119" a="1"/>
  <c r="H133" i="119" s="1"/>
  <c r="G133" i="119" a="1"/>
  <c r="G133" i="119" s="1"/>
  <c r="F133" i="119" a="1"/>
  <c r="F133" i="119" s="1"/>
  <c r="O133" i="119" s="1"/>
  <c r="E133" i="119" a="1"/>
  <c r="E133" i="119" s="1"/>
  <c r="N133" i="119" s="1"/>
  <c r="D133" i="119" a="1"/>
  <c r="D133" i="119" s="1"/>
  <c r="I132" i="119" a="1"/>
  <c r="I132" i="119" s="1"/>
  <c r="H132" i="119" a="1"/>
  <c r="H132" i="119" s="1"/>
  <c r="G132" i="119" a="1"/>
  <c r="G132" i="119" s="1"/>
  <c r="F132" i="119" a="1"/>
  <c r="F132" i="119" s="1"/>
  <c r="O132" i="119" s="1"/>
  <c r="E132" i="119" a="1"/>
  <c r="E132" i="119" s="1"/>
  <c r="N132" i="119" s="1"/>
  <c r="P131" i="119" s="1"/>
  <c r="D132" i="119" a="1"/>
  <c r="D132" i="119" s="1"/>
  <c r="I131" i="119" a="1"/>
  <c r="I131" i="119" s="1"/>
  <c r="H131" i="119" a="1"/>
  <c r="H131" i="119" s="1"/>
  <c r="G131" i="119" a="1"/>
  <c r="G131" i="119" s="1"/>
  <c r="F131" i="119" a="1"/>
  <c r="F131" i="119" s="1"/>
  <c r="L131" i="119" s="1"/>
  <c r="E131" i="119" a="1"/>
  <c r="E131" i="119" s="1"/>
  <c r="K131" i="119" s="1"/>
  <c r="D131" i="119" a="1"/>
  <c r="D131" i="119" s="1"/>
  <c r="I130" i="119" a="1"/>
  <c r="I130" i="119" s="1"/>
  <c r="H130" i="119" a="1"/>
  <c r="H130" i="119" s="1"/>
  <c r="G130" i="119" a="1"/>
  <c r="G130" i="119" s="1"/>
  <c r="F130" i="119" a="1"/>
  <c r="F130" i="119" s="1"/>
  <c r="L130" i="119" s="1"/>
  <c r="E130" i="119" a="1"/>
  <c r="E130" i="119" s="1"/>
  <c r="K130" i="119" s="1"/>
  <c r="D130" i="119" a="1"/>
  <c r="D130" i="119" s="1"/>
  <c r="I129" i="119" a="1"/>
  <c r="I129" i="119" s="1"/>
  <c r="H129" i="119" a="1"/>
  <c r="H129" i="119" s="1"/>
  <c r="G129" i="119" a="1"/>
  <c r="G129" i="119" s="1"/>
  <c r="F129" i="119" a="1"/>
  <c r="F129" i="119" s="1"/>
  <c r="L129" i="119" s="1"/>
  <c r="E129" i="119" a="1"/>
  <c r="E129" i="119" s="1"/>
  <c r="K129" i="119" s="1"/>
  <c r="D129" i="119" a="1"/>
  <c r="D129" i="119" s="1"/>
  <c r="I128" i="119" a="1"/>
  <c r="I128" i="119" s="1"/>
  <c r="H128" i="119" a="1"/>
  <c r="H128" i="119" s="1"/>
  <c r="G128" i="119" a="1"/>
  <c r="G128" i="119" s="1"/>
  <c r="F128" i="119" a="1"/>
  <c r="F128" i="119" s="1"/>
  <c r="L128" i="119" s="1"/>
  <c r="E128" i="119" a="1"/>
  <c r="E128" i="119" s="1"/>
  <c r="K128" i="119" s="1"/>
  <c r="D128" i="119" a="1"/>
  <c r="D128" i="119" s="1"/>
  <c r="I127" i="119" a="1"/>
  <c r="I127" i="119" s="1"/>
  <c r="H127" i="119" a="1"/>
  <c r="H127" i="119" s="1"/>
  <c r="G127" i="119" a="1"/>
  <c r="G127" i="119" s="1"/>
  <c r="F127" i="119" a="1"/>
  <c r="F127" i="119" s="1"/>
  <c r="L127" i="119" s="1"/>
  <c r="E127" i="119" a="1"/>
  <c r="E127" i="119" s="1"/>
  <c r="K127" i="119" s="1"/>
  <c r="D127" i="119" a="1"/>
  <c r="D127" i="119" s="1"/>
  <c r="I126" i="119" a="1"/>
  <c r="I126" i="119" s="1"/>
  <c r="H126" i="119" a="1"/>
  <c r="H126" i="119" s="1"/>
  <c r="G126" i="119" a="1"/>
  <c r="G126" i="119" s="1"/>
  <c r="F126" i="119" a="1"/>
  <c r="F126" i="119" s="1"/>
  <c r="L126" i="119" s="1"/>
  <c r="E126" i="119" a="1"/>
  <c r="E126" i="119" s="1"/>
  <c r="K126" i="119" s="1"/>
  <c r="M125" i="119" s="1"/>
  <c r="D126" i="119" a="1"/>
  <c r="D126" i="119" s="1"/>
  <c r="I125" i="119" a="1"/>
  <c r="I125" i="119" s="1"/>
  <c r="H125" i="119" a="1"/>
  <c r="H125" i="119" s="1"/>
  <c r="G125" i="119" a="1"/>
  <c r="G125" i="119" s="1"/>
  <c r="F125" i="119" a="1"/>
  <c r="F125" i="119" s="1"/>
  <c r="O125" i="119" s="1"/>
  <c r="E125" i="119" a="1"/>
  <c r="E125" i="119" s="1"/>
  <c r="N125" i="119" s="1"/>
  <c r="D125" i="119" a="1"/>
  <c r="D125" i="119" s="1"/>
  <c r="I124" i="119" a="1"/>
  <c r="I124" i="119" s="1"/>
  <c r="H124" i="119" a="1"/>
  <c r="H124" i="119" s="1"/>
  <c r="G124" i="119" a="1"/>
  <c r="G124" i="119" s="1"/>
  <c r="F124" i="119" a="1"/>
  <c r="F124" i="119" s="1"/>
  <c r="O124" i="119" s="1"/>
  <c r="E124" i="119" a="1"/>
  <c r="E124" i="119" s="1"/>
  <c r="N124" i="119" s="1"/>
  <c r="D124" i="119" a="1"/>
  <c r="D124" i="119" s="1"/>
  <c r="I123" i="119" a="1"/>
  <c r="I123" i="119" s="1"/>
  <c r="H123" i="119" a="1"/>
  <c r="H123" i="119" s="1"/>
  <c r="G123" i="119" a="1"/>
  <c r="G123" i="119" s="1"/>
  <c r="F123" i="119" a="1"/>
  <c r="F123" i="119" s="1"/>
  <c r="O123" i="119" s="1"/>
  <c r="E123" i="119" a="1"/>
  <c r="E123" i="119" s="1"/>
  <c r="N123" i="119" s="1"/>
  <c r="D123" i="119" a="1"/>
  <c r="D123" i="119" s="1"/>
  <c r="I122" i="119" a="1"/>
  <c r="I122" i="119" s="1"/>
  <c r="H122" i="119" a="1"/>
  <c r="H122" i="119" s="1"/>
  <c r="G122" i="119" a="1"/>
  <c r="G122" i="119" s="1"/>
  <c r="F122" i="119" a="1"/>
  <c r="F122" i="119" s="1"/>
  <c r="O122" i="119" s="1"/>
  <c r="E122" i="119" a="1"/>
  <c r="E122" i="119" s="1"/>
  <c r="N122" i="119" s="1"/>
  <c r="D122" i="119" a="1"/>
  <c r="D122" i="119" s="1"/>
  <c r="I121" i="119" a="1"/>
  <c r="I121" i="119" s="1"/>
  <c r="H121" i="119" a="1"/>
  <c r="H121" i="119" s="1"/>
  <c r="G121" i="119" a="1"/>
  <c r="G121" i="119" s="1"/>
  <c r="F121" i="119" a="1"/>
  <c r="F121" i="119" s="1"/>
  <c r="O121" i="119" s="1"/>
  <c r="E121" i="119" a="1"/>
  <c r="E121" i="119" s="1"/>
  <c r="N121" i="119" s="1"/>
  <c r="D121" i="119" a="1"/>
  <c r="D121" i="119" s="1"/>
  <c r="I120" i="119" a="1"/>
  <c r="I120" i="119" s="1"/>
  <c r="H120" i="119" a="1"/>
  <c r="H120" i="119" s="1"/>
  <c r="G120" i="119" a="1"/>
  <c r="G120" i="119" s="1"/>
  <c r="F120" i="119" a="1"/>
  <c r="F120" i="119" s="1"/>
  <c r="O120" i="119" s="1"/>
  <c r="E120" i="119" a="1"/>
  <c r="E120" i="119" s="1"/>
  <c r="N120" i="119" s="1"/>
  <c r="D120" i="119" a="1"/>
  <c r="D120" i="119" s="1"/>
  <c r="I119" i="119" a="1"/>
  <c r="I119" i="119" s="1"/>
  <c r="H119" i="119" a="1"/>
  <c r="H119" i="119" s="1"/>
  <c r="G119" i="119" a="1"/>
  <c r="G119" i="119" s="1"/>
  <c r="F119" i="119" a="1"/>
  <c r="F119" i="119" s="1"/>
  <c r="O119" i="119" s="1"/>
  <c r="E119" i="119" a="1"/>
  <c r="E119" i="119" s="1"/>
  <c r="N119" i="119" s="1"/>
  <c r="P118" i="119" s="1"/>
  <c r="D119" i="119" a="1"/>
  <c r="D119" i="119" s="1"/>
  <c r="I118" i="119" a="1"/>
  <c r="I118" i="119" s="1"/>
  <c r="H118" i="119" a="1"/>
  <c r="H118" i="119" s="1"/>
  <c r="G118" i="119" a="1"/>
  <c r="G118" i="119" s="1"/>
  <c r="F118" i="119" a="1"/>
  <c r="F118" i="119" s="1"/>
  <c r="L118" i="119" s="1"/>
  <c r="E118" i="119" a="1"/>
  <c r="E118" i="119" s="1"/>
  <c r="K118" i="119" s="1"/>
  <c r="D118" i="119" a="1"/>
  <c r="D118" i="119" s="1"/>
  <c r="I117" i="119" a="1"/>
  <c r="I117" i="119" s="1"/>
  <c r="H117" i="119" a="1"/>
  <c r="H117" i="119" s="1"/>
  <c r="G117" i="119" a="1"/>
  <c r="G117" i="119" s="1"/>
  <c r="F117" i="119" a="1"/>
  <c r="F117" i="119" s="1"/>
  <c r="L117" i="119" s="1"/>
  <c r="E117" i="119" a="1"/>
  <c r="E117" i="119" s="1"/>
  <c r="K117" i="119" s="1"/>
  <c r="D117" i="119" a="1"/>
  <c r="D117" i="119" s="1"/>
  <c r="I116" i="119" a="1"/>
  <c r="I116" i="119" s="1"/>
  <c r="H116" i="119" a="1"/>
  <c r="H116" i="119" s="1"/>
  <c r="G116" i="119" a="1"/>
  <c r="G116" i="119" s="1"/>
  <c r="F116" i="119" a="1"/>
  <c r="F116" i="119" s="1"/>
  <c r="L116" i="119" s="1"/>
  <c r="E116" i="119" a="1"/>
  <c r="E116" i="119" s="1"/>
  <c r="K116" i="119" s="1"/>
  <c r="D116" i="119" a="1"/>
  <c r="D116" i="119" s="1"/>
  <c r="I115" i="119" a="1"/>
  <c r="I115" i="119" s="1"/>
  <c r="H115" i="119" a="1"/>
  <c r="H115" i="119" s="1"/>
  <c r="G115" i="119" a="1"/>
  <c r="G115" i="119" s="1"/>
  <c r="F115" i="119" a="1"/>
  <c r="F115" i="119" s="1"/>
  <c r="L115" i="119" s="1"/>
  <c r="E115" i="119" a="1"/>
  <c r="E115" i="119" s="1"/>
  <c r="K115" i="119" s="1"/>
  <c r="D115" i="119" a="1"/>
  <c r="D115" i="119" s="1"/>
  <c r="I114" i="119" a="1"/>
  <c r="I114" i="119" s="1"/>
  <c r="H114" i="119" a="1"/>
  <c r="H114" i="119" s="1"/>
  <c r="G114" i="119" a="1"/>
  <c r="G114" i="119" s="1"/>
  <c r="F114" i="119" a="1"/>
  <c r="F114" i="119" s="1"/>
  <c r="L114" i="119" s="1"/>
  <c r="E114" i="119" a="1"/>
  <c r="E114" i="119" s="1"/>
  <c r="K114" i="119" s="1"/>
  <c r="D114" i="119" a="1"/>
  <c r="D114" i="119" s="1"/>
  <c r="I113" i="119" a="1"/>
  <c r="I113" i="119" s="1"/>
  <c r="H113" i="119" a="1"/>
  <c r="H113" i="119" s="1"/>
  <c r="G113" i="119" a="1"/>
  <c r="G113" i="119" s="1"/>
  <c r="F113" i="119" a="1"/>
  <c r="F113" i="119" s="1"/>
  <c r="L113" i="119" s="1"/>
  <c r="E113" i="119" a="1"/>
  <c r="E113" i="119" s="1"/>
  <c r="K113" i="119" s="1"/>
  <c r="D113" i="119" a="1"/>
  <c r="D113" i="119" s="1"/>
  <c r="I112" i="119" a="1"/>
  <c r="I112" i="119" s="1"/>
  <c r="H112" i="119" a="1"/>
  <c r="H112" i="119" s="1"/>
  <c r="G112" i="119" a="1"/>
  <c r="G112" i="119" s="1"/>
  <c r="F112" i="119" a="1"/>
  <c r="F112" i="119" s="1"/>
  <c r="L112" i="119" s="1"/>
  <c r="E112" i="119" a="1"/>
  <c r="E112" i="119" s="1"/>
  <c r="K112" i="119" s="1"/>
  <c r="D112" i="119" a="1"/>
  <c r="D112" i="119" s="1"/>
  <c r="I111" i="119" a="1"/>
  <c r="I111" i="119" s="1"/>
  <c r="H111" i="119" a="1"/>
  <c r="H111" i="119" s="1"/>
  <c r="G111" i="119" a="1"/>
  <c r="G111" i="119" s="1"/>
  <c r="F111" i="119" a="1"/>
  <c r="F111" i="119" s="1"/>
  <c r="L111" i="119" s="1"/>
  <c r="E111" i="119" a="1"/>
  <c r="E111" i="119" s="1"/>
  <c r="K111" i="119" s="1"/>
  <c r="M110" i="119" s="1"/>
  <c r="D111" i="119" a="1"/>
  <c r="D111" i="119" s="1"/>
  <c r="I110" i="119" a="1"/>
  <c r="I110" i="119" s="1"/>
  <c r="H110" i="119" a="1"/>
  <c r="H110" i="119" s="1"/>
  <c r="G110" i="119" a="1"/>
  <c r="G110" i="119" s="1"/>
  <c r="F110" i="119" a="1"/>
  <c r="F110" i="119" s="1"/>
  <c r="O110" i="119" s="1"/>
  <c r="E110" i="119" a="1"/>
  <c r="E110" i="119" s="1"/>
  <c r="N110" i="119" s="1"/>
  <c r="D110" i="119" a="1"/>
  <c r="D110" i="119" s="1"/>
  <c r="I109" i="119" a="1"/>
  <c r="I109" i="119" s="1"/>
  <c r="H109" i="119" a="1"/>
  <c r="H109" i="119" s="1"/>
  <c r="G109" i="119" a="1"/>
  <c r="G109" i="119" s="1"/>
  <c r="F109" i="119" a="1"/>
  <c r="F109" i="119" s="1"/>
  <c r="O109" i="119" s="1"/>
  <c r="E109" i="119" a="1"/>
  <c r="E109" i="119" s="1"/>
  <c r="N109" i="119" s="1"/>
  <c r="D109" i="119" a="1"/>
  <c r="D109" i="119" s="1"/>
  <c r="I108" i="119" a="1"/>
  <c r="I108" i="119" s="1"/>
  <c r="H108" i="119" a="1"/>
  <c r="H108" i="119" s="1"/>
  <c r="G108" i="119" a="1"/>
  <c r="G108" i="119" s="1"/>
  <c r="F108" i="119" a="1"/>
  <c r="F108" i="119" s="1"/>
  <c r="O108" i="119" s="1"/>
  <c r="E108" i="119" a="1"/>
  <c r="E108" i="119" s="1"/>
  <c r="N108" i="119" s="1"/>
  <c r="D108" i="119" a="1"/>
  <c r="D108" i="119" s="1"/>
  <c r="I107" i="119" a="1"/>
  <c r="I107" i="119" s="1"/>
  <c r="H107" i="119" a="1"/>
  <c r="H107" i="119" s="1"/>
  <c r="G107" i="119" a="1"/>
  <c r="G107" i="119" s="1"/>
  <c r="F107" i="119" a="1"/>
  <c r="F107" i="119" s="1"/>
  <c r="O107" i="119" s="1"/>
  <c r="E107" i="119" a="1"/>
  <c r="E107" i="119" s="1"/>
  <c r="N107" i="119" s="1"/>
  <c r="D107" i="119" a="1"/>
  <c r="D107" i="119" s="1"/>
  <c r="I106" i="119"/>
  <c r="I106" i="119" a="1"/>
  <c r="H106" i="119" a="1"/>
  <c r="H106" i="119" s="1"/>
  <c r="G106" i="119" a="1"/>
  <c r="G106" i="119" s="1"/>
  <c r="F106" i="119" a="1"/>
  <c r="F106" i="119" s="1"/>
  <c r="O106" i="119" s="1"/>
  <c r="E106" i="119" a="1"/>
  <c r="E106" i="119" s="1"/>
  <c r="N106" i="119" s="1"/>
  <c r="P105" i="119" s="1"/>
  <c r="D106" i="119" a="1"/>
  <c r="D106" i="119" s="1"/>
  <c r="I105" i="119" a="1"/>
  <c r="I105" i="119" s="1"/>
  <c r="H105" i="119" a="1"/>
  <c r="H105" i="119" s="1"/>
  <c r="G105" i="119" a="1"/>
  <c r="G105" i="119" s="1"/>
  <c r="F105" i="119" a="1"/>
  <c r="F105" i="119" s="1"/>
  <c r="L105" i="119" s="1"/>
  <c r="E105" i="119" a="1"/>
  <c r="E105" i="119" s="1"/>
  <c r="K105" i="119" s="1"/>
  <c r="D105" i="119" a="1"/>
  <c r="D105" i="119" s="1"/>
  <c r="I104" i="119" a="1"/>
  <c r="I104" i="119" s="1"/>
  <c r="H104" i="119" a="1"/>
  <c r="H104" i="119" s="1"/>
  <c r="G104" i="119" a="1"/>
  <c r="G104" i="119" s="1"/>
  <c r="F104" i="119" a="1"/>
  <c r="F104" i="119" s="1"/>
  <c r="L104" i="119" s="1"/>
  <c r="E104" i="119" a="1"/>
  <c r="E104" i="119" s="1"/>
  <c r="K104" i="119" s="1"/>
  <c r="D104" i="119" a="1"/>
  <c r="D104" i="119" s="1"/>
  <c r="I103" i="119" a="1"/>
  <c r="I103" i="119" s="1"/>
  <c r="H103" i="119" a="1"/>
  <c r="H103" i="119" s="1"/>
  <c r="G103" i="119" a="1"/>
  <c r="G103" i="119" s="1"/>
  <c r="F103" i="119" a="1"/>
  <c r="F103" i="119" s="1"/>
  <c r="L103" i="119" s="1"/>
  <c r="E103" i="119" a="1"/>
  <c r="E103" i="119" s="1"/>
  <c r="K103" i="119" s="1"/>
  <c r="D103" i="119" a="1"/>
  <c r="D103" i="119" s="1"/>
  <c r="I102" i="119" a="1"/>
  <c r="I102" i="119" s="1"/>
  <c r="H102" i="119" a="1"/>
  <c r="H102" i="119" s="1"/>
  <c r="G102" i="119" a="1"/>
  <c r="G102" i="119" s="1"/>
  <c r="F102" i="119" a="1"/>
  <c r="F102" i="119" s="1"/>
  <c r="L102" i="119" s="1"/>
  <c r="E102" i="119" a="1"/>
  <c r="E102" i="119" s="1"/>
  <c r="K102" i="119" s="1"/>
  <c r="D102" i="119" a="1"/>
  <c r="D102" i="119" s="1"/>
  <c r="I101" i="119" a="1"/>
  <c r="I101" i="119" s="1"/>
  <c r="H101" i="119" a="1"/>
  <c r="H101" i="119" s="1"/>
  <c r="G101" i="119" a="1"/>
  <c r="G101" i="119" s="1"/>
  <c r="F101" i="119" a="1"/>
  <c r="F101" i="119" s="1"/>
  <c r="L101" i="119" s="1"/>
  <c r="E101" i="119" a="1"/>
  <c r="E101" i="119" s="1"/>
  <c r="K101" i="119" s="1"/>
  <c r="D101" i="119" a="1"/>
  <c r="D101" i="119" s="1"/>
  <c r="I100" i="119" a="1"/>
  <c r="I100" i="119" s="1"/>
  <c r="H100" i="119" a="1"/>
  <c r="H100" i="119" s="1"/>
  <c r="G100" i="119" a="1"/>
  <c r="G100" i="119" s="1"/>
  <c r="F100" i="119" a="1"/>
  <c r="F100" i="119" s="1"/>
  <c r="L100" i="119" s="1"/>
  <c r="E100" i="119" a="1"/>
  <c r="E100" i="119" s="1"/>
  <c r="K100" i="119" s="1"/>
  <c r="D100" i="119" a="1"/>
  <c r="D100" i="119" s="1"/>
  <c r="I99" i="119" a="1"/>
  <c r="I99" i="119" s="1"/>
  <c r="H99" i="119" a="1"/>
  <c r="H99" i="119" s="1"/>
  <c r="G99" i="119" a="1"/>
  <c r="G99" i="119" s="1"/>
  <c r="F99" i="119" a="1"/>
  <c r="F99" i="119" s="1"/>
  <c r="L99" i="119" s="1"/>
  <c r="E99" i="119" a="1"/>
  <c r="E99" i="119" s="1"/>
  <c r="K99" i="119" s="1"/>
  <c r="M98" i="119" s="1"/>
  <c r="D99" i="119" a="1"/>
  <c r="D99" i="119" s="1"/>
  <c r="I98" i="119" a="1"/>
  <c r="I98" i="119" s="1"/>
  <c r="H98" i="119" a="1"/>
  <c r="H98" i="119" s="1"/>
  <c r="G98" i="119" a="1"/>
  <c r="G98" i="119" s="1"/>
  <c r="F98" i="119" a="1"/>
  <c r="F98" i="119" s="1"/>
  <c r="O98" i="119" s="1"/>
  <c r="E98" i="119" a="1"/>
  <c r="E98" i="119" s="1"/>
  <c r="N98" i="119" s="1"/>
  <c r="D98" i="119" a="1"/>
  <c r="D98" i="119" s="1"/>
  <c r="I97" i="119" a="1"/>
  <c r="I97" i="119" s="1"/>
  <c r="H97" i="119" a="1"/>
  <c r="H97" i="119" s="1"/>
  <c r="G97" i="119" a="1"/>
  <c r="G97" i="119" s="1"/>
  <c r="F97" i="119" a="1"/>
  <c r="F97" i="119" s="1"/>
  <c r="O97" i="119" s="1"/>
  <c r="E97" i="119" a="1"/>
  <c r="E97" i="119" s="1"/>
  <c r="N97" i="119" s="1"/>
  <c r="D97" i="119" a="1"/>
  <c r="D97" i="119" s="1"/>
  <c r="I96" i="119" a="1"/>
  <c r="I96" i="119" s="1"/>
  <c r="H96" i="119" a="1"/>
  <c r="H96" i="119" s="1"/>
  <c r="G96" i="119" a="1"/>
  <c r="G96" i="119" s="1"/>
  <c r="F96" i="119" a="1"/>
  <c r="F96" i="119" s="1"/>
  <c r="O96" i="119" s="1"/>
  <c r="E96" i="119" a="1"/>
  <c r="E96" i="119" s="1"/>
  <c r="N96" i="119" s="1"/>
  <c r="D96" i="119" a="1"/>
  <c r="D96" i="119" s="1"/>
  <c r="I95" i="119" a="1"/>
  <c r="I95" i="119" s="1"/>
  <c r="H95" i="119" a="1"/>
  <c r="H95" i="119" s="1"/>
  <c r="G95" i="119" a="1"/>
  <c r="G95" i="119" s="1"/>
  <c r="F95" i="119" a="1"/>
  <c r="F95" i="119" s="1"/>
  <c r="O95" i="119" s="1"/>
  <c r="E95" i="119" a="1"/>
  <c r="E95" i="119" s="1"/>
  <c r="N95" i="119" s="1"/>
  <c r="D95" i="119" a="1"/>
  <c r="D95" i="119" s="1"/>
  <c r="I94" i="119" a="1"/>
  <c r="I94" i="119" s="1"/>
  <c r="H94" i="119" a="1"/>
  <c r="H94" i="119" s="1"/>
  <c r="G94" i="119" a="1"/>
  <c r="G94" i="119" s="1"/>
  <c r="F94" i="119" a="1"/>
  <c r="F94" i="119" s="1"/>
  <c r="O94" i="119" s="1"/>
  <c r="E94" i="119" a="1"/>
  <c r="E94" i="119" s="1"/>
  <c r="N94" i="119" s="1"/>
  <c r="D94" i="119" a="1"/>
  <c r="D94" i="119" s="1"/>
  <c r="I93" i="119" a="1"/>
  <c r="I93" i="119" s="1"/>
  <c r="H93" i="119" a="1"/>
  <c r="H93" i="119" s="1"/>
  <c r="G93" i="119" a="1"/>
  <c r="G93" i="119" s="1"/>
  <c r="F93" i="119" a="1"/>
  <c r="F93" i="119" s="1"/>
  <c r="O93" i="119" s="1"/>
  <c r="E93" i="119" a="1"/>
  <c r="E93" i="119" s="1"/>
  <c r="N93" i="119" s="1"/>
  <c r="D93" i="119" a="1"/>
  <c r="D93" i="119" s="1"/>
  <c r="I92" i="119" a="1"/>
  <c r="I92" i="119" s="1"/>
  <c r="H92" i="119" a="1"/>
  <c r="H92" i="119" s="1"/>
  <c r="G92" i="119" a="1"/>
  <c r="G92" i="119" s="1"/>
  <c r="F92" i="119" a="1"/>
  <c r="F92" i="119" s="1"/>
  <c r="O92" i="119" s="1"/>
  <c r="E92" i="119" a="1"/>
  <c r="E92" i="119" s="1"/>
  <c r="N92" i="119" s="1"/>
  <c r="D92" i="119" a="1"/>
  <c r="D92" i="119" s="1"/>
  <c r="I91" i="119" a="1"/>
  <c r="I91" i="119" s="1"/>
  <c r="H91" i="119" a="1"/>
  <c r="H91" i="119" s="1"/>
  <c r="G91" i="119" a="1"/>
  <c r="G91" i="119" s="1"/>
  <c r="F91" i="119" a="1"/>
  <c r="F91" i="119" s="1"/>
  <c r="O91" i="119" s="1"/>
  <c r="E91" i="119" a="1"/>
  <c r="E91" i="119" s="1"/>
  <c r="N91" i="119" s="1"/>
  <c r="P90" i="119" s="1"/>
  <c r="D91" i="119" a="1"/>
  <c r="D91" i="119" s="1"/>
  <c r="I90" i="119" a="1"/>
  <c r="I90" i="119" s="1"/>
  <c r="H90" i="119" a="1"/>
  <c r="H90" i="119" s="1"/>
  <c r="G90" i="119" a="1"/>
  <c r="G90" i="119" s="1"/>
  <c r="F90" i="119" a="1"/>
  <c r="F90" i="119" s="1"/>
  <c r="L90" i="119" s="1"/>
  <c r="E90" i="119" a="1"/>
  <c r="E90" i="119" s="1"/>
  <c r="T124" i="117" s="1" a="1"/>
  <c r="T124" i="117" s="1"/>
  <c r="D90" i="119" a="1"/>
  <c r="D90" i="119" s="1"/>
  <c r="I86" i="119" a="1"/>
  <c r="I86" i="119" s="1"/>
  <c r="H86" i="119" a="1"/>
  <c r="H86" i="119" s="1"/>
  <c r="G86" i="119" a="1"/>
  <c r="G86" i="119" s="1"/>
  <c r="F86" i="119" a="1"/>
  <c r="F86" i="119" s="1"/>
  <c r="E86" i="119" a="1"/>
  <c r="E86" i="119" s="1"/>
  <c r="D86" i="119" a="1"/>
  <c r="D86" i="119" s="1"/>
  <c r="I85" i="119" a="1"/>
  <c r="I85" i="119" s="1"/>
  <c r="H85" i="119" a="1"/>
  <c r="H85" i="119" s="1"/>
  <c r="G85" i="119" a="1"/>
  <c r="G85" i="119" s="1"/>
  <c r="F85" i="119" a="1"/>
  <c r="F85" i="119" s="1"/>
  <c r="E85" i="119" a="1"/>
  <c r="E85" i="119" s="1"/>
  <c r="D85" i="119" a="1"/>
  <c r="D85" i="119" s="1"/>
  <c r="I84" i="119" a="1"/>
  <c r="I84" i="119" s="1"/>
  <c r="H84" i="119" a="1"/>
  <c r="H84" i="119" s="1"/>
  <c r="G84" i="119" a="1"/>
  <c r="G84" i="119" s="1"/>
  <c r="F84" i="119" a="1"/>
  <c r="F84" i="119" s="1"/>
  <c r="E84" i="119" a="1"/>
  <c r="E84" i="119" s="1"/>
  <c r="D84" i="119" a="1"/>
  <c r="D84" i="119" s="1"/>
  <c r="I83" i="119" a="1"/>
  <c r="I83" i="119" s="1"/>
  <c r="H83" i="119" a="1"/>
  <c r="H83" i="119" s="1"/>
  <c r="G83" i="119" a="1"/>
  <c r="G83" i="119" s="1"/>
  <c r="F83" i="119" a="1"/>
  <c r="F83" i="119" s="1"/>
  <c r="E83" i="119" a="1"/>
  <c r="E83" i="119" s="1"/>
  <c r="D83" i="119" a="1"/>
  <c r="D83" i="119" s="1"/>
  <c r="I80" i="119" a="1"/>
  <c r="I80" i="119" s="1"/>
  <c r="H80" i="119" a="1"/>
  <c r="H80" i="119" s="1"/>
  <c r="G80" i="119" a="1"/>
  <c r="G80" i="119" s="1"/>
  <c r="F80" i="119" a="1"/>
  <c r="F80" i="119" s="1"/>
  <c r="E80" i="119" a="1"/>
  <c r="E80" i="119" s="1"/>
  <c r="D80" i="119" a="1"/>
  <c r="D80" i="119" s="1"/>
  <c r="I79" i="119" a="1"/>
  <c r="I79" i="119" s="1"/>
  <c r="H79" i="119" a="1"/>
  <c r="H79" i="119" s="1"/>
  <c r="G79" i="119" a="1"/>
  <c r="G79" i="119" s="1"/>
  <c r="F79" i="119" a="1"/>
  <c r="F79" i="119" s="1"/>
  <c r="E79" i="119" a="1"/>
  <c r="E79" i="119" s="1"/>
  <c r="D79" i="119" a="1"/>
  <c r="D79" i="119" s="1"/>
  <c r="I78" i="119" a="1"/>
  <c r="I78" i="119" s="1"/>
  <c r="H78" i="119" a="1"/>
  <c r="H78" i="119" s="1"/>
  <c r="G78" i="119" a="1"/>
  <c r="G78" i="119" s="1"/>
  <c r="F78" i="119" a="1"/>
  <c r="F78" i="119" s="1"/>
  <c r="E78" i="119"/>
  <c r="E78" i="119" a="1"/>
  <c r="D78" i="119" a="1"/>
  <c r="D78" i="119" s="1"/>
  <c r="I74" i="119" a="1"/>
  <c r="I74" i="119" s="1"/>
  <c r="H74" i="119" a="1"/>
  <c r="H74" i="119" s="1"/>
  <c r="G74" i="119" a="1"/>
  <c r="G74" i="119" s="1"/>
  <c r="F74" i="119" a="1"/>
  <c r="F74" i="119" s="1"/>
  <c r="E74" i="119" a="1"/>
  <c r="E74" i="119" s="1"/>
  <c r="D74" i="119" a="1"/>
  <c r="D74" i="119" s="1"/>
  <c r="I73" i="119" a="1"/>
  <c r="I73" i="119" s="1"/>
  <c r="H73" i="119" a="1"/>
  <c r="H73" i="119" s="1"/>
  <c r="G73" i="119" a="1"/>
  <c r="G73" i="119" s="1"/>
  <c r="F73" i="119" a="1"/>
  <c r="F73" i="119" s="1"/>
  <c r="E73" i="119" a="1"/>
  <c r="E73" i="119" s="1"/>
  <c r="D73" i="119" a="1"/>
  <c r="D73" i="119" s="1"/>
  <c r="I72" i="119" a="1"/>
  <c r="I72" i="119" s="1"/>
  <c r="H72" i="119" a="1"/>
  <c r="H72" i="119" s="1"/>
  <c r="G72" i="119" a="1"/>
  <c r="G72" i="119" s="1"/>
  <c r="F72" i="119" a="1"/>
  <c r="F72" i="119" s="1"/>
  <c r="E72" i="119" a="1"/>
  <c r="E72" i="119" s="1"/>
  <c r="D72" i="119" a="1"/>
  <c r="D72" i="119" s="1"/>
  <c r="I71" i="119" a="1"/>
  <c r="I71" i="119" s="1"/>
  <c r="H71" i="119" a="1"/>
  <c r="H71" i="119" s="1"/>
  <c r="G71" i="119" a="1"/>
  <c r="G71" i="119" s="1"/>
  <c r="F71" i="119" a="1"/>
  <c r="F71" i="119" s="1"/>
  <c r="E71" i="119" a="1"/>
  <c r="E71" i="119" s="1"/>
  <c r="D71" i="119" a="1"/>
  <c r="D71" i="119" s="1"/>
  <c r="I70" i="119" a="1"/>
  <c r="I70" i="119" s="1"/>
  <c r="H70" i="119" a="1"/>
  <c r="H70" i="119" s="1"/>
  <c r="G70" i="119" a="1"/>
  <c r="G70" i="119" s="1"/>
  <c r="F70" i="119" a="1"/>
  <c r="F70" i="119" s="1"/>
  <c r="E70" i="119" a="1"/>
  <c r="E70" i="119" s="1"/>
  <c r="D70" i="119" a="1"/>
  <c r="D70" i="119" s="1"/>
  <c r="I69" i="119" a="1"/>
  <c r="I69" i="119" s="1"/>
  <c r="H69" i="119" a="1"/>
  <c r="H69" i="119" s="1"/>
  <c r="G69" i="119" a="1"/>
  <c r="G69" i="119" s="1"/>
  <c r="F69" i="119" a="1"/>
  <c r="F69" i="119" s="1"/>
  <c r="E69" i="119" a="1"/>
  <c r="E69" i="119" s="1"/>
  <c r="D69" i="119" a="1"/>
  <c r="D69" i="119" s="1"/>
  <c r="I68" i="119" a="1"/>
  <c r="I68" i="119" s="1"/>
  <c r="H68" i="119" a="1"/>
  <c r="H68" i="119" s="1"/>
  <c r="G68" i="119" a="1"/>
  <c r="G68" i="119" s="1"/>
  <c r="F68" i="119" a="1"/>
  <c r="F68" i="119" s="1"/>
  <c r="E68" i="119" a="1"/>
  <c r="E68" i="119" s="1"/>
  <c r="D68" i="119" a="1"/>
  <c r="D68" i="119" s="1"/>
  <c r="I67" i="119" a="1"/>
  <c r="I67" i="119" s="1"/>
  <c r="H67" i="119" a="1"/>
  <c r="H67" i="119" s="1"/>
  <c r="G67" i="119" a="1"/>
  <c r="G67" i="119" s="1"/>
  <c r="F67" i="119" a="1"/>
  <c r="F67" i="119" s="1"/>
  <c r="E67" i="119" a="1"/>
  <c r="E67" i="119" s="1"/>
  <c r="D67" i="119" a="1"/>
  <c r="D67" i="119" s="1"/>
  <c r="I66" i="119" a="1"/>
  <c r="I66" i="119" s="1"/>
  <c r="H66" i="119" a="1"/>
  <c r="H66" i="119" s="1"/>
  <c r="G66" i="119" a="1"/>
  <c r="G66" i="119" s="1"/>
  <c r="F66" i="119" a="1"/>
  <c r="F66" i="119" s="1"/>
  <c r="E66" i="119" a="1"/>
  <c r="E66" i="119" s="1"/>
  <c r="D66" i="119" a="1"/>
  <c r="D66" i="119" s="1"/>
  <c r="I65" i="119" a="1"/>
  <c r="I65" i="119" s="1"/>
  <c r="H65" i="119" a="1"/>
  <c r="H65" i="119" s="1"/>
  <c r="G65" i="119" a="1"/>
  <c r="G65" i="119" s="1"/>
  <c r="F65" i="119" a="1"/>
  <c r="F65" i="119" s="1"/>
  <c r="E65" i="119" a="1"/>
  <c r="E65" i="119" s="1"/>
  <c r="D65" i="119" a="1"/>
  <c r="D65" i="119" s="1"/>
  <c r="I64" i="119" a="1"/>
  <c r="I64" i="119" s="1"/>
  <c r="H64" i="119" a="1"/>
  <c r="H64" i="119" s="1"/>
  <c r="G64" i="119" a="1"/>
  <c r="G64" i="119" s="1"/>
  <c r="F64" i="119" a="1"/>
  <c r="F64" i="119" s="1"/>
  <c r="E64" i="119" a="1"/>
  <c r="E64" i="119" s="1"/>
  <c r="D64" i="119" a="1"/>
  <c r="D64" i="119" s="1"/>
  <c r="I63" i="119" a="1"/>
  <c r="I63" i="119" s="1"/>
  <c r="H63" i="119" a="1"/>
  <c r="H63" i="119" s="1"/>
  <c r="G63" i="119" a="1"/>
  <c r="G63" i="119" s="1"/>
  <c r="F63" i="119" a="1"/>
  <c r="F63" i="119" s="1"/>
  <c r="E63" i="119" a="1"/>
  <c r="E63" i="119" s="1"/>
  <c r="D63" i="119" a="1"/>
  <c r="D63" i="119" s="1"/>
  <c r="I62" i="119" a="1"/>
  <c r="I62" i="119" s="1"/>
  <c r="H62" i="119" a="1"/>
  <c r="H62" i="119" s="1"/>
  <c r="G62" i="119" a="1"/>
  <c r="G62" i="119" s="1"/>
  <c r="F62" i="119" a="1"/>
  <c r="F62" i="119" s="1"/>
  <c r="E62" i="119" a="1"/>
  <c r="E62" i="119" s="1"/>
  <c r="D62" i="119" a="1"/>
  <c r="D62" i="119" s="1"/>
  <c r="I61" i="119" a="1"/>
  <c r="I61" i="119" s="1"/>
  <c r="H61" i="119" a="1"/>
  <c r="H61" i="119" s="1"/>
  <c r="G61" i="119" a="1"/>
  <c r="G61" i="119" s="1"/>
  <c r="F61" i="119" a="1"/>
  <c r="F61" i="119" s="1"/>
  <c r="E61" i="119" a="1"/>
  <c r="E61" i="119" s="1"/>
  <c r="D61" i="119" a="1"/>
  <c r="D61" i="119" s="1"/>
  <c r="I60" i="119" a="1"/>
  <c r="I60" i="119" s="1"/>
  <c r="H60" i="119" a="1"/>
  <c r="H60" i="119" s="1"/>
  <c r="G60" i="119" a="1"/>
  <c r="G60" i="119" s="1"/>
  <c r="F60" i="119" a="1"/>
  <c r="F60" i="119" s="1"/>
  <c r="E60" i="119" a="1"/>
  <c r="E60" i="119" s="1"/>
  <c r="D60" i="119" a="1"/>
  <c r="D60" i="119" s="1"/>
  <c r="I59" i="119" a="1"/>
  <c r="I59" i="119" s="1"/>
  <c r="H59" i="119" a="1"/>
  <c r="H59" i="119" s="1"/>
  <c r="G59" i="119" a="1"/>
  <c r="G59" i="119" s="1"/>
  <c r="F59" i="119" a="1"/>
  <c r="F59" i="119" s="1"/>
  <c r="E59" i="119" a="1"/>
  <c r="E59" i="119" s="1"/>
  <c r="D59" i="119" a="1"/>
  <c r="D59" i="119" s="1"/>
  <c r="I58" i="119" a="1"/>
  <c r="I58" i="119" s="1"/>
  <c r="H58" i="119" a="1"/>
  <c r="H58" i="119" s="1"/>
  <c r="G58" i="119" a="1"/>
  <c r="G58" i="119" s="1"/>
  <c r="F58" i="119" a="1"/>
  <c r="F58" i="119" s="1"/>
  <c r="E58" i="119" a="1"/>
  <c r="E58" i="119" s="1"/>
  <c r="D58" i="119" a="1"/>
  <c r="D58" i="119" s="1"/>
  <c r="I57" i="119" a="1"/>
  <c r="I57" i="119" s="1"/>
  <c r="H57" i="119" a="1"/>
  <c r="H57" i="119" s="1"/>
  <c r="G57" i="119" a="1"/>
  <c r="G57" i="119" s="1"/>
  <c r="F57" i="119" a="1"/>
  <c r="F57" i="119" s="1"/>
  <c r="E57" i="119" a="1"/>
  <c r="E57" i="119" s="1"/>
  <c r="D57" i="119" a="1"/>
  <c r="D57" i="119" s="1"/>
  <c r="I56" i="119" a="1"/>
  <c r="I56" i="119" s="1"/>
  <c r="H56" i="119" a="1"/>
  <c r="H56" i="119" s="1"/>
  <c r="G56" i="119" a="1"/>
  <c r="G56" i="119" s="1"/>
  <c r="F56" i="119" a="1"/>
  <c r="F56" i="119" s="1"/>
  <c r="E56" i="119" a="1"/>
  <c r="E56" i="119" s="1"/>
  <c r="D56" i="119" a="1"/>
  <c r="D56" i="119" s="1"/>
  <c r="I55" i="119" a="1"/>
  <c r="I55" i="119" s="1"/>
  <c r="H55" i="119" a="1"/>
  <c r="H55" i="119" s="1"/>
  <c r="G55" i="119" a="1"/>
  <c r="G55" i="119" s="1"/>
  <c r="F55" i="119" a="1"/>
  <c r="F55" i="119" s="1"/>
  <c r="E55" i="119" a="1"/>
  <c r="E55" i="119" s="1"/>
  <c r="D55" i="119" a="1"/>
  <c r="D55" i="119" s="1"/>
  <c r="I54" i="119" a="1"/>
  <c r="I54" i="119" s="1"/>
  <c r="H54" i="119" a="1"/>
  <c r="H54" i="119" s="1"/>
  <c r="G54" i="119" a="1"/>
  <c r="G54" i="119" s="1"/>
  <c r="F54" i="119" a="1"/>
  <c r="F54" i="119" s="1"/>
  <c r="E54" i="119" a="1"/>
  <c r="E54" i="119" s="1"/>
  <c r="D54" i="119" a="1"/>
  <c r="D54" i="119" s="1"/>
  <c r="I53" i="119" a="1"/>
  <c r="I53" i="119" s="1"/>
  <c r="H53" i="119" a="1"/>
  <c r="H53" i="119" s="1"/>
  <c r="G53" i="119" a="1"/>
  <c r="G53" i="119" s="1"/>
  <c r="F53" i="119" a="1"/>
  <c r="F53" i="119" s="1"/>
  <c r="E53" i="119" a="1"/>
  <c r="E53" i="119" s="1"/>
  <c r="D53" i="119" a="1"/>
  <c r="D53" i="119" s="1"/>
  <c r="I52" i="119" a="1"/>
  <c r="I52" i="119" s="1"/>
  <c r="H52" i="119" a="1"/>
  <c r="H52" i="119" s="1"/>
  <c r="G52" i="119" a="1"/>
  <c r="G52" i="119" s="1"/>
  <c r="F52" i="119" a="1"/>
  <c r="F52" i="119" s="1"/>
  <c r="E52" i="119" a="1"/>
  <c r="E52" i="119" s="1"/>
  <c r="D52" i="119" a="1"/>
  <c r="D52" i="119" s="1"/>
  <c r="I51" i="119" a="1"/>
  <c r="I51" i="119" s="1"/>
  <c r="H51" i="119" a="1"/>
  <c r="H51" i="119" s="1"/>
  <c r="G51" i="119" a="1"/>
  <c r="G51" i="119" s="1"/>
  <c r="F51" i="119" a="1"/>
  <c r="F51" i="119" s="1"/>
  <c r="E51" i="119" a="1"/>
  <c r="E51" i="119" s="1"/>
  <c r="D51" i="119" a="1"/>
  <c r="D51" i="119" s="1"/>
  <c r="I50" i="119" a="1"/>
  <c r="I50" i="119" s="1"/>
  <c r="H50" i="119" a="1"/>
  <c r="H50" i="119" s="1"/>
  <c r="G50" i="119" a="1"/>
  <c r="G50" i="119" s="1"/>
  <c r="F50" i="119" a="1"/>
  <c r="F50" i="119" s="1"/>
  <c r="E50" i="119" a="1"/>
  <c r="E50" i="119" s="1"/>
  <c r="D50" i="119" a="1"/>
  <c r="D50" i="119" s="1"/>
  <c r="I49" i="119" a="1"/>
  <c r="I49" i="119" s="1"/>
  <c r="H49" i="119" a="1"/>
  <c r="H49" i="119" s="1"/>
  <c r="G49" i="119" a="1"/>
  <c r="G49" i="119" s="1"/>
  <c r="F49" i="119" a="1"/>
  <c r="F49" i="119" s="1"/>
  <c r="E49" i="119" a="1"/>
  <c r="E49" i="119" s="1"/>
  <c r="D49" i="119" a="1"/>
  <c r="D49" i="119" s="1"/>
  <c r="I48" i="119" a="1"/>
  <c r="I48" i="119" s="1"/>
  <c r="H48" i="119" a="1"/>
  <c r="H48" i="119" s="1"/>
  <c r="G48" i="119" a="1"/>
  <c r="G48" i="119" s="1"/>
  <c r="F48" i="119" a="1"/>
  <c r="F48" i="119" s="1"/>
  <c r="E48" i="119" a="1"/>
  <c r="E48" i="119" s="1"/>
  <c r="D48" i="119" a="1"/>
  <c r="D48" i="119" s="1"/>
  <c r="I47" i="119" a="1"/>
  <c r="I47" i="119" s="1"/>
  <c r="H47" i="119" a="1"/>
  <c r="H47" i="119" s="1"/>
  <c r="G47" i="119" a="1"/>
  <c r="G47" i="119" s="1"/>
  <c r="F47" i="119" a="1"/>
  <c r="F47" i="119" s="1"/>
  <c r="E47" i="119" a="1"/>
  <c r="E47" i="119" s="1"/>
  <c r="D47" i="119" a="1"/>
  <c r="D47" i="119" s="1"/>
  <c r="I46" i="119" a="1"/>
  <c r="I46" i="119" s="1"/>
  <c r="H46" i="119" a="1"/>
  <c r="H46" i="119" s="1"/>
  <c r="G46" i="119" a="1"/>
  <c r="G46" i="119" s="1"/>
  <c r="F46" i="119" a="1"/>
  <c r="F46" i="119" s="1"/>
  <c r="E46" i="119" a="1"/>
  <c r="E46" i="119" s="1"/>
  <c r="D46" i="119" a="1"/>
  <c r="D46" i="119" s="1"/>
  <c r="I45" i="119" a="1"/>
  <c r="I45" i="119" s="1"/>
  <c r="H45" i="119" a="1"/>
  <c r="H45" i="119" s="1"/>
  <c r="G45" i="119" a="1"/>
  <c r="G45" i="119" s="1"/>
  <c r="F45" i="119" a="1"/>
  <c r="F45" i="119" s="1"/>
  <c r="E45" i="119" a="1"/>
  <c r="E45" i="119" s="1"/>
  <c r="D45" i="119" a="1"/>
  <c r="D45" i="119" s="1"/>
  <c r="I44" i="119" a="1"/>
  <c r="I44" i="119" s="1"/>
  <c r="H44" i="119" a="1"/>
  <c r="H44" i="119" s="1"/>
  <c r="G44" i="119" a="1"/>
  <c r="G44" i="119" s="1"/>
  <c r="F44" i="119" a="1"/>
  <c r="F44" i="119" s="1"/>
  <c r="E44" i="119" a="1"/>
  <c r="E44" i="119" s="1"/>
  <c r="D44" i="119" a="1"/>
  <c r="D44" i="119" s="1"/>
  <c r="I43" i="119" a="1"/>
  <c r="I43" i="119" s="1"/>
  <c r="H43" i="119" a="1"/>
  <c r="H43" i="119" s="1"/>
  <c r="G43" i="119" a="1"/>
  <c r="G43" i="119" s="1"/>
  <c r="F43" i="119" a="1"/>
  <c r="F43" i="119" s="1"/>
  <c r="E43" i="119" a="1"/>
  <c r="E43" i="119" s="1"/>
  <c r="D43" i="119" a="1"/>
  <c r="D43" i="119" s="1"/>
  <c r="I42" i="119" a="1"/>
  <c r="I42" i="119" s="1"/>
  <c r="H42" i="119" a="1"/>
  <c r="H42" i="119" s="1"/>
  <c r="G42" i="119" a="1"/>
  <c r="G42" i="119" s="1"/>
  <c r="F42" i="119" a="1"/>
  <c r="F42" i="119" s="1"/>
  <c r="E42" i="119" a="1"/>
  <c r="E42" i="119" s="1"/>
  <c r="D42" i="119" a="1"/>
  <c r="D42" i="119" s="1"/>
  <c r="I41" i="119" a="1"/>
  <c r="I41" i="119" s="1"/>
  <c r="H41" i="119" a="1"/>
  <c r="H41" i="119" s="1"/>
  <c r="G41" i="119" a="1"/>
  <c r="G41" i="119" s="1"/>
  <c r="F41" i="119" a="1"/>
  <c r="F41" i="119" s="1"/>
  <c r="E41" i="119" a="1"/>
  <c r="E41" i="119" s="1"/>
  <c r="D41" i="119" a="1"/>
  <c r="D41" i="119" s="1"/>
  <c r="I40" i="119" a="1"/>
  <c r="I40" i="119" s="1"/>
  <c r="H40" i="119" a="1"/>
  <c r="H40" i="119" s="1"/>
  <c r="G40" i="119" a="1"/>
  <c r="G40" i="119" s="1"/>
  <c r="F40" i="119" a="1"/>
  <c r="F40" i="119" s="1"/>
  <c r="E40" i="119" a="1"/>
  <c r="E40" i="119" s="1"/>
  <c r="D40" i="119" a="1"/>
  <c r="D40" i="119" s="1"/>
  <c r="I39" i="119" a="1"/>
  <c r="I39" i="119" s="1"/>
  <c r="H39" i="119" a="1"/>
  <c r="H39" i="119" s="1"/>
  <c r="G39" i="119" a="1"/>
  <c r="G39" i="119" s="1"/>
  <c r="F39" i="119" a="1"/>
  <c r="F39" i="119" s="1"/>
  <c r="E39" i="119" a="1"/>
  <c r="E39" i="119" s="1"/>
  <c r="D39" i="119" a="1"/>
  <c r="D39" i="119" s="1"/>
  <c r="I38" i="119" a="1"/>
  <c r="I38" i="119" s="1"/>
  <c r="H38" i="119" a="1"/>
  <c r="H38" i="119" s="1"/>
  <c r="G38" i="119" a="1"/>
  <c r="G38" i="119" s="1"/>
  <c r="F38" i="119" a="1"/>
  <c r="F38" i="119" s="1"/>
  <c r="E38" i="119" a="1"/>
  <c r="E38" i="119" s="1"/>
  <c r="D38" i="119" a="1"/>
  <c r="D38" i="119" s="1"/>
  <c r="I37" i="119" a="1"/>
  <c r="I37" i="119" s="1"/>
  <c r="H37" i="119" a="1"/>
  <c r="H37" i="119" s="1"/>
  <c r="G37" i="119" a="1"/>
  <c r="G37" i="119" s="1"/>
  <c r="F37" i="119" a="1"/>
  <c r="F37" i="119" s="1"/>
  <c r="E37" i="119" a="1"/>
  <c r="E37" i="119" s="1"/>
  <c r="D37" i="119" a="1"/>
  <c r="D37" i="119" s="1"/>
  <c r="I36" i="119" a="1"/>
  <c r="I36" i="119" s="1"/>
  <c r="H36" i="119" a="1"/>
  <c r="H36" i="119" s="1"/>
  <c r="G36" i="119" a="1"/>
  <c r="G36" i="119" s="1"/>
  <c r="F36" i="119" a="1"/>
  <c r="F36" i="119" s="1"/>
  <c r="E36" i="119" a="1"/>
  <c r="E36" i="119" s="1"/>
  <c r="D36" i="119" a="1"/>
  <c r="D36" i="119" s="1"/>
  <c r="I35" i="119" a="1"/>
  <c r="I35" i="119" s="1"/>
  <c r="H35" i="119" a="1"/>
  <c r="H35" i="119" s="1"/>
  <c r="G35" i="119" a="1"/>
  <c r="G35" i="119" s="1"/>
  <c r="F35" i="119" a="1"/>
  <c r="F35" i="119" s="1"/>
  <c r="E35" i="119" a="1"/>
  <c r="E35" i="119" s="1"/>
  <c r="D35" i="119" a="1"/>
  <c r="D35" i="119" s="1"/>
  <c r="I34" i="119" a="1"/>
  <c r="I34" i="119" s="1"/>
  <c r="H34" i="119" a="1"/>
  <c r="H34" i="119" s="1"/>
  <c r="G34" i="119" a="1"/>
  <c r="G34" i="119" s="1"/>
  <c r="F34" i="119" a="1"/>
  <c r="F34" i="119" s="1"/>
  <c r="E34" i="119" a="1"/>
  <c r="E34" i="119" s="1"/>
  <c r="D34" i="119" a="1"/>
  <c r="D34" i="119" s="1"/>
  <c r="R85" i="118" a="1"/>
  <c r="R85" i="118" s="1"/>
  <c r="N85" i="118" a="1"/>
  <c r="N85" i="118" s="1"/>
  <c r="H85" i="118" a="1"/>
  <c r="H85" i="118" s="1"/>
  <c r="D85" i="118" a="1"/>
  <c r="D85" i="118" s="1"/>
  <c r="O83" i="118" a="1"/>
  <c r="O83" i="118" s="1"/>
  <c r="E83" i="118" a="1"/>
  <c r="E83" i="118" s="1"/>
  <c r="P90" i="118" s="1"/>
  <c r="O82" i="118" a="1"/>
  <c r="O82" i="118" s="1"/>
  <c r="E82" i="118" a="1"/>
  <c r="E82" i="118" s="1"/>
  <c r="N78" i="118" a="1"/>
  <c r="N78" i="118" s="1"/>
  <c r="D78" i="118" a="1"/>
  <c r="D78" i="118" s="1"/>
  <c r="N77" i="118" a="1"/>
  <c r="N77" i="118" s="1"/>
  <c r="D77" i="118" a="1"/>
  <c r="D77" i="118" s="1"/>
  <c r="I72" i="118"/>
  <c r="I71" i="118"/>
  <c r="I70" i="118"/>
  <c r="Q67" i="118" a="1"/>
  <c r="Q67" i="118" s="1"/>
  <c r="N67" i="118" a="1"/>
  <c r="N67" i="118" s="1"/>
  <c r="G67" i="118" a="1"/>
  <c r="G67" i="118" s="1"/>
  <c r="D67" i="118" a="1"/>
  <c r="D67" i="118" s="1"/>
  <c r="O65" i="118" a="1"/>
  <c r="O65" i="118" s="1"/>
  <c r="E65" i="118" a="1"/>
  <c r="E65" i="118" s="1"/>
  <c r="O64" i="118" a="1"/>
  <c r="O64" i="118" s="1"/>
  <c r="E64" i="118" a="1"/>
  <c r="E64" i="118" s="1"/>
  <c r="N60" i="118" a="1"/>
  <c r="N60" i="118" s="1"/>
  <c r="D60" i="118" a="1"/>
  <c r="D60" i="118" s="1"/>
  <c r="N59" i="118" a="1"/>
  <c r="N59" i="118" s="1"/>
  <c r="D59" i="118" a="1"/>
  <c r="D59" i="118" s="1"/>
  <c r="I52" i="118"/>
  <c r="I51" i="118"/>
  <c r="Q48" i="118" a="1"/>
  <c r="Q48" i="118" s="1"/>
  <c r="N48" i="118" a="1"/>
  <c r="N48" i="118" s="1"/>
  <c r="G48" i="118" a="1"/>
  <c r="G48" i="118" s="1"/>
  <c r="D48" i="118" a="1"/>
  <c r="D48" i="118" s="1"/>
  <c r="O46" i="118" a="1"/>
  <c r="O46" i="118" s="1"/>
  <c r="E46" i="118" a="1"/>
  <c r="E46" i="118" s="1"/>
  <c r="O45" i="118" a="1"/>
  <c r="O45" i="118" s="1"/>
  <c r="E45" i="118" a="1"/>
  <c r="E45" i="118" s="1"/>
  <c r="N41" i="118" a="1"/>
  <c r="N41" i="118" s="1"/>
  <c r="D41" i="118" a="1"/>
  <c r="D41" i="118" s="1"/>
  <c r="N40" i="118" a="1"/>
  <c r="N40" i="118" s="1"/>
  <c r="D40" i="118" a="1"/>
  <c r="D40" i="118" s="1"/>
  <c r="Q32" i="118" a="1"/>
  <c r="Q32" i="118" s="1"/>
  <c r="N32" i="118" a="1"/>
  <c r="N32" i="118" s="1"/>
  <c r="G32" i="118" a="1"/>
  <c r="G32" i="118" s="1"/>
  <c r="D32" i="118" a="1"/>
  <c r="D32" i="118" s="1"/>
  <c r="O30" i="118" a="1"/>
  <c r="O30" i="118" s="1"/>
  <c r="P35" i="118" s="1"/>
  <c r="E30" i="118" a="1"/>
  <c r="E30" i="118" s="1"/>
  <c r="F35" i="118" s="1"/>
  <c r="O29" i="118" a="1"/>
  <c r="O29" i="118" s="1"/>
  <c r="E29" i="118" a="1"/>
  <c r="E29" i="118" s="1"/>
  <c r="N25" i="118" a="1"/>
  <c r="N25" i="118" s="1"/>
  <c r="D25" i="118" a="1"/>
  <c r="D25" i="118" s="1"/>
  <c r="N24" i="118" a="1"/>
  <c r="N24" i="118" s="1"/>
  <c r="D24" i="118"/>
  <c r="D24" i="118" a="1"/>
  <c r="J16" i="118"/>
  <c r="R13" i="118" a="1"/>
  <c r="R13" i="118" s="1"/>
  <c r="N13" i="118" a="1"/>
  <c r="N13" i="118" s="1"/>
  <c r="H13" i="118" a="1"/>
  <c r="H13" i="118" s="1"/>
  <c r="D13" i="118" a="1"/>
  <c r="D13" i="118" s="1"/>
  <c r="O11" i="118" a="1"/>
  <c r="O11" i="118" s="1"/>
  <c r="E11" i="118" a="1"/>
  <c r="E11" i="118" s="1"/>
  <c r="P19" i="118" s="1"/>
  <c r="O10" i="118" a="1"/>
  <c r="O10" i="118" s="1"/>
  <c r="E10" i="118" a="1"/>
  <c r="E10" i="118" s="1"/>
  <c r="N6" i="118" a="1"/>
  <c r="N6" i="118" s="1"/>
  <c r="D6" i="118" a="1"/>
  <c r="D6" i="118" s="1"/>
  <c r="N5" i="118" a="1"/>
  <c r="N5" i="118" s="1"/>
  <c r="D5" i="118" a="1"/>
  <c r="D5" i="118" s="1"/>
  <c r="J636" i="117" a="1"/>
  <c r="J636" i="117" s="1"/>
  <c r="J635" i="117" a="1"/>
  <c r="J635" i="117" s="1"/>
  <c r="J634" i="117" a="1"/>
  <c r="J634" i="117" s="1"/>
  <c r="J633" i="117" a="1"/>
  <c r="J633" i="117" s="1"/>
  <c r="J629" i="117" a="1"/>
  <c r="J629" i="117" s="1"/>
  <c r="J628" i="117" a="1"/>
  <c r="J628" i="117" s="1"/>
  <c r="J618" i="117" a="1"/>
  <c r="J618" i="117" s="1"/>
  <c r="J617" i="117" a="1"/>
  <c r="J617" i="117" s="1"/>
  <c r="J616" i="117" a="1"/>
  <c r="J616" i="117" s="1"/>
  <c r="J612" i="117" a="1"/>
  <c r="J612" i="117" s="1"/>
  <c r="J611" i="117" a="1"/>
  <c r="J611" i="117" s="1"/>
  <c r="J610" i="117" a="1"/>
  <c r="J610" i="117" s="1"/>
  <c r="J615" i="117" a="1"/>
  <c r="J615" i="117" s="1"/>
  <c r="G601" i="117" a="1"/>
  <c r="G601" i="117" s="1"/>
  <c r="D601" i="117" a="1"/>
  <c r="D601" i="117" s="1"/>
  <c r="E599" i="117" a="1"/>
  <c r="E599" i="117" s="1"/>
  <c r="E598" i="117" a="1"/>
  <c r="E598" i="117" s="1"/>
  <c r="D593" i="117" a="1"/>
  <c r="D593" i="117" s="1"/>
  <c r="D592" i="117" a="1"/>
  <c r="D592" i="117" s="1"/>
  <c r="E586" i="117" a="1"/>
  <c r="E586" i="117" s="1"/>
  <c r="F588" i="117" s="1"/>
  <c r="E585" i="117" a="1"/>
  <c r="E585" i="117" s="1"/>
  <c r="D583" i="117" a="1"/>
  <c r="D583" i="117" s="1"/>
  <c r="D582" i="117" a="1"/>
  <c r="D582" i="117" s="1"/>
  <c r="N578" i="117" a="1"/>
  <c r="N578" i="117" s="1"/>
  <c r="F578" i="117" a="1"/>
  <c r="F578" i="117" s="1"/>
  <c r="L575" i="117" a="1"/>
  <c r="L575" i="117" s="1"/>
  <c r="D575" i="117" a="1"/>
  <c r="D575" i="117" s="1"/>
  <c r="P569" i="117" a="1"/>
  <c r="P569" i="117" s="1"/>
  <c r="L569" i="117" a="1"/>
  <c r="L569" i="117" s="1"/>
  <c r="H569" i="117" a="1"/>
  <c r="H569" i="117" s="1"/>
  <c r="D569" i="117" a="1"/>
  <c r="D569" i="117" s="1"/>
  <c r="E565" i="117" a="1"/>
  <c r="E565" i="117" s="1"/>
  <c r="E564" i="117" a="1"/>
  <c r="E564" i="117" s="1"/>
  <c r="D560" i="117" a="1"/>
  <c r="D560" i="117" s="1"/>
  <c r="D559" i="117" a="1"/>
  <c r="D559" i="117" s="1"/>
  <c r="I553" i="117"/>
  <c r="I549" i="117"/>
  <c r="I548" i="117"/>
  <c r="I547" i="117"/>
  <c r="G547" i="117" a="1"/>
  <c r="G547" i="117" s="1"/>
  <c r="D547" i="117" a="1"/>
  <c r="D547" i="117" s="1"/>
  <c r="E545" i="117" a="1"/>
  <c r="E545" i="117" s="1"/>
  <c r="E544" i="117" a="1"/>
  <c r="E544" i="117" s="1"/>
  <c r="D539" i="117" a="1"/>
  <c r="D539" i="117" s="1"/>
  <c r="D538" i="117" a="1"/>
  <c r="D538" i="117" s="1"/>
  <c r="D537" i="117" a="1"/>
  <c r="D537" i="117" s="1"/>
  <c r="I531" i="117"/>
  <c r="I529" i="117"/>
  <c r="G529" i="117" a="1"/>
  <c r="G529" i="117" s="1"/>
  <c r="D529" i="117" a="1"/>
  <c r="D529" i="117" s="1"/>
  <c r="E527" i="117" a="1"/>
  <c r="E527" i="117" s="1"/>
  <c r="E526" i="117" a="1"/>
  <c r="E526" i="117" s="1"/>
  <c r="D522" i="117" a="1"/>
  <c r="D522" i="117" s="1"/>
  <c r="D521" i="117" a="1"/>
  <c r="D521" i="117" s="1"/>
  <c r="G515" i="117" a="1"/>
  <c r="G515" i="117" s="1"/>
  <c r="D515" i="117" a="1"/>
  <c r="D515" i="117" s="1"/>
  <c r="E513" i="117" a="1"/>
  <c r="E513" i="117" s="1"/>
  <c r="E512" i="117" a="1"/>
  <c r="E512" i="117" s="1"/>
  <c r="D507" i="117" a="1"/>
  <c r="D507" i="117" s="1"/>
  <c r="D506" i="117" a="1"/>
  <c r="D506" i="117" s="1"/>
  <c r="K497" i="117" a="1"/>
  <c r="K497" i="117" s="1"/>
  <c r="K496" i="117" a="1"/>
  <c r="K496" i="117" s="1"/>
  <c r="K495" i="117" a="1"/>
  <c r="K495" i="117" s="1"/>
  <c r="E481" i="117"/>
  <c r="I481" i="117" s="1" a="1"/>
  <c r="I481" i="117" s="1"/>
  <c r="E480" i="117"/>
  <c r="E479" i="117"/>
  <c r="I479" i="117" s="1" a="1"/>
  <c r="I479" i="117" s="1"/>
  <c r="E470" i="117"/>
  <c r="I470" i="117" s="1" a="1"/>
  <c r="I470" i="117" s="1"/>
  <c r="E469" i="117"/>
  <c r="E468" i="117"/>
  <c r="I468" i="117" s="1" a="1"/>
  <c r="I468" i="117" s="1"/>
  <c r="E467" i="117"/>
  <c r="E466" i="117"/>
  <c r="I466" i="117" s="1" a="1"/>
  <c r="I466" i="117" s="1"/>
  <c r="J453" i="117" a="1"/>
  <c r="J453" i="117" s="1"/>
  <c r="J450" i="117" a="1"/>
  <c r="J450" i="117" s="1"/>
  <c r="J451" i="117" a="1"/>
  <c r="J451" i="117" s="1"/>
  <c r="J435" i="117" a="1"/>
  <c r="J435" i="117" s="1"/>
  <c r="J434" i="117" a="1"/>
  <c r="J434" i="117" s="1"/>
  <c r="J431" i="117" a="1"/>
  <c r="J431" i="117" s="1"/>
  <c r="J433" i="117" a="1"/>
  <c r="J433" i="117" s="1"/>
  <c r="G424" i="117" a="1"/>
  <c r="G424" i="117" s="1"/>
  <c r="D424" i="117" a="1"/>
  <c r="D424" i="117" s="1"/>
  <c r="E422" i="117" a="1"/>
  <c r="E422" i="117" s="1"/>
  <c r="E421" i="117" a="1"/>
  <c r="E421" i="117" s="1"/>
  <c r="D416" i="117" a="1"/>
  <c r="D416" i="117" s="1"/>
  <c r="D415" i="117" a="1"/>
  <c r="D415" i="117" s="1"/>
  <c r="J408" i="117" a="1"/>
  <c r="J408" i="117" s="1"/>
  <c r="J407" i="117" a="1"/>
  <c r="J407" i="117" s="1"/>
  <c r="K406" i="117"/>
  <c r="J406" i="117" a="1"/>
  <c r="J406" i="117" s="1"/>
  <c r="J404" i="117" a="1"/>
  <c r="J404" i="117" s="1"/>
  <c r="J403" i="117" a="1"/>
  <c r="J403" i="117" s="1"/>
  <c r="J402" i="117" a="1"/>
  <c r="J402" i="117" s="1"/>
  <c r="J400" i="117" a="1"/>
  <c r="J400" i="117" s="1"/>
  <c r="F392" i="117" a="1"/>
  <c r="F392" i="117" s="1"/>
  <c r="D392" i="117" a="1"/>
  <c r="D392" i="117" s="1"/>
  <c r="E390" i="117" a="1"/>
  <c r="E390" i="117" s="1"/>
  <c r="E389" i="117" a="1"/>
  <c r="E389" i="117" s="1"/>
  <c r="D384" i="117" a="1"/>
  <c r="D384" i="117" s="1"/>
  <c r="D383" i="117" a="1"/>
  <c r="D383" i="117" s="1"/>
  <c r="F362" i="117" a="1"/>
  <c r="F362" i="117" s="1"/>
  <c r="D362" i="117" a="1"/>
  <c r="D362" i="117" s="1"/>
  <c r="E360" i="117" a="1"/>
  <c r="E360" i="117" s="1"/>
  <c r="E359" i="117" a="1"/>
  <c r="E359" i="117" s="1"/>
  <c r="D354" i="117" a="1"/>
  <c r="D354" i="117" s="1"/>
  <c r="D353" i="117" a="1"/>
  <c r="D353" i="117" s="1"/>
  <c r="D352" i="117" a="1"/>
  <c r="D352" i="117" s="1"/>
  <c r="K340" i="117" a="1"/>
  <c r="K340" i="117" s="1"/>
  <c r="K345" i="117" a="1"/>
  <c r="K345" i="117" s="1"/>
  <c r="G329" i="117" a="1"/>
  <c r="G329" i="117" s="1"/>
  <c r="D329" i="117" a="1"/>
  <c r="D329" i="117" s="1"/>
  <c r="E327" i="117" a="1"/>
  <c r="E327" i="117" s="1"/>
  <c r="E326" i="117" a="1"/>
  <c r="E326" i="117" s="1"/>
  <c r="D322" i="117" a="1"/>
  <c r="D322" i="117" s="1"/>
  <c r="D321" i="117" a="1"/>
  <c r="D321" i="117" s="1"/>
  <c r="F296" i="117" a="1"/>
  <c r="G300" i="117" s="1"/>
  <c r="D296" i="117" a="1"/>
  <c r="D296" i="117" s="1"/>
  <c r="E294" i="117" a="1"/>
  <c r="E294" i="117" s="1"/>
  <c r="E293" i="117" a="1"/>
  <c r="E293" i="117" s="1"/>
  <c r="D289" i="117" a="1"/>
  <c r="D289" i="117" s="1"/>
  <c r="D288" i="117" a="1"/>
  <c r="D288" i="117" s="1"/>
  <c r="G265" i="117" a="1"/>
  <c r="G265" i="117" s="1"/>
  <c r="D265" i="117" a="1"/>
  <c r="D265" i="117" s="1"/>
  <c r="E263" i="117" a="1"/>
  <c r="E263" i="117" s="1"/>
  <c r="E262" i="117" a="1"/>
  <c r="E262" i="117" s="1"/>
  <c r="D257" i="117" a="1"/>
  <c r="D257" i="117" s="1"/>
  <c r="D256" i="117" a="1"/>
  <c r="D256" i="117" s="1"/>
  <c r="G209" i="117" a="1"/>
  <c r="G209" i="117" s="1"/>
  <c r="D209" i="117" a="1"/>
  <c r="D209" i="117" s="1"/>
  <c r="E207" i="117" a="1"/>
  <c r="E207" i="117" s="1"/>
  <c r="E206" i="117" a="1"/>
  <c r="E206" i="117" s="1"/>
  <c r="D202" i="117" a="1"/>
  <c r="D202" i="117" s="1"/>
  <c r="D201" i="117" a="1"/>
  <c r="D201" i="117" s="1"/>
  <c r="D200" i="117" a="1"/>
  <c r="D200" i="117" s="1"/>
  <c r="G194" i="117" a="1"/>
  <c r="G194" i="117" s="1"/>
  <c r="D194" i="117" a="1"/>
  <c r="D194" i="117" s="1"/>
  <c r="E192" i="117" a="1"/>
  <c r="E192" i="117" s="1"/>
  <c r="E191" i="117" a="1"/>
  <c r="E191" i="117" s="1"/>
  <c r="D187" i="117" a="1"/>
  <c r="D187" i="117" s="1"/>
  <c r="D186" i="117" a="1"/>
  <c r="D186" i="117" s="1"/>
  <c r="G180" i="117" a="1"/>
  <c r="G180" i="117" s="1"/>
  <c r="D180" i="117" a="1"/>
  <c r="D180" i="117" s="1"/>
  <c r="E178" i="117" a="1"/>
  <c r="E178" i="117" s="1"/>
  <c r="E177" i="117" a="1"/>
  <c r="E177" i="117" s="1"/>
  <c r="D173" i="117" a="1"/>
  <c r="D173" i="117" s="1"/>
  <c r="D172" i="117" a="1"/>
  <c r="D172" i="117" s="1"/>
  <c r="D171" i="117" a="1"/>
  <c r="D171" i="117" s="1"/>
  <c r="E164" i="117"/>
  <c r="I164" i="117" s="1" a="1"/>
  <c r="I164" i="117" s="1"/>
  <c r="E163" i="117"/>
  <c r="E162" i="117"/>
  <c r="I162" i="117" s="1" a="1"/>
  <c r="I162" i="117" s="1"/>
  <c r="G157" i="117" a="1"/>
  <c r="G157" i="117" s="1"/>
  <c r="D157" i="117" a="1"/>
  <c r="D157" i="117" s="1"/>
  <c r="E155" i="117" a="1"/>
  <c r="E155" i="117" s="1"/>
  <c r="F166" i="117" s="1"/>
  <c r="E154" i="117" a="1"/>
  <c r="E154" i="117" s="1"/>
  <c r="D150" i="117" a="1"/>
  <c r="D150" i="117" s="1"/>
  <c r="D149" i="117" a="1"/>
  <c r="D149" i="117" s="1"/>
  <c r="E139" i="117"/>
  <c r="E138" i="117"/>
  <c r="E137" i="117"/>
  <c r="I137" i="117" s="1" a="1"/>
  <c r="I137" i="117" s="1"/>
  <c r="E136" i="117"/>
  <c r="I136" i="117" s="1" a="1"/>
  <c r="I136" i="117" s="1"/>
  <c r="G106" i="117" a="1"/>
  <c r="G106" i="117" s="1"/>
  <c r="D106" i="117" a="1"/>
  <c r="D106" i="117" s="1"/>
  <c r="E104" i="117" a="1"/>
  <c r="E104" i="117" s="1"/>
  <c r="E103" i="117" a="1"/>
  <c r="E103" i="117" s="1"/>
  <c r="D99" i="117" a="1"/>
  <c r="D99" i="117" s="1"/>
  <c r="D98" i="117" a="1"/>
  <c r="D98" i="117" s="1"/>
  <c r="J62" i="117" a="1"/>
  <c r="J62" i="117" s="1"/>
  <c r="M23" i="117" a="1"/>
  <c r="M23" i="117" s="1"/>
  <c r="G13" i="117" a="1"/>
  <c r="G13" i="117" s="1"/>
  <c r="D13" i="117" a="1"/>
  <c r="D13" i="117" s="1"/>
  <c r="E11" i="117" a="1"/>
  <c r="E11" i="117" s="1"/>
  <c r="E10" i="117" a="1"/>
  <c r="E10" i="117" s="1"/>
  <c r="D6" i="117" a="1"/>
  <c r="D6" i="117" s="1"/>
  <c r="D5" i="117" a="1"/>
  <c r="D5" i="117" s="1"/>
  <c r="H102" i="114"/>
  <c r="H101" i="114"/>
  <c r="H100" i="114"/>
  <c r="H99" i="114"/>
  <c r="H98" i="114"/>
  <c r="H97" i="114"/>
  <c r="H96" i="114"/>
  <c r="H95" i="114"/>
  <c r="H94" i="114"/>
  <c r="H93" i="114"/>
  <c r="H20" i="114"/>
  <c r="R20" i="114" s="1"/>
  <c r="H19" i="114"/>
  <c r="R19" i="114" s="1"/>
  <c r="H18" i="114"/>
  <c r="R18" i="114" s="1"/>
  <c r="H17" i="114"/>
  <c r="R17" i="114" s="1"/>
  <c r="H16" i="114"/>
  <c r="R16" i="114" s="1"/>
  <c r="H15" i="114"/>
  <c r="L15" i="114" s="1"/>
  <c r="O14" i="114"/>
  <c r="H14" i="114"/>
  <c r="R14" i="114" s="1"/>
  <c r="H13" i="114"/>
  <c r="R13" i="114" s="1"/>
  <c r="H12" i="114"/>
  <c r="L12" i="114" s="1"/>
  <c r="H11" i="114"/>
  <c r="R11" i="114" s="1"/>
  <c r="Q9" i="114" a="1"/>
  <c r="Q9" i="114" s="1"/>
  <c r="N9" i="114" a="1"/>
  <c r="N9" i="114" s="1"/>
  <c r="K9" i="114" a="1"/>
  <c r="K9" i="114" s="1"/>
  <c r="F235" i="112" a="1"/>
  <c r="F235" i="112" s="1"/>
  <c r="E235" i="112" a="1"/>
  <c r="E235" i="112" s="1"/>
  <c r="D235" i="112" a="1"/>
  <c r="D235" i="112" s="1"/>
  <c r="F234" i="112" a="1"/>
  <c r="F234" i="112" s="1"/>
  <c r="E234" i="112" a="1"/>
  <c r="E234" i="112" s="1"/>
  <c r="D234" i="112" a="1"/>
  <c r="D234" i="112" s="1"/>
  <c r="F233" i="112" a="1"/>
  <c r="F233" i="112" s="1"/>
  <c r="E233" i="112" a="1"/>
  <c r="E233" i="112" s="1"/>
  <c r="D233" i="112" a="1"/>
  <c r="D233" i="112" s="1"/>
  <c r="F232" i="112" a="1"/>
  <c r="F232" i="112" s="1"/>
  <c r="E232" i="112" a="1"/>
  <c r="E232" i="112" s="1"/>
  <c r="D232" i="112" a="1"/>
  <c r="D232" i="112" s="1"/>
  <c r="F231" i="112" a="1"/>
  <c r="F231" i="112" s="1"/>
  <c r="E231" i="112" a="1"/>
  <c r="E231" i="112" s="1"/>
  <c r="D231" i="112" a="1"/>
  <c r="D231" i="112" s="1"/>
  <c r="F230" i="112" a="1"/>
  <c r="F230" i="112" s="1"/>
  <c r="E230" i="112" a="1"/>
  <c r="E230" i="112" s="1"/>
  <c r="D230" i="112" a="1"/>
  <c r="D230" i="112" s="1"/>
  <c r="F229" i="112" a="1"/>
  <c r="F229" i="112" s="1"/>
  <c r="E229" i="112" a="1"/>
  <c r="E229" i="112" s="1"/>
  <c r="D229" i="112" a="1"/>
  <c r="D229" i="112" s="1"/>
  <c r="F228" i="112" a="1"/>
  <c r="F228" i="112" s="1"/>
  <c r="E228" i="112" a="1"/>
  <c r="E228" i="112" s="1"/>
  <c r="D228" i="112" a="1"/>
  <c r="D228" i="112" s="1"/>
  <c r="F227" i="112" a="1"/>
  <c r="F227" i="112" s="1"/>
  <c r="E227" i="112" a="1"/>
  <c r="E227" i="112" s="1"/>
  <c r="D227" i="112" a="1"/>
  <c r="D227" i="112" s="1"/>
  <c r="F226" i="112" a="1"/>
  <c r="F226" i="112" s="1"/>
  <c r="E226" i="112" a="1"/>
  <c r="E226" i="112" s="1"/>
  <c r="D226" i="112" a="1"/>
  <c r="D226" i="112" s="1"/>
  <c r="F225" i="112" a="1"/>
  <c r="F225" i="112" s="1"/>
  <c r="E225" i="112" a="1"/>
  <c r="E225" i="112" s="1"/>
  <c r="D225" i="112" a="1"/>
  <c r="D225" i="112" s="1"/>
  <c r="F224" i="112" a="1"/>
  <c r="F224" i="112" s="1"/>
  <c r="E224" i="112" a="1"/>
  <c r="E224" i="112" s="1"/>
  <c r="D224" i="112" a="1"/>
  <c r="D224" i="112" s="1"/>
  <c r="F223" i="112" a="1"/>
  <c r="F223" i="112" s="1"/>
  <c r="E223" i="112" a="1"/>
  <c r="E223" i="112" s="1"/>
  <c r="D223" i="112" a="1"/>
  <c r="D223" i="112" s="1"/>
  <c r="F222" i="112" a="1"/>
  <c r="F222" i="112" s="1"/>
  <c r="E222" i="112" a="1"/>
  <c r="E222" i="112" s="1"/>
  <c r="D222" i="112" a="1"/>
  <c r="D222" i="112" s="1"/>
  <c r="F221" i="112" a="1"/>
  <c r="F221" i="112" s="1"/>
  <c r="E221" i="112" a="1"/>
  <c r="E221" i="112" s="1"/>
  <c r="D221" i="112" a="1"/>
  <c r="D221" i="112" s="1"/>
  <c r="F220" i="112" a="1"/>
  <c r="F220" i="112" s="1"/>
  <c r="E220" i="112" a="1"/>
  <c r="E220" i="112" s="1"/>
  <c r="D220" i="112" a="1"/>
  <c r="D220" i="112" s="1"/>
  <c r="F219" i="112" a="1"/>
  <c r="F219" i="112" s="1"/>
  <c r="E219" i="112" a="1"/>
  <c r="E219" i="112" s="1"/>
  <c r="D219" i="112" a="1"/>
  <c r="D219" i="112" s="1"/>
  <c r="F218" i="112" a="1"/>
  <c r="F218" i="112" s="1"/>
  <c r="E218" i="112" a="1"/>
  <c r="E218" i="112" s="1"/>
  <c r="D218" i="112" a="1"/>
  <c r="D218" i="112" s="1"/>
  <c r="F217" i="112" a="1"/>
  <c r="F217" i="112" s="1"/>
  <c r="E217" i="112" a="1"/>
  <c r="E217" i="112" s="1"/>
  <c r="D217" i="112" a="1"/>
  <c r="D217" i="112" s="1"/>
  <c r="F216" i="112" a="1"/>
  <c r="F216" i="112" s="1"/>
  <c r="E216" i="112" a="1"/>
  <c r="E216" i="112" s="1"/>
  <c r="D216" i="112" a="1"/>
  <c r="D216" i="112" s="1"/>
  <c r="F215" i="112" a="1"/>
  <c r="F215" i="112" s="1"/>
  <c r="E215" i="112" a="1"/>
  <c r="E215" i="112" s="1"/>
  <c r="D215" i="112" a="1"/>
  <c r="D215" i="112" s="1"/>
  <c r="F214" i="112" a="1"/>
  <c r="F214" i="112" s="1"/>
  <c r="E214" i="112" a="1"/>
  <c r="E214" i="112" s="1"/>
  <c r="D214" i="112" a="1"/>
  <c r="D214" i="112" s="1"/>
  <c r="F213" i="112" a="1"/>
  <c r="F213" i="112" s="1"/>
  <c r="E213" i="112" a="1"/>
  <c r="E213" i="112" s="1"/>
  <c r="D213" i="112" a="1"/>
  <c r="D213" i="112" s="1"/>
  <c r="F212" i="112" a="1"/>
  <c r="F212" i="112" s="1"/>
  <c r="E212" i="112" a="1"/>
  <c r="E212" i="112" s="1"/>
  <c r="D212" i="112" a="1"/>
  <c r="D212" i="112" s="1"/>
  <c r="F211" i="112" a="1"/>
  <c r="F211" i="112" s="1"/>
  <c r="E211" i="112" a="1"/>
  <c r="E211" i="112" s="1"/>
  <c r="D211" i="112" a="1"/>
  <c r="D211" i="112" s="1"/>
  <c r="F210" i="112" a="1"/>
  <c r="F210" i="112" s="1"/>
  <c r="E210" i="112" a="1"/>
  <c r="E210" i="112" s="1"/>
  <c r="D210" i="112" a="1"/>
  <c r="D210" i="112" s="1"/>
  <c r="F209" i="112" a="1"/>
  <c r="F209" i="112" s="1"/>
  <c r="E209" i="112" a="1"/>
  <c r="E209" i="112" s="1"/>
  <c r="D209" i="112" a="1"/>
  <c r="D209" i="112" s="1"/>
  <c r="F208" i="112" a="1"/>
  <c r="F208" i="112" s="1"/>
  <c r="E208" i="112" a="1"/>
  <c r="E208" i="112" s="1"/>
  <c r="D208" i="112" a="1"/>
  <c r="D208" i="112" s="1"/>
  <c r="F207" i="112" a="1"/>
  <c r="F207" i="112" s="1"/>
  <c r="E207" i="112" a="1"/>
  <c r="E207" i="112" s="1"/>
  <c r="D207" i="112" a="1"/>
  <c r="D207" i="112" s="1"/>
  <c r="F206" i="112" a="1"/>
  <c r="F206" i="112" s="1"/>
  <c r="E206" i="112" a="1"/>
  <c r="E206" i="112" s="1"/>
  <c r="D206" i="112" a="1"/>
  <c r="D206" i="112" s="1"/>
  <c r="F205" i="112" a="1"/>
  <c r="F205" i="112" s="1"/>
  <c r="E205" i="112" a="1"/>
  <c r="E205" i="112" s="1"/>
  <c r="D205" i="112" a="1"/>
  <c r="D205" i="112" s="1"/>
  <c r="F204" i="112" a="1"/>
  <c r="F204" i="112" s="1"/>
  <c r="E204" i="112" a="1"/>
  <c r="E204" i="112" s="1"/>
  <c r="D204" i="112" a="1"/>
  <c r="D204" i="112" s="1"/>
  <c r="F203" i="112" a="1"/>
  <c r="F203" i="112" s="1"/>
  <c r="E203" i="112" a="1"/>
  <c r="E203" i="112" s="1"/>
  <c r="D203" i="112" a="1"/>
  <c r="D203" i="112" s="1"/>
  <c r="F202" i="112" a="1"/>
  <c r="F202" i="112" s="1"/>
  <c r="E202" i="112" a="1"/>
  <c r="E202" i="112" s="1"/>
  <c r="D202" i="112" a="1"/>
  <c r="D202" i="112" s="1"/>
  <c r="F201" i="112" a="1"/>
  <c r="F201" i="112" s="1"/>
  <c r="E201" i="112" a="1"/>
  <c r="E201" i="112" s="1"/>
  <c r="D201" i="112" a="1"/>
  <c r="D201" i="112" s="1"/>
  <c r="F200" i="112" a="1"/>
  <c r="F200" i="112" s="1"/>
  <c r="E200" i="112" a="1"/>
  <c r="E200" i="112" s="1"/>
  <c r="D200" i="112" a="1"/>
  <c r="D200" i="112" s="1"/>
  <c r="F199" i="112" a="1"/>
  <c r="F199" i="112" s="1"/>
  <c r="E199" i="112" a="1"/>
  <c r="E199" i="112" s="1"/>
  <c r="D199" i="112" a="1"/>
  <c r="D199" i="112" s="1"/>
  <c r="F198" i="112" a="1"/>
  <c r="F198" i="112" s="1"/>
  <c r="E198" i="112" a="1"/>
  <c r="E198" i="112" s="1"/>
  <c r="D198" i="112" a="1"/>
  <c r="D198" i="112" s="1"/>
  <c r="F197" i="112" a="1"/>
  <c r="F197" i="112" s="1"/>
  <c r="E197" i="112" a="1"/>
  <c r="E197" i="112" s="1"/>
  <c r="D197" i="112" a="1"/>
  <c r="D197" i="112" s="1"/>
  <c r="F196" i="112" a="1"/>
  <c r="F196" i="112" s="1"/>
  <c r="E196" i="112" a="1"/>
  <c r="E196" i="112" s="1"/>
  <c r="D196" i="112" a="1"/>
  <c r="D196" i="112" s="1"/>
  <c r="F195" i="112" a="1"/>
  <c r="F195" i="112" s="1"/>
  <c r="E195" i="112" a="1"/>
  <c r="E195" i="112" s="1"/>
  <c r="D195" i="112" a="1"/>
  <c r="D195" i="112" s="1"/>
  <c r="F194" i="112" a="1"/>
  <c r="F194" i="112" s="1"/>
  <c r="E194" i="112" a="1"/>
  <c r="E194" i="112" s="1"/>
  <c r="D194" i="112" a="1"/>
  <c r="D194" i="112" s="1"/>
  <c r="F193" i="112" a="1"/>
  <c r="F193" i="112" s="1"/>
  <c r="E193" i="112" a="1"/>
  <c r="E193" i="112" s="1"/>
  <c r="D193" i="112" a="1"/>
  <c r="D193" i="112" s="1"/>
  <c r="F192" i="112" a="1"/>
  <c r="F192" i="112" s="1"/>
  <c r="E192" i="112" a="1"/>
  <c r="E192" i="112" s="1"/>
  <c r="D192" i="112" a="1"/>
  <c r="D192" i="112" s="1"/>
  <c r="F191" i="112" a="1"/>
  <c r="F191" i="112" s="1"/>
  <c r="E191" i="112" a="1"/>
  <c r="E191" i="112" s="1"/>
  <c r="D191" i="112" a="1"/>
  <c r="D191" i="112" s="1"/>
  <c r="F190" i="112" a="1"/>
  <c r="F190" i="112" s="1"/>
  <c r="E190" i="112" a="1"/>
  <c r="E190" i="112" s="1"/>
  <c r="D190" i="112" a="1"/>
  <c r="D190" i="112" s="1"/>
  <c r="F189" i="112" a="1"/>
  <c r="F189" i="112" s="1"/>
  <c r="E189" i="112" a="1"/>
  <c r="E189" i="112" s="1"/>
  <c r="D189" i="112" a="1"/>
  <c r="D189" i="112" s="1"/>
  <c r="F188" i="112" a="1"/>
  <c r="F188" i="112" s="1"/>
  <c r="E188" i="112" a="1"/>
  <c r="E188" i="112" s="1"/>
  <c r="D188" i="112" a="1"/>
  <c r="D188" i="112" s="1"/>
  <c r="F187" i="112" a="1"/>
  <c r="F187" i="112" s="1"/>
  <c r="E187" i="112" a="1"/>
  <c r="E187" i="112" s="1"/>
  <c r="D187" i="112" a="1"/>
  <c r="D187" i="112" s="1"/>
  <c r="F186" i="112" a="1"/>
  <c r="F186" i="112" s="1"/>
  <c r="E186" i="112" a="1"/>
  <c r="E186" i="112" s="1"/>
  <c r="D186" i="112" a="1"/>
  <c r="D186" i="112" s="1"/>
  <c r="F185" i="112" a="1"/>
  <c r="F185" i="112" s="1"/>
  <c r="E185" i="112" a="1"/>
  <c r="E185" i="112" s="1"/>
  <c r="D185" i="112" a="1"/>
  <c r="D185" i="112" s="1"/>
  <c r="F184" i="112" a="1"/>
  <c r="F184" i="112" s="1"/>
  <c r="E184" i="112" a="1"/>
  <c r="E184" i="112" s="1"/>
  <c r="D184" i="112" a="1"/>
  <c r="D184" i="112" s="1"/>
  <c r="F183" i="112" a="1"/>
  <c r="F183" i="112" s="1"/>
  <c r="E183" i="112" a="1"/>
  <c r="E183" i="112" s="1"/>
  <c r="D183" i="112" a="1"/>
  <c r="D183" i="112" s="1"/>
  <c r="F182" i="112" a="1"/>
  <c r="F182" i="112" s="1"/>
  <c r="E182" i="112" a="1"/>
  <c r="E182" i="112" s="1"/>
  <c r="D182" i="112" a="1"/>
  <c r="D182" i="112" s="1"/>
  <c r="F181" i="112" a="1"/>
  <c r="F181" i="112" s="1"/>
  <c r="E181" i="112" a="1"/>
  <c r="E181" i="112" s="1"/>
  <c r="D181" i="112" a="1"/>
  <c r="D181" i="112" s="1"/>
  <c r="F180" i="112" a="1"/>
  <c r="F180" i="112" s="1"/>
  <c r="E180" i="112" a="1"/>
  <c r="E180" i="112" s="1"/>
  <c r="D180" i="112" a="1"/>
  <c r="D180" i="112" s="1"/>
  <c r="F179" i="112" a="1"/>
  <c r="F179" i="112" s="1"/>
  <c r="E179" i="112" a="1"/>
  <c r="E179" i="112" s="1"/>
  <c r="D179" i="112" a="1"/>
  <c r="D179" i="112" s="1"/>
  <c r="F178" i="112" a="1"/>
  <c r="F178" i="112" s="1"/>
  <c r="E178" i="112" a="1"/>
  <c r="E178" i="112" s="1"/>
  <c r="D178" i="112" a="1"/>
  <c r="D178" i="112" s="1"/>
  <c r="F177" i="112" a="1"/>
  <c r="F177" i="112" s="1"/>
  <c r="E177" i="112" a="1"/>
  <c r="E177" i="112" s="1"/>
  <c r="D177" i="112" a="1"/>
  <c r="D177" i="112" s="1"/>
  <c r="F176" i="112" a="1"/>
  <c r="F176" i="112" s="1"/>
  <c r="E176" i="112" a="1"/>
  <c r="E176" i="112" s="1"/>
  <c r="D176" i="112" a="1"/>
  <c r="D176" i="112" s="1"/>
  <c r="F175" i="112" a="1"/>
  <c r="F175" i="112" s="1"/>
  <c r="E175" i="112" a="1"/>
  <c r="E175" i="112" s="1"/>
  <c r="D175" i="112" a="1"/>
  <c r="D175" i="112" s="1"/>
  <c r="F174" i="112" a="1"/>
  <c r="F174" i="112" s="1"/>
  <c r="E174" i="112" a="1"/>
  <c r="E174" i="112" s="1"/>
  <c r="D174" i="112" a="1"/>
  <c r="D174" i="112" s="1"/>
  <c r="F173" i="112" a="1"/>
  <c r="F173" i="112" s="1"/>
  <c r="E173" i="112" a="1"/>
  <c r="E173" i="112" s="1"/>
  <c r="D173" i="112" a="1"/>
  <c r="D173" i="112" s="1"/>
  <c r="F172" i="112" a="1"/>
  <c r="F172" i="112" s="1"/>
  <c r="E172" i="112" a="1"/>
  <c r="E172" i="112" s="1"/>
  <c r="D172" i="112" a="1"/>
  <c r="D172" i="112" s="1"/>
  <c r="F171" i="112" a="1"/>
  <c r="F171" i="112" s="1"/>
  <c r="E171" i="112" a="1"/>
  <c r="E171" i="112" s="1"/>
  <c r="D171" i="112" a="1"/>
  <c r="D171" i="112" s="1"/>
  <c r="F170" i="112" a="1"/>
  <c r="F170" i="112" s="1"/>
  <c r="E170" i="112" a="1"/>
  <c r="E170" i="112" s="1"/>
  <c r="D170" i="112" a="1"/>
  <c r="D170" i="112" s="1"/>
  <c r="F169" i="112" a="1"/>
  <c r="F169" i="112" s="1"/>
  <c r="E169" i="112" a="1"/>
  <c r="E169" i="112" s="1"/>
  <c r="D169" i="112" a="1"/>
  <c r="D169" i="112" s="1"/>
  <c r="F168" i="112" a="1"/>
  <c r="F168" i="112" s="1"/>
  <c r="E168" i="112" a="1"/>
  <c r="E168" i="112" s="1"/>
  <c r="D168" i="112" a="1"/>
  <c r="D168" i="112" s="1"/>
  <c r="F167" i="112" a="1"/>
  <c r="F167" i="112" s="1"/>
  <c r="E167" i="112" a="1"/>
  <c r="E167" i="112" s="1"/>
  <c r="D167" i="112" a="1"/>
  <c r="D167" i="112" s="1"/>
  <c r="F166" i="112" a="1"/>
  <c r="F166" i="112" s="1"/>
  <c r="E166" i="112" a="1"/>
  <c r="E166" i="112" s="1"/>
  <c r="D166" i="112" a="1"/>
  <c r="D166" i="112" s="1"/>
  <c r="F165" i="112" a="1"/>
  <c r="F165" i="112" s="1"/>
  <c r="E165" i="112" a="1"/>
  <c r="E165" i="112" s="1"/>
  <c r="D165" i="112" a="1"/>
  <c r="D165" i="112" s="1"/>
  <c r="F164" i="112" a="1"/>
  <c r="F164" i="112" s="1"/>
  <c r="E164" i="112" a="1"/>
  <c r="E164" i="112" s="1"/>
  <c r="D164" i="112" a="1"/>
  <c r="D164" i="112" s="1"/>
  <c r="F163" i="112" a="1"/>
  <c r="F163" i="112" s="1"/>
  <c r="E163" i="112" a="1"/>
  <c r="E163" i="112" s="1"/>
  <c r="D163" i="112" a="1"/>
  <c r="D163" i="112" s="1"/>
  <c r="F162" i="112" a="1"/>
  <c r="F162" i="112" s="1"/>
  <c r="E162" i="112" a="1"/>
  <c r="E162" i="112" s="1"/>
  <c r="D162" i="112" a="1"/>
  <c r="D162" i="112" s="1"/>
  <c r="F161" i="112" a="1"/>
  <c r="F161" i="112" s="1"/>
  <c r="E161" i="112" a="1"/>
  <c r="E161" i="112" s="1"/>
  <c r="D161" i="112" a="1"/>
  <c r="D161" i="112" s="1"/>
  <c r="F160" i="112" a="1"/>
  <c r="F160" i="112" s="1"/>
  <c r="E160" i="112" a="1"/>
  <c r="E160" i="112" s="1"/>
  <c r="D160" i="112" a="1"/>
  <c r="D160" i="112" s="1"/>
  <c r="F159" i="112" a="1"/>
  <c r="F159" i="112" s="1"/>
  <c r="E159" i="112" a="1"/>
  <c r="E159" i="112" s="1"/>
  <c r="D159" i="112" a="1"/>
  <c r="D159" i="112" s="1"/>
  <c r="F158" i="112" a="1"/>
  <c r="F158" i="112" s="1"/>
  <c r="E158" i="112" a="1"/>
  <c r="E158" i="112" s="1"/>
  <c r="D158" i="112" a="1"/>
  <c r="D158" i="112" s="1"/>
  <c r="F157" i="112" a="1"/>
  <c r="F157" i="112" s="1"/>
  <c r="E157" i="112" a="1"/>
  <c r="E157" i="112" s="1"/>
  <c r="D157" i="112" a="1"/>
  <c r="D157" i="112" s="1"/>
  <c r="F156" i="112" a="1"/>
  <c r="F156" i="112" s="1"/>
  <c r="E156" i="112" a="1"/>
  <c r="E156" i="112" s="1"/>
  <c r="D156" i="112" a="1"/>
  <c r="D156" i="112" s="1"/>
  <c r="F155" i="112" a="1"/>
  <c r="F155" i="112" s="1"/>
  <c r="E155" i="112" a="1"/>
  <c r="E155" i="112" s="1"/>
  <c r="D155" i="112" a="1"/>
  <c r="D155" i="112" s="1"/>
  <c r="F154" i="112" a="1"/>
  <c r="F154" i="112" s="1"/>
  <c r="E154" i="112" a="1"/>
  <c r="E154" i="112" s="1"/>
  <c r="D154" i="112" a="1"/>
  <c r="D154" i="112" s="1"/>
  <c r="F153" i="112" a="1"/>
  <c r="F153" i="112" s="1"/>
  <c r="E153" i="112" a="1"/>
  <c r="E153" i="112" s="1"/>
  <c r="D153" i="112" a="1"/>
  <c r="D153" i="112" s="1"/>
  <c r="F152" i="112" a="1"/>
  <c r="F152" i="112" s="1"/>
  <c r="E152" i="112" a="1"/>
  <c r="E152" i="112" s="1"/>
  <c r="D152" i="112" a="1"/>
  <c r="D152" i="112" s="1"/>
  <c r="F151" i="112" a="1"/>
  <c r="F151" i="112" s="1"/>
  <c r="E151" i="112" a="1"/>
  <c r="E151" i="112" s="1"/>
  <c r="D151" i="112" a="1"/>
  <c r="D151" i="112" s="1"/>
  <c r="F150" i="112" a="1"/>
  <c r="F150" i="112" s="1"/>
  <c r="E150" i="112" a="1"/>
  <c r="E150" i="112" s="1"/>
  <c r="D150" i="112" a="1"/>
  <c r="D150" i="112" s="1"/>
  <c r="F149" i="112" a="1"/>
  <c r="F149" i="112" s="1"/>
  <c r="E149" i="112" a="1"/>
  <c r="E149" i="112" s="1"/>
  <c r="D149" i="112" a="1"/>
  <c r="D149" i="112" s="1"/>
  <c r="F148" i="112" a="1"/>
  <c r="F148" i="112" s="1"/>
  <c r="E148" i="112" a="1"/>
  <c r="E148" i="112" s="1"/>
  <c r="D148" i="112" a="1"/>
  <c r="D148" i="112" s="1"/>
  <c r="F147" i="112" a="1"/>
  <c r="F147" i="112" s="1"/>
  <c r="E147" i="112" a="1"/>
  <c r="E147" i="112" s="1"/>
  <c r="D147" i="112" a="1"/>
  <c r="D147" i="112" s="1"/>
  <c r="F146" i="112" a="1"/>
  <c r="F146" i="112" s="1"/>
  <c r="E146" i="112" a="1"/>
  <c r="E146" i="112" s="1"/>
  <c r="D146" i="112" a="1"/>
  <c r="D146" i="112" s="1"/>
  <c r="F145" i="112" a="1"/>
  <c r="F145" i="112" s="1"/>
  <c r="E145" i="112" a="1"/>
  <c r="E145" i="112" s="1"/>
  <c r="D145" i="112" a="1"/>
  <c r="D145" i="112" s="1"/>
  <c r="F144" i="112" a="1"/>
  <c r="F144" i="112" s="1"/>
  <c r="E144" i="112" a="1"/>
  <c r="E144" i="112" s="1"/>
  <c r="D144" i="112" a="1"/>
  <c r="D144" i="112" s="1"/>
  <c r="F143" i="112" a="1"/>
  <c r="F143" i="112" s="1"/>
  <c r="E143" i="112" a="1"/>
  <c r="E143" i="112" s="1"/>
  <c r="D143" i="112" a="1"/>
  <c r="D143" i="112" s="1"/>
  <c r="F142" i="112" a="1"/>
  <c r="F142" i="112" s="1"/>
  <c r="E142" i="112" a="1"/>
  <c r="E142" i="112" s="1"/>
  <c r="D142" i="112" a="1"/>
  <c r="D142" i="112" s="1"/>
  <c r="F141" i="112" a="1"/>
  <c r="F141" i="112" s="1"/>
  <c r="E141" i="112" a="1"/>
  <c r="E141" i="112" s="1"/>
  <c r="D141" i="112" a="1"/>
  <c r="D141" i="112" s="1"/>
  <c r="F140" i="112" a="1"/>
  <c r="F140" i="112" s="1"/>
  <c r="E140" i="112" a="1"/>
  <c r="E140" i="112" s="1"/>
  <c r="D140" i="112" a="1"/>
  <c r="D140" i="112" s="1"/>
  <c r="F139" i="112" a="1"/>
  <c r="F139" i="112" s="1"/>
  <c r="E139" i="112" a="1"/>
  <c r="E139" i="112" s="1"/>
  <c r="D139" i="112" a="1"/>
  <c r="D139" i="112" s="1"/>
  <c r="F138" i="112" a="1"/>
  <c r="F138" i="112" s="1"/>
  <c r="E138" i="112" a="1"/>
  <c r="E138" i="112" s="1"/>
  <c r="D138" i="112" a="1"/>
  <c r="D138" i="112" s="1"/>
  <c r="F137" i="112" a="1"/>
  <c r="F137" i="112" s="1"/>
  <c r="E137" i="112" a="1"/>
  <c r="E137" i="112" s="1"/>
  <c r="D137" i="112" a="1"/>
  <c r="D137" i="112" s="1"/>
  <c r="F136" i="112" a="1"/>
  <c r="F136" i="112" s="1"/>
  <c r="E136" i="112" a="1"/>
  <c r="E136" i="112" s="1"/>
  <c r="D136" i="112" a="1"/>
  <c r="D136" i="112" s="1"/>
  <c r="F135" i="112" a="1"/>
  <c r="F135" i="112" s="1"/>
  <c r="E135" i="112" a="1"/>
  <c r="E135" i="112" s="1"/>
  <c r="D135" i="112" a="1"/>
  <c r="D135" i="112" s="1"/>
  <c r="F134" i="112" a="1"/>
  <c r="F134" i="112" s="1"/>
  <c r="E134" i="112" a="1"/>
  <c r="E134" i="112" s="1"/>
  <c r="D134" i="112" a="1"/>
  <c r="D134" i="112" s="1"/>
  <c r="F133" i="112" a="1"/>
  <c r="F133" i="112" s="1"/>
  <c r="E133" i="112" a="1"/>
  <c r="E133" i="112" s="1"/>
  <c r="D133" i="112" a="1"/>
  <c r="D133" i="112" s="1"/>
  <c r="F132" i="112" a="1"/>
  <c r="F132" i="112" s="1"/>
  <c r="E132" i="112" a="1"/>
  <c r="E132" i="112" s="1"/>
  <c r="D132" i="112" a="1"/>
  <c r="D132" i="112" s="1"/>
  <c r="F131" i="112" a="1"/>
  <c r="F131" i="112" s="1"/>
  <c r="E131" i="112" a="1"/>
  <c r="E131" i="112" s="1"/>
  <c r="D131" i="112" a="1"/>
  <c r="D131" i="112" s="1"/>
  <c r="F130" i="112" a="1"/>
  <c r="F130" i="112" s="1"/>
  <c r="E130" i="112" a="1"/>
  <c r="E130" i="112" s="1"/>
  <c r="D130" i="112" a="1"/>
  <c r="D130" i="112" s="1"/>
  <c r="F129" i="112" a="1"/>
  <c r="F129" i="112" s="1"/>
  <c r="E129" i="112" a="1"/>
  <c r="E129" i="112" s="1"/>
  <c r="D129" i="112" a="1"/>
  <c r="D129" i="112" s="1"/>
  <c r="F128" i="112" a="1"/>
  <c r="F128" i="112" s="1"/>
  <c r="E128" i="112" a="1"/>
  <c r="E128" i="112" s="1"/>
  <c r="D128" i="112" a="1"/>
  <c r="D128" i="112" s="1"/>
  <c r="F127" i="112" a="1"/>
  <c r="F127" i="112" s="1"/>
  <c r="E127" i="112" a="1"/>
  <c r="E127" i="112" s="1"/>
  <c r="D127" i="112" a="1"/>
  <c r="D127" i="112" s="1"/>
  <c r="F126" i="112" a="1"/>
  <c r="F126" i="112" s="1"/>
  <c r="E126" i="112" a="1"/>
  <c r="E126" i="112" s="1"/>
  <c r="D126" i="112" a="1"/>
  <c r="D126" i="112" s="1"/>
  <c r="F125" i="112" a="1"/>
  <c r="F125" i="112" s="1"/>
  <c r="E125" i="112" a="1"/>
  <c r="E125" i="112" s="1"/>
  <c r="D125" i="112" a="1"/>
  <c r="D125" i="112" s="1"/>
  <c r="F124" i="112" a="1"/>
  <c r="F124" i="112" s="1"/>
  <c r="E124" i="112" a="1"/>
  <c r="E124" i="112" s="1"/>
  <c r="D124" i="112" a="1"/>
  <c r="D124" i="112" s="1"/>
  <c r="F123" i="112" a="1"/>
  <c r="F123" i="112" s="1"/>
  <c r="E123" i="112" a="1"/>
  <c r="E123" i="112" s="1"/>
  <c r="D123" i="112" a="1"/>
  <c r="D123" i="112" s="1"/>
  <c r="F122" i="112" a="1"/>
  <c r="F122" i="112" s="1"/>
  <c r="E122" i="112" a="1"/>
  <c r="E122" i="112" s="1"/>
  <c r="D122" i="112" a="1"/>
  <c r="D122" i="112" s="1"/>
  <c r="F121" i="112" a="1"/>
  <c r="F121" i="112" s="1"/>
  <c r="E121" i="112" a="1"/>
  <c r="E121" i="112" s="1"/>
  <c r="D121" i="112" a="1"/>
  <c r="D121" i="112" s="1"/>
  <c r="F120" i="112" a="1"/>
  <c r="F120" i="112" s="1"/>
  <c r="E120" i="112" a="1"/>
  <c r="E120" i="112" s="1"/>
  <c r="D120" i="112" a="1"/>
  <c r="D120" i="112" s="1"/>
  <c r="F119" i="112" a="1"/>
  <c r="F119" i="112" s="1"/>
  <c r="E119" i="112" a="1"/>
  <c r="E119" i="112" s="1"/>
  <c r="D119" i="112" a="1"/>
  <c r="D119" i="112" s="1"/>
  <c r="F118" i="112" a="1"/>
  <c r="F118" i="112" s="1"/>
  <c r="E118" i="112" a="1"/>
  <c r="E118" i="112" s="1"/>
  <c r="D118" i="112" a="1"/>
  <c r="D118" i="112" s="1"/>
  <c r="F117" i="112" a="1"/>
  <c r="F117" i="112" s="1"/>
  <c r="E117" i="112" a="1"/>
  <c r="E117" i="112" s="1"/>
  <c r="D117" i="112" a="1"/>
  <c r="D117" i="112" s="1"/>
  <c r="F116" i="112" a="1"/>
  <c r="F116" i="112" s="1"/>
  <c r="E116" i="112" a="1"/>
  <c r="E116" i="112" s="1"/>
  <c r="D116" i="112" a="1"/>
  <c r="D116" i="112" s="1"/>
  <c r="F115" i="112" a="1"/>
  <c r="F115" i="112" s="1"/>
  <c r="E115" i="112" a="1"/>
  <c r="E115" i="112" s="1"/>
  <c r="D115" i="112" a="1"/>
  <c r="D115" i="112" s="1"/>
  <c r="F114" i="112" a="1"/>
  <c r="F114" i="112" s="1"/>
  <c r="E114" i="112" a="1"/>
  <c r="E114" i="112" s="1"/>
  <c r="D114" i="112" a="1"/>
  <c r="D114" i="112" s="1"/>
  <c r="F113" i="112" a="1"/>
  <c r="F113" i="112" s="1"/>
  <c r="E113" i="112" a="1"/>
  <c r="E113" i="112" s="1"/>
  <c r="D113" i="112" a="1"/>
  <c r="D113" i="112" s="1"/>
  <c r="F112" i="112" a="1"/>
  <c r="F112" i="112" s="1"/>
  <c r="E112" i="112" a="1"/>
  <c r="E112" i="112" s="1"/>
  <c r="D112" i="112" a="1"/>
  <c r="D112" i="112" s="1"/>
  <c r="F111" i="112" a="1"/>
  <c r="F111" i="112" s="1"/>
  <c r="E111" i="112" a="1"/>
  <c r="E111" i="112" s="1"/>
  <c r="D111" i="112" a="1"/>
  <c r="D111" i="112" s="1"/>
  <c r="F110" i="112" a="1"/>
  <c r="F110" i="112" s="1"/>
  <c r="E110" i="112" a="1"/>
  <c r="E110" i="112" s="1"/>
  <c r="D110" i="112" a="1"/>
  <c r="D110" i="112" s="1"/>
  <c r="F109" i="112" a="1"/>
  <c r="F109" i="112" s="1"/>
  <c r="E109" i="112" a="1"/>
  <c r="E109" i="112" s="1"/>
  <c r="D109" i="112" a="1"/>
  <c r="D109" i="112" s="1"/>
  <c r="F108" i="112" a="1"/>
  <c r="F108" i="112" s="1"/>
  <c r="E108" i="112" a="1"/>
  <c r="E108" i="112" s="1"/>
  <c r="D108" i="112" a="1"/>
  <c r="D108" i="112" s="1"/>
  <c r="F107" i="112" a="1"/>
  <c r="F107" i="112" s="1"/>
  <c r="E107" i="112" a="1"/>
  <c r="E107" i="112" s="1"/>
  <c r="D107" i="112" a="1"/>
  <c r="D107" i="112" s="1"/>
  <c r="F106" i="112" a="1"/>
  <c r="F106" i="112" s="1"/>
  <c r="E106" i="112" a="1"/>
  <c r="E106" i="112" s="1"/>
  <c r="D106" i="112" a="1"/>
  <c r="D106" i="112" s="1"/>
  <c r="F105" i="112" a="1"/>
  <c r="F105" i="112" s="1"/>
  <c r="E105" i="112" a="1"/>
  <c r="E105" i="112" s="1"/>
  <c r="D105" i="112" a="1"/>
  <c r="D105" i="112" s="1"/>
  <c r="F104" i="112" a="1"/>
  <c r="F104" i="112" s="1"/>
  <c r="E104" i="112" a="1"/>
  <c r="E104" i="112" s="1"/>
  <c r="D104" i="112" a="1"/>
  <c r="D104" i="112" s="1"/>
  <c r="F103" i="112" a="1"/>
  <c r="F103" i="112" s="1"/>
  <c r="E103" i="112" a="1"/>
  <c r="E103" i="112" s="1"/>
  <c r="D103" i="112" a="1"/>
  <c r="D103" i="112" s="1"/>
  <c r="F102" i="112" a="1"/>
  <c r="F102" i="112" s="1"/>
  <c r="E102" i="112" a="1"/>
  <c r="E102" i="112" s="1"/>
  <c r="D102" i="112" a="1"/>
  <c r="D102" i="112" s="1"/>
  <c r="F101" i="112" a="1"/>
  <c r="F101" i="112" s="1"/>
  <c r="E101" i="112" a="1"/>
  <c r="E101" i="112" s="1"/>
  <c r="D101" i="112" a="1"/>
  <c r="D101" i="112" s="1"/>
  <c r="F100" i="112" a="1"/>
  <c r="F100" i="112" s="1"/>
  <c r="E100" i="112" a="1"/>
  <c r="E100" i="112" s="1"/>
  <c r="D100" i="112" a="1"/>
  <c r="D100" i="112" s="1"/>
  <c r="F99" i="112" a="1"/>
  <c r="F99" i="112" s="1"/>
  <c r="E99" i="112" a="1"/>
  <c r="E99" i="112" s="1"/>
  <c r="D99" i="112" a="1"/>
  <c r="D99" i="112" s="1"/>
  <c r="F98" i="112" a="1"/>
  <c r="F98" i="112" s="1"/>
  <c r="E98" i="112" a="1"/>
  <c r="E98" i="112" s="1"/>
  <c r="D98" i="112" a="1"/>
  <c r="D98" i="112" s="1"/>
  <c r="F97" i="112" a="1"/>
  <c r="F97" i="112" s="1"/>
  <c r="E97" i="112" a="1"/>
  <c r="E97" i="112" s="1"/>
  <c r="D97" i="112" a="1"/>
  <c r="D97" i="112" s="1"/>
  <c r="F96" i="112" a="1"/>
  <c r="F96" i="112" s="1"/>
  <c r="E96" i="112" a="1"/>
  <c r="E96" i="112" s="1"/>
  <c r="D96" i="112" a="1"/>
  <c r="D96" i="112" s="1"/>
  <c r="F95" i="112" a="1"/>
  <c r="F95" i="112" s="1"/>
  <c r="E95" i="112" a="1"/>
  <c r="E95" i="112" s="1"/>
  <c r="D95" i="112" a="1"/>
  <c r="D95" i="112" s="1"/>
  <c r="F94" i="112" a="1"/>
  <c r="F94" i="112" s="1"/>
  <c r="E94" i="112" a="1"/>
  <c r="E94" i="112" s="1"/>
  <c r="D94" i="112" a="1"/>
  <c r="D94" i="112" s="1"/>
  <c r="F93" i="112" a="1"/>
  <c r="F93" i="112" s="1"/>
  <c r="E93" i="112" a="1"/>
  <c r="E93" i="112" s="1"/>
  <c r="D93" i="112" a="1"/>
  <c r="D93" i="112" s="1"/>
  <c r="D91" i="112" a="1"/>
  <c r="D91" i="112" s="1"/>
  <c r="F89" i="112" a="1"/>
  <c r="F89" i="112" s="1"/>
  <c r="E89" i="112" a="1"/>
  <c r="E89" i="112" s="1"/>
  <c r="D89" i="112" a="1"/>
  <c r="D89" i="112" s="1"/>
  <c r="F88" i="112" a="1"/>
  <c r="F88" i="112" s="1"/>
  <c r="E88" i="112" a="1"/>
  <c r="E88" i="112" s="1"/>
  <c r="D88" i="112" a="1"/>
  <c r="D88" i="112" s="1"/>
  <c r="F87" i="112" a="1"/>
  <c r="F87" i="112" s="1"/>
  <c r="E87" i="112" a="1"/>
  <c r="E87" i="112" s="1"/>
  <c r="D87" i="112" a="1"/>
  <c r="D87" i="112" s="1"/>
  <c r="F86" i="112" a="1"/>
  <c r="F86" i="112" s="1"/>
  <c r="E86" i="112" a="1"/>
  <c r="E86" i="112" s="1"/>
  <c r="D86" i="112" a="1"/>
  <c r="D86" i="112" s="1"/>
  <c r="F85" i="112" a="1"/>
  <c r="F85" i="112" s="1"/>
  <c r="E85" i="112" a="1"/>
  <c r="E85" i="112" s="1"/>
  <c r="D85" i="112" a="1"/>
  <c r="D85" i="112" s="1"/>
  <c r="F84" i="112" a="1"/>
  <c r="F84" i="112" s="1"/>
  <c r="E84" i="112" a="1"/>
  <c r="E84" i="112" s="1"/>
  <c r="D84" i="112" a="1"/>
  <c r="D84" i="112" s="1"/>
  <c r="F83" i="112" a="1"/>
  <c r="F83" i="112" s="1"/>
  <c r="E83" i="112" a="1"/>
  <c r="E83" i="112" s="1"/>
  <c r="D83" i="112" a="1"/>
  <c r="D83" i="112" s="1"/>
  <c r="F82" i="112" a="1"/>
  <c r="F82" i="112" s="1"/>
  <c r="E82" i="112" a="1"/>
  <c r="E82" i="112" s="1"/>
  <c r="D82" i="112" a="1"/>
  <c r="D82" i="112" s="1"/>
  <c r="F81" i="112" a="1"/>
  <c r="F81" i="112" s="1"/>
  <c r="E81" i="112" a="1"/>
  <c r="E81" i="112" s="1"/>
  <c r="D81" i="112" a="1"/>
  <c r="D81" i="112" s="1"/>
  <c r="F80" i="112" a="1"/>
  <c r="F80" i="112" s="1"/>
  <c r="E80" i="112" a="1"/>
  <c r="E80" i="112" s="1"/>
  <c r="D80" i="112" a="1"/>
  <c r="D80" i="112" s="1"/>
  <c r="F79" i="112" a="1"/>
  <c r="F79" i="112" s="1"/>
  <c r="E79" i="112" a="1"/>
  <c r="E79" i="112" s="1"/>
  <c r="D79" i="112" a="1"/>
  <c r="D79" i="112" s="1"/>
  <c r="F78" i="112" a="1"/>
  <c r="F78" i="112" s="1"/>
  <c r="E78" i="112" a="1"/>
  <c r="E78" i="112" s="1"/>
  <c r="D78" i="112" a="1"/>
  <c r="D78" i="112" s="1"/>
  <c r="F77" i="112" a="1"/>
  <c r="F77" i="112" s="1"/>
  <c r="E77" i="112" a="1"/>
  <c r="E77" i="112" s="1"/>
  <c r="D77" i="112" a="1"/>
  <c r="D77" i="112" s="1"/>
  <c r="F76" i="112" a="1"/>
  <c r="F76" i="112" s="1"/>
  <c r="E76" i="112" a="1"/>
  <c r="E76" i="112" s="1"/>
  <c r="D76" i="112" a="1"/>
  <c r="D76" i="112" s="1"/>
  <c r="F75" i="112" a="1"/>
  <c r="F75" i="112" s="1"/>
  <c r="E75" i="112" a="1"/>
  <c r="E75" i="112" s="1"/>
  <c r="D75" i="112" a="1"/>
  <c r="D75" i="112" s="1"/>
  <c r="F74" i="112" a="1"/>
  <c r="F74" i="112" s="1"/>
  <c r="E74" i="112" a="1"/>
  <c r="E74" i="112" s="1"/>
  <c r="D74" i="112" a="1"/>
  <c r="D74" i="112" s="1"/>
  <c r="D71" i="112" a="1"/>
  <c r="D71" i="112" s="1"/>
  <c r="D70" i="112" a="1"/>
  <c r="D70" i="112" s="1"/>
  <c r="F67" i="112" a="1"/>
  <c r="F67" i="112" s="1"/>
  <c r="E67" i="112" a="1"/>
  <c r="E67" i="112" s="1"/>
  <c r="D67" i="112" a="1"/>
  <c r="D67" i="112" s="1"/>
  <c r="F66" i="112" a="1"/>
  <c r="F66" i="112" s="1"/>
  <c r="E66" i="112" a="1"/>
  <c r="E66" i="112" s="1"/>
  <c r="D66" i="112" a="1"/>
  <c r="D66" i="112" s="1"/>
  <c r="F65" i="112" a="1"/>
  <c r="F65" i="112" s="1"/>
  <c r="E65" i="112" a="1"/>
  <c r="E65" i="112" s="1"/>
  <c r="D65" i="112" a="1"/>
  <c r="D65" i="112" s="1"/>
  <c r="F64" i="112" a="1"/>
  <c r="F64" i="112" s="1"/>
  <c r="E64" i="112" a="1"/>
  <c r="E64" i="112" s="1"/>
  <c r="D64" i="112" a="1"/>
  <c r="D64" i="112" s="1"/>
  <c r="F63" i="112" a="1"/>
  <c r="F63" i="112" s="1"/>
  <c r="E63" i="112" a="1"/>
  <c r="E63" i="112" s="1"/>
  <c r="D63" i="112" a="1"/>
  <c r="D63" i="112" s="1"/>
  <c r="D60" i="112" a="1"/>
  <c r="D60" i="112" s="1"/>
  <c r="D59" i="112" a="1"/>
  <c r="D59" i="112" s="1"/>
  <c r="I56" i="112" a="1"/>
  <c r="I56" i="112" s="1"/>
  <c r="H56" i="112" a="1"/>
  <c r="H56" i="112" s="1"/>
  <c r="G56" i="112" a="1"/>
  <c r="G56" i="112" s="1"/>
  <c r="F56" i="112" a="1"/>
  <c r="F56" i="112" s="1"/>
  <c r="E56" i="112" a="1"/>
  <c r="E56" i="112" s="1"/>
  <c r="D56" i="112" a="1"/>
  <c r="D56" i="112" s="1"/>
  <c r="I55" i="112" a="1"/>
  <c r="I55" i="112" s="1"/>
  <c r="H55" i="112" a="1"/>
  <c r="H55" i="112" s="1"/>
  <c r="G55" i="112" a="1"/>
  <c r="G55" i="112" s="1"/>
  <c r="F55" i="112" a="1"/>
  <c r="F55" i="112" s="1"/>
  <c r="E55" i="112" a="1"/>
  <c r="E55" i="112" s="1"/>
  <c r="D55" i="112" a="1"/>
  <c r="D55" i="112" s="1"/>
  <c r="I54" i="112" a="1"/>
  <c r="I54" i="112" s="1"/>
  <c r="H54" i="112" a="1"/>
  <c r="H54" i="112" s="1"/>
  <c r="G54" i="112" a="1"/>
  <c r="G54" i="112" s="1"/>
  <c r="F54" i="112" a="1"/>
  <c r="F54" i="112" s="1"/>
  <c r="E54" i="112" a="1"/>
  <c r="E54" i="112" s="1"/>
  <c r="D54" i="112" a="1"/>
  <c r="D54" i="112" s="1"/>
  <c r="I53" i="112" a="1"/>
  <c r="I53" i="112" s="1"/>
  <c r="H53" i="112" a="1"/>
  <c r="H53" i="112" s="1"/>
  <c r="G53" i="112" a="1"/>
  <c r="G53" i="112" s="1"/>
  <c r="F53" i="112" a="1"/>
  <c r="F53" i="112" s="1"/>
  <c r="E53" i="112" a="1"/>
  <c r="E53" i="112" s="1"/>
  <c r="D53" i="112" a="1"/>
  <c r="D53" i="112" s="1"/>
  <c r="I52" i="112" a="1"/>
  <c r="I52" i="112" s="1"/>
  <c r="H52" i="112" a="1"/>
  <c r="H52" i="112" s="1"/>
  <c r="G52" i="112" a="1"/>
  <c r="G52" i="112" s="1"/>
  <c r="F52" i="112" a="1"/>
  <c r="F52" i="112" s="1"/>
  <c r="E52" i="112" a="1"/>
  <c r="E52" i="112" s="1"/>
  <c r="D52" i="112" a="1"/>
  <c r="D52" i="112" s="1"/>
  <c r="E19" i="109" s="1"/>
  <c r="D49" i="112" a="1"/>
  <c r="D49" i="112" s="1"/>
  <c r="D48" i="112" a="1"/>
  <c r="D48" i="112" s="1"/>
  <c r="E45" i="112" a="1"/>
  <c r="E45" i="112" s="1"/>
  <c r="D45" i="112" a="1"/>
  <c r="D45" i="112" s="1"/>
  <c r="E44" i="112" a="1"/>
  <c r="E44" i="112" s="1"/>
  <c r="D44" i="112" a="1"/>
  <c r="D44" i="112" s="1"/>
  <c r="D41" i="112" a="1"/>
  <c r="D41" i="112" s="1"/>
  <c r="D40" i="112" a="1"/>
  <c r="D40" i="112" s="1"/>
  <c r="L37" i="112" a="1"/>
  <c r="L37" i="112" s="1"/>
  <c r="K37" i="112" a="1"/>
  <c r="K37" i="112" s="1"/>
  <c r="J37" i="112" a="1"/>
  <c r="J37" i="112" s="1"/>
  <c r="I37" i="112" a="1"/>
  <c r="I37" i="112" s="1"/>
  <c r="H37" i="112" a="1"/>
  <c r="H37" i="112" s="1"/>
  <c r="G37" i="112" a="1"/>
  <c r="G37" i="112" s="1"/>
  <c r="F37" i="112" a="1"/>
  <c r="F37" i="112" s="1"/>
  <c r="E37" i="112" a="1"/>
  <c r="E37" i="112" s="1"/>
  <c r="D37" i="112" a="1"/>
  <c r="D37" i="112" s="1"/>
  <c r="L36" i="112" a="1"/>
  <c r="L36" i="112" s="1"/>
  <c r="K36" i="112" a="1"/>
  <c r="K36" i="112" s="1"/>
  <c r="J36" i="112" a="1"/>
  <c r="J36" i="112" s="1"/>
  <c r="I36" i="112" a="1"/>
  <c r="I36" i="112" s="1"/>
  <c r="H36" i="112" a="1"/>
  <c r="H36" i="112" s="1"/>
  <c r="G36" i="112" a="1"/>
  <c r="G36" i="112" s="1"/>
  <c r="F36" i="112" a="1"/>
  <c r="F36" i="112" s="1"/>
  <c r="E36" i="112" a="1"/>
  <c r="E36" i="112" s="1"/>
  <c r="D36" i="112" a="1"/>
  <c r="D36" i="112" s="1"/>
  <c r="L35" i="112" a="1"/>
  <c r="L35" i="112" s="1"/>
  <c r="K35" i="112" a="1"/>
  <c r="K35" i="112" s="1"/>
  <c r="J35" i="112" a="1"/>
  <c r="J35" i="112" s="1"/>
  <c r="I35" i="112" a="1"/>
  <c r="I35" i="112" s="1"/>
  <c r="H35" i="112" a="1"/>
  <c r="H35" i="112" s="1"/>
  <c r="G35" i="112" a="1"/>
  <c r="G35" i="112" s="1"/>
  <c r="F35" i="112" a="1"/>
  <c r="F35" i="112" s="1"/>
  <c r="E35" i="112" a="1"/>
  <c r="E35" i="112" s="1"/>
  <c r="D35" i="112" a="1"/>
  <c r="D35" i="112" s="1"/>
  <c r="L34" i="112" a="1"/>
  <c r="L34" i="112" s="1"/>
  <c r="K34" i="112" a="1"/>
  <c r="K34" i="112" s="1"/>
  <c r="J34" i="112" a="1"/>
  <c r="J34" i="112" s="1"/>
  <c r="I34" i="112" a="1"/>
  <c r="I34" i="112" s="1"/>
  <c r="H34" i="112" a="1"/>
  <c r="H34" i="112" s="1"/>
  <c r="G34" i="112" a="1"/>
  <c r="G34" i="112" s="1"/>
  <c r="F34" i="112" a="1"/>
  <c r="F34" i="112" s="1"/>
  <c r="E34" i="112" a="1"/>
  <c r="E34" i="112" s="1"/>
  <c r="D34" i="112" a="1"/>
  <c r="D34" i="112" s="1"/>
  <c r="L33" i="112" a="1"/>
  <c r="L33" i="112" s="1"/>
  <c r="K33" i="112" a="1"/>
  <c r="K33" i="112" s="1"/>
  <c r="J33" i="112" a="1"/>
  <c r="J33" i="112" s="1"/>
  <c r="I33" i="112" a="1"/>
  <c r="I33" i="112" s="1"/>
  <c r="H33" i="112" a="1"/>
  <c r="H33" i="112" s="1"/>
  <c r="G33" i="112" a="1"/>
  <c r="G33" i="112" s="1"/>
  <c r="F33" i="112" a="1"/>
  <c r="F33" i="112" s="1"/>
  <c r="E33" i="112" a="1"/>
  <c r="E33" i="112" s="1"/>
  <c r="D33" i="112" a="1"/>
  <c r="D33" i="112" s="1"/>
  <c r="L32" i="112" a="1"/>
  <c r="L32" i="112" s="1"/>
  <c r="K32" i="112" a="1"/>
  <c r="K32" i="112" s="1"/>
  <c r="J32" i="112" a="1"/>
  <c r="J32" i="112" s="1"/>
  <c r="I32" i="112" a="1"/>
  <c r="I32" i="112" s="1"/>
  <c r="H32" i="112" a="1"/>
  <c r="H32" i="112" s="1"/>
  <c r="G32" i="112" a="1"/>
  <c r="G32" i="112" s="1"/>
  <c r="F32" i="112" a="1"/>
  <c r="F32" i="112" s="1"/>
  <c r="E32" i="112" a="1"/>
  <c r="E32" i="112" s="1"/>
  <c r="D32" i="112" a="1"/>
  <c r="D32" i="112" s="1"/>
  <c r="L31" i="112" a="1"/>
  <c r="L31" i="112" s="1"/>
  <c r="K31" i="112" a="1"/>
  <c r="K31" i="112" s="1"/>
  <c r="J31" i="112" a="1"/>
  <c r="J31" i="112" s="1"/>
  <c r="I31" i="112" a="1"/>
  <c r="I31" i="112" s="1"/>
  <c r="H31" i="112" a="1"/>
  <c r="H31" i="112" s="1"/>
  <c r="G31" i="112" a="1"/>
  <c r="G31" i="112" s="1"/>
  <c r="F31" i="112" a="1"/>
  <c r="F31" i="112" s="1"/>
  <c r="E31" i="112" a="1"/>
  <c r="E31" i="112" s="1"/>
  <c r="D31" i="112" a="1"/>
  <c r="D31" i="112" s="1"/>
  <c r="L30" i="112" a="1"/>
  <c r="L30" i="112" s="1"/>
  <c r="K30" i="112" a="1"/>
  <c r="K30" i="112" s="1"/>
  <c r="J30" i="112" a="1"/>
  <c r="J30" i="112" s="1"/>
  <c r="I30" i="112" a="1"/>
  <c r="I30" i="112" s="1"/>
  <c r="H30" i="112" a="1"/>
  <c r="H30" i="112" s="1"/>
  <c r="G30" i="112" a="1"/>
  <c r="G30" i="112" s="1"/>
  <c r="F30" i="112" a="1"/>
  <c r="F30" i="112" s="1"/>
  <c r="E30" i="112" a="1"/>
  <c r="E30" i="112" s="1"/>
  <c r="D30" i="112" a="1"/>
  <c r="D30" i="112" s="1"/>
  <c r="L29" i="112" a="1"/>
  <c r="L29" i="112" s="1"/>
  <c r="K29" i="112" a="1"/>
  <c r="K29" i="112" s="1"/>
  <c r="J29" i="112" a="1"/>
  <c r="J29" i="112" s="1"/>
  <c r="I29" i="112" a="1"/>
  <c r="I29" i="112" s="1"/>
  <c r="H29" i="112" a="1"/>
  <c r="H29" i="112" s="1"/>
  <c r="G29" i="112" a="1"/>
  <c r="G29" i="112" s="1"/>
  <c r="F29" i="112" a="1"/>
  <c r="F29" i="112" s="1"/>
  <c r="E29" i="112" a="1"/>
  <c r="E29" i="112" s="1"/>
  <c r="D29" i="112" a="1"/>
  <c r="D29" i="112" s="1"/>
  <c r="L28" i="112" a="1"/>
  <c r="L28" i="112" s="1"/>
  <c r="K28" i="112" a="1"/>
  <c r="K28" i="112" s="1"/>
  <c r="J28" i="112" a="1"/>
  <c r="J28" i="112" s="1"/>
  <c r="I28" i="112" a="1"/>
  <c r="I28" i="112" s="1"/>
  <c r="H28" i="112" a="1"/>
  <c r="H28" i="112" s="1"/>
  <c r="G28" i="112" a="1"/>
  <c r="G28" i="112" s="1"/>
  <c r="F28" i="112" a="1"/>
  <c r="F28" i="112" s="1"/>
  <c r="E28" i="112" a="1"/>
  <c r="E28" i="112" s="1"/>
  <c r="D28" i="112" a="1"/>
  <c r="D28" i="112" s="1"/>
  <c r="L27" i="112" a="1"/>
  <c r="L27" i="112" s="1"/>
  <c r="K27" i="112" a="1"/>
  <c r="K27" i="112" s="1"/>
  <c r="J27" i="112" a="1"/>
  <c r="J27" i="112" s="1"/>
  <c r="I27" i="112" a="1"/>
  <c r="I27" i="112" s="1"/>
  <c r="H27" i="112" a="1"/>
  <c r="H27" i="112" s="1"/>
  <c r="G27" i="112" a="1"/>
  <c r="G27" i="112" s="1"/>
  <c r="F27" i="112" a="1"/>
  <c r="F27" i="112" s="1"/>
  <c r="E27" i="112" a="1"/>
  <c r="E27" i="112" s="1"/>
  <c r="D27" i="112" a="1"/>
  <c r="D27" i="112" s="1"/>
  <c r="L26" i="112" a="1"/>
  <c r="L26" i="112" s="1"/>
  <c r="K26" i="112" a="1"/>
  <c r="K26" i="112" s="1"/>
  <c r="J26" i="112" a="1"/>
  <c r="J26" i="112" s="1"/>
  <c r="I26" i="112" a="1"/>
  <c r="I26" i="112" s="1"/>
  <c r="H26" i="112" a="1"/>
  <c r="H26" i="112" s="1"/>
  <c r="G26" i="112" a="1"/>
  <c r="G26" i="112" s="1"/>
  <c r="F26" i="112" a="1"/>
  <c r="F26" i="112" s="1"/>
  <c r="E26" i="112" a="1"/>
  <c r="E26" i="112" s="1"/>
  <c r="D26" i="112" a="1"/>
  <c r="D26" i="112" s="1"/>
  <c r="L25" i="112" a="1"/>
  <c r="L25" i="112" s="1"/>
  <c r="K25" i="112" a="1"/>
  <c r="K25" i="112" s="1"/>
  <c r="J25" i="112" a="1"/>
  <c r="J25" i="112" s="1"/>
  <c r="I25" i="112" a="1"/>
  <c r="I25" i="112" s="1"/>
  <c r="H25" i="112" a="1"/>
  <c r="H25" i="112" s="1"/>
  <c r="G25" i="112" a="1"/>
  <c r="G25" i="112" s="1"/>
  <c r="F25" i="112" a="1"/>
  <c r="F25" i="112" s="1"/>
  <c r="E25" i="112" a="1"/>
  <c r="E25" i="112" s="1"/>
  <c r="D25" i="112" a="1"/>
  <c r="D25" i="112" s="1"/>
  <c r="L24" i="112" a="1"/>
  <c r="L24" i="112" s="1"/>
  <c r="K24" i="112" a="1"/>
  <c r="K24" i="112" s="1"/>
  <c r="J24" i="112" a="1"/>
  <c r="J24" i="112" s="1"/>
  <c r="I24" i="112" a="1"/>
  <c r="I24" i="112" s="1"/>
  <c r="H24" i="112" a="1"/>
  <c r="H24" i="112" s="1"/>
  <c r="G24" i="112" a="1"/>
  <c r="G24" i="112" s="1"/>
  <c r="F24" i="112" a="1"/>
  <c r="F24" i="112" s="1"/>
  <c r="E24" i="112" a="1"/>
  <c r="E24" i="112" s="1"/>
  <c r="D24" i="112" a="1"/>
  <c r="D24" i="112" s="1"/>
  <c r="L23" i="112" a="1"/>
  <c r="L23" i="112" s="1"/>
  <c r="K23" i="112" a="1"/>
  <c r="K23" i="112" s="1"/>
  <c r="J23" i="112" a="1"/>
  <c r="J23" i="112" s="1"/>
  <c r="I23" i="112" a="1"/>
  <c r="I23" i="112" s="1"/>
  <c r="H23" i="112" a="1"/>
  <c r="H23" i="112" s="1"/>
  <c r="G23" i="112" a="1"/>
  <c r="G23" i="112" s="1"/>
  <c r="F23" i="112" a="1"/>
  <c r="F23" i="112" s="1"/>
  <c r="E23" i="112" a="1"/>
  <c r="E23" i="112" s="1"/>
  <c r="D23" i="112" a="1"/>
  <c r="D23" i="112" s="1"/>
  <c r="L22" i="112" a="1"/>
  <c r="L22" i="112" s="1"/>
  <c r="K22" i="112" a="1"/>
  <c r="K22" i="112" s="1"/>
  <c r="J22" i="112" a="1"/>
  <c r="J22" i="112" s="1"/>
  <c r="I22" i="112" a="1"/>
  <c r="I22" i="112" s="1"/>
  <c r="H22" i="112" a="1"/>
  <c r="H22" i="112" s="1"/>
  <c r="G22" i="112" a="1"/>
  <c r="G22" i="112" s="1"/>
  <c r="F22" i="112" a="1"/>
  <c r="F22" i="112" s="1"/>
  <c r="E22" i="112" a="1"/>
  <c r="E22" i="112" s="1"/>
  <c r="D22" i="112" a="1"/>
  <c r="D22" i="112" s="1"/>
  <c r="L21" i="112" a="1"/>
  <c r="L21" i="112" s="1"/>
  <c r="K21" i="112" a="1"/>
  <c r="K21" i="112" s="1"/>
  <c r="J21" i="112" a="1"/>
  <c r="J21" i="112" s="1"/>
  <c r="I21" i="112" a="1"/>
  <c r="I21" i="112" s="1"/>
  <c r="H21" i="112" a="1"/>
  <c r="H21" i="112" s="1"/>
  <c r="G21" i="112" a="1"/>
  <c r="G21" i="112" s="1"/>
  <c r="F21" i="112" a="1"/>
  <c r="F21" i="112" s="1"/>
  <c r="E21" i="112" a="1"/>
  <c r="E21" i="112" s="1"/>
  <c r="D21" i="112" a="1"/>
  <c r="D21" i="112" s="1"/>
  <c r="L20" i="112" a="1"/>
  <c r="L20" i="112" s="1"/>
  <c r="K20" i="112" a="1"/>
  <c r="K20" i="112" s="1"/>
  <c r="J20" i="112" a="1"/>
  <c r="J20" i="112" s="1"/>
  <c r="I20" i="112" a="1"/>
  <c r="I20" i="112" s="1"/>
  <c r="H20" i="112" a="1"/>
  <c r="H20" i="112" s="1"/>
  <c r="G20" i="112" a="1"/>
  <c r="G20" i="112" s="1"/>
  <c r="F20" i="112" a="1"/>
  <c r="F20" i="112" s="1"/>
  <c r="E20" i="112" a="1"/>
  <c r="E20" i="112" s="1"/>
  <c r="D20" i="112" a="1"/>
  <c r="D20" i="112" s="1"/>
  <c r="D17" i="112" a="1"/>
  <c r="D17" i="112" s="1"/>
  <c r="D16" i="112" a="1"/>
  <c r="D16" i="112" s="1"/>
  <c r="D15" i="112" a="1"/>
  <c r="D15" i="112" s="1"/>
  <c r="K10" i="112" a="1"/>
  <c r="K10" i="112" s="1"/>
  <c r="J10" i="112" a="1"/>
  <c r="J10" i="112" s="1"/>
  <c r="I10" i="112" a="1"/>
  <c r="I10" i="112" s="1"/>
  <c r="H10" i="112" a="1"/>
  <c r="H10" i="112" s="1"/>
  <c r="G10" i="112" a="1"/>
  <c r="G10" i="112" s="1"/>
  <c r="F10" i="112" a="1"/>
  <c r="F10" i="112" s="1"/>
  <c r="E10" i="112" a="1"/>
  <c r="E10" i="112" s="1"/>
  <c r="D10" i="112" a="1"/>
  <c r="D10" i="112" s="1"/>
  <c r="K9" i="112" a="1"/>
  <c r="K9" i="112" s="1"/>
  <c r="J9" i="112" a="1"/>
  <c r="J9" i="112" s="1"/>
  <c r="I9" i="112" a="1"/>
  <c r="I9" i="112" s="1"/>
  <c r="H9" i="112" a="1"/>
  <c r="H9" i="112" s="1"/>
  <c r="G9" i="112" a="1"/>
  <c r="G9" i="112" s="1"/>
  <c r="F9" i="112" a="1"/>
  <c r="F9" i="112" s="1"/>
  <c r="E9" i="112" a="1"/>
  <c r="E9" i="112" s="1"/>
  <c r="D9" i="112" a="1"/>
  <c r="D9" i="112" s="1"/>
  <c r="K8" i="112" a="1"/>
  <c r="K8" i="112" s="1"/>
  <c r="J8" i="112" a="1"/>
  <c r="J8" i="112" s="1"/>
  <c r="I8" i="112" a="1"/>
  <c r="I8" i="112" s="1"/>
  <c r="H8" i="112" a="1"/>
  <c r="H8" i="112" s="1"/>
  <c r="G8" i="112" a="1"/>
  <c r="G8" i="112" s="1"/>
  <c r="F8" i="112" a="1"/>
  <c r="F8" i="112" s="1"/>
  <c r="E8" i="112" a="1"/>
  <c r="E8" i="112" s="1"/>
  <c r="D8" i="112" a="1"/>
  <c r="D8" i="112" s="1"/>
  <c r="D5" i="112" a="1"/>
  <c r="D5" i="112" s="1"/>
  <c r="P53" i="111" a="1"/>
  <c r="P53" i="111" s="1"/>
  <c r="F53" i="111" a="1"/>
  <c r="F53" i="111" s="1"/>
  <c r="N50" i="111" a="1"/>
  <c r="N50" i="111" s="1"/>
  <c r="D50" i="111" a="1"/>
  <c r="D50" i="111" s="1"/>
  <c r="N45" i="111"/>
  <c r="D45" i="111"/>
  <c r="J40" i="111"/>
  <c r="J36" i="111" a="1"/>
  <c r="J36" i="111" s="1"/>
  <c r="H36" i="111" a="1"/>
  <c r="H36" i="111" s="1"/>
  <c r="D36" i="111" a="1"/>
  <c r="D36" i="111" s="1"/>
  <c r="E34" i="111" a="1"/>
  <c r="E34" i="111" s="1"/>
  <c r="E33" i="111" a="1"/>
  <c r="E33" i="111" s="1"/>
  <c r="D29" i="111" a="1"/>
  <c r="D29" i="111" s="1"/>
  <c r="D28" i="111" a="1"/>
  <c r="D28" i="111" s="1"/>
  <c r="G25" i="111"/>
  <c r="F25" i="111"/>
  <c r="J19" i="111" a="1"/>
  <c r="J19" i="111" s="1"/>
  <c r="J18" i="111"/>
  <c r="J16" i="111" a="1"/>
  <c r="J16" i="111" s="1"/>
  <c r="J14" i="111" a="1"/>
  <c r="J14" i="111" s="1"/>
  <c r="J13" i="111" a="1"/>
  <c r="J13" i="111" s="1"/>
  <c r="H13" i="111" a="1"/>
  <c r="H13" i="111" s="1"/>
  <c r="D13" i="111" a="1"/>
  <c r="D13" i="111" s="1"/>
  <c r="E11" i="111" a="1"/>
  <c r="E11" i="111" s="1"/>
  <c r="E10" i="111" a="1"/>
  <c r="E10" i="111" s="1"/>
  <c r="D6" i="111" a="1"/>
  <c r="D6" i="111" s="1"/>
  <c r="D5" i="111" a="1"/>
  <c r="D5" i="111" s="1"/>
  <c r="P45" i="110" a="1"/>
  <c r="P45" i="110" s="1"/>
  <c r="F45" i="110" a="1"/>
  <c r="F45" i="110" s="1"/>
  <c r="N42" i="110" a="1"/>
  <c r="N42" i="110" s="1"/>
  <c r="D42" i="110" a="1"/>
  <c r="D42" i="110" s="1"/>
  <c r="P40" i="110" a="1"/>
  <c r="P40" i="110" s="1"/>
  <c r="F40" i="110" a="1"/>
  <c r="F40" i="110" s="1"/>
  <c r="J36" i="110"/>
  <c r="R33" i="110" a="1"/>
  <c r="R33" i="110" s="1"/>
  <c r="N33" i="110" a="1"/>
  <c r="N33" i="110" s="1"/>
  <c r="H33" i="110" a="1"/>
  <c r="H33" i="110" s="1"/>
  <c r="D33" i="110" a="1"/>
  <c r="D33" i="110" s="1"/>
  <c r="O31" i="110" a="1"/>
  <c r="O31" i="110" s="1"/>
  <c r="E31" i="110" a="1"/>
  <c r="E31" i="110" s="1"/>
  <c r="O30" i="110" a="1"/>
  <c r="O30" i="110" s="1"/>
  <c r="E30" i="110" a="1"/>
  <c r="E30" i="110" s="1"/>
  <c r="N26" i="110" a="1"/>
  <c r="N26" i="110" s="1"/>
  <c r="D26" i="110" a="1"/>
  <c r="D26" i="110" s="1"/>
  <c r="N25" i="110" a="1"/>
  <c r="N25" i="110" s="1"/>
  <c r="D25" i="110" a="1"/>
  <c r="D25" i="110" s="1"/>
  <c r="P21" i="110" a="1"/>
  <c r="P21" i="110" s="1"/>
  <c r="F21" i="110" a="1"/>
  <c r="F21" i="110" s="1"/>
  <c r="J19" i="110"/>
  <c r="J18" i="110" s="1" a="1"/>
  <c r="J18" i="110" s="1"/>
  <c r="R13" i="110" a="1"/>
  <c r="R13" i="110" s="1"/>
  <c r="N13" i="110" a="1"/>
  <c r="N13" i="110" s="1"/>
  <c r="J13" i="110"/>
  <c r="H13" i="110" a="1"/>
  <c r="H13" i="110" s="1"/>
  <c r="D13" i="110" a="1"/>
  <c r="D13" i="110" s="1"/>
  <c r="E11" i="110" a="1"/>
  <c r="E11" i="110" s="1"/>
  <c r="E10" i="110" a="1"/>
  <c r="E10" i="110" s="1"/>
  <c r="D6" i="110" a="1"/>
  <c r="D6" i="110" s="1"/>
  <c r="D5" i="110" a="1"/>
  <c r="D5" i="110"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E63" i="108" a="1"/>
  <c r="E63" i="108" s="1"/>
  <c r="D63" i="108" a="1"/>
  <c r="D63" i="108" s="1"/>
  <c r="E62" i="108" a="1"/>
  <c r="E62" i="108" s="1"/>
  <c r="D62" i="108" a="1"/>
  <c r="D62" i="108" s="1"/>
  <c r="E61" i="108" a="1"/>
  <c r="E61" i="108" s="1"/>
  <c r="D61" i="108" a="1"/>
  <c r="D61" i="108" s="1"/>
  <c r="E60" i="108" a="1"/>
  <c r="E60" i="108" s="1"/>
  <c r="D60" i="108" a="1"/>
  <c r="D60" i="108" s="1"/>
  <c r="E59" i="108" a="1"/>
  <c r="E59" i="108" s="1"/>
  <c r="D59" i="108" a="1"/>
  <c r="D59" i="108" s="1"/>
  <c r="E58" i="108" a="1"/>
  <c r="E58" i="108" s="1"/>
  <c r="D58" i="108" a="1"/>
  <c r="D58" i="108" s="1"/>
  <c r="D56" i="108" a="1"/>
  <c r="D56" i="108" s="1"/>
  <c r="D55" i="108" a="1"/>
  <c r="D55" i="108" s="1"/>
  <c r="D54" i="108" a="1"/>
  <c r="D54" i="108" s="1"/>
  <c r="D53" i="108" a="1"/>
  <c r="D53" i="108" s="1"/>
  <c r="D52" i="108" a="1"/>
  <c r="D52" i="108" s="1"/>
  <c r="G50" i="108" a="1"/>
  <c r="G50" i="108" s="1"/>
  <c r="F50" i="108" a="1"/>
  <c r="F50" i="108" s="1"/>
  <c r="E50" i="108" a="1"/>
  <c r="E50" i="108" s="1"/>
  <c r="O21" i="108" s="1"/>
  <c r="D50" i="108" a="1"/>
  <c r="D50" i="108" s="1"/>
  <c r="G49" i="108" a="1"/>
  <c r="G49" i="108" s="1"/>
  <c r="F49" i="108" a="1"/>
  <c r="F49" i="108" s="1"/>
  <c r="E49" i="108" a="1"/>
  <c r="E49" i="108" s="1"/>
  <c r="O20" i="108" s="1"/>
  <c r="D49" i="108" a="1"/>
  <c r="D49" i="108" s="1"/>
  <c r="G48" i="108" a="1"/>
  <c r="G48" i="108" s="1"/>
  <c r="F48" i="108" a="1"/>
  <c r="F48" i="108" s="1"/>
  <c r="E48" i="108" a="1"/>
  <c r="E48" i="108" s="1"/>
  <c r="O19" i="108" s="1"/>
  <c r="D48" i="108" a="1"/>
  <c r="D48" i="108" s="1"/>
  <c r="G47" i="108" a="1"/>
  <c r="G47" i="108" s="1"/>
  <c r="F47" i="108" a="1"/>
  <c r="F47" i="108" s="1"/>
  <c r="E47" i="108" a="1"/>
  <c r="E47" i="108" s="1"/>
  <c r="O18" i="108" s="1"/>
  <c r="D47" i="108" a="1"/>
  <c r="D47" i="108" s="1"/>
  <c r="G46" i="108" a="1"/>
  <c r="G46" i="108" s="1"/>
  <c r="F46" i="108" a="1"/>
  <c r="F46" i="108" s="1"/>
  <c r="E46" i="108" a="1"/>
  <c r="E46" i="108" s="1"/>
  <c r="O17" i="108" s="1"/>
  <c r="D46" i="108" a="1"/>
  <c r="D46" i="108" s="1"/>
  <c r="G45" i="108" a="1"/>
  <c r="G45" i="108" s="1"/>
  <c r="F45" i="108" a="1"/>
  <c r="F45" i="108" s="1"/>
  <c r="E45" i="108" a="1"/>
  <c r="E45" i="108" s="1"/>
  <c r="D45" i="108" a="1"/>
  <c r="D45" i="108" s="1"/>
  <c r="G44" i="108" a="1"/>
  <c r="G44" i="108" s="1"/>
  <c r="F44" i="108" a="1"/>
  <c r="F44" i="108" s="1"/>
  <c r="E44" i="108" a="1"/>
  <c r="E44" i="108" s="1"/>
  <c r="M21" i="108" s="1"/>
  <c r="D44" i="108" a="1"/>
  <c r="D44" i="108" s="1"/>
  <c r="G43" i="108" a="1"/>
  <c r="G43" i="108" s="1"/>
  <c r="F43" i="108" a="1"/>
  <c r="F43" i="108" s="1"/>
  <c r="E43" i="108" a="1"/>
  <c r="E43" i="108" s="1"/>
  <c r="M20" i="108" s="1"/>
  <c r="D43" i="108" a="1"/>
  <c r="D43" i="108" s="1"/>
  <c r="G42" i="108" a="1"/>
  <c r="G42" i="108" s="1"/>
  <c r="F42" i="108" a="1"/>
  <c r="F42" i="108" s="1"/>
  <c r="E42" i="108" a="1"/>
  <c r="E42" i="108" s="1"/>
  <c r="M19" i="108" s="1"/>
  <c r="D42" i="108" a="1"/>
  <c r="D42" i="108" s="1"/>
  <c r="G41" i="108" a="1"/>
  <c r="G41" i="108" s="1"/>
  <c r="F41" i="108" a="1"/>
  <c r="F41" i="108" s="1"/>
  <c r="E41" i="108" a="1"/>
  <c r="E41" i="108" s="1"/>
  <c r="M18" i="108" s="1"/>
  <c r="D41" i="108" a="1"/>
  <c r="D41" i="108" s="1"/>
  <c r="G40" i="108" a="1"/>
  <c r="G40" i="108" s="1"/>
  <c r="F40" i="108" a="1"/>
  <c r="F40" i="108" s="1"/>
  <c r="E40" i="108" a="1"/>
  <c r="E40" i="108" s="1"/>
  <c r="M17" i="108" s="1"/>
  <c r="D40" i="108" a="1"/>
  <c r="D40" i="108" s="1"/>
  <c r="G39" i="108" a="1"/>
  <c r="G39" i="108" s="1"/>
  <c r="F39" i="108" a="1"/>
  <c r="F39" i="108" s="1"/>
  <c r="E39" i="108" a="1"/>
  <c r="E39" i="108" s="1"/>
  <c r="D39" i="108" a="1"/>
  <c r="D39" i="108" s="1"/>
  <c r="G38" i="108" a="1"/>
  <c r="G38" i="108" s="1"/>
  <c r="F38" i="108" a="1"/>
  <c r="F38" i="108" s="1"/>
  <c r="E38" i="108" a="1"/>
  <c r="E38" i="108" s="1"/>
  <c r="K26" i="108" s="1"/>
  <c r="D38" i="108" a="1"/>
  <c r="D38" i="108" s="1"/>
  <c r="G37" i="108" a="1"/>
  <c r="G37" i="108" s="1"/>
  <c r="F37" i="108" a="1"/>
  <c r="F37" i="108" s="1"/>
  <c r="E37" i="108" a="1"/>
  <c r="E37" i="108" s="1"/>
  <c r="K25" i="108" s="1"/>
  <c r="D37" i="108" a="1"/>
  <c r="D37" i="108" s="1"/>
  <c r="G36" i="108" a="1"/>
  <c r="G36" i="108" s="1"/>
  <c r="F36" i="108" a="1"/>
  <c r="F36" i="108" s="1"/>
  <c r="E36" i="108" a="1"/>
  <c r="E36" i="108" s="1"/>
  <c r="K24" i="108" s="1"/>
  <c r="D36" i="108" a="1"/>
  <c r="D36" i="108" s="1"/>
  <c r="G35" i="108" a="1"/>
  <c r="G35" i="108" s="1"/>
  <c r="F35" i="108" a="1"/>
  <c r="F35" i="108" s="1"/>
  <c r="E35" i="108" a="1"/>
  <c r="E35" i="108" s="1"/>
  <c r="K23" i="108" s="1"/>
  <c r="D35" i="108" a="1"/>
  <c r="D35" i="108" s="1"/>
  <c r="G34" i="108" a="1"/>
  <c r="G34" i="108" s="1"/>
  <c r="F34" i="108" a="1"/>
  <c r="F34" i="108" s="1"/>
  <c r="E34" i="108" a="1"/>
  <c r="E34" i="108" s="1"/>
  <c r="K22" i="108" s="1"/>
  <c r="D34" i="108" a="1"/>
  <c r="D34" i="108" s="1"/>
  <c r="G33" i="108" a="1"/>
  <c r="G33" i="108" s="1"/>
  <c r="F33" i="108" a="1"/>
  <c r="F33" i="108" s="1"/>
  <c r="E33" i="108" a="1"/>
  <c r="E33" i="108" s="1"/>
  <c r="K21" i="108" s="1"/>
  <c r="D33" i="108" a="1"/>
  <c r="D33" i="108" s="1"/>
  <c r="G32" i="108" a="1"/>
  <c r="G32" i="108" s="1"/>
  <c r="F32" i="108" a="1"/>
  <c r="F32" i="108" s="1"/>
  <c r="E32" i="108" a="1"/>
  <c r="E32" i="108" s="1"/>
  <c r="K20" i="108" s="1"/>
  <c r="D32" i="108" a="1"/>
  <c r="D32" i="108" s="1"/>
  <c r="G31" i="108" a="1"/>
  <c r="G31" i="108" s="1"/>
  <c r="F31" i="108" a="1"/>
  <c r="F31" i="108" s="1"/>
  <c r="E31" i="108" a="1"/>
  <c r="E31" i="108" s="1"/>
  <c r="K19" i="108" s="1"/>
  <c r="D31" i="108" a="1"/>
  <c r="D31" i="108" s="1"/>
  <c r="G30" i="108" a="1"/>
  <c r="G30" i="108" s="1"/>
  <c r="F30" i="108" a="1"/>
  <c r="F30" i="108" s="1"/>
  <c r="E30" i="108" a="1"/>
  <c r="E30" i="108" s="1"/>
  <c r="K18" i="108" s="1"/>
  <c r="D30" i="108" a="1"/>
  <c r="D30" i="108" s="1"/>
  <c r="G29" i="108" a="1"/>
  <c r="G29" i="108" s="1"/>
  <c r="F29" i="108" a="1"/>
  <c r="F29" i="108" s="1"/>
  <c r="E29" i="108" a="1"/>
  <c r="E29" i="108" s="1"/>
  <c r="K17" i="108" s="1"/>
  <c r="D29" i="108" a="1"/>
  <c r="D29" i="108" s="1"/>
  <c r="G28" i="108" a="1"/>
  <c r="G28" i="108" s="1"/>
  <c r="F28" i="108" a="1"/>
  <c r="F28" i="108" s="1"/>
  <c r="E28" i="108" a="1"/>
  <c r="E28" i="108" s="1"/>
  <c r="D28" i="108" a="1"/>
  <c r="D28" i="108" s="1"/>
  <c r="G27" i="108" a="1"/>
  <c r="G27" i="108" s="1"/>
  <c r="F27" i="108" a="1"/>
  <c r="F27" i="108" s="1"/>
  <c r="E27" i="108" a="1"/>
  <c r="E27" i="108" s="1"/>
  <c r="I27" i="108" s="1"/>
  <c r="D27" i="108" a="1"/>
  <c r="D27" i="108" s="1"/>
  <c r="G26" i="108" a="1"/>
  <c r="G26" i="108" s="1"/>
  <c r="F26" i="108" a="1"/>
  <c r="F26" i="108" s="1"/>
  <c r="E26" i="108" a="1"/>
  <c r="E26" i="108" s="1"/>
  <c r="I26" i="108" s="1"/>
  <c r="D26" i="108" a="1"/>
  <c r="D26" i="108" s="1"/>
  <c r="G25" i="108" a="1"/>
  <c r="G25" i="108" s="1"/>
  <c r="F25" i="108" a="1"/>
  <c r="F25" i="108" s="1"/>
  <c r="E25" i="108" a="1"/>
  <c r="E25" i="108" s="1"/>
  <c r="I25" i="108" s="1"/>
  <c r="D25" i="108" a="1"/>
  <c r="D25" i="108" s="1"/>
  <c r="G24" i="108" a="1"/>
  <c r="G24" i="108" s="1"/>
  <c r="F24" i="108" a="1"/>
  <c r="F24" i="108" s="1"/>
  <c r="E24" i="108" a="1"/>
  <c r="E24" i="108" s="1"/>
  <c r="I24" i="108" s="1"/>
  <c r="D24" i="108" a="1"/>
  <c r="D24" i="108" s="1"/>
  <c r="G23" i="108" a="1"/>
  <c r="G23" i="108" s="1"/>
  <c r="F23" i="108" a="1"/>
  <c r="F23" i="108" s="1"/>
  <c r="E23" i="108" a="1"/>
  <c r="E23" i="108" s="1"/>
  <c r="I23" i="108" s="1"/>
  <c r="D23" i="108" a="1"/>
  <c r="D23" i="108" s="1"/>
  <c r="G22" i="108" a="1"/>
  <c r="G22" i="108" s="1"/>
  <c r="F22" i="108" a="1"/>
  <c r="F22" i="108" s="1"/>
  <c r="E22" i="108" a="1"/>
  <c r="E22" i="108" s="1"/>
  <c r="I22" i="108" s="1"/>
  <c r="D22" i="108" a="1"/>
  <c r="D22" i="108" s="1"/>
  <c r="G21" i="108" a="1"/>
  <c r="G21" i="108" s="1"/>
  <c r="F21" i="108" a="1"/>
  <c r="F21" i="108" s="1"/>
  <c r="E21" i="108" a="1"/>
  <c r="E21" i="108" s="1"/>
  <c r="I21" i="108" s="1"/>
  <c r="D21" i="108" a="1"/>
  <c r="D21" i="108" s="1"/>
  <c r="G20" i="108" a="1"/>
  <c r="G20" i="108" s="1"/>
  <c r="F20" i="108" a="1"/>
  <c r="F20" i="108" s="1"/>
  <c r="E20" i="108" a="1"/>
  <c r="E20" i="108" s="1"/>
  <c r="I20" i="108" s="1"/>
  <c r="D20" i="108" a="1"/>
  <c r="D20" i="108" s="1"/>
  <c r="G19" i="108" a="1"/>
  <c r="G19" i="108" s="1"/>
  <c r="F19" i="108" a="1"/>
  <c r="F19" i="108" s="1"/>
  <c r="E19" i="108" a="1"/>
  <c r="E19" i="108" s="1"/>
  <c r="I19" i="108" s="1"/>
  <c r="D19" i="108" a="1"/>
  <c r="D19" i="108" s="1"/>
  <c r="G18" i="108" a="1"/>
  <c r="G18" i="108" s="1"/>
  <c r="F18" i="108" a="1"/>
  <c r="F18" i="108" s="1"/>
  <c r="E18" i="108" a="1"/>
  <c r="E18" i="108" s="1"/>
  <c r="I18" i="108" s="1"/>
  <c r="D18" i="108" a="1"/>
  <c r="D18" i="108" s="1"/>
  <c r="G17" i="108" a="1"/>
  <c r="G17" i="108" s="1"/>
  <c r="F17" i="108" a="1"/>
  <c r="F17" i="108" s="1"/>
  <c r="E17" i="108" a="1"/>
  <c r="E17" i="108" s="1"/>
  <c r="D17" i="108" a="1"/>
  <c r="D17" i="108" s="1"/>
  <c r="D15" i="108" a="1"/>
  <c r="D15" i="108" s="1"/>
  <c r="D14" i="108" a="1"/>
  <c r="D14" i="108" s="1"/>
  <c r="D7" i="108" a="1"/>
  <c r="D7" i="108" s="1"/>
  <c r="D6" i="108" a="1"/>
  <c r="D6" i="108" s="1"/>
  <c r="D5" i="108" a="1"/>
  <c r="D5" i="108" s="1"/>
  <c r="H185" i="107"/>
  <c r="H179" i="107"/>
  <c r="H168" i="107"/>
  <c r="H144" i="107"/>
  <c r="H138" i="107"/>
  <c r="H127" i="107"/>
  <c r="H105" i="107" a="1"/>
  <c r="H105" i="107" s="1"/>
  <c r="D105" i="107" a="1"/>
  <c r="D105" i="107" s="1"/>
  <c r="E103" i="107" a="1"/>
  <c r="E103" i="107" s="1"/>
  <c r="E102" i="107" a="1"/>
  <c r="E102" i="107" s="1"/>
  <c r="D98" i="107" a="1"/>
  <c r="D98" i="107" s="1"/>
  <c r="D97" i="107" a="1"/>
  <c r="D97" i="107" s="1"/>
  <c r="D96" i="107" a="1"/>
  <c r="D96" i="107" s="1"/>
  <c r="J16" i="107" a="1"/>
  <c r="J16" i="107" s="1"/>
  <c r="I16" i="107" a="1"/>
  <c r="I16" i="107" s="1"/>
  <c r="J15" i="107" a="1"/>
  <c r="J15" i="107" s="1"/>
  <c r="I15" i="107" a="1"/>
  <c r="I15" i="107" s="1"/>
  <c r="J14" i="107" a="1"/>
  <c r="J14" i="107" s="1"/>
  <c r="I14" i="107" a="1"/>
  <c r="I14" i="107" s="1"/>
  <c r="J13" i="107" a="1"/>
  <c r="J13" i="107" s="1"/>
  <c r="I13" i="107" a="1"/>
  <c r="I13" i="107" s="1"/>
  <c r="G13" i="107" a="1"/>
  <c r="G13" i="107" s="1"/>
  <c r="D13" i="107" a="1"/>
  <c r="D13" i="107" s="1"/>
  <c r="E11" i="107" a="1"/>
  <c r="E11" i="107" s="1"/>
  <c r="E10" i="107" a="1"/>
  <c r="E10" i="107" s="1"/>
  <c r="D6" i="107" a="1"/>
  <c r="D6" i="107" s="1"/>
  <c r="D5" i="107" a="1"/>
  <c r="D5" i="107" s="1"/>
  <c r="E139" i="105"/>
  <c r="F40" i="104" s="1"/>
  <c r="M40" i="104" s="1" a="1"/>
  <c r="M40" i="104" s="1"/>
  <c r="G138" i="105"/>
  <c r="F32" i="103" s="1"/>
  <c r="M32" i="103" s="1" a="1"/>
  <c r="M32" i="103" s="1"/>
  <c r="E138" i="105"/>
  <c r="F39" i="104" s="1"/>
  <c r="M39" i="104" s="1" a="1"/>
  <c r="M39" i="104" s="1"/>
  <c r="G137" i="105"/>
  <c r="F31" i="103" s="1"/>
  <c r="M31" i="103" s="1" a="1"/>
  <c r="M31" i="103" s="1"/>
  <c r="E137" i="105"/>
  <c r="F38" i="104" s="1"/>
  <c r="D137" i="105"/>
  <c r="F31" i="104" s="1"/>
  <c r="M31" i="104" s="1" a="1"/>
  <c r="M31" i="104" s="1"/>
  <c r="G136" i="105"/>
  <c r="F30" i="103" s="1"/>
  <c r="M30" i="103" s="1" a="1"/>
  <c r="M30" i="103" s="1"/>
  <c r="E136" i="105"/>
  <c r="F37" i="104" s="1"/>
  <c r="M37" i="104" s="1" a="1"/>
  <c r="M37" i="104" s="1"/>
  <c r="D136" i="105"/>
  <c r="F30" i="104" s="1"/>
  <c r="L30" i="104" s="1" a="1"/>
  <c r="L30" i="104" s="1"/>
  <c r="G135" i="105"/>
  <c r="F29" i="103" s="1"/>
  <c r="E135" i="105"/>
  <c r="F36" i="104" s="1"/>
  <c r="M36" i="104" s="1" a="1"/>
  <c r="M36" i="104" s="1"/>
  <c r="D135" i="105"/>
  <c r="F29" i="104" s="1"/>
  <c r="G134" i="105"/>
  <c r="F28" i="103" s="1"/>
  <c r="E134" i="105"/>
  <c r="F35" i="104" s="1"/>
  <c r="M35" i="104" s="1" a="1"/>
  <c r="M35" i="104" s="1"/>
  <c r="D134" i="105"/>
  <c r="F28" i="104" s="1"/>
  <c r="G133" i="105"/>
  <c r="F27" i="103" s="1"/>
  <c r="F133" i="105"/>
  <c r="F36" i="103" s="1"/>
  <c r="E133" i="105"/>
  <c r="F34" i="104" s="1"/>
  <c r="M34" i="104" s="1" a="1"/>
  <c r="M34" i="104" s="1"/>
  <c r="D133" i="105"/>
  <c r="F27" i="104" s="1"/>
  <c r="I132" i="105"/>
  <c r="F38" i="103" s="1"/>
  <c r="G132" i="105"/>
  <c r="F26" i="103" s="1"/>
  <c r="F132" i="105"/>
  <c r="F35" i="103" s="1"/>
  <c r="E132" i="105"/>
  <c r="F33" i="104" s="1"/>
  <c r="M33" i="104" s="1" a="1"/>
  <c r="M33" i="104" s="1"/>
  <c r="D132" i="105"/>
  <c r="F26" i="104" s="1"/>
  <c r="I131" i="105"/>
  <c r="F37" i="103" s="1"/>
  <c r="H131" i="105"/>
  <c r="F33" i="103" s="1"/>
  <c r="M33" i="103" s="1" a="1"/>
  <c r="M33" i="103" s="1"/>
  <c r="G131" i="105"/>
  <c r="F25" i="103" s="1"/>
  <c r="F131" i="105"/>
  <c r="F34" i="103" s="1"/>
  <c r="E131" i="105"/>
  <c r="F32" i="104" s="1"/>
  <c r="D131" i="105"/>
  <c r="F25" i="104" s="1"/>
  <c r="F120" i="105" a="1"/>
  <c r="F120" i="105" s="1"/>
  <c r="E120" i="105" a="1"/>
  <c r="E120" i="105" s="1"/>
  <c r="D120" i="105" a="1"/>
  <c r="D120" i="105" s="1"/>
  <c r="F119" i="105" a="1"/>
  <c r="F119" i="105" s="1"/>
  <c r="E119" i="105" a="1"/>
  <c r="E119" i="105" s="1"/>
  <c r="D119" i="105" a="1"/>
  <c r="D119" i="105" s="1"/>
  <c r="F118" i="105" a="1"/>
  <c r="F118" i="105" s="1"/>
  <c r="E118" i="105" a="1"/>
  <c r="E118" i="105" s="1"/>
  <c r="D118" i="105" a="1"/>
  <c r="D118" i="105" s="1"/>
  <c r="F117" i="105" a="1"/>
  <c r="F117" i="105" s="1"/>
  <c r="E117" i="105" a="1"/>
  <c r="E117" i="105" s="1"/>
  <c r="D117" i="105" a="1"/>
  <c r="D117" i="105" s="1"/>
  <c r="F116" i="105" a="1"/>
  <c r="F116" i="105" s="1"/>
  <c r="E116" i="105" a="1"/>
  <c r="E116" i="105" s="1"/>
  <c r="D116" i="105" a="1"/>
  <c r="D116" i="105" s="1"/>
  <c r="F115" i="105" a="1"/>
  <c r="F115" i="105" s="1"/>
  <c r="E115" i="105" a="1"/>
  <c r="E115" i="105" s="1"/>
  <c r="D115" i="105" a="1"/>
  <c r="D115" i="105" s="1"/>
  <c r="F114" i="105" a="1"/>
  <c r="F114" i="105" s="1"/>
  <c r="E114" i="105" a="1"/>
  <c r="E114" i="105" s="1"/>
  <c r="D114" i="105" a="1"/>
  <c r="D114" i="105" s="1"/>
  <c r="G113" i="105" a="1"/>
  <c r="G113" i="105" s="1"/>
  <c r="F113" i="105" a="1"/>
  <c r="F113" i="105" s="1"/>
  <c r="E113" i="105" a="1"/>
  <c r="E113" i="105" s="1"/>
  <c r="D113" i="105" a="1"/>
  <c r="D113" i="105" s="1"/>
  <c r="D110" i="105" a="1"/>
  <c r="D110" i="105" s="1"/>
  <c r="D109" i="105" a="1"/>
  <c r="D109" i="105" s="1"/>
  <c r="D108" i="105" a="1"/>
  <c r="D108" i="105" s="1"/>
  <c r="D107" i="105" a="1"/>
  <c r="D107" i="105" s="1"/>
  <c r="J104" i="105" a="1"/>
  <c r="J104" i="105" s="1"/>
  <c r="I104" i="105" a="1"/>
  <c r="I104" i="105" s="1"/>
  <c r="H104" i="105" a="1"/>
  <c r="H104" i="105" s="1"/>
  <c r="G104" i="105" a="1"/>
  <c r="G104" i="105" s="1"/>
  <c r="F104" i="105" a="1"/>
  <c r="F104" i="105" s="1"/>
  <c r="E104" i="105" a="1"/>
  <c r="E104" i="105" s="1"/>
  <c r="D104" i="105" a="1"/>
  <c r="D104" i="105" s="1"/>
  <c r="E40" i="104" s="1"/>
  <c r="J103" i="105" a="1"/>
  <c r="J103" i="105" s="1"/>
  <c r="I103" i="105" a="1"/>
  <c r="I103" i="105" s="1"/>
  <c r="H103" i="105" a="1"/>
  <c r="H103" i="105" s="1"/>
  <c r="G103" i="105" a="1"/>
  <c r="G103" i="105" s="1"/>
  <c r="F103" i="105" a="1"/>
  <c r="F103" i="105" s="1"/>
  <c r="E103" i="105" a="1"/>
  <c r="E103" i="105" s="1"/>
  <c r="D103" i="105" a="1"/>
  <c r="D103" i="105" s="1"/>
  <c r="E39" i="104" s="1"/>
  <c r="J102" i="105" a="1"/>
  <c r="J102" i="105" s="1"/>
  <c r="I102" i="105" a="1"/>
  <c r="I102" i="105" s="1"/>
  <c r="H102" i="105" a="1"/>
  <c r="H102" i="105" s="1"/>
  <c r="G102" i="105" a="1"/>
  <c r="G102" i="105" s="1"/>
  <c r="F102" i="105" a="1"/>
  <c r="F102" i="105" s="1"/>
  <c r="E102" i="105" a="1"/>
  <c r="E102" i="105" s="1"/>
  <c r="D102" i="105" a="1"/>
  <c r="D102" i="105" s="1"/>
  <c r="J101" i="105" a="1"/>
  <c r="J101" i="105" s="1"/>
  <c r="I101" i="105" a="1"/>
  <c r="I101" i="105" s="1"/>
  <c r="H101" i="105" a="1"/>
  <c r="H101" i="105" s="1"/>
  <c r="G101" i="105" a="1"/>
  <c r="G101" i="105" s="1"/>
  <c r="F101" i="105" a="1"/>
  <c r="F101" i="105" s="1"/>
  <c r="E101" i="105" a="1"/>
  <c r="E101" i="105" s="1"/>
  <c r="D101" i="105" a="1"/>
  <c r="D101" i="105" s="1"/>
  <c r="J100" i="105" a="1"/>
  <c r="J100" i="105" s="1"/>
  <c r="I100" i="105" a="1"/>
  <c r="I100" i="105" s="1"/>
  <c r="H100" i="105" a="1"/>
  <c r="H100" i="105" s="1"/>
  <c r="G100" i="105" a="1"/>
  <c r="G100" i="105" s="1"/>
  <c r="F100" i="105" a="1"/>
  <c r="F100" i="105" s="1"/>
  <c r="E100" i="105" a="1"/>
  <c r="E100" i="105" s="1"/>
  <c r="D100" i="105" a="1"/>
  <c r="D100" i="105" s="1"/>
  <c r="J99" i="105" a="1"/>
  <c r="J99" i="105" s="1"/>
  <c r="I99" i="105" a="1"/>
  <c r="I99" i="105" s="1"/>
  <c r="H99" i="105" a="1"/>
  <c r="H99" i="105" s="1"/>
  <c r="G99" i="105" a="1"/>
  <c r="G99" i="105" s="1"/>
  <c r="F99" i="105" a="1"/>
  <c r="F99" i="105" s="1"/>
  <c r="E99" i="105" a="1"/>
  <c r="E99" i="105" s="1"/>
  <c r="D99" i="105" a="1"/>
  <c r="D99" i="105" s="1"/>
  <c r="J98" i="105" a="1"/>
  <c r="J98" i="105" s="1"/>
  <c r="I98" i="105" a="1"/>
  <c r="I98" i="105" s="1"/>
  <c r="H98" i="105" a="1"/>
  <c r="H98" i="105" s="1"/>
  <c r="G98" i="105" a="1"/>
  <c r="G98" i="105" s="1"/>
  <c r="F98" i="105" a="1"/>
  <c r="F98" i="105" s="1"/>
  <c r="E98" i="105" a="1"/>
  <c r="E98" i="105" s="1"/>
  <c r="D98" i="105" a="1"/>
  <c r="D98" i="105" s="1"/>
  <c r="J97" i="105" a="1"/>
  <c r="J97" i="105" s="1"/>
  <c r="I97" i="105" a="1"/>
  <c r="I97" i="105" s="1"/>
  <c r="H97" i="105" a="1"/>
  <c r="H97" i="105" s="1"/>
  <c r="G97" i="105" a="1"/>
  <c r="G97" i="105" s="1"/>
  <c r="F97" i="105" a="1"/>
  <c r="F97" i="105" s="1"/>
  <c r="E97" i="105" a="1"/>
  <c r="E97" i="105" s="1"/>
  <c r="D97" i="105" a="1"/>
  <c r="D97" i="105" s="1"/>
  <c r="J96" i="105" a="1"/>
  <c r="J96" i="105" s="1"/>
  <c r="I96" i="105" a="1"/>
  <c r="I96" i="105" s="1"/>
  <c r="H96" i="105" a="1"/>
  <c r="H96" i="105" s="1"/>
  <c r="G96" i="105" a="1"/>
  <c r="G96" i="105" s="1"/>
  <c r="F96" i="105" a="1"/>
  <c r="F96" i="105" s="1"/>
  <c r="E96" i="105" a="1"/>
  <c r="E96" i="105" s="1"/>
  <c r="D96" i="105" a="1"/>
  <c r="D96" i="105" s="1"/>
  <c r="J95" i="105" a="1"/>
  <c r="J95" i="105" s="1"/>
  <c r="I95" i="105" a="1"/>
  <c r="I95" i="105" s="1"/>
  <c r="H95" i="105" a="1"/>
  <c r="H95" i="105" s="1"/>
  <c r="G95" i="105" a="1"/>
  <c r="G95" i="105" s="1"/>
  <c r="F95" i="105" a="1"/>
  <c r="F95" i="105" s="1"/>
  <c r="E95" i="105" a="1"/>
  <c r="E95" i="105" s="1"/>
  <c r="D95" i="105" a="1"/>
  <c r="D95" i="105" s="1"/>
  <c r="J94" i="105" a="1"/>
  <c r="J94" i="105" s="1"/>
  <c r="I94" i="105" a="1"/>
  <c r="I94" i="105" s="1"/>
  <c r="H94" i="105" a="1"/>
  <c r="H94" i="105" s="1"/>
  <c r="G94" i="105" a="1"/>
  <c r="G94" i="105" s="1"/>
  <c r="F94" i="105" a="1"/>
  <c r="F94" i="105" s="1"/>
  <c r="E94" i="105" a="1"/>
  <c r="E94" i="105" s="1"/>
  <c r="D94" i="105" a="1"/>
  <c r="D94" i="105" s="1"/>
  <c r="J93" i="105" a="1"/>
  <c r="J93" i="105" s="1"/>
  <c r="I93" i="105" a="1"/>
  <c r="I93" i="105" s="1"/>
  <c r="H93" i="105" a="1"/>
  <c r="H93" i="105" s="1"/>
  <c r="G93" i="105" a="1"/>
  <c r="G93" i="105" s="1"/>
  <c r="F93" i="105" a="1"/>
  <c r="F93" i="105" s="1"/>
  <c r="E93" i="105" a="1"/>
  <c r="E93" i="105" s="1"/>
  <c r="D93" i="105" a="1"/>
  <c r="D93" i="105" s="1"/>
  <c r="J92" i="105" a="1"/>
  <c r="J92" i="105" s="1"/>
  <c r="I92" i="105" a="1"/>
  <c r="I92" i="105" s="1"/>
  <c r="H92" i="105" a="1"/>
  <c r="H92" i="105" s="1"/>
  <c r="G92" i="105" a="1"/>
  <c r="G92" i="105" s="1"/>
  <c r="F92" i="105" a="1"/>
  <c r="F92" i="105" s="1"/>
  <c r="E92" i="105" a="1"/>
  <c r="E92" i="105" s="1"/>
  <c r="D92" i="105" a="1"/>
  <c r="D92" i="105" s="1"/>
  <c r="J91" i="105" a="1"/>
  <c r="J91" i="105" s="1"/>
  <c r="I91" i="105" a="1"/>
  <c r="I91" i="105" s="1"/>
  <c r="H91" i="105" a="1"/>
  <c r="H91" i="105" s="1"/>
  <c r="G91" i="105" a="1"/>
  <c r="G91" i="105" s="1"/>
  <c r="F91" i="105" a="1"/>
  <c r="F91" i="105" s="1"/>
  <c r="E91" i="105" a="1"/>
  <c r="E91" i="105" s="1"/>
  <c r="D91" i="105" a="1"/>
  <c r="D91" i="105" s="1"/>
  <c r="J90" i="105" a="1"/>
  <c r="J90" i="105" s="1"/>
  <c r="I90" i="105" a="1"/>
  <c r="I90" i="105" s="1"/>
  <c r="H90" i="105" a="1"/>
  <c r="H90" i="105" s="1"/>
  <c r="G90" i="105" a="1"/>
  <c r="G90" i="105" s="1"/>
  <c r="F90" i="105" a="1"/>
  <c r="F90" i="105" s="1"/>
  <c r="E90" i="105" a="1"/>
  <c r="E90" i="105" s="1"/>
  <c r="D90" i="105" a="1"/>
  <c r="D90" i="105" s="1"/>
  <c r="J89" i="105" a="1"/>
  <c r="J89" i="105" s="1"/>
  <c r="I89" i="105" a="1"/>
  <c r="I89" i="105" s="1"/>
  <c r="H89" i="105" a="1"/>
  <c r="H89" i="105" s="1"/>
  <c r="G89" i="105" a="1"/>
  <c r="G89" i="105" s="1"/>
  <c r="F89" i="105" a="1"/>
  <c r="F89" i="105" s="1"/>
  <c r="E89" i="105" a="1"/>
  <c r="E89" i="105" s="1"/>
  <c r="D89" i="105" a="1"/>
  <c r="D89" i="105" s="1"/>
  <c r="J88" i="105" a="1"/>
  <c r="J88" i="105" s="1"/>
  <c r="I88" i="105" a="1"/>
  <c r="I88" i="105" s="1"/>
  <c r="H88" i="105" a="1"/>
  <c r="H88" i="105" s="1"/>
  <c r="G88" i="105" a="1"/>
  <c r="G88" i="105" s="1"/>
  <c r="F88" i="105" a="1"/>
  <c r="F88" i="105" s="1"/>
  <c r="E88" i="105" a="1"/>
  <c r="E88" i="105" s="1"/>
  <c r="D88" i="105" a="1"/>
  <c r="D88" i="105" s="1"/>
  <c r="J87" i="105" a="1"/>
  <c r="J87" i="105" s="1"/>
  <c r="I87" i="105" a="1"/>
  <c r="I87" i="105" s="1"/>
  <c r="H87" i="105" a="1"/>
  <c r="H87" i="105" s="1"/>
  <c r="G87" i="105" a="1"/>
  <c r="G87" i="105" s="1"/>
  <c r="F87" i="105" a="1"/>
  <c r="F87" i="105" s="1"/>
  <c r="E87" i="105" a="1"/>
  <c r="E87" i="105" s="1"/>
  <c r="D87" i="105" a="1"/>
  <c r="D87" i="105" s="1"/>
  <c r="D84" i="105" a="1"/>
  <c r="D84" i="105" s="1"/>
  <c r="D83" i="105" a="1"/>
  <c r="D83" i="105" s="1"/>
  <c r="D82" i="105" a="1"/>
  <c r="D82" i="105" s="1"/>
  <c r="D81" i="105" a="1"/>
  <c r="D81" i="105" s="1"/>
  <c r="K77" i="105" a="1"/>
  <c r="K77" i="105" s="1"/>
  <c r="J77" i="105" a="1"/>
  <c r="J77" i="105" s="1"/>
  <c r="I77" i="105" a="1"/>
  <c r="I77" i="105" s="1"/>
  <c r="H77" i="105" a="1"/>
  <c r="H77" i="105" s="1"/>
  <c r="G77" i="105" a="1"/>
  <c r="G77" i="105" s="1"/>
  <c r="F77" i="105" a="1"/>
  <c r="F77" i="105" s="1"/>
  <c r="E77" i="105" a="1"/>
  <c r="E77" i="105" s="1"/>
  <c r="D77" i="105" a="1"/>
  <c r="D77" i="105" s="1"/>
  <c r="K76" i="105" a="1"/>
  <c r="K76" i="105" s="1"/>
  <c r="J76" i="105" a="1"/>
  <c r="J76" i="105" s="1"/>
  <c r="I76" i="105" a="1"/>
  <c r="I76" i="105" s="1"/>
  <c r="H76" i="105" a="1"/>
  <c r="H76" i="105" s="1"/>
  <c r="G76" i="105" a="1"/>
  <c r="G76" i="105" s="1"/>
  <c r="F76" i="105" a="1"/>
  <c r="F76" i="105" s="1"/>
  <c r="E76" i="105" a="1"/>
  <c r="E76" i="105" s="1"/>
  <c r="D76" i="105" a="1"/>
  <c r="D76" i="105" s="1"/>
  <c r="K75" i="105" a="1"/>
  <c r="K75" i="105" s="1"/>
  <c r="J75" i="105" a="1"/>
  <c r="J75" i="105" s="1"/>
  <c r="I75" i="105" a="1"/>
  <c r="I75" i="105" s="1"/>
  <c r="H75" i="105" a="1"/>
  <c r="H75" i="105" s="1"/>
  <c r="G75" i="105" a="1"/>
  <c r="G75" i="105" s="1"/>
  <c r="F75" i="105" a="1"/>
  <c r="F75" i="105" s="1"/>
  <c r="E75" i="105" a="1"/>
  <c r="E75" i="105" s="1"/>
  <c r="D75" i="105" a="1"/>
  <c r="D75" i="105" s="1"/>
  <c r="E30" i="104" s="1"/>
  <c r="K74" i="105" a="1"/>
  <c r="K74" i="105" s="1"/>
  <c r="J74" i="105" a="1"/>
  <c r="J74" i="105" s="1"/>
  <c r="I74" i="105" a="1"/>
  <c r="I74" i="105" s="1"/>
  <c r="H74" i="105" a="1"/>
  <c r="H74" i="105" s="1"/>
  <c r="G74" i="105" a="1"/>
  <c r="G74" i="105" s="1"/>
  <c r="F74" i="105" a="1"/>
  <c r="F74" i="105" s="1"/>
  <c r="E74" i="105" a="1"/>
  <c r="E74" i="105" s="1"/>
  <c r="D74" i="105" a="1"/>
  <c r="D74" i="105" s="1"/>
  <c r="K73" i="105" a="1"/>
  <c r="K73" i="105" s="1"/>
  <c r="J73" i="105" a="1"/>
  <c r="J73" i="105" s="1"/>
  <c r="I73" i="105" a="1"/>
  <c r="I73" i="105" s="1"/>
  <c r="H73" i="105" a="1"/>
  <c r="H73" i="105" s="1"/>
  <c r="G73" i="105" a="1"/>
  <c r="G73" i="105" s="1"/>
  <c r="F73" i="105" a="1"/>
  <c r="F73" i="105" s="1"/>
  <c r="E73" i="105" a="1"/>
  <c r="E73" i="105" s="1"/>
  <c r="D73" i="105" a="1"/>
  <c r="D73" i="105" s="1"/>
  <c r="E28" i="104" s="1"/>
  <c r="K28" i="104" s="1"/>
  <c r="K72" i="105" a="1"/>
  <c r="K72" i="105" s="1"/>
  <c r="J72" i="105" a="1"/>
  <c r="J72" i="105" s="1"/>
  <c r="I72" i="105" a="1"/>
  <c r="I72" i="105" s="1"/>
  <c r="H72" i="105" a="1"/>
  <c r="H72" i="105" s="1"/>
  <c r="G72" i="105" a="1"/>
  <c r="G72" i="105" s="1"/>
  <c r="F72" i="105" a="1"/>
  <c r="F72" i="105" s="1"/>
  <c r="E72" i="105" a="1"/>
  <c r="E72" i="105" s="1"/>
  <c r="D72" i="105" a="1"/>
  <c r="D72" i="105" s="1"/>
  <c r="K71" i="105" a="1"/>
  <c r="K71" i="105" s="1"/>
  <c r="J71" i="105" a="1"/>
  <c r="J71" i="105" s="1"/>
  <c r="I71" i="105" a="1"/>
  <c r="I71" i="105" s="1"/>
  <c r="H71" i="105" a="1"/>
  <c r="H71" i="105" s="1"/>
  <c r="G71" i="105" a="1"/>
  <c r="G71" i="105" s="1"/>
  <c r="F71" i="105" a="1"/>
  <c r="F71" i="105" s="1"/>
  <c r="E71" i="105" a="1"/>
  <c r="E71" i="105" s="1"/>
  <c r="D71" i="105" a="1"/>
  <c r="D71" i="105" s="1"/>
  <c r="K70" i="105" a="1"/>
  <c r="K70" i="105" s="1"/>
  <c r="J70" i="105" a="1"/>
  <c r="J70" i="105" s="1"/>
  <c r="I70" i="105" a="1"/>
  <c r="I70" i="105" s="1"/>
  <c r="H70" i="105" a="1"/>
  <c r="H70" i="105" s="1"/>
  <c r="G70" i="105" a="1"/>
  <c r="G70" i="105" s="1"/>
  <c r="F70" i="105" a="1"/>
  <c r="F70" i="105" s="1"/>
  <c r="E70" i="105" a="1"/>
  <c r="E70" i="105" s="1"/>
  <c r="D70" i="105" a="1"/>
  <c r="D70" i="105" s="1"/>
  <c r="K69" i="105" a="1"/>
  <c r="K69" i="105" s="1"/>
  <c r="J69" i="105" a="1"/>
  <c r="J69" i="105" s="1"/>
  <c r="I69" i="105" a="1"/>
  <c r="I69" i="105" s="1"/>
  <c r="H69" i="105" a="1"/>
  <c r="H69" i="105" s="1"/>
  <c r="G69" i="105" a="1"/>
  <c r="G69" i="105" s="1"/>
  <c r="F69" i="105" a="1"/>
  <c r="F69" i="105" s="1"/>
  <c r="E69" i="105" a="1"/>
  <c r="E69" i="105" s="1"/>
  <c r="D69" i="105" a="1"/>
  <c r="D69" i="105" s="1"/>
  <c r="K68" i="105" a="1"/>
  <c r="K68" i="105" s="1"/>
  <c r="J68" i="105" a="1"/>
  <c r="J68" i="105" s="1"/>
  <c r="I68" i="105" a="1"/>
  <c r="I68" i="105" s="1"/>
  <c r="H68" i="105" a="1"/>
  <c r="H68" i="105" s="1"/>
  <c r="G68" i="105" a="1"/>
  <c r="G68" i="105" s="1"/>
  <c r="F68" i="105" a="1"/>
  <c r="F68" i="105" s="1"/>
  <c r="E68" i="105" a="1"/>
  <c r="E68" i="105" s="1"/>
  <c r="D68" i="105" a="1"/>
  <c r="D68" i="105" s="1"/>
  <c r="K67" i="105" a="1"/>
  <c r="K67" i="105" s="1"/>
  <c r="J67" i="105" a="1"/>
  <c r="J67" i="105" s="1"/>
  <c r="I67" i="105" a="1"/>
  <c r="I67" i="105" s="1"/>
  <c r="H67" i="105" a="1"/>
  <c r="H67" i="105" s="1"/>
  <c r="G67" i="105" a="1"/>
  <c r="G67" i="105" s="1"/>
  <c r="F67" i="105" a="1"/>
  <c r="F67" i="105" s="1"/>
  <c r="E67" i="105" a="1"/>
  <c r="E67" i="105" s="1"/>
  <c r="D67" i="105" a="1"/>
  <c r="D67" i="105" s="1"/>
  <c r="K66" i="105" a="1"/>
  <c r="K66" i="105" s="1"/>
  <c r="J66" i="105" a="1"/>
  <c r="J66" i="105" s="1"/>
  <c r="I66" i="105" a="1"/>
  <c r="I66" i="105" s="1"/>
  <c r="H66" i="105" a="1"/>
  <c r="H66" i="105" s="1"/>
  <c r="G66" i="105" a="1"/>
  <c r="G66" i="105" s="1"/>
  <c r="F66" i="105" a="1"/>
  <c r="F66" i="105" s="1"/>
  <c r="E66" i="105" a="1"/>
  <c r="E66" i="105" s="1"/>
  <c r="D66" i="105" a="1"/>
  <c r="D66" i="105" s="1"/>
  <c r="K65" i="105" a="1"/>
  <c r="K65" i="105" s="1"/>
  <c r="J65" i="105" a="1"/>
  <c r="J65" i="105" s="1"/>
  <c r="I65" i="105" a="1"/>
  <c r="I65" i="105" s="1"/>
  <c r="H65" i="105" a="1"/>
  <c r="H65" i="105" s="1"/>
  <c r="G65" i="105" a="1"/>
  <c r="G65" i="105" s="1"/>
  <c r="F65" i="105" a="1"/>
  <c r="F65" i="105" s="1"/>
  <c r="E65" i="105" a="1"/>
  <c r="E65" i="105" s="1"/>
  <c r="D65" i="105" a="1"/>
  <c r="D65" i="105" s="1"/>
  <c r="K64" i="105" a="1"/>
  <c r="K64" i="105" s="1"/>
  <c r="J64" i="105" a="1"/>
  <c r="J64" i="105" s="1"/>
  <c r="I64" i="105" a="1"/>
  <c r="I64" i="105" s="1"/>
  <c r="H64" i="105" a="1"/>
  <c r="H64" i="105" s="1"/>
  <c r="G64" i="105" a="1"/>
  <c r="G64" i="105" s="1"/>
  <c r="F64" i="105" a="1"/>
  <c r="F64" i="105" s="1"/>
  <c r="E64" i="105" a="1"/>
  <c r="E64" i="105" s="1"/>
  <c r="D64" i="105" a="1"/>
  <c r="D64" i="105" s="1"/>
  <c r="K63" i="105" a="1"/>
  <c r="K63" i="105" s="1"/>
  <c r="J63" i="105" a="1"/>
  <c r="J63" i="105" s="1"/>
  <c r="I63" i="105" a="1"/>
  <c r="I63" i="105" s="1"/>
  <c r="H63" i="105" a="1"/>
  <c r="H63" i="105" s="1"/>
  <c r="G63" i="105" a="1"/>
  <c r="G63" i="105" s="1"/>
  <c r="F63" i="105" a="1"/>
  <c r="F63" i="105" s="1"/>
  <c r="E63" i="105" a="1"/>
  <c r="E63" i="105" s="1"/>
  <c r="D63" i="105" a="1"/>
  <c r="D63" i="105" s="1"/>
  <c r="E33" i="104" s="1"/>
  <c r="K62" i="105" a="1"/>
  <c r="K62" i="105" s="1"/>
  <c r="J62" i="105" a="1"/>
  <c r="J62" i="105" s="1"/>
  <c r="I62" i="105" a="1"/>
  <c r="I62" i="105" s="1"/>
  <c r="H62" i="105" a="1"/>
  <c r="H62" i="105" s="1"/>
  <c r="G62" i="105" a="1"/>
  <c r="G62" i="105" s="1"/>
  <c r="F62" i="105" a="1"/>
  <c r="F62" i="105" s="1"/>
  <c r="E62" i="105" a="1"/>
  <c r="E62" i="105" s="1"/>
  <c r="D62" i="105" a="1"/>
  <c r="D62" i="105" s="1"/>
  <c r="K61" i="105" a="1"/>
  <c r="K61" i="105" s="1"/>
  <c r="J61" i="105" a="1"/>
  <c r="J61" i="105" s="1"/>
  <c r="I61" i="105" a="1"/>
  <c r="I61" i="105" s="1"/>
  <c r="H61" i="105" a="1"/>
  <c r="H61" i="105" s="1"/>
  <c r="G61" i="105" a="1"/>
  <c r="G61" i="105" s="1"/>
  <c r="F61" i="105" a="1"/>
  <c r="F61" i="105" s="1"/>
  <c r="E61" i="105" a="1"/>
  <c r="E61" i="105" s="1"/>
  <c r="D61" i="105" a="1"/>
  <c r="D61" i="105" s="1"/>
  <c r="K60" i="105" a="1"/>
  <c r="K60" i="105" s="1"/>
  <c r="J60" i="105" a="1"/>
  <c r="J60" i="105" s="1"/>
  <c r="I60" i="105" a="1"/>
  <c r="I60" i="105" s="1"/>
  <c r="H60" i="105" a="1"/>
  <c r="H60" i="105" s="1"/>
  <c r="G60" i="105" a="1"/>
  <c r="G60" i="105" s="1"/>
  <c r="F60" i="105" a="1"/>
  <c r="F60" i="105" s="1"/>
  <c r="E60" i="105" a="1"/>
  <c r="E60" i="105" s="1"/>
  <c r="D60" i="105" a="1"/>
  <c r="D60" i="105" s="1"/>
  <c r="K59" i="105" a="1"/>
  <c r="K59" i="105" s="1"/>
  <c r="J59" i="105" a="1"/>
  <c r="J59" i="105" s="1"/>
  <c r="I59" i="105" a="1"/>
  <c r="I59" i="105" s="1"/>
  <c r="H59" i="105" a="1"/>
  <c r="H59" i="105" s="1"/>
  <c r="G59" i="105" a="1"/>
  <c r="G59" i="105" s="1"/>
  <c r="F59" i="105" a="1"/>
  <c r="F59" i="105" s="1"/>
  <c r="E59" i="105" a="1"/>
  <c r="E59" i="105" s="1"/>
  <c r="D59" i="105" a="1"/>
  <c r="D59" i="105" s="1"/>
  <c r="K58" i="105" a="1"/>
  <c r="K58" i="105" s="1"/>
  <c r="J58" i="105" a="1"/>
  <c r="J58" i="105" s="1"/>
  <c r="I58" i="105" a="1"/>
  <c r="I58" i="105" s="1"/>
  <c r="H58" i="105" a="1"/>
  <c r="H58" i="105" s="1"/>
  <c r="G58" i="105" a="1"/>
  <c r="G58" i="105" s="1"/>
  <c r="F58" i="105" a="1"/>
  <c r="F58" i="105" s="1"/>
  <c r="E58" i="105" a="1"/>
  <c r="E58" i="105" s="1"/>
  <c r="D58" i="105" a="1"/>
  <c r="D58" i="105" s="1"/>
  <c r="E32" i="104" s="1"/>
  <c r="K32" i="104" s="1"/>
  <c r="K57" i="105" a="1"/>
  <c r="K57" i="105" s="1"/>
  <c r="J57" i="105" a="1"/>
  <c r="J57" i="105" s="1"/>
  <c r="I57" i="105" a="1"/>
  <c r="I57" i="105" s="1"/>
  <c r="H57" i="105" a="1"/>
  <c r="H57" i="105" s="1"/>
  <c r="G57" i="105" a="1"/>
  <c r="G57" i="105" s="1"/>
  <c r="F57" i="105" a="1"/>
  <c r="F57" i="105" s="1"/>
  <c r="E57" i="105" a="1"/>
  <c r="E57" i="105" s="1"/>
  <c r="D57" i="105" a="1"/>
  <c r="D57" i="105" s="1"/>
  <c r="K56" i="105" a="1"/>
  <c r="K56" i="105" s="1"/>
  <c r="J56" i="105" a="1"/>
  <c r="J56" i="105" s="1"/>
  <c r="I56" i="105" a="1"/>
  <c r="I56" i="105" s="1"/>
  <c r="H56" i="105" a="1"/>
  <c r="H56" i="105" s="1"/>
  <c r="G56" i="105" a="1"/>
  <c r="G56" i="105" s="1"/>
  <c r="F56" i="105" a="1"/>
  <c r="F56" i="105" s="1"/>
  <c r="E56" i="105" a="1"/>
  <c r="E56" i="105" s="1"/>
  <c r="D56" i="105" a="1"/>
  <c r="D56" i="105" s="1"/>
  <c r="K55" i="105" a="1"/>
  <c r="K55" i="105" s="1"/>
  <c r="J55" i="105" a="1"/>
  <c r="J55" i="105" s="1"/>
  <c r="I55" i="105" a="1"/>
  <c r="I55" i="105" s="1"/>
  <c r="H55" i="105" a="1"/>
  <c r="H55" i="105" s="1"/>
  <c r="G55" i="105" a="1"/>
  <c r="G55" i="105" s="1"/>
  <c r="F55" i="105" a="1"/>
  <c r="F55" i="105" s="1"/>
  <c r="E55" i="105" a="1"/>
  <c r="E55" i="105" s="1"/>
  <c r="D55" i="105" a="1"/>
  <c r="D55" i="105" s="1"/>
  <c r="K54" i="105" a="1"/>
  <c r="K54" i="105" s="1"/>
  <c r="J54" i="105" a="1"/>
  <c r="J54" i="105" s="1"/>
  <c r="I54" i="105" a="1"/>
  <c r="I54" i="105" s="1"/>
  <c r="H54" i="105" a="1"/>
  <c r="H54" i="105" s="1"/>
  <c r="G54" i="105" a="1"/>
  <c r="G54" i="105" s="1"/>
  <c r="F54" i="105" a="1"/>
  <c r="F54" i="105" s="1"/>
  <c r="E54" i="105" a="1"/>
  <c r="E54" i="105" s="1"/>
  <c r="D54" i="105" a="1"/>
  <c r="D54" i="105" s="1"/>
  <c r="D52" i="105" a="1"/>
  <c r="D52" i="105" s="1"/>
  <c r="D51" i="105" a="1"/>
  <c r="D51" i="105" s="1"/>
  <c r="D50" i="105" a="1"/>
  <c r="D50" i="105" s="1"/>
  <c r="D49" i="105" a="1"/>
  <c r="D49" i="105" s="1"/>
  <c r="J43" i="105" a="1"/>
  <c r="J43" i="105" s="1"/>
  <c r="I43" i="105" a="1"/>
  <c r="I43" i="105" s="1"/>
  <c r="H43" i="105" a="1"/>
  <c r="H43" i="105" s="1"/>
  <c r="G43" i="105" a="1"/>
  <c r="G43" i="105" s="1"/>
  <c r="F43" i="105" a="1"/>
  <c r="F43" i="105" s="1"/>
  <c r="E43" i="105" a="1"/>
  <c r="E43" i="105" s="1"/>
  <c r="D43" i="105" a="1"/>
  <c r="D43" i="105" s="1"/>
  <c r="J42" i="105" a="1"/>
  <c r="J42" i="105" s="1"/>
  <c r="I42" i="105" a="1"/>
  <c r="I42" i="105" s="1"/>
  <c r="H42" i="105" a="1"/>
  <c r="H42" i="105" s="1"/>
  <c r="G42" i="105" a="1"/>
  <c r="G42" i="105" s="1"/>
  <c r="F42" i="105" a="1"/>
  <c r="F42" i="105" s="1"/>
  <c r="E42" i="105" a="1"/>
  <c r="E42" i="105" s="1"/>
  <c r="D42" i="105" a="1"/>
  <c r="D42" i="105" s="1"/>
  <c r="J41" i="105" a="1"/>
  <c r="J41" i="105" s="1"/>
  <c r="I41" i="105" a="1"/>
  <c r="I41" i="105" s="1"/>
  <c r="H41" i="105" a="1"/>
  <c r="H41" i="105" s="1"/>
  <c r="G41" i="105" a="1"/>
  <c r="G41" i="105" s="1"/>
  <c r="F41" i="105" a="1"/>
  <c r="F41" i="105" s="1"/>
  <c r="E41" i="105" a="1"/>
  <c r="E41" i="105" s="1"/>
  <c r="D41" i="105" a="1"/>
  <c r="D41" i="105" s="1"/>
  <c r="J40" i="105" a="1"/>
  <c r="J40" i="105" s="1"/>
  <c r="I40" i="105" a="1"/>
  <c r="I40" i="105" s="1"/>
  <c r="H40" i="105" a="1"/>
  <c r="H40" i="105" s="1"/>
  <c r="G40" i="105" a="1"/>
  <c r="G40" i="105" s="1"/>
  <c r="F40" i="105" a="1"/>
  <c r="F40" i="105" s="1"/>
  <c r="E40" i="105" a="1"/>
  <c r="E40" i="105" s="1"/>
  <c r="D40" i="105" a="1"/>
  <c r="D40" i="105" s="1"/>
  <c r="D38" i="105" a="1"/>
  <c r="D38" i="105" s="1"/>
  <c r="D37" i="105" a="1"/>
  <c r="D37" i="105" s="1"/>
  <c r="L34" i="105" a="1"/>
  <c r="L34" i="105" s="1"/>
  <c r="K34" i="105" a="1"/>
  <c r="K34" i="105" s="1"/>
  <c r="J34" i="105" a="1"/>
  <c r="J34" i="105" s="1"/>
  <c r="I34" i="105" a="1"/>
  <c r="I34" i="105" s="1"/>
  <c r="H34" i="105" a="1"/>
  <c r="H34" i="105" s="1"/>
  <c r="G34" i="105" a="1"/>
  <c r="G34" i="105" s="1"/>
  <c r="F34" i="105" a="1"/>
  <c r="F34" i="105" s="1"/>
  <c r="E34" i="105" a="1"/>
  <c r="E34" i="105" s="1"/>
  <c r="D34" i="105" a="1"/>
  <c r="D34" i="105" s="1"/>
  <c r="L33" i="105" a="1"/>
  <c r="L33" i="105" s="1"/>
  <c r="K33" i="105" a="1"/>
  <c r="K33" i="105" s="1"/>
  <c r="J33" i="105" a="1"/>
  <c r="J33" i="105" s="1"/>
  <c r="I33" i="105" a="1"/>
  <c r="I33" i="105" s="1"/>
  <c r="H33" i="105" a="1"/>
  <c r="H33" i="105" s="1"/>
  <c r="G33" i="105" a="1"/>
  <c r="G33" i="105" s="1"/>
  <c r="F33" i="105" a="1"/>
  <c r="F33" i="105" s="1"/>
  <c r="E33" i="105" a="1"/>
  <c r="E33" i="105" s="1"/>
  <c r="E39" i="103" s="1"/>
  <c r="D33" i="105" a="1"/>
  <c r="D33" i="105" s="1"/>
  <c r="L32" i="105" a="1"/>
  <c r="L32" i="105" s="1"/>
  <c r="K32" i="105" a="1"/>
  <c r="K32" i="105" s="1"/>
  <c r="J32" i="105" a="1"/>
  <c r="J32" i="105" s="1"/>
  <c r="I32" i="105" a="1"/>
  <c r="I32" i="105" s="1"/>
  <c r="H32" i="105" a="1"/>
  <c r="H32" i="105" s="1"/>
  <c r="G32" i="105" a="1"/>
  <c r="G32" i="105" s="1"/>
  <c r="F32" i="105" a="1"/>
  <c r="F32" i="105" s="1"/>
  <c r="E32" i="105" a="1"/>
  <c r="E32" i="105" s="1"/>
  <c r="D32" i="105" a="1"/>
  <c r="D32" i="105" s="1"/>
  <c r="L31" i="105" a="1"/>
  <c r="L31" i="105" s="1"/>
  <c r="K31" i="105" a="1"/>
  <c r="K31" i="105" s="1"/>
  <c r="J31" i="105" a="1"/>
  <c r="J31" i="105" s="1"/>
  <c r="I31" i="105" a="1"/>
  <c r="I31" i="105" s="1"/>
  <c r="H31" i="105" a="1"/>
  <c r="H31" i="105" s="1"/>
  <c r="G31" i="105" a="1"/>
  <c r="G31" i="105" s="1"/>
  <c r="F31" i="105" a="1"/>
  <c r="F31" i="105" s="1"/>
  <c r="E31" i="105" a="1"/>
  <c r="E31" i="105" s="1"/>
  <c r="D31" i="105" a="1"/>
  <c r="D31" i="105" s="1"/>
  <c r="L30" i="105" a="1"/>
  <c r="L30" i="105" s="1"/>
  <c r="K30" i="105" a="1"/>
  <c r="K30" i="105" s="1"/>
  <c r="J30" i="105" a="1"/>
  <c r="J30" i="105" s="1"/>
  <c r="I30" i="105" a="1"/>
  <c r="I30" i="105" s="1"/>
  <c r="H30" i="105" a="1"/>
  <c r="H30" i="105" s="1"/>
  <c r="G30" i="105" a="1"/>
  <c r="G30" i="105" s="1"/>
  <c r="F30" i="105" a="1"/>
  <c r="F30" i="105" s="1"/>
  <c r="E30" i="105" a="1"/>
  <c r="E30" i="105" s="1"/>
  <c r="E36" i="103" s="1"/>
  <c r="D30" i="105" a="1"/>
  <c r="D30" i="105" s="1"/>
  <c r="L29" i="105" a="1"/>
  <c r="L29" i="105" s="1"/>
  <c r="K29" i="105" a="1"/>
  <c r="K29" i="105" s="1"/>
  <c r="J29" i="105" a="1"/>
  <c r="J29" i="105" s="1"/>
  <c r="I29" i="105" a="1"/>
  <c r="I29" i="105" s="1"/>
  <c r="H29" i="105" a="1"/>
  <c r="H29" i="105" s="1"/>
  <c r="G29" i="105" a="1"/>
  <c r="G29" i="105" s="1"/>
  <c r="F29" i="105" a="1"/>
  <c r="F29" i="105" s="1"/>
  <c r="E29" i="105" a="1"/>
  <c r="E29" i="105" s="1"/>
  <c r="E35" i="103" s="1"/>
  <c r="D29" i="105" a="1"/>
  <c r="D29" i="105" s="1"/>
  <c r="L28" i="105" a="1"/>
  <c r="L28" i="105" s="1"/>
  <c r="K28" i="105" a="1"/>
  <c r="K28" i="105" s="1"/>
  <c r="J28" i="105" a="1"/>
  <c r="J28" i="105" s="1"/>
  <c r="I28" i="105" a="1"/>
  <c r="I28" i="105" s="1"/>
  <c r="H28" i="105" a="1"/>
  <c r="H28" i="105" s="1"/>
  <c r="G28" i="105" a="1"/>
  <c r="G28" i="105" s="1"/>
  <c r="F28" i="105" a="1"/>
  <c r="F28" i="105" s="1"/>
  <c r="E28" i="105" a="1"/>
  <c r="E28" i="105" s="1"/>
  <c r="E34" i="103" s="1"/>
  <c r="D28" i="105" a="1"/>
  <c r="D28" i="105" s="1"/>
  <c r="L27" i="105" a="1"/>
  <c r="L27" i="105" s="1"/>
  <c r="K27" i="105" a="1"/>
  <c r="K27" i="105" s="1"/>
  <c r="J27" i="105" a="1"/>
  <c r="J27" i="105" s="1"/>
  <c r="I27" i="105" a="1"/>
  <c r="I27" i="105" s="1"/>
  <c r="H27" i="105" a="1"/>
  <c r="H27" i="105" s="1"/>
  <c r="G27" i="105" a="1"/>
  <c r="G27" i="105" s="1"/>
  <c r="F27" i="105" a="1"/>
  <c r="F27" i="105" s="1"/>
  <c r="E27" i="105" a="1"/>
  <c r="E27" i="105" s="1"/>
  <c r="D27" i="105" a="1"/>
  <c r="D27" i="105" s="1"/>
  <c r="L26" i="105" a="1"/>
  <c r="L26" i="105" s="1"/>
  <c r="K26" i="105" a="1"/>
  <c r="K26" i="105" s="1"/>
  <c r="J26" i="105" a="1"/>
  <c r="J26" i="105" s="1"/>
  <c r="I26" i="105" a="1"/>
  <c r="I26" i="105" s="1"/>
  <c r="H26" i="105" a="1"/>
  <c r="H26" i="105" s="1"/>
  <c r="G26" i="105" a="1"/>
  <c r="G26" i="105" s="1"/>
  <c r="F26" i="105" a="1"/>
  <c r="F26" i="105" s="1"/>
  <c r="E26" i="105" a="1"/>
  <c r="E26" i="105" s="1"/>
  <c r="D26" i="105" a="1"/>
  <c r="D26" i="105" s="1"/>
  <c r="L25" i="105" a="1"/>
  <c r="L25" i="105" s="1"/>
  <c r="K25" i="105" a="1"/>
  <c r="K25" i="105" s="1"/>
  <c r="J25" i="105" a="1"/>
  <c r="J25" i="105" s="1"/>
  <c r="I25" i="105" a="1"/>
  <c r="I25" i="105" s="1"/>
  <c r="H25" i="105" a="1"/>
  <c r="H25" i="105" s="1"/>
  <c r="G25" i="105" a="1"/>
  <c r="G25" i="105" s="1"/>
  <c r="F25" i="105" a="1"/>
  <c r="F25" i="105" s="1"/>
  <c r="E25" i="105" a="1"/>
  <c r="E25" i="105" s="1"/>
  <c r="D25" i="105" a="1"/>
  <c r="D25" i="105" s="1"/>
  <c r="L24" i="105" a="1"/>
  <c r="L24" i="105" s="1"/>
  <c r="K24" i="105" a="1"/>
  <c r="K24" i="105" s="1"/>
  <c r="J24" i="105" a="1"/>
  <c r="J24" i="105" s="1"/>
  <c r="I24" i="105" a="1"/>
  <c r="I24" i="105" s="1"/>
  <c r="H24" i="105" a="1"/>
  <c r="H24" i="105" s="1"/>
  <c r="G24" i="105" a="1"/>
  <c r="G24" i="105" s="1"/>
  <c r="F24" i="105" a="1"/>
  <c r="F24" i="105" s="1"/>
  <c r="E24" i="105" a="1"/>
  <c r="E24" i="105" s="1"/>
  <c r="D24" i="105" a="1"/>
  <c r="D24" i="105" s="1"/>
  <c r="L23" i="105" a="1"/>
  <c r="L23" i="105" s="1"/>
  <c r="K23" i="105" a="1"/>
  <c r="K23" i="105" s="1"/>
  <c r="J23" i="105" a="1"/>
  <c r="J23" i="105" s="1"/>
  <c r="I23" i="105" a="1"/>
  <c r="I23" i="105" s="1"/>
  <c r="H23" i="105" a="1"/>
  <c r="H23" i="105" s="1"/>
  <c r="G23" i="105" a="1"/>
  <c r="G23" i="105" s="1"/>
  <c r="F23" i="105" a="1"/>
  <c r="F23" i="105" s="1"/>
  <c r="E23" i="105" a="1"/>
  <c r="E23" i="105" s="1"/>
  <c r="D23" i="105" a="1"/>
  <c r="D23" i="105" s="1"/>
  <c r="L22" i="105" a="1"/>
  <c r="L22" i="105" s="1"/>
  <c r="K22" i="105" a="1"/>
  <c r="K22" i="105" s="1"/>
  <c r="J22" i="105" a="1"/>
  <c r="J22" i="105" s="1"/>
  <c r="I22" i="105" a="1"/>
  <c r="I22" i="105" s="1"/>
  <c r="H22" i="105" a="1"/>
  <c r="H22" i="105" s="1"/>
  <c r="G22" i="105" a="1"/>
  <c r="G22" i="105" s="1"/>
  <c r="F22" i="105" a="1"/>
  <c r="F22" i="105" s="1"/>
  <c r="E22" i="105" a="1"/>
  <c r="E22" i="105" s="1"/>
  <c r="D22" i="105" a="1"/>
  <c r="D22" i="105" s="1"/>
  <c r="L21" i="105" a="1"/>
  <c r="L21" i="105" s="1"/>
  <c r="K21" i="105" a="1"/>
  <c r="K21" i="105" s="1"/>
  <c r="J21" i="105" a="1"/>
  <c r="J21" i="105" s="1"/>
  <c r="I21" i="105" a="1"/>
  <c r="I21" i="105" s="1"/>
  <c r="H21" i="105" a="1"/>
  <c r="H21" i="105" s="1"/>
  <c r="G21" i="105" a="1"/>
  <c r="G21" i="105" s="1"/>
  <c r="F21" i="105" a="1"/>
  <c r="F21" i="105" s="1"/>
  <c r="E21" i="105" a="1"/>
  <c r="E21" i="105" s="1"/>
  <c r="D21" i="105" a="1"/>
  <c r="D21" i="105" s="1"/>
  <c r="L20" i="105" a="1"/>
  <c r="L20" i="105" s="1"/>
  <c r="K20" i="105" a="1"/>
  <c r="K20" i="105" s="1"/>
  <c r="J20" i="105" a="1"/>
  <c r="J20" i="105" s="1"/>
  <c r="I20" i="105" a="1"/>
  <c r="I20" i="105" s="1"/>
  <c r="H20" i="105" a="1"/>
  <c r="H20" i="105" s="1"/>
  <c r="G20" i="105" a="1"/>
  <c r="G20" i="105" s="1"/>
  <c r="F20" i="105" a="1"/>
  <c r="F20" i="105" s="1"/>
  <c r="E20" i="105" a="1"/>
  <c r="E20" i="105" s="1"/>
  <c r="D20" i="105" a="1"/>
  <c r="D20" i="105" s="1"/>
  <c r="L19" i="105" a="1"/>
  <c r="L19" i="105" s="1"/>
  <c r="K19" i="105" a="1"/>
  <c r="K19" i="105" s="1"/>
  <c r="J19" i="105" a="1"/>
  <c r="J19" i="105" s="1"/>
  <c r="I19" i="105" a="1"/>
  <c r="I19" i="105" s="1"/>
  <c r="H19" i="105" a="1"/>
  <c r="H19" i="105" s="1"/>
  <c r="G19" i="105" a="1"/>
  <c r="G19" i="105" s="1"/>
  <c r="F19" i="105" a="1"/>
  <c r="F19" i="105" s="1"/>
  <c r="E19" i="105" a="1"/>
  <c r="E19" i="105" s="1"/>
  <c r="D19" i="105" a="1"/>
  <c r="D19" i="105" s="1"/>
  <c r="L18" i="105" a="1"/>
  <c r="L18" i="105" s="1"/>
  <c r="K18" i="105" a="1"/>
  <c r="K18" i="105" s="1"/>
  <c r="J18" i="105" a="1"/>
  <c r="J18" i="105" s="1"/>
  <c r="I18" i="105" a="1"/>
  <c r="I18" i="105" s="1"/>
  <c r="H18" i="105" a="1"/>
  <c r="H18" i="105" s="1"/>
  <c r="G18" i="105" a="1"/>
  <c r="G18" i="105" s="1"/>
  <c r="F18" i="105" a="1"/>
  <c r="F18" i="105" s="1"/>
  <c r="E18" i="105" a="1"/>
  <c r="E18" i="105" s="1"/>
  <c r="D18" i="105" a="1"/>
  <c r="D18" i="105" s="1"/>
  <c r="L17" i="105" a="1"/>
  <c r="L17" i="105" s="1"/>
  <c r="K17" i="105" a="1"/>
  <c r="K17" i="105" s="1"/>
  <c r="J17" i="105" a="1"/>
  <c r="J17" i="105" s="1"/>
  <c r="I17" i="105" a="1"/>
  <c r="I17" i="105" s="1"/>
  <c r="H17" i="105" a="1"/>
  <c r="H17" i="105" s="1"/>
  <c r="G17" i="105" a="1"/>
  <c r="G17" i="105" s="1"/>
  <c r="F17" i="105" a="1"/>
  <c r="F17" i="105" s="1"/>
  <c r="E17" i="105" a="1"/>
  <c r="E17" i="105" s="1"/>
  <c r="E32" i="103" s="1"/>
  <c r="D17" i="105" a="1"/>
  <c r="D17" i="105" s="1"/>
  <c r="L16" i="105" a="1"/>
  <c r="L16" i="105" s="1"/>
  <c r="K16" i="105" a="1"/>
  <c r="K16" i="105" s="1"/>
  <c r="J16" i="105" a="1"/>
  <c r="J16" i="105" s="1"/>
  <c r="I16" i="105" a="1"/>
  <c r="I16" i="105" s="1"/>
  <c r="H16" i="105" a="1"/>
  <c r="H16" i="105" s="1"/>
  <c r="G16" i="105" a="1"/>
  <c r="G16" i="105" s="1"/>
  <c r="F16" i="105" a="1"/>
  <c r="F16" i="105" s="1"/>
  <c r="E16" i="105" a="1"/>
  <c r="E16" i="105" s="1"/>
  <c r="E31" i="103" s="1"/>
  <c r="D16" i="105" a="1"/>
  <c r="D16" i="105" s="1"/>
  <c r="L15" i="105" a="1"/>
  <c r="L15" i="105" s="1"/>
  <c r="K15" i="105" a="1"/>
  <c r="K15" i="105" s="1"/>
  <c r="J15" i="105" a="1"/>
  <c r="J15" i="105" s="1"/>
  <c r="I15" i="105" a="1"/>
  <c r="I15" i="105" s="1"/>
  <c r="H15" i="105" a="1"/>
  <c r="H15" i="105" s="1"/>
  <c r="G15" i="105" a="1"/>
  <c r="G15" i="105" s="1"/>
  <c r="F15" i="105" a="1"/>
  <c r="F15" i="105" s="1"/>
  <c r="E15" i="105" a="1"/>
  <c r="E15" i="105" s="1"/>
  <c r="E30" i="103" s="1"/>
  <c r="D15" i="105" a="1"/>
  <c r="D15" i="105" s="1"/>
  <c r="L14" i="105" a="1"/>
  <c r="L14" i="105" s="1"/>
  <c r="K14" i="105" a="1"/>
  <c r="K14" i="105" s="1"/>
  <c r="J14" i="105" a="1"/>
  <c r="J14" i="105" s="1"/>
  <c r="I14" i="105" a="1"/>
  <c r="I14" i="105" s="1"/>
  <c r="H14" i="105" a="1"/>
  <c r="H14" i="105" s="1"/>
  <c r="G14" i="105" a="1"/>
  <c r="G14" i="105" s="1"/>
  <c r="F14" i="105" a="1"/>
  <c r="F14" i="105" s="1"/>
  <c r="E14" i="105" a="1"/>
  <c r="E14" i="105" s="1"/>
  <c r="E29" i="103" s="1"/>
  <c r="D14" i="105" a="1"/>
  <c r="D14" i="105" s="1"/>
  <c r="L13" i="105" a="1"/>
  <c r="L13" i="105" s="1"/>
  <c r="K13" i="105" a="1"/>
  <c r="K13" i="105" s="1"/>
  <c r="J13" i="105" a="1"/>
  <c r="J13" i="105" s="1"/>
  <c r="I13" i="105" a="1"/>
  <c r="I13" i="105" s="1"/>
  <c r="H13" i="105" a="1"/>
  <c r="H13" i="105" s="1"/>
  <c r="G13" i="105" a="1"/>
  <c r="G13" i="105" s="1"/>
  <c r="F13" i="105" a="1"/>
  <c r="F13" i="105" s="1"/>
  <c r="E13" i="105" a="1"/>
  <c r="E13" i="105" s="1"/>
  <c r="E28" i="103" s="1"/>
  <c r="D13" i="105" a="1"/>
  <c r="D13" i="105" s="1"/>
  <c r="L12" i="105" a="1"/>
  <c r="L12" i="105" s="1"/>
  <c r="K12" i="105" a="1"/>
  <c r="K12" i="105" s="1"/>
  <c r="J12" i="105" a="1"/>
  <c r="J12" i="105" s="1"/>
  <c r="I12" i="105" a="1"/>
  <c r="I12" i="105" s="1"/>
  <c r="H12" i="105" a="1"/>
  <c r="H12" i="105" s="1"/>
  <c r="G12" i="105" a="1"/>
  <c r="G12" i="105" s="1"/>
  <c r="F12" i="105" a="1"/>
  <c r="F12" i="105" s="1"/>
  <c r="E12" i="105" a="1"/>
  <c r="E12" i="105" s="1"/>
  <c r="E27" i="103" s="1"/>
  <c r="D12" i="105" a="1"/>
  <c r="D12" i="105" s="1"/>
  <c r="L11" i="105" a="1"/>
  <c r="L11" i="105" s="1"/>
  <c r="K11" i="105" a="1"/>
  <c r="K11" i="105" s="1"/>
  <c r="J11" i="105" a="1"/>
  <c r="J11" i="105" s="1"/>
  <c r="I11" i="105" a="1"/>
  <c r="I11" i="105" s="1"/>
  <c r="H11" i="105" a="1"/>
  <c r="H11" i="105" s="1"/>
  <c r="G11" i="105" a="1"/>
  <c r="G11" i="105" s="1"/>
  <c r="F11" i="105" a="1"/>
  <c r="F11" i="105" s="1"/>
  <c r="E11" i="105" a="1"/>
  <c r="E11" i="105" s="1"/>
  <c r="E33" i="103" s="1"/>
  <c r="D11" i="105" a="1"/>
  <c r="D11" i="105" s="1"/>
  <c r="L10" i="105" a="1"/>
  <c r="L10" i="105" s="1"/>
  <c r="K10" i="105" a="1"/>
  <c r="K10" i="105" s="1"/>
  <c r="J10" i="105" a="1"/>
  <c r="J10" i="105" s="1"/>
  <c r="I10" i="105" a="1"/>
  <c r="I10" i="105" s="1"/>
  <c r="H10" i="105" a="1"/>
  <c r="H10" i="105" s="1"/>
  <c r="G10" i="105" a="1"/>
  <c r="G10" i="105" s="1"/>
  <c r="F10" i="105" a="1"/>
  <c r="F10" i="105" s="1"/>
  <c r="E10" i="105" a="1"/>
  <c r="E10" i="105" s="1"/>
  <c r="D10" i="105" a="1"/>
  <c r="D10" i="105" s="1"/>
  <c r="D8" i="105" a="1"/>
  <c r="D8" i="105" s="1"/>
  <c r="D7" i="105" a="1"/>
  <c r="D7" i="105" s="1"/>
  <c r="D6" i="105" a="1"/>
  <c r="D6" i="105" s="1"/>
  <c r="D5" i="105" a="1"/>
  <c r="D5" i="105" s="1"/>
  <c r="D38" i="104"/>
  <c r="D37" i="104"/>
  <c r="D35" i="104"/>
  <c r="D34" i="104"/>
  <c r="D33" i="104"/>
  <c r="D36" i="104"/>
  <c r="D31" i="104"/>
  <c r="D30" i="104"/>
  <c r="D28" i="104"/>
  <c r="D27" i="104"/>
  <c r="D26" i="104"/>
  <c r="D29" i="104"/>
  <c r="P18" i="104"/>
  <c r="P17" i="104"/>
  <c r="P16" i="104" a="1"/>
  <c r="P16" i="104" s="1"/>
  <c r="I16" i="104" a="1"/>
  <c r="I16" i="104" s="1"/>
  <c r="P15" i="104" a="1"/>
  <c r="P15" i="104" s="1"/>
  <c r="I15" i="104" a="1"/>
  <c r="I15" i="104" s="1"/>
  <c r="P14" i="104" a="1"/>
  <c r="P14" i="104" s="1"/>
  <c r="N14" i="104" a="1"/>
  <c r="N14" i="104" s="1"/>
  <c r="K14" i="104" a="1"/>
  <c r="K14" i="104" s="1"/>
  <c r="I14" i="104" a="1"/>
  <c r="I14" i="104" s="1"/>
  <c r="G14" i="104" a="1"/>
  <c r="G14" i="104" s="1"/>
  <c r="D14" i="104" a="1"/>
  <c r="D14" i="104" s="1"/>
  <c r="L12" i="104" a="1"/>
  <c r="L12" i="104" s="1"/>
  <c r="E12" i="104" a="1"/>
  <c r="E12" i="104" s="1"/>
  <c r="L11" i="104" a="1"/>
  <c r="L11" i="104" s="1"/>
  <c r="E11" i="104" a="1"/>
  <c r="E11" i="104" s="1"/>
  <c r="K7" i="104" a="1"/>
  <c r="K7" i="104" s="1"/>
  <c r="K6" i="104" a="1"/>
  <c r="K6" i="104" s="1"/>
  <c r="D6" i="104" a="1"/>
  <c r="D6" i="104" s="1"/>
  <c r="K5" i="104" a="1"/>
  <c r="K5" i="104" s="1"/>
  <c r="D5" i="104" a="1"/>
  <c r="D5" i="104" s="1"/>
  <c r="D38" i="103"/>
  <c r="D60" i="103"/>
  <c r="D35" i="103"/>
  <c r="D48" i="103"/>
  <c r="D32" i="103"/>
  <c r="D30" i="103"/>
  <c r="D29" i="103"/>
  <c r="D28" i="103"/>
  <c r="D27" i="103"/>
  <c r="D26" i="103"/>
  <c r="D42" i="103"/>
  <c r="P16" i="103" a="1"/>
  <c r="P16" i="103" s="1"/>
  <c r="I16" i="103" a="1"/>
  <c r="I16" i="103" s="1"/>
  <c r="P15" i="103" a="1"/>
  <c r="P15" i="103" s="1"/>
  <c r="I15" i="103" a="1"/>
  <c r="I15" i="103" s="1"/>
  <c r="P14" i="103" a="1"/>
  <c r="P14" i="103" s="1"/>
  <c r="N14" i="103" a="1"/>
  <c r="N14" i="103" s="1"/>
  <c r="K14" i="103" a="1"/>
  <c r="K14" i="103" s="1"/>
  <c r="I14" i="103" a="1"/>
  <c r="I14" i="103" s="1"/>
  <c r="G14" i="103" a="1"/>
  <c r="G14" i="103" s="1"/>
  <c r="D14" i="103" a="1"/>
  <c r="D14" i="103" s="1"/>
  <c r="L12" i="103" a="1"/>
  <c r="L12" i="103" s="1"/>
  <c r="E12" i="103" a="1"/>
  <c r="E12" i="103" s="1"/>
  <c r="F70" i="103" s="1"/>
  <c r="L11" i="103" a="1"/>
  <c r="L11" i="103" s="1"/>
  <c r="E11" i="103" a="1"/>
  <c r="E11" i="103" s="1"/>
  <c r="K6" i="103" a="1"/>
  <c r="K6" i="103" s="1"/>
  <c r="D6" i="103" a="1"/>
  <c r="D6" i="103" s="1"/>
  <c r="K5" i="103" a="1"/>
  <c r="K5" i="103" s="1"/>
  <c r="D5" i="103" a="1"/>
  <c r="D5" i="103" s="1"/>
  <c r="H21" i="102"/>
  <c r="H20" i="102"/>
  <c r="H19" i="102"/>
  <c r="H18" i="102"/>
  <c r="H17" i="102"/>
  <c r="H25" i="101" a="1"/>
  <c r="H25" i="101" s="1"/>
  <c r="G25" i="101" a="1"/>
  <c r="G25" i="101" s="1"/>
  <c r="I552" i="117" s="1" a="1"/>
  <c r="I552" i="117" s="1"/>
  <c r="F25" i="101" a="1"/>
  <c r="F25" i="101" s="1"/>
  <c r="E25" i="101" a="1"/>
  <c r="E25" i="101" s="1"/>
  <c r="J36" i="100" s="1" a="1"/>
  <c r="J36" i="100" s="1"/>
  <c r="D25" i="101" a="1"/>
  <c r="D25" i="101" s="1"/>
  <c r="D22" i="101" a="1"/>
  <c r="D22" i="101" s="1"/>
  <c r="D21" i="101" a="1"/>
  <c r="D21" i="101" s="1"/>
  <c r="F19" i="101" a="1"/>
  <c r="F19" i="101" s="1"/>
  <c r="E19" i="101" a="1"/>
  <c r="E19" i="101" s="1"/>
  <c r="D19" i="101" a="1"/>
  <c r="D19" i="101" s="1"/>
  <c r="F18" i="101" a="1"/>
  <c r="F18" i="101" s="1"/>
  <c r="E18" i="101" a="1"/>
  <c r="E18" i="101" s="1"/>
  <c r="D18" i="101" a="1"/>
  <c r="D18" i="101" s="1"/>
  <c r="F17" i="101" a="1"/>
  <c r="F17" i="101" s="1"/>
  <c r="E17" i="101" a="1"/>
  <c r="E17" i="101" s="1"/>
  <c r="D17" i="101" a="1"/>
  <c r="D17" i="101" s="1"/>
  <c r="F16" i="101" a="1"/>
  <c r="F16" i="101" s="1"/>
  <c r="E16" i="101" a="1"/>
  <c r="E16" i="101" s="1"/>
  <c r="D16" i="101" a="1"/>
  <c r="D16" i="101" s="1"/>
  <c r="F15" i="101" a="1"/>
  <c r="F15" i="101" s="1"/>
  <c r="E15" i="101" a="1"/>
  <c r="E15" i="101" s="1"/>
  <c r="D15" i="101" a="1"/>
  <c r="D15" i="101" s="1"/>
  <c r="F14" i="101" a="1"/>
  <c r="F14" i="101" s="1"/>
  <c r="E14" i="101" a="1"/>
  <c r="E14" i="101" s="1"/>
  <c r="D14" i="101" a="1"/>
  <c r="D14" i="101" s="1"/>
  <c r="F13" i="101" a="1"/>
  <c r="F13" i="101" s="1"/>
  <c r="E13" i="101" a="1"/>
  <c r="E13" i="101" s="1"/>
  <c r="D13" i="101" a="1"/>
  <c r="D13" i="101" s="1"/>
  <c r="F12" i="101" a="1"/>
  <c r="F12" i="101" s="1"/>
  <c r="E12" i="101" a="1"/>
  <c r="E12" i="101" s="1"/>
  <c r="D12" i="101" a="1"/>
  <c r="D12" i="101" s="1"/>
  <c r="F11" i="101" a="1"/>
  <c r="F11" i="101" s="1"/>
  <c r="E11" i="101" a="1"/>
  <c r="E11" i="101" s="1"/>
  <c r="D11" i="101" a="1"/>
  <c r="D11" i="101" s="1"/>
  <c r="F10" i="101" a="1"/>
  <c r="F10" i="101" s="1"/>
  <c r="E10" i="101" a="1"/>
  <c r="E10" i="101" s="1"/>
  <c r="D10" i="101" a="1"/>
  <c r="D10" i="101" s="1"/>
  <c r="D7" i="101" a="1"/>
  <c r="D7" i="101" s="1"/>
  <c r="D6" i="101" a="1"/>
  <c r="D6" i="101" s="1"/>
  <c r="D5" i="101" a="1"/>
  <c r="D5" i="101" s="1"/>
  <c r="J37" i="100"/>
  <c r="J33" i="100" s="1"/>
  <c r="J32" i="100"/>
  <c r="J31" i="100"/>
  <c r="H31" i="100" a="1"/>
  <c r="H31" i="100" s="1"/>
  <c r="D31" i="100" a="1"/>
  <c r="D31" i="100" s="1"/>
  <c r="E29" i="100" a="1"/>
  <c r="E29" i="100" s="1"/>
  <c r="F39" i="100" s="1"/>
  <c r="E28" i="100" a="1"/>
  <c r="E28" i="100" s="1"/>
  <c r="D24" i="100" a="1"/>
  <c r="D24" i="100" s="1"/>
  <c r="D23" i="100" a="1"/>
  <c r="D23" i="100" s="1"/>
  <c r="D22" i="100" a="1"/>
  <c r="D22" i="100" s="1"/>
  <c r="I16" i="100"/>
  <c r="I14" i="100"/>
  <c r="G14" i="100" a="1"/>
  <c r="G14" i="100" s="1"/>
  <c r="D14" i="100" a="1"/>
  <c r="D14" i="100" s="1"/>
  <c r="E12" i="100" a="1"/>
  <c r="E12" i="100" s="1"/>
  <c r="F18" i="100" s="1"/>
  <c r="E11" i="100" a="1"/>
  <c r="E11" i="100" s="1"/>
  <c r="D7" i="100" a="1"/>
  <c r="D7" i="100" s="1"/>
  <c r="D6" i="100" a="1"/>
  <c r="D6" i="100" s="1"/>
  <c r="D5" i="100" a="1"/>
  <c r="D5" i="100" s="1"/>
  <c r="H48" i="99"/>
  <c r="E48" i="99"/>
  <c r="H47" i="99"/>
  <c r="E47" i="99"/>
  <c r="H46" i="99"/>
  <c r="E46" i="99"/>
  <c r="H39" i="99"/>
  <c r="H38" i="99"/>
  <c r="H37" i="99"/>
  <c r="E29" i="99"/>
  <c r="E16" i="99"/>
  <c r="E22" i="99" s="1"/>
  <c r="E6" i="99"/>
  <c r="AE153" i="98" a="1"/>
  <c r="AE153" i="98" s="1"/>
  <c r="AD153" i="98" a="1"/>
  <c r="AD153" i="98" s="1"/>
  <c r="AC153" i="98" a="1"/>
  <c r="AC153" i="98" s="1"/>
  <c r="AB153" i="98" a="1"/>
  <c r="AB153" i="98" s="1"/>
  <c r="AA153" i="98" a="1"/>
  <c r="AA153" i="98" s="1"/>
  <c r="Z153" i="98" a="1"/>
  <c r="Z153" i="98" s="1"/>
  <c r="Y153" i="98" a="1"/>
  <c r="Y153" i="98" s="1"/>
  <c r="X153" i="98" a="1"/>
  <c r="X153" i="98" s="1"/>
  <c r="W153" i="98" a="1"/>
  <c r="W153" i="98" s="1"/>
  <c r="V153" i="98" a="1"/>
  <c r="V153" i="98" s="1"/>
  <c r="U153" i="98" a="1"/>
  <c r="U153" i="98" s="1"/>
  <c r="T153" i="98" a="1"/>
  <c r="T153" i="98" s="1"/>
  <c r="S153" i="98" a="1"/>
  <c r="S153" i="98" s="1"/>
  <c r="R153" i="98" a="1"/>
  <c r="R153" i="98" s="1"/>
  <c r="Q153" i="98" a="1"/>
  <c r="Q153" i="98" s="1"/>
  <c r="P153" i="98" a="1"/>
  <c r="P153" i="98" s="1"/>
  <c r="O153" i="98" a="1"/>
  <c r="O153" i="98" s="1"/>
  <c r="N153" i="98" a="1"/>
  <c r="N153" i="98" s="1"/>
  <c r="M153" i="98" a="1"/>
  <c r="M153" i="98" s="1"/>
  <c r="L153" i="98" a="1"/>
  <c r="L153" i="98" s="1"/>
  <c r="K153" i="98" a="1"/>
  <c r="K153" i="98" s="1"/>
  <c r="J153" i="98" a="1"/>
  <c r="J153" i="98" s="1"/>
  <c r="I153" i="98" a="1"/>
  <c r="I153" i="98" s="1"/>
  <c r="H153" i="98" a="1"/>
  <c r="H153" i="98" s="1"/>
  <c r="G153" i="98" a="1"/>
  <c r="G153" i="98" s="1"/>
  <c r="F153" i="98" a="1"/>
  <c r="F153" i="98" s="1"/>
  <c r="E153" i="98" a="1"/>
  <c r="E153" i="98" s="1"/>
  <c r="D153" i="98" a="1"/>
  <c r="D153" i="98" s="1"/>
  <c r="AE152" i="98" a="1"/>
  <c r="AE152" i="98" s="1"/>
  <c r="AD152" i="98" a="1"/>
  <c r="AD152" i="98" s="1"/>
  <c r="AC152" i="98" a="1"/>
  <c r="AC152" i="98" s="1"/>
  <c r="AB152" i="98" a="1"/>
  <c r="AB152" i="98" s="1"/>
  <c r="AA152" i="98" a="1"/>
  <c r="AA152" i="98" s="1"/>
  <c r="Z152" i="98" a="1"/>
  <c r="Z152" i="98" s="1"/>
  <c r="Y152" i="98" a="1"/>
  <c r="Y152" i="98" s="1"/>
  <c r="X152" i="98" a="1"/>
  <c r="X152" i="98" s="1"/>
  <c r="W152" i="98" a="1"/>
  <c r="W152" i="98" s="1"/>
  <c r="V152" i="98" a="1"/>
  <c r="V152" i="98" s="1"/>
  <c r="U152" i="98" a="1"/>
  <c r="U152" i="98" s="1"/>
  <c r="T152" i="98" a="1"/>
  <c r="T152" i="98" s="1"/>
  <c r="S152" i="98" a="1"/>
  <c r="S152" i="98" s="1"/>
  <c r="R152" i="98" a="1"/>
  <c r="R152" i="98" s="1"/>
  <c r="Q152" i="98" a="1"/>
  <c r="Q152" i="98" s="1"/>
  <c r="P152" i="98" a="1"/>
  <c r="P152" i="98" s="1"/>
  <c r="O152" i="98" a="1"/>
  <c r="O152" i="98" s="1"/>
  <c r="N152" i="98" a="1"/>
  <c r="N152" i="98" s="1"/>
  <c r="M152" i="98" a="1"/>
  <c r="M152" i="98" s="1"/>
  <c r="L152" i="98" a="1"/>
  <c r="L152" i="98" s="1"/>
  <c r="K152" i="98" a="1"/>
  <c r="K152" i="98" s="1"/>
  <c r="J152" i="98" a="1"/>
  <c r="J152" i="98" s="1"/>
  <c r="I152" i="98" a="1"/>
  <c r="I152" i="98" s="1"/>
  <c r="H152" i="98" a="1"/>
  <c r="H152" i="98" s="1"/>
  <c r="G152" i="98" a="1"/>
  <c r="G152" i="98" s="1"/>
  <c r="F152" i="98" a="1"/>
  <c r="F152" i="98" s="1"/>
  <c r="E152" i="98" a="1"/>
  <c r="E152" i="98" s="1"/>
  <c r="D152" i="98" a="1"/>
  <c r="D152" i="98" s="1"/>
  <c r="AE151" i="98" a="1"/>
  <c r="AE151" i="98" s="1"/>
  <c r="AD151" i="98" a="1"/>
  <c r="AD151" i="98" s="1"/>
  <c r="AC151" i="98" a="1"/>
  <c r="AC151" i="98" s="1"/>
  <c r="AB151" i="98" a="1"/>
  <c r="AB151" i="98" s="1"/>
  <c r="AA151" i="98" a="1"/>
  <c r="AA151" i="98" s="1"/>
  <c r="Z151" i="98" a="1"/>
  <c r="Z151" i="98" s="1"/>
  <c r="Y151" i="98" a="1"/>
  <c r="Y151" i="98" s="1"/>
  <c r="X151" i="98" a="1"/>
  <c r="X151" i="98" s="1"/>
  <c r="W151" i="98" a="1"/>
  <c r="W151" i="98" s="1"/>
  <c r="V151" i="98" a="1"/>
  <c r="V151" i="98" s="1"/>
  <c r="U151" i="98" a="1"/>
  <c r="U151" i="98" s="1"/>
  <c r="T151" i="98" a="1"/>
  <c r="T151" i="98" s="1"/>
  <c r="S151" i="98" a="1"/>
  <c r="S151" i="98" s="1"/>
  <c r="R151" i="98" a="1"/>
  <c r="R151" i="98" s="1"/>
  <c r="Q151" i="98" a="1"/>
  <c r="Q151" i="98" s="1"/>
  <c r="P151" i="98" a="1"/>
  <c r="P151" i="98" s="1"/>
  <c r="O151" i="98" a="1"/>
  <c r="O151" i="98" s="1"/>
  <c r="N151" i="98" a="1"/>
  <c r="N151" i="98" s="1"/>
  <c r="M151" i="98" a="1"/>
  <c r="M151" i="98" s="1"/>
  <c r="L151" i="98" a="1"/>
  <c r="L151" i="98" s="1"/>
  <c r="K151" i="98" a="1"/>
  <c r="K151" i="98" s="1"/>
  <c r="J151" i="98" a="1"/>
  <c r="J151" i="98" s="1"/>
  <c r="I151" i="98" a="1"/>
  <c r="I151" i="98" s="1"/>
  <c r="H151" i="98" a="1"/>
  <c r="H151" i="98" s="1"/>
  <c r="G151" i="98" a="1"/>
  <c r="G151" i="98" s="1"/>
  <c r="F151" i="98" a="1"/>
  <c r="F151" i="98" s="1"/>
  <c r="E151" i="98" a="1"/>
  <c r="E151" i="98" s="1"/>
  <c r="D151" i="98" a="1"/>
  <c r="D151" i="98" s="1"/>
  <c r="AE150" i="98" a="1"/>
  <c r="AE150" i="98" s="1"/>
  <c r="AD150" i="98" a="1"/>
  <c r="AD150" i="98" s="1"/>
  <c r="AC150" i="98" a="1"/>
  <c r="AC150" i="98" s="1"/>
  <c r="AB150" i="98" a="1"/>
  <c r="AB150" i="98" s="1"/>
  <c r="AA150" i="98" a="1"/>
  <c r="AA150" i="98" s="1"/>
  <c r="Z150" i="98" a="1"/>
  <c r="Z150" i="98" s="1"/>
  <c r="Y150" i="98" a="1"/>
  <c r="Y150" i="98" s="1"/>
  <c r="X150" i="98" a="1"/>
  <c r="X150" i="98" s="1"/>
  <c r="W150" i="98" a="1"/>
  <c r="W150" i="98" s="1"/>
  <c r="V150" i="98" a="1"/>
  <c r="V150" i="98" s="1"/>
  <c r="U150" i="98" a="1"/>
  <c r="U150" i="98" s="1"/>
  <c r="T150" i="98" a="1"/>
  <c r="T150" i="98" s="1"/>
  <c r="S150" i="98" a="1"/>
  <c r="S150" i="98" s="1"/>
  <c r="R150" i="98" a="1"/>
  <c r="R150" i="98" s="1"/>
  <c r="Q150" i="98" a="1"/>
  <c r="Q150" i="98" s="1"/>
  <c r="P150" i="98" a="1"/>
  <c r="P150" i="98" s="1"/>
  <c r="O150" i="98" a="1"/>
  <c r="O150" i="98" s="1"/>
  <c r="N150" i="98" a="1"/>
  <c r="N150" i="98" s="1"/>
  <c r="M150" i="98" a="1"/>
  <c r="M150" i="98" s="1"/>
  <c r="L150" i="98" a="1"/>
  <c r="L150" i="98" s="1"/>
  <c r="K150" i="98" a="1"/>
  <c r="K150" i="98" s="1"/>
  <c r="J150" i="98" a="1"/>
  <c r="J150" i="98" s="1"/>
  <c r="I150" i="98" a="1"/>
  <c r="I150" i="98" s="1"/>
  <c r="H150" i="98" a="1"/>
  <c r="H150" i="98" s="1"/>
  <c r="G150" i="98" a="1"/>
  <c r="G150" i="98" s="1"/>
  <c r="F150" i="98" a="1"/>
  <c r="F150" i="98" s="1"/>
  <c r="E150" i="98" a="1"/>
  <c r="E150" i="98" s="1"/>
  <c r="D150" i="98" a="1"/>
  <c r="D150" i="98" s="1"/>
  <c r="AE149" i="98" a="1"/>
  <c r="AE149" i="98" s="1"/>
  <c r="AD149" i="98" a="1"/>
  <c r="AD149" i="98" s="1"/>
  <c r="AC149" i="98" a="1"/>
  <c r="AC149" i="98" s="1"/>
  <c r="AB149" i="98" a="1"/>
  <c r="AB149" i="98" s="1"/>
  <c r="AA149" i="98" a="1"/>
  <c r="AA149" i="98" s="1"/>
  <c r="Z149" i="98" a="1"/>
  <c r="Z149" i="98" s="1"/>
  <c r="Y149" i="98" a="1"/>
  <c r="Y149" i="98" s="1"/>
  <c r="X149" i="98" a="1"/>
  <c r="X149" i="98" s="1"/>
  <c r="W149" i="98" a="1"/>
  <c r="W149" i="98" s="1"/>
  <c r="V149" i="98" a="1"/>
  <c r="V149" i="98" s="1"/>
  <c r="U149" i="98" a="1"/>
  <c r="U149" i="98" s="1"/>
  <c r="T149" i="98" a="1"/>
  <c r="T149" i="98" s="1"/>
  <c r="S149" i="98" a="1"/>
  <c r="S149" i="98" s="1"/>
  <c r="R149" i="98" a="1"/>
  <c r="R149" i="98" s="1"/>
  <c r="Q149" i="98" a="1"/>
  <c r="Q149" i="98" s="1"/>
  <c r="P149" i="98" a="1"/>
  <c r="P149" i="98" s="1"/>
  <c r="O149" i="98" a="1"/>
  <c r="O149" i="98" s="1"/>
  <c r="N149" i="98" a="1"/>
  <c r="N149" i="98" s="1"/>
  <c r="M149" i="98" a="1"/>
  <c r="M149" i="98" s="1"/>
  <c r="L149" i="98" a="1"/>
  <c r="L149" i="98" s="1"/>
  <c r="K149" i="98" a="1"/>
  <c r="K149" i="98" s="1"/>
  <c r="J149" i="98" a="1"/>
  <c r="J149" i="98" s="1"/>
  <c r="I149" i="98" a="1"/>
  <c r="I149" i="98" s="1"/>
  <c r="H149" i="98" a="1"/>
  <c r="H149" i="98" s="1"/>
  <c r="G149" i="98" a="1"/>
  <c r="G149" i="98" s="1"/>
  <c r="F149" i="98" a="1"/>
  <c r="F149" i="98" s="1"/>
  <c r="E149" i="98" a="1"/>
  <c r="E149" i="98" s="1"/>
  <c r="D149" i="98" a="1"/>
  <c r="D149" i="98" s="1"/>
  <c r="AE148" i="98" a="1"/>
  <c r="AE148" i="98" s="1"/>
  <c r="AD148" i="98" a="1"/>
  <c r="AD148" i="98" s="1"/>
  <c r="AC148" i="98" a="1"/>
  <c r="AC148" i="98" s="1"/>
  <c r="AB148" i="98" a="1"/>
  <c r="AB148" i="98" s="1"/>
  <c r="AA148" i="98" a="1"/>
  <c r="AA148" i="98" s="1"/>
  <c r="Z148" i="98" a="1"/>
  <c r="Z148" i="98" s="1"/>
  <c r="Y148" i="98" a="1"/>
  <c r="Y148" i="98" s="1"/>
  <c r="X148" i="98" a="1"/>
  <c r="X148" i="98" s="1"/>
  <c r="W148" i="98" a="1"/>
  <c r="W148" i="98" s="1"/>
  <c r="V148" i="98" a="1"/>
  <c r="V148" i="98" s="1"/>
  <c r="U148" i="98" a="1"/>
  <c r="U148" i="98" s="1"/>
  <c r="T148" i="98" a="1"/>
  <c r="T148" i="98" s="1"/>
  <c r="S148" i="98" a="1"/>
  <c r="S148" i="98" s="1"/>
  <c r="R148" i="98" a="1"/>
  <c r="R148" i="98" s="1"/>
  <c r="Q148" i="98" a="1"/>
  <c r="Q148" i="98" s="1"/>
  <c r="P148" i="98" a="1"/>
  <c r="P148" i="98" s="1"/>
  <c r="O148" i="98" a="1"/>
  <c r="O148" i="98" s="1"/>
  <c r="N148" i="98" a="1"/>
  <c r="N148" i="98" s="1"/>
  <c r="M148" i="98" a="1"/>
  <c r="M148" i="98" s="1"/>
  <c r="L148" i="98" a="1"/>
  <c r="L148" i="98" s="1"/>
  <c r="K148" i="98" a="1"/>
  <c r="K148" i="98" s="1"/>
  <c r="J148" i="98" a="1"/>
  <c r="J148" i="98" s="1"/>
  <c r="I148" i="98" a="1"/>
  <c r="I148" i="98" s="1"/>
  <c r="H148" i="98" a="1"/>
  <c r="H148" i="98" s="1"/>
  <c r="G148" i="98" a="1"/>
  <c r="G148" i="98" s="1"/>
  <c r="F148" i="98" a="1"/>
  <c r="F148" i="98" s="1"/>
  <c r="E148" i="98" a="1"/>
  <c r="E148" i="98" s="1"/>
  <c r="D148" i="98" a="1"/>
  <c r="D148" i="98" s="1"/>
  <c r="AE147" i="98" a="1"/>
  <c r="AE147" i="98" s="1"/>
  <c r="AD147" i="98" a="1"/>
  <c r="AD147" i="98" s="1"/>
  <c r="AC147" i="98" a="1"/>
  <c r="AC147" i="98" s="1"/>
  <c r="AB147" i="98" a="1"/>
  <c r="AB147" i="98" s="1"/>
  <c r="AA147" i="98" a="1"/>
  <c r="AA147" i="98" s="1"/>
  <c r="Z147" i="98" a="1"/>
  <c r="Z147" i="98" s="1"/>
  <c r="Y147" i="98" a="1"/>
  <c r="Y147" i="98" s="1"/>
  <c r="X147" i="98" a="1"/>
  <c r="X147" i="98" s="1"/>
  <c r="W147" i="98" a="1"/>
  <c r="W147" i="98" s="1"/>
  <c r="V147" i="98" a="1"/>
  <c r="V147" i="98" s="1"/>
  <c r="U147" i="98" a="1"/>
  <c r="U147" i="98" s="1"/>
  <c r="T147" i="98" a="1"/>
  <c r="T147" i="98" s="1"/>
  <c r="S147" i="98" a="1"/>
  <c r="S147" i="98" s="1"/>
  <c r="R147" i="98" a="1"/>
  <c r="R147" i="98" s="1"/>
  <c r="Q147" i="98" a="1"/>
  <c r="Q147" i="98" s="1"/>
  <c r="P147" i="98" a="1"/>
  <c r="P147" i="98" s="1"/>
  <c r="O147" i="98" a="1"/>
  <c r="O147" i="98" s="1"/>
  <c r="N147" i="98" a="1"/>
  <c r="N147" i="98" s="1"/>
  <c r="M147" i="98" a="1"/>
  <c r="M147" i="98" s="1"/>
  <c r="L147" i="98" a="1"/>
  <c r="L147" i="98" s="1"/>
  <c r="K147" i="98" a="1"/>
  <c r="K147" i="98" s="1"/>
  <c r="J147" i="98" a="1"/>
  <c r="J147" i="98" s="1"/>
  <c r="I147" i="98" a="1"/>
  <c r="I147" i="98" s="1"/>
  <c r="H147" i="98" a="1"/>
  <c r="H147" i="98" s="1"/>
  <c r="G147" i="98" a="1"/>
  <c r="G147" i="98" s="1"/>
  <c r="F147" i="98" a="1"/>
  <c r="F147" i="98" s="1"/>
  <c r="E147" i="98" a="1"/>
  <c r="E147" i="98" s="1"/>
  <c r="D147" i="98" a="1"/>
  <c r="D147" i="98" s="1"/>
  <c r="AE146" i="98" a="1"/>
  <c r="AE146" i="98" s="1"/>
  <c r="AD146" i="98" a="1"/>
  <c r="AD146" i="98" s="1"/>
  <c r="AC146" i="98" a="1"/>
  <c r="AC146" i="98" s="1"/>
  <c r="AB146" i="98" a="1"/>
  <c r="AB146" i="98" s="1"/>
  <c r="AA146" i="98" a="1"/>
  <c r="AA146" i="98" s="1"/>
  <c r="Z146" i="98" a="1"/>
  <c r="Z146" i="98" s="1"/>
  <c r="Y146" i="98" a="1"/>
  <c r="Y146" i="98" s="1"/>
  <c r="X146" i="98" a="1"/>
  <c r="X146" i="98" s="1"/>
  <c r="W146" i="98" a="1"/>
  <c r="W146" i="98" s="1"/>
  <c r="V146" i="98" a="1"/>
  <c r="V146" i="98" s="1"/>
  <c r="U146" i="98" a="1"/>
  <c r="U146" i="98" s="1"/>
  <c r="T146" i="98" a="1"/>
  <c r="T146" i="98" s="1"/>
  <c r="S146" i="98" a="1"/>
  <c r="S146" i="98" s="1"/>
  <c r="R146" i="98" a="1"/>
  <c r="R146" i="98" s="1"/>
  <c r="Q146" i="98" a="1"/>
  <c r="Q146" i="98" s="1"/>
  <c r="P146" i="98" a="1"/>
  <c r="P146" i="98" s="1"/>
  <c r="O146" i="98" a="1"/>
  <c r="O146" i="98" s="1"/>
  <c r="N146" i="98" a="1"/>
  <c r="N146" i="98" s="1"/>
  <c r="M146" i="98" a="1"/>
  <c r="M146" i="98" s="1"/>
  <c r="L146" i="98" a="1"/>
  <c r="L146" i="98" s="1"/>
  <c r="K146" i="98" a="1"/>
  <c r="K146" i="98" s="1"/>
  <c r="J146" i="98" a="1"/>
  <c r="J146" i="98" s="1"/>
  <c r="I146" i="98" a="1"/>
  <c r="I146" i="98" s="1"/>
  <c r="H146" i="98" a="1"/>
  <c r="H146" i="98" s="1"/>
  <c r="G146" i="98" a="1"/>
  <c r="G146" i="98" s="1"/>
  <c r="F146" i="98" a="1"/>
  <c r="F146" i="98" s="1"/>
  <c r="E146" i="98" a="1"/>
  <c r="E146" i="98" s="1"/>
  <c r="D146" i="98" a="1"/>
  <c r="D146" i="98" s="1"/>
  <c r="AE145" i="98" a="1"/>
  <c r="AE145" i="98" s="1"/>
  <c r="AD145" i="98" a="1"/>
  <c r="AD145" i="98" s="1"/>
  <c r="AC145" i="98" a="1"/>
  <c r="AC145" i="98" s="1"/>
  <c r="AB145" i="98" a="1"/>
  <c r="AB145" i="98" s="1"/>
  <c r="AA145" i="98" a="1"/>
  <c r="AA145" i="98" s="1"/>
  <c r="Z145" i="98" a="1"/>
  <c r="Z145" i="98" s="1"/>
  <c r="Y145" i="98" a="1"/>
  <c r="Y145" i="98" s="1"/>
  <c r="X145" i="98" a="1"/>
  <c r="X145" i="98" s="1"/>
  <c r="W145" i="98" a="1"/>
  <c r="W145" i="98" s="1"/>
  <c r="V145" i="98" a="1"/>
  <c r="V145" i="98" s="1"/>
  <c r="U145" i="98" a="1"/>
  <c r="U145" i="98" s="1"/>
  <c r="T145" i="98" a="1"/>
  <c r="T145" i="98" s="1"/>
  <c r="S145" i="98" a="1"/>
  <c r="S145" i="98" s="1"/>
  <c r="R145" i="98" a="1"/>
  <c r="R145" i="98" s="1"/>
  <c r="Q145" i="98" a="1"/>
  <c r="Q145" i="98" s="1"/>
  <c r="P145" i="98" a="1"/>
  <c r="P145" i="98" s="1"/>
  <c r="O145" i="98" a="1"/>
  <c r="O145" i="98" s="1"/>
  <c r="N145" i="98" a="1"/>
  <c r="N145" i="98" s="1"/>
  <c r="M145" i="98" a="1"/>
  <c r="M145" i="98" s="1"/>
  <c r="L145" i="98" a="1"/>
  <c r="L145" i="98" s="1"/>
  <c r="K145" i="98" a="1"/>
  <c r="K145" i="98" s="1"/>
  <c r="J145" i="98" a="1"/>
  <c r="J145" i="98" s="1"/>
  <c r="I145" i="98" a="1"/>
  <c r="I145" i="98" s="1"/>
  <c r="H145" i="98" a="1"/>
  <c r="H145" i="98" s="1"/>
  <c r="G145" i="98" a="1"/>
  <c r="G145" i="98" s="1"/>
  <c r="F145" i="98" a="1"/>
  <c r="F145" i="98" s="1"/>
  <c r="E145" i="98" a="1"/>
  <c r="E145" i="98" s="1"/>
  <c r="D145" i="98" a="1"/>
  <c r="D145" i="98" s="1"/>
  <c r="AE144" i="98" a="1"/>
  <c r="AE144" i="98" s="1"/>
  <c r="AD144" i="98" a="1"/>
  <c r="AD144" i="98" s="1"/>
  <c r="AC144" i="98" a="1"/>
  <c r="AC144" i="98" s="1"/>
  <c r="AB144" i="98" a="1"/>
  <c r="AB144" i="98" s="1"/>
  <c r="AA144" i="98" a="1"/>
  <c r="AA144" i="98" s="1"/>
  <c r="Z144" i="98" a="1"/>
  <c r="Z144" i="98" s="1"/>
  <c r="Y144" i="98" a="1"/>
  <c r="Y144" i="98" s="1"/>
  <c r="X144" i="98" a="1"/>
  <c r="X144" i="98" s="1"/>
  <c r="W144" i="98" a="1"/>
  <c r="W144" i="98" s="1"/>
  <c r="V144" i="98" a="1"/>
  <c r="V144" i="98" s="1"/>
  <c r="U144" i="98" a="1"/>
  <c r="U144" i="98" s="1"/>
  <c r="T144" i="98" a="1"/>
  <c r="T144" i="98" s="1"/>
  <c r="S144" i="98" a="1"/>
  <c r="S144" i="98" s="1"/>
  <c r="R144" i="98" a="1"/>
  <c r="R144" i="98" s="1"/>
  <c r="Q144" i="98" a="1"/>
  <c r="Q144" i="98" s="1"/>
  <c r="P144" i="98" a="1"/>
  <c r="P144" i="98" s="1"/>
  <c r="O144" i="98" a="1"/>
  <c r="O144" i="98" s="1"/>
  <c r="N144" i="98" a="1"/>
  <c r="N144" i="98" s="1"/>
  <c r="M144" i="98" a="1"/>
  <c r="M144" i="98" s="1"/>
  <c r="L144" i="98" a="1"/>
  <c r="L144" i="98" s="1"/>
  <c r="K144" i="98" a="1"/>
  <c r="K144" i="98" s="1"/>
  <c r="J144" i="98" a="1"/>
  <c r="J144" i="98" s="1"/>
  <c r="I144" i="98" a="1"/>
  <c r="I144" i="98" s="1"/>
  <c r="H144" i="98" a="1"/>
  <c r="H144" i="98" s="1"/>
  <c r="G144" i="98" a="1"/>
  <c r="G144" i="98" s="1"/>
  <c r="F144" i="98" a="1"/>
  <c r="F144" i="98" s="1"/>
  <c r="E144" i="98" a="1"/>
  <c r="E144" i="98" s="1"/>
  <c r="D144" i="98" a="1"/>
  <c r="D144" i="98" s="1"/>
  <c r="AE143" i="98" a="1"/>
  <c r="AE143" i="98" s="1"/>
  <c r="AD143" i="98" a="1"/>
  <c r="AD143" i="98" s="1"/>
  <c r="AC143" i="98" a="1"/>
  <c r="AC143" i="98" s="1"/>
  <c r="AB143" i="98" a="1"/>
  <c r="AB143" i="98" s="1"/>
  <c r="AA143" i="98" a="1"/>
  <c r="AA143" i="98" s="1"/>
  <c r="Z143" i="98" a="1"/>
  <c r="Z143" i="98" s="1"/>
  <c r="Y143" i="98" a="1"/>
  <c r="Y143" i="98" s="1"/>
  <c r="X143" i="98" a="1"/>
  <c r="X143" i="98" s="1"/>
  <c r="W143" i="98" a="1"/>
  <c r="W143" i="98" s="1"/>
  <c r="V143" i="98" a="1"/>
  <c r="V143" i="98" s="1"/>
  <c r="U143" i="98" a="1"/>
  <c r="U143" i="98" s="1"/>
  <c r="T143" i="98" a="1"/>
  <c r="T143" i="98" s="1"/>
  <c r="S143" i="98" a="1"/>
  <c r="S143" i="98" s="1"/>
  <c r="R143" i="98" a="1"/>
  <c r="R143" i="98" s="1"/>
  <c r="Q143" i="98" a="1"/>
  <c r="Q143" i="98" s="1"/>
  <c r="P143" i="98" a="1"/>
  <c r="P143" i="98" s="1"/>
  <c r="O143" i="98" a="1"/>
  <c r="O143" i="98" s="1"/>
  <c r="N143" i="98" a="1"/>
  <c r="N143" i="98" s="1"/>
  <c r="M143" i="98" a="1"/>
  <c r="M143" i="98" s="1"/>
  <c r="L143" i="98" a="1"/>
  <c r="L143" i="98" s="1"/>
  <c r="K143" i="98" a="1"/>
  <c r="K143" i="98" s="1"/>
  <c r="J143" i="98" a="1"/>
  <c r="J143" i="98" s="1"/>
  <c r="I143" i="98" a="1"/>
  <c r="I143" i="98" s="1"/>
  <c r="H143" i="98" a="1"/>
  <c r="H143" i="98" s="1"/>
  <c r="G143" i="98" a="1"/>
  <c r="G143" i="98" s="1"/>
  <c r="F143" i="98" a="1"/>
  <c r="F143" i="98" s="1"/>
  <c r="E143" i="98" a="1"/>
  <c r="E143" i="98" s="1"/>
  <c r="D143" i="98" a="1"/>
  <c r="D143" i="98" s="1"/>
  <c r="AE142" i="98" a="1"/>
  <c r="AE142" i="98" s="1"/>
  <c r="AD142" i="98" a="1"/>
  <c r="AD142" i="98" s="1"/>
  <c r="AC142" i="98" a="1"/>
  <c r="AC142" i="98" s="1"/>
  <c r="AB142" i="98" a="1"/>
  <c r="AB142" i="98" s="1"/>
  <c r="AA142" i="98" a="1"/>
  <c r="AA142" i="98" s="1"/>
  <c r="Z142" i="98" a="1"/>
  <c r="Z142" i="98" s="1"/>
  <c r="Y142" i="98" a="1"/>
  <c r="Y142" i="98" s="1"/>
  <c r="X142" i="98" a="1"/>
  <c r="X142" i="98" s="1"/>
  <c r="W142" i="98" a="1"/>
  <c r="W142" i="98" s="1"/>
  <c r="V142" i="98" a="1"/>
  <c r="V142" i="98" s="1"/>
  <c r="U142" i="98" a="1"/>
  <c r="U142" i="98" s="1"/>
  <c r="T142" i="98" a="1"/>
  <c r="T142" i="98" s="1"/>
  <c r="S142" i="98" a="1"/>
  <c r="S142" i="98" s="1"/>
  <c r="R142" i="98" a="1"/>
  <c r="R142" i="98" s="1"/>
  <c r="Q142" i="98" a="1"/>
  <c r="Q142" i="98" s="1"/>
  <c r="P142" i="98" a="1"/>
  <c r="P142" i="98" s="1"/>
  <c r="O142" i="98" a="1"/>
  <c r="O142" i="98" s="1"/>
  <c r="N142" i="98" a="1"/>
  <c r="N142" i="98" s="1"/>
  <c r="M142" i="98" a="1"/>
  <c r="M142" i="98" s="1"/>
  <c r="L142" i="98" a="1"/>
  <c r="L142" i="98" s="1"/>
  <c r="K142" i="98" a="1"/>
  <c r="K142" i="98" s="1"/>
  <c r="J142" i="98" a="1"/>
  <c r="J142" i="98" s="1"/>
  <c r="I142" i="98" a="1"/>
  <c r="I142" i="98" s="1"/>
  <c r="H142" i="98" a="1"/>
  <c r="H142" i="98" s="1"/>
  <c r="G142" i="98" a="1"/>
  <c r="G142" i="98" s="1"/>
  <c r="F142" i="98" a="1"/>
  <c r="F142" i="98" s="1"/>
  <c r="E142" i="98" a="1"/>
  <c r="E142" i="98" s="1"/>
  <c r="D142" i="98" a="1"/>
  <c r="D142" i="98" s="1"/>
  <c r="AE141" i="98" a="1"/>
  <c r="AE141" i="98" s="1"/>
  <c r="AD141" i="98" a="1"/>
  <c r="AD141" i="98" s="1"/>
  <c r="AC141" i="98" a="1"/>
  <c r="AC141" i="98" s="1"/>
  <c r="AB141" i="98" a="1"/>
  <c r="AB141" i="98" s="1"/>
  <c r="AA141" i="98" a="1"/>
  <c r="AA141" i="98" s="1"/>
  <c r="Z141" i="98" a="1"/>
  <c r="Z141" i="98" s="1"/>
  <c r="Y141" i="98" a="1"/>
  <c r="Y141" i="98" s="1"/>
  <c r="X141" i="98" a="1"/>
  <c r="X141" i="98" s="1"/>
  <c r="W141" i="98" a="1"/>
  <c r="W141" i="98" s="1"/>
  <c r="V141" i="98" a="1"/>
  <c r="V141" i="98" s="1"/>
  <c r="U141" i="98" a="1"/>
  <c r="U141" i="98" s="1"/>
  <c r="T141" i="98" a="1"/>
  <c r="T141" i="98" s="1"/>
  <c r="S141" i="98" a="1"/>
  <c r="S141" i="98" s="1"/>
  <c r="R141" i="98" a="1"/>
  <c r="R141" i="98" s="1"/>
  <c r="Q141" i="98" a="1"/>
  <c r="Q141" i="98" s="1"/>
  <c r="P141" i="98" a="1"/>
  <c r="P141" i="98" s="1"/>
  <c r="O141" i="98" a="1"/>
  <c r="O141" i="98" s="1"/>
  <c r="N141" i="98" a="1"/>
  <c r="N141" i="98" s="1"/>
  <c r="M141" i="98" a="1"/>
  <c r="M141" i="98" s="1"/>
  <c r="L141" i="98" a="1"/>
  <c r="L141" i="98" s="1"/>
  <c r="K141" i="98" a="1"/>
  <c r="K141" i="98" s="1"/>
  <c r="J141" i="98" a="1"/>
  <c r="J141" i="98" s="1"/>
  <c r="I141" i="98" a="1"/>
  <c r="I141" i="98" s="1"/>
  <c r="H141" i="98" a="1"/>
  <c r="H141" i="98" s="1"/>
  <c r="G141" i="98" a="1"/>
  <c r="G141" i="98" s="1"/>
  <c r="F141" i="98" a="1"/>
  <c r="F141" i="98" s="1"/>
  <c r="E141" i="98" a="1"/>
  <c r="E141" i="98" s="1"/>
  <c r="D141" i="98" a="1"/>
  <c r="D141" i="98" s="1"/>
  <c r="AE140" i="98" a="1"/>
  <c r="AE140" i="98" s="1"/>
  <c r="AD140" i="98" a="1"/>
  <c r="AD140" i="98" s="1"/>
  <c r="AC140" i="98" a="1"/>
  <c r="AC140" i="98" s="1"/>
  <c r="AB140" i="98" a="1"/>
  <c r="AB140" i="98" s="1"/>
  <c r="AA140" i="98" a="1"/>
  <c r="AA140" i="98" s="1"/>
  <c r="Z140" i="98" a="1"/>
  <c r="Z140" i="98" s="1"/>
  <c r="Y140" i="98" a="1"/>
  <c r="Y140" i="98" s="1"/>
  <c r="X140" i="98" a="1"/>
  <c r="X140" i="98" s="1"/>
  <c r="W140" i="98" a="1"/>
  <c r="W140" i="98" s="1"/>
  <c r="V140" i="98" a="1"/>
  <c r="V140" i="98" s="1"/>
  <c r="U140" i="98" a="1"/>
  <c r="U140" i="98" s="1"/>
  <c r="T140" i="98" a="1"/>
  <c r="T140" i="98" s="1"/>
  <c r="S140" i="98" a="1"/>
  <c r="S140" i="98" s="1"/>
  <c r="R140" i="98" a="1"/>
  <c r="R140" i="98" s="1"/>
  <c r="Q140" i="98" a="1"/>
  <c r="Q140" i="98" s="1"/>
  <c r="P140" i="98" a="1"/>
  <c r="P140" i="98" s="1"/>
  <c r="O140" i="98" a="1"/>
  <c r="O140" i="98" s="1"/>
  <c r="N140" i="98" a="1"/>
  <c r="N140" i="98" s="1"/>
  <c r="M140" i="98" a="1"/>
  <c r="M140" i="98" s="1"/>
  <c r="L140" i="98" a="1"/>
  <c r="L140" i="98" s="1"/>
  <c r="K140" i="98" a="1"/>
  <c r="K140" i="98" s="1"/>
  <c r="J140" i="98" a="1"/>
  <c r="J140" i="98" s="1"/>
  <c r="I140" i="98" a="1"/>
  <c r="I140" i="98" s="1"/>
  <c r="H140" i="98" a="1"/>
  <c r="H140" i="98" s="1"/>
  <c r="G140" i="98" a="1"/>
  <c r="G140" i="98" s="1"/>
  <c r="F140" i="98" a="1"/>
  <c r="F140" i="98" s="1"/>
  <c r="E140" i="98" a="1"/>
  <c r="E140" i="98" s="1"/>
  <c r="D140" i="98" a="1"/>
  <c r="D140" i="98" s="1"/>
  <c r="AE139" i="98" a="1"/>
  <c r="AE139" i="98" s="1"/>
  <c r="AD139" i="98" a="1"/>
  <c r="AD139" i="98" s="1"/>
  <c r="AC139" i="98" a="1"/>
  <c r="AC139" i="98" s="1"/>
  <c r="AB139" i="98" a="1"/>
  <c r="AB139" i="98" s="1"/>
  <c r="AA139" i="98" a="1"/>
  <c r="AA139" i="98" s="1"/>
  <c r="Z139" i="98" a="1"/>
  <c r="Z139" i="98" s="1"/>
  <c r="Y139" i="98" a="1"/>
  <c r="Y139" i="98" s="1"/>
  <c r="X139" i="98" a="1"/>
  <c r="X139" i="98" s="1"/>
  <c r="W139" i="98" a="1"/>
  <c r="W139" i="98" s="1"/>
  <c r="V139" i="98" a="1"/>
  <c r="V139" i="98" s="1"/>
  <c r="U139" i="98" a="1"/>
  <c r="U139" i="98" s="1"/>
  <c r="T139" i="98" a="1"/>
  <c r="T139" i="98" s="1"/>
  <c r="S139" i="98" a="1"/>
  <c r="S139" i="98" s="1"/>
  <c r="R139" i="98" a="1"/>
  <c r="R139" i="98" s="1"/>
  <c r="Q139" i="98" a="1"/>
  <c r="Q139" i="98" s="1"/>
  <c r="P139" i="98" a="1"/>
  <c r="P139" i="98" s="1"/>
  <c r="O139" i="98" a="1"/>
  <c r="O139" i="98" s="1"/>
  <c r="N139" i="98" a="1"/>
  <c r="N139" i="98" s="1"/>
  <c r="M139" i="98" a="1"/>
  <c r="M139" i="98" s="1"/>
  <c r="L139" i="98" a="1"/>
  <c r="L139" i="98" s="1"/>
  <c r="K139" i="98" a="1"/>
  <c r="K139" i="98" s="1"/>
  <c r="J139" i="98" a="1"/>
  <c r="J139" i="98" s="1"/>
  <c r="I139" i="98" a="1"/>
  <c r="I139" i="98" s="1"/>
  <c r="H139" i="98" a="1"/>
  <c r="H139" i="98" s="1"/>
  <c r="G139" i="98" a="1"/>
  <c r="G139" i="98" s="1"/>
  <c r="F139" i="98" a="1"/>
  <c r="F139" i="98" s="1"/>
  <c r="E139" i="98" a="1"/>
  <c r="E139" i="98" s="1"/>
  <c r="D139" i="98" a="1"/>
  <c r="D139" i="98" s="1"/>
  <c r="AE138" i="98" a="1"/>
  <c r="AE138" i="98" s="1"/>
  <c r="AD138" i="98" a="1"/>
  <c r="AD138" i="98" s="1"/>
  <c r="AC138" i="98" a="1"/>
  <c r="AC138" i="98" s="1"/>
  <c r="AB138" i="98" a="1"/>
  <c r="AB138" i="98" s="1"/>
  <c r="AA138" i="98" a="1"/>
  <c r="AA138" i="98" s="1"/>
  <c r="Z138" i="98" a="1"/>
  <c r="Z138" i="98" s="1"/>
  <c r="Y138" i="98" a="1"/>
  <c r="Y138" i="98" s="1"/>
  <c r="X138" i="98" a="1"/>
  <c r="X138" i="98" s="1"/>
  <c r="W138" i="98" a="1"/>
  <c r="W138" i="98" s="1"/>
  <c r="V138" i="98" a="1"/>
  <c r="V138" i="98" s="1"/>
  <c r="U138" i="98" a="1"/>
  <c r="U138" i="98" s="1"/>
  <c r="T138" i="98" a="1"/>
  <c r="T138" i="98" s="1"/>
  <c r="S138" i="98" a="1"/>
  <c r="S138" i="98" s="1"/>
  <c r="R138" i="98" a="1"/>
  <c r="R138" i="98" s="1"/>
  <c r="Q138" i="98" a="1"/>
  <c r="Q138" i="98" s="1"/>
  <c r="P138" i="98" a="1"/>
  <c r="P138" i="98" s="1"/>
  <c r="O138" i="98" a="1"/>
  <c r="O138" i="98" s="1"/>
  <c r="N138" i="98" a="1"/>
  <c r="N138" i="98" s="1"/>
  <c r="M138" i="98" a="1"/>
  <c r="M138" i="98" s="1"/>
  <c r="L138" i="98" a="1"/>
  <c r="L138" i="98" s="1"/>
  <c r="K138" i="98" a="1"/>
  <c r="K138" i="98" s="1"/>
  <c r="J138" i="98" a="1"/>
  <c r="J138" i="98" s="1"/>
  <c r="I138" i="98" a="1"/>
  <c r="I138" i="98" s="1"/>
  <c r="H138" i="98" a="1"/>
  <c r="H138" i="98" s="1"/>
  <c r="G138" i="98" a="1"/>
  <c r="G138" i="98" s="1"/>
  <c r="F138" i="98" a="1"/>
  <c r="F138" i="98" s="1"/>
  <c r="E138" i="98" a="1"/>
  <c r="E138" i="98" s="1"/>
  <c r="D138" i="98" a="1"/>
  <c r="D138" i="98" s="1"/>
  <c r="AE137" i="98" a="1"/>
  <c r="AE137" i="98" s="1"/>
  <c r="AD137" i="98" a="1"/>
  <c r="AD137" i="98" s="1"/>
  <c r="AC137" i="98" a="1"/>
  <c r="AC137" i="98" s="1"/>
  <c r="AB137" i="98" a="1"/>
  <c r="AB137" i="98" s="1"/>
  <c r="AA137" i="98" a="1"/>
  <c r="AA137" i="98" s="1"/>
  <c r="Z137" i="98" a="1"/>
  <c r="Z137" i="98" s="1"/>
  <c r="Y137" i="98" a="1"/>
  <c r="Y137" i="98" s="1"/>
  <c r="X137" i="98" a="1"/>
  <c r="X137" i="98" s="1"/>
  <c r="W137" i="98" a="1"/>
  <c r="W137" i="98" s="1"/>
  <c r="V137" i="98" a="1"/>
  <c r="V137" i="98" s="1"/>
  <c r="U137" i="98" a="1"/>
  <c r="U137" i="98" s="1"/>
  <c r="T137" i="98" a="1"/>
  <c r="T137" i="98" s="1"/>
  <c r="S137" i="98" a="1"/>
  <c r="S137" i="98" s="1"/>
  <c r="R137" i="98" a="1"/>
  <c r="R137" i="98" s="1"/>
  <c r="Q137" i="98" a="1"/>
  <c r="Q137" i="98" s="1"/>
  <c r="P137" i="98" a="1"/>
  <c r="P137" i="98" s="1"/>
  <c r="O137" i="98" a="1"/>
  <c r="O137" i="98" s="1"/>
  <c r="N137" i="98" a="1"/>
  <c r="N137" i="98" s="1"/>
  <c r="M137" i="98" a="1"/>
  <c r="M137" i="98" s="1"/>
  <c r="L137" i="98" a="1"/>
  <c r="L137" i="98" s="1"/>
  <c r="K137" i="98" a="1"/>
  <c r="K137" i="98" s="1"/>
  <c r="J137" i="98" a="1"/>
  <c r="J137" i="98" s="1"/>
  <c r="I137" i="98" a="1"/>
  <c r="I137" i="98" s="1"/>
  <c r="H137" i="98" a="1"/>
  <c r="H137" i="98" s="1"/>
  <c r="G137" i="98" a="1"/>
  <c r="G137" i="98" s="1"/>
  <c r="F137" i="98" a="1"/>
  <c r="F137" i="98" s="1"/>
  <c r="E137" i="98" a="1"/>
  <c r="E137" i="98" s="1"/>
  <c r="D137" i="98" a="1"/>
  <c r="D137" i="98" s="1"/>
  <c r="AE136" i="98" a="1"/>
  <c r="AE136" i="98" s="1"/>
  <c r="AD136" i="98" a="1"/>
  <c r="AD136" i="98" s="1"/>
  <c r="AC136" i="98" a="1"/>
  <c r="AC136" i="98" s="1"/>
  <c r="AB136" i="98" a="1"/>
  <c r="AB136" i="98" s="1"/>
  <c r="AA136" i="98" a="1"/>
  <c r="AA136" i="98" s="1"/>
  <c r="Z136" i="98" a="1"/>
  <c r="Z136" i="98" s="1"/>
  <c r="Y136" i="98" a="1"/>
  <c r="Y136" i="98" s="1"/>
  <c r="X136" i="98" a="1"/>
  <c r="X136" i="98" s="1"/>
  <c r="W136" i="98" a="1"/>
  <c r="W136" i="98" s="1"/>
  <c r="V136" i="98" a="1"/>
  <c r="V136" i="98" s="1"/>
  <c r="U136" i="98" a="1"/>
  <c r="U136" i="98" s="1"/>
  <c r="T136" i="98" a="1"/>
  <c r="T136" i="98" s="1"/>
  <c r="S136" i="98" a="1"/>
  <c r="S136" i="98" s="1"/>
  <c r="R136" i="98" a="1"/>
  <c r="R136" i="98" s="1"/>
  <c r="Q136" i="98" a="1"/>
  <c r="Q136" i="98" s="1"/>
  <c r="P136" i="98" a="1"/>
  <c r="P136" i="98" s="1"/>
  <c r="O136" i="98" a="1"/>
  <c r="O136" i="98" s="1"/>
  <c r="N136" i="98" a="1"/>
  <c r="N136" i="98" s="1"/>
  <c r="M136" i="98" a="1"/>
  <c r="M136" i="98" s="1"/>
  <c r="L136" i="98" a="1"/>
  <c r="L136" i="98" s="1"/>
  <c r="K136" i="98" a="1"/>
  <c r="K136" i="98" s="1"/>
  <c r="J136" i="98" a="1"/>
  <c r="J136" i="98" s="1"/>
  <c r="I136" i="98" a="1"/>
  <c r="I136" i="98" s="1"/>
  <c r="H136" i="98" a="1"/>
  <c r="H136" i="98" s="1"/>
  <c r="G136" i="98" a="1"/>
  <c r="G136" i="98" s="1"/>
  <c r="F136" i="98" a="1"/>
  <c r="F136" i="98" s="1"/>
  <c r="E136" i="98" a="1"/>
  <c r="E136" i="98" s="1"/>
  <c r="D136" i="98" a="1"/>
  <c r="D136" i="98" s="1"/>
  <c r="AE135" i="98" a="1"/>
  <c r="AE135" i="98" s="1"/>
  <c r="AD135" i="98" a="1"/>
  <c r="AD135" i="98" s="1"/>
  <c r="AC135" i="98" a="1"/>
  <c r="AC135" i="98" s="1"/>
  <c r="AB135" i="98" a="1"/>
  <c r="AB135" i="98" s="1"/>
  <c r="AA135" i="98" a="1"/>
  <c r="AA135" i="98" s="1"/>
  <c r="Z135" i="98" a="1"/>
  <c r="Z135" i="98" s="1"/>
  <c r="Y135" i="98" a="1"/>
  <c r="Y135" i="98" s="1"/>
  <c r="X135" i="98" a="1"/>
  <c r="X135" i="98" s="1"/>
  <c r="W135" i="98" a="1"/>
  <c r="W135" i="98" s="1"/>
  <c r="V135" i="98" a="1"/>
  <c r="V135" i="98" s="1"/>
  <c r="U135" i="98" a="1"/>
  <c r="U135" i="98" s="1"/>
  <c r="T135" i="98" a="1"/>
  <c r="T135" i="98" s="1"/>
  <c r="S135" i="98" a="1"/>
  <c r="S135" i="98" s="1"/>
  <c r="R135" i="98" a="1"/>
  <c r="R135" i="98" s="1"/>
  <c r="Q135" i="98" a="1"/>
  <c r="Q135" i="98" s="1"/>
  <c r="P135" i="98" a="1"/>
  <c r="P135" i="98" s="1"/>
  <c r="O135" i="98" a="1"/>
  <c r="O135" i="98" s="1"/>
  <c r="N135" i="98" a="1"/>
  <c r="N135" i="98" s="1"/>
  <c r="M135" i="98" a="1"/>
  <c r="M135" i="98" s="1"/>
  <c r="L135" i="98" a="1"/>
  <c r="L135" i="98" s="1"/>
  <c r="K135" i="98" a="1"/>
  <c r="K135" i="98" s="1"/>
  <c r="J135" i="98" a="1"/>
  <c r="J135" i="98" s="1"/>
  <c r="I135" i="98" a="1"/>
  <c r="I135" i="98" s="1"/>
  <c r="H135" i="98" a="1"/>
  <c r="H135" i="98" s="1"/>
  <c r="G135" i="98" a="1"/>
  <c r="G135" i="98" s="1"/>
  <c r="F135" i="98" a="1"/>
  <c r="F135" i="98" s="1"/>
  <c r="E135" i="98" a="1"/>
  <c r="E135" i="98" s="1"/>
  <c r="D135" i="98" a="1"/>
  <c r="D135" i="98" s="1"/>
  <c r="AE134" i="98" a="1"/>
  <c r="AE134" i="98" s="1"/>
  <c r="AD134" i="98" a="1"/>
  <c r="AD134" i="98" s="1"/>
  <c r="AC134" i="98" a="1"/>
  <c r="AC134" i="98" s="1"/>
  <c r="AB134" i="98" a="1"/>
  <c r="AB134" i="98" s="1"/>
  <c r="AA134" i="98" a="1"/>
  <c r="AA134" i="98" s="1"/>
  <c r="Z134" i="98" a="1"/>
  <c r="Z134" i="98" s="1"/>
  <c r="Y134" i="98" a="1"/>
  <c r="Y134" i="98" s="1"/>
  <c r="X134" i="98" a="1"/>
  <c r="X134" i="98" s="1"/>
  <c r="W134" i="98" a="1"/>
  <c r="W134" i="98" s="1"/>
  <c r="V134" i="98" a="1"/>
  <c r="V134" i="98" s="1"/>
  <c r="U134" i="98" a="1"/>
  <c r="U134" i="98" s="1"/>
  <c r="T134" i="98" a="1"/>
  <c r="T134" i="98" s="1"/>
  <c r="S134" i="98" a="1"/>
  <c r="S134" i="98" s="1"/>
  <c r="R134" i="98" a="1"/>
  <c r="R134" i="98" s="1"/>
  <c r="Q134" i="98" a="1"/>
  <c r="Q134" i="98" s="1"/>
  <c r="P134" i="98" a="1"/>
  <c r="P134" i="98" s="1"/>
  <c r="O134" i="98" a="1"/>
  <c r="O134" i="98" s="1"/>
  <c r="N134" i="98" a="1"/>
  <c r="N134" i="98" s="1"/>
  <c r="M134" i="98" a="1"/>
  <c r="M134" i="98" s="1"/>
  <c r="L134" i="98" a="1"/>
  <c r="L134" i="98" s="1"/>
  <c r="K134" i="98" a="1"/>
  <c r="K134" i="98" s="1"/>
  <c r="J134" i="98" a="1"/>
  <c r="J134" i="98" s="1"/>
  <c r="I134" i="98" a="1"/>
  <c r="I134" i="98" s="1"/>
  <c r="H134" i="98" a="1"/>
  <c r="H134" i="98" s="1"/>
  <c r="G134" i="98" a="1"/>
  <c r="G134" i="98" s="1"/>
  <c r="F134" i="98" a="1"/>
  <c r="F134" i="98" s="1"/>
  <c r="E134" i="98" a="1"/>
  <c r="E134" i="98" s="1"/>
  <c r="D134" i="98" a="1"/>
  <c r="D134" i="98" s="1"/>
  <c r="AE133" i="98" a="1"/>
  <c r="AE133" i="98" s="1"/>
  <c r="AD133" i="98" a="1"/>
  <c r="AD133" i="98" s="1"/>
  <c r="AC133" i="98" a="1"/>
  <c r="AC133" i="98" s="1"/>
  <c r="AB133" i="98" a="1"/>
  <c r="AB133" i="98" s="1"/>
  <c r="AA133" i="98" a="1"/>
  <c r="AA133" i="98" s="1"/>
  <c r="Z133" i="98" a="1"/>
  <c r="Z133" i="98" s="1"/>
  <c r="Y133" i="98" a="1"/>
  <c r="Y133" i="98" s="1"/>
  <c r="X133" i="98" a="1"/>
  <c r="X133" i="98" s="1"/>
  <c r="W133" i="98" a="1"/>
  <c r="W133" i="98" s="1"/>
  <c r="V133" i="98" a="1"/>
  <c r="V133" i="98" s="1"/>
  <c r="U133" i="98" a="1"/>
  <c r="U133" i="98" s="1"/>
  <c r="T133" i="98" a="1"/>
  <c r="T133" i="98" s="1"/>
  <c r="S133" i="98" a="1"/>
  <c r="S133" i="98" s="1"/>
  <c r="R133" i="98" a="1"/>
  <c r="R133" i="98" s="1"/>
  <c r="Q133" i="98" a="1"/>
  <c r="Q133" i="98" s="1"/>
  <c r="P133" i="98" a="1"/>
  <c r="P133" i="98" s="1"/>
  <c r="O133" i="98" a="1"/>
  <c r="O133" i="98" s="1"/>
  <c r="N133" i="98" a="1"/>
  <c r="N133" i="98" s="1"/>
  <c r="M133" i="98" a="1"/>
  <c r="M133" i="98" s="1"/>
  <c r="L133" i="98" a="1"/>
  <c r="L133" i="98" s="1"/>
  <c r="K133" i="98" a="1"/>
  <c r="K133" i="98" s="1"/>
  <c r="J133" i="98" a="1"/>
  <c r="J133" i="98" s="1"/>
  <c r="I133" i="98" a="1"/>
  <c r="I133" i="98" s="1"/>
  <c r="H133" i="98" a="1"/>
  <c r="H133" i="98" s="1"/>
  <c r="G133" i="98" a="1"/>
  <c r="G133" i="98" s="1"/>
  <c r="F133" i="98" a="1"/>
  <c r="F133" i="98" s="1"/>
  <c r="E133" i="98" a="1"/>
  <c r="E133" i="98" s="1"/>
  <c r="D133" i="98" a="1"/>
  <c r="D133" i="98" s="1"/>
  <c r="AE132" i="98" a="1"/>
  <c r="AE132" i="98" s="1"/>
  <c r="AD132" i="98" a="1"/>
  <c r="AD132" i="98" s="1"/>
  <c r="AC132" i="98" a="1"/>
  <c r="AC132" i="98" s="1"/>
  <c r="AB132" i="98" a="1"/>
  <c r="AB132" i="98" s="1"/>
  <c r="AA132" i="98" a="1"/>
  <c r="AA132" i="98" s="1"/>
  <c r="Z132" i="98" a="1"/>
  <c r="Z132" i="98" s="1"/>
  <c r="Y132" i="98" a="1"/>
  <c r="Y132" i="98" s="1"/>
  <c r="X132" i="98" a="1"/>
  <c r="X132" i="98" s="1"/>
  <c r="W132" i="98" a="1"/>
  <c r="W132" i="98" s="1"/>
  <c r="V132" i="98" a="1"/>
  <c r="V132" i="98" s="1"/>
  <c r="U132" i="98" a="1"/>
  <c r="U132" i="98" s="1"/>
  <c r="T132" i="98" a="1"/>
  <c r="T132" i="98" s="1"/>
  <c r="S132" i="98" a="1"/>
  <c r="S132" i="98" s="1"/>
  <c r="R132" i="98" a="1"/>
  <c r="R132" i="98" s="1"/>
  <c r="Q132" i="98" a="1"/>
  <c r="Q132" i="98" s="1"/>
  <c r="P132" i="98" a="1"/>
  <c r="P132" i="98" s="1"/>
  <c r="O132" i="98" a="1"/>
  <c r="O132" i="98" s="1"/>
  <c r="N132" i="98" a="1"/>
  <c r="N132" i="98" s="1"/>
  <c r="M132" i="98" a="1"/>
  <c r="M132" i="98" s="1"/>
  <c r="L132" i="98" a="1"/>
  <c r="L132" i="98" s="1"/>
  <c r="K132" i="98" a="1"/>
  <c r="K132" i="98" s="1"/>
  <c r="J132" i="98" a="1"/>
  <c r="J132" i="98" s="1"/>
  <c r="I132" i="98" a="1"/>
  <c r="I132" i="98" s="1"/>
  <c r="H132" i="98" a="1"/>
  <c r="H132" i="98" s="1"/>
  <c r="G132" i="98" a="1"/>
  <c r="G132" i="98" s="1"/>
  <c r="F132" i="98" a="1"/>
  <c r="F132" i="98" s="1"/>
  <c r="E132" i="98" a="1"/>
  <c r="E132" i="98" s="1"/>
  <c r="D132" i="98" a="1"/>
  <c r="D132" i="98" s="1"/>
  <c r="AE131" i="98" a="1"/>
  <c r="AE131" i="98" s="1"/>
  <c r="AD131" i="98" a="1"/>
  <c r="AD131" i="98" s="1"/>
  <c r="AC131" i="98" a="1"/>
  <c r="AC131" i="98" s="1"/>
  <c r="AB131" i="98" a="1"/>
  <c r="AB131" i="98" s="1"/>
  <c r="AA131" i="98" a="1"/>
  <c r="AA131" i="98" s="1"/>
  <c r="Z131" i="98" a="1"/>
  <c r="Z131" i="98" s="1"/>
  <c r="Y131" i="98" a="1"/>
  <c r="Y131" i="98" s="1"/>
  <c r="X131" i="98" a="1"/>
  <c r="X131" i="98" s="1"/>
  <c r="W131" i="98" a="1"/>
  <c r="W131" i="98" s="1"/>
  <c r="V131" i="98" a="1"/>
  <c r="V131" i="98" s="1"/>
  <c r="U131" i="98" a="1"/>
  <c r="U131" i="98" s="1"/>
  <c r="T131" i="98" a="1"/>
  <c r="T131" i="98" s="1"/>
  <c r="S131" i="98" a="1"/>
  <c r="S131" i="98" s="1"/>
  <c r="R131" i="98" a="1"/>
  <c r="R131" i="98" s="1"/>
  <c r="Q131" i="98" a="1"/>
  <c r="Q131" i="98" s="1"/>
  <c r="P131" i="98" a="1"/>
  <c r="P131" i="98" s="1"/>
  <c r="O131" i="98" a="1"/>
  <c r="O131" i="98" s="1"/>
  <c r="N131" i="98" a="1"/>
  <c r="N131" i="98" s="1"/>
  <c r="M131" i="98" a="1"/>
  <c r="M131" i="98" s="1"/>
  <c r="L131" i="98" a="1"/>
  <c r="L131" i="98" s="1"/>
  <c r="K131" i="98" a="1"/>
  <c r="K131" i="98" s="1"/>
  <c r="J131" i="98" a="1"/>
  <c r="J131" i="98" s="1"/>
  <c r="I131" i="98" a="1"/>
  <c r="I131" i="98" s="1"/>
  <c r="H131" i="98" a="1"/>
  <c r="H131" i="98" s="1"/>
  <c r="G131" i="98" a="1"/>
  <c r="G131" i="98" s="1"/>
  <c r="F131" i="98" a="1"/>
  <c r="F131" i="98" s="1"/>
  <c r="E131" i="98" a="1"/>
  <c r="E131" i="98" s="1"/>
  <c r="D131" i="98" a="1"/>
  <c r="D131" i="98" s="1"/>
  <c r="AE130" i="98" a="1"/>
  <c r="AE130" i="98" s="1"/>
  <c r="AD130" i="98" a="1"/>
  <c r="AD130" i="98" s="1"/>
  <c r="AC130" i="98" a="1"/>
  <c r="AC130" i="98" s="1"/>
  <c r="AB130" i="98" a="1"/>
  <c r="AB130" i="98" s="1"/>
  <c r="AA130" i="98" a="1"/>
  <c r="AA130" i="98" s="1"/>
  <c r="Z130" i="98" a="1"/>
  <c r="Z130" i="98" s="1"/>
  <c r="Y130" i="98" a="1"/>
  <c r="Y130" i="98" s="1"/>
  <c r="X130" i="98" a="1"/>
  <c r="X130" i="98" s="1"/>
  <c r="W130" i="98" a="1"/>
  <c r="W130" i="98" s="1"/>
  <c r="V130" i="98" a="1"/>
  <c r="V130" i="98" s="1"/>
  <c r="U130" i="98" a="1"/>
  <c r="U130" i="98" s="1"/>
  <c r="T130" i="98" a="1"/>
  <c r="T130" i="98" s="1"/>
  <c r="S130" i="98" a="1"/>
  <c r="S130" i="98" s="1"/>
  <c r="R130" i="98" a="1"/>
  <c r="R130" i="98" s="1"/>
  <c r="Q130" i="98" a="1"/>
  <c r="Q130" i="98" s="1"/>
  <c r="P130" i="98" a="1"/>
  <c r="P130" i="98" s="1"/>
  <c r="O130" i="98" a="1"/>
  <c r="O130" i="98" s="1"/>
  <c r="N130" i="98" a="1"/>
  <c r="N130" i="98" s="1"/>
  <c r="M130" i="98" a="1"/>
  <c r="M130" i="98" s="1"/>
  <c r="L130" i="98" a="1"/>
  <c r="L130" i="98" s="1"/>
  <c r="K130" i="98" a="1"/>
  <c r="K130" i="98" s="1"/>
  <c r="J130" i="98" a="1"/>
  <c r="J130" i="98" s="1"/>
  <c r="I130" i="98" a="1"/>
  <c r="I130" i="98" s="1"/>
  <c r="H130" i="98" a="1"/>
  <c r="H130" i="98" s="1"/>
  <c r="G130" i="98" a="1"/>
  <c r="G130" i="98" s="1"/>
  <c r="F130" i="98" a="1"/>
  <c r="F130" i="98" s="1"/>
  <c r="E130" i="98" a="1"/>
  <c r="E130" i="98" s="1"/>
  <c r="D130" i="98" a="1"/>
  <c r="D130" i="98" s="1"/>
  <c r="AE129" i="98" a="1"/>
  <c r="AE129" i="98" s="1"/>
  <c r="AD129" i="98" a="1"/>
  <c r="AD129" i="98" s="1"/>
  <c r="AC129" i="98" a="1"/>
  <c r="AC129" i="98" s="1"/>
  <c r="AB129" i="98" a="1"/>
  <c r="AB129" i="98" s="1"/>
  <c r="AA129" i="98" a="1"/>
  <c r="AA129" i="98" s="1"/>
  <c r="Z129" i="98" a="1"/>
  <c r="Z129" i="98" s="1"/>
  <c r="Y129" i="98" a="1"/>
  <c r="Y129" i="98" s="1"/>
  <c r="X129" i="98" a="1"/>
  <c r="X129" i="98" s="1"/>
  <c r="W129" i="98" a="1"/>
  <c r="W129" i="98" s="1"/>
  <c r="V129" i="98" a="1"/>
  <c r="V129" i="98" s="1"/>
  <c r="U129" i="98" a="1"/>
  <c r="U129" i="98" s="1"/>
  <c r="T129" i="98" a="1"/>
  <c r="T129" i="98" s="1"/>
  <c r="S129" i="98" a="1"/>
  <c r="S129" i="98" s="1"/>
  <c r="R129" i="98" a="1"/>
  <c r="R129" i="98" s="1"/>
  <c r="Q129" i="98" a="1"/>
  <c r="Q129" i="98" s="1"/>
  <c r="P129" i="98" a="1"/>
  <c r="P129" i="98" s="1"/>
  <c r="O129" i="98" a="1"/>
  <c r="O129" i="98" s="1"/>
  <c r="N129" i="98" a="1"/>
  <c r="N129" i="98" s="1"/>
  <c r="M129" i="98" a="1"/>
  <c r="M129" i="98" s="1"/>
  <c r="L129" i="98" a="1"/>
  <c r="L129" i="98" s="1"/>
  <c r="K129" i="98" a="1"/>
  <c r="K129" i="98" s="1"/>
  <c r="J129" i="98" a="1"/>
  <c r="J129" i="98" s="1"/>
  <c r="I129" i="98" a="1"/>
  <c r="I129" i="98" s="1"/>
  <c r="H129" i="98" a="1"/>
  <c r="H129" i="98" s="1"/>
  <c r="G129" i="98" a="1"/>
  <c r="G129" i="98" s="1"/>
  <c r="F129" i="98" a="1"/>
  <c r="F129" i="98" s="1"/>
  <c r="E129" i="98" a="1"/>
  <c r="E129" i="98" s="1"/>
  <c r="D129" i="98" a="1"/>
  <c r="D129" i="98" s="1"/>
  <c r="AE128" i="98" a="1"/>
  <c r="AE128" i="98" s="1"/>
  <c r="AD128" i="98" a="1"/>
  <c r="AD128" i="98" s="1"/>
  <c r="AC128" i="98" a="1"/>
  <c r="AC128" i="98" s="1"/>
  <c r="AB128" i="98" a="1"/>
  <c r="AB128" i="98" s="1"/>
  <c r="AA128" i="98" a="1"/>
  <c r="AA128" i="98" s="1"/>
  <c r="Z128" i="98" a="1"/>
  <c r="Z128" i="98" s="1"/>
  <c r="Y128" i="98" a="1"/>
  <c r="Y128" i="98" s="1"/>
  <c r="X128" i="98" a="1"/>
  <c r="X128" i="98" s="1"/>
  <c r="W128" i="98" a="1"/>
  <c r="W128" i="98" s="1"/>
  <c r="V128" i="98" a="1"/>
  <c r="V128" i="98" s="1"/>
  <c r="U128" i="98" a="1"/>
  <c r="U128" i="98" s="1"/>
  <c r="T128" i="98" a="1"/>
  <c r="T128" i="98" s="1"/>
  <c r="S128" i="98" a="1"/>
  <c r="S128" i="98" s="1"/>
  <c r="R128" i="98" a="1"/>
  <c r="R128" i="98" s="1"/>
  <c r="Q128" i="98" a="1"/>
  <c r="Q128" i="98" s="1"/>
  <c r="P128" i="98" a="1"/>
  <c r="P128" i="98" s="1"/>
  <c r="O128" i="98" a="1"/>
  <c r="O128" i="98" s="1"/>
  <c r="N128" i="98" a="1"/>
  <c r="N128" i="98" s="1"/>
  <c r="M128" i="98" a="1"/>
  <c r="M128" i="98" s="1"/>
  <c r="L128" i="98" a="1"/>
  <c r="L128" i="98" s="1"/>
  <c r="K128" i="98" a="1"/>
  <c r="K128" i="98" s="1"/>
  <c r="J128" i="98" a="1"/>
  <c r="J128" i="98" s="1"/>
  <c r="I128" i="98" a="1"/>
  <c r="I128" i="98" s="1"/>
  <c r="H128" i="98" a="1"/>
  <c r="H128" i="98" s="1"/>
  <c r="G128" i="98" a="1"/>
  <c r="G128" i="98" s="1"/>
  <c r="F128" i="98" a="1"/>
  <c r="F128" i="98" s="1"/>
  <c r="E128" i="98" a="1"/>
  <c r="E128" i="98" s="1"/>
  <c r="D128" i="98" a="1"/>
  <c r="D128" i="98" s="1"/>
  <c r="AE127" i="98" a="1"/>
  <c r="AE127" i="98" s="1"/>
  <c r="AD127" i="98" a="1"/>
  <c r="AD127" i="98" s="1"/>
  <c r="AC127" i="98" a="1"/>
  <c r="AC127" i="98" s="1"/>
  <c r="AB127" i="98" a="1"/>
  <c r="AB127" i="98" s="1"/>
  <c r="AA127" i="98" a="1"/>
  <c r="AA127" i="98" s="1"/>
  <c r="Z127" i="98" a="1"/>
  <c r="Z127" i="98" s="1"/>
  <c r="Y127" i="98" a="1"/>
  <c r="Y127" i="98" s="1"/>
  <c r="X127" i="98" a="1"/>
  <c r="X127" i="98" s="1"/>
  <c r="W127" i="98" a="1"/>
  <c r="W127" i="98" s="1"/>
  <c r="V127" i="98" a="1"/>
  <c r="V127" i="98" s="1"/>
  <c r="U127" i="98" a="1"/>
  <c r="U127" i="98" s="1"/>
  <c r="T127" i="98" a="1"/>
  <c r="T127" i="98" s="1"/>
  <c r="S127" i="98" a="1"/>
  <c r="S127" i="98" s="1"/>
  <c r="R127" i="98" a="1"/>
  <c r="R127" i="98" s="1"/>
  <c r="Q127" i="98" a="1"/>
  <c r="Q127" i="98" s="1"/>
  <c r="P127" i="98" a="1"/>
  <c r="P127" i="98" s="1"/>
  <c r="O127" i="98" a="1"/>
  <c r="O127" i="98" s="1"/>
  <c r="N127" i="98" a="1"/>
  <c r="N127" i="98" s="1"/>
  <c r="M127" i="98" a="1"/>
  <c r="M127" i="98" s="1"/>
  <c r="L127" i="98" a="1"/>
  <c r="L127" i="98" s="1"/>
  <c r="K127" i="98" a="1"/>
  <c r="K127" i="98" s="1"/>
  <c r="J127" i="98" a="1"/>
  <c r="J127" i="98" s="1"/>
  <c r="I127" i="98" a="1"/>
  <c r="I127" i="98" s="1"/>
  <c r="H127" i="98" a="1"/>
  <c r="H127" i="98" s="1"/>
  <c r="G127" i="98" a="1"/>
  <c r="G127" i="98" s="1"/>
  <c r="F127" i="98" a="1"/>
  <c r="F127" i="98" s="1"/>
  <c r="E127" i="98" a="1"/>
  <c r="E127" i="98" s="1"/>
  <c r="D127" i="98" a="1"/>
  <c r="D127" i="98" s="1"/>
  <c r="AE126" i="98" a="1"/>
  <c r="AE126" i="98" s="1"/>
  <c r="AD126" i="98" a="1"/>
  <c r="AD126" i="98" s="1"/>
  <c r="AC126" i="98" a="1"/>
  <c r="AC126" i="98" s="1"/>
  <c r="AB126" i="98" a="1"/>
  <c r="AB126" i="98" s="1"/>
  <c r="AA126" i="98" a="1"/>
  <c r="AA126" i="98" s="1"/>
  <c r="Z126" i="98" a="1"/>
  <c r="Z126" i="98" s="1"/>
  <c r="Y126" i="98" a="1"/>
  <c r="Y126" i="98" s="1"/>
  <c r="X126" i="98" a="1"/>
  <c r="X126" i="98" s="1"/>
  <c r="W126" i="98" a="1"/>
  <c r="W126" i="98" s="1"/>
  <c r="V126" i="98" a="1"/>
  <c r="V126" i="98" s="1"/>
  <c r="U126" i="98" a="1"/>
  <c r="U126" i="98" s="1"/>
  <c r="T126" i="98" a="1"/>
  <c r="T126" i="98" s="1"/>
  <c r="S126" i="98" a="1"/>
  <c r="S126" i="98" s="1"/>
  <c r="R126" i="98" a="1"/>
  <c r="R126" i="98" s="1"/>
  <c r="Q126" i="98" a="1"/>
  <c r="Q126" i="98" s="1"/>
  <c r="P126" i="98" a="1"/>
  <c r="P126" i="98" s="1"/>
  <c r="O126" i="98" a="1"/>
  <c r="O126" i="98" s="1"/>
  <c r="N126" i="98" a="1"/>
  <c r="N126" i="98" s="1"/>
  <c r="M126" i="98" a="1"/>
  <c r="M126" i="98" s="1"/>
  <c r="L126" i="98" a="1"/>
  <c r="L126" i="98" s="1"/>
  <c r="K126" i="98" a="1"/>
  <c r="K126" i="98" s="1"/>
  <c r="J126" i="98" a="1"/>
  <c r="J126" i="98" s="1"/>
  <c r="I126" i="98" a="1"/>
  <c r="I126" i="98" s="1"/>
  <c r="H126" i="98" a="1"/>
  <c r="H126" i="98" s="1"/>
  <c r="G126" i="98" a="1"/>
  <c r="G126" i="98" s="1"/>
  <c r="F126" i="98" a="1"/>
  <c r="F126" i="98" s="1"/>
  <c r="E126" i="98" a="1"/>
  <c r="E126" i="98" s="1"/>
  <c r="D126" i="98" a="1"/>
  <c r="D126" i="98" s="1"/>
  <c r="AE125" i="98" a="1"/>
  <c r="AE125" i="98" s="1"/>
  <c r="AD125" i="98" a="1"/>
  <c r="AD125" i="98" s="1"/>
  <c r="AC125" i="98" a="1"/>
  <c r="AC125" i="98" s="1"/>
  <c r="AB125" i="98" a="1"/>
  <c r="AB125" i="98" s="1"/>
  <c r="AA125" i="98" a="1"/>
  <c r="AA125" i="98" s="1"/>
  <c r="Z125" i="98" a="1"/>
  <c r="Z125" i="98" s="1"/>
  <c r="Y125" i="98" a="1"/>
  <c r="Y125" i="98" s="1"/>
  <c r="X125" i="98" a="1"/>
  <c r="X125" i="98" s="1"/>
  <c r="W125" i="98" a="1"/>
  <c r="W125" i="98" s="1"/>
  <c r="V125" i="98" a="1"/>
  <c r="V125" i="98" s="1"/>
  <c r="U125" i="98" a="1"/>
  <c r="U125" i="98" s="1"/>
  <c r="T125" i="98" a="1"/>
  <c r="T125" i="98" s="1"/>
  <c r="S125" i="98" a="1"/>
  <c r="S125" i="98" s="1"/>
  <c r="R125" i="98" a="1"/>
  <c r="R125" i="98" s="1"/>
  <c r="Q125" i="98" a="1"/>
  <c r="Q125" i="98" s="1"/>
  <c r="P125" i="98" a="1"/>
  <c r="P125" i="98" s="1"/>
  <c r="O125" i="98" a="1"/>
  <c r="O125" i="98" s="1"/>
  <c r="N125" i="98" a="1"/>
  <c r="N125" i="98" s="1"/>
  <c r="M125" i="98" a="1"/>
  <c r="M125" i="98" s="1"/>
  <c r="L125" i="98" a="1"/>
  <c r="L125" i="98" s="1"/>
  <c r="K125" i="98" a="1"/>
  <c r="K125" i="98" s="1"/>
  <c r="J125" i="98" a="1"/>
  <c r="J125" i="98" s="1"/>
  <c r="I125" i="98" a="1"/>
  <c r="I125" i="98" s="1"/>
  <c r="H125" i="98" a="1"/>
  <c r="H125" i="98" s="1"/>
  <c r="G125" i="98" a="1"/>
  <c r="G125" i="98" s="1"/>
  <c r="F125" i="98" a="1"/>
  <c r="F125" i="98" s="1"/>
  <c r="E125" i="98" a="1"/>
  <c r="E125" i="98" s="1"/>
  <c r="D125" i="98" a="1"/>
  <c r="D125" i="98" s="1"/>
  <c r="AE124" i="98" a="1"/>
  <c r="AE124" i="98" s="1"/>
  <c r="AD124" i="98" a="1"/>
  <c r="AD124" i="98" s="1"/>
  <c r="AC124" i="98" a="1"/>
  <c r="AC124" i="98" s="1"/>
  <c r="AB124" i="98" a="1"/>
  <c r="AB124" i="98" s="1"/>
  <c r="AA124" i="98" a="1"/>
  <c r="AA124" i="98" s="1"/>
  <c r="Z124" i="98" a="1"/>
  <c r="Z124" i="98" s="1"/>
  <c r="Y124" i="98" a="1"/>
  <c r="Y124" i="98" s="1"/>
  <c r="X124" i="98" a="1"/>
  <c r="X124" i="98" s="1"/>
  <c r="W124" i="98" a="1"/>
  <c r="W124" i="98" s="1"/>
  <c r="V124" i="98" a="1"/>
  <c r="V124" i="98" s="1"/>
  <c r="U124" i="98" a="1"/>
  <c r="U124" i="98" s="1"/>
  <c r="T124" i="98" a="1"/>
  <c r="T124" i="98" s="1"/>
  <c r="S124" i="98" a="1"/>
  <c r="S124" i="98" s="1"/>
  <c r="R124" i="98" a="1"/>
  <c r="R124" i="98" s="1"/>
  <c r="Q124" i="98" a="1"/>
  <c r="Q124" i="98" s="1"/>
  <c r="P124" i="98" a="1"/>
  <c r="P124" i="98" s="1"/>
  <c r="O124" i="98" a="1"/>
  <c r="O124" i="98" s="1"/>
  <c r="N124" i="98" a="1"/>
  <c r="N124" i="98" s="1"/>
  <c r="M124" i="98" a="1"/>
  <c r="M124" i="98" s="1"/>
  <c r="L124" i="98" a="1"/>
  <c r="L124" i="98" s="1"/>
  <c r="K124" i="98" a="1"/>
  <c r="K124" i="98" s="1"/>
  <c r="J124" i="98" a="1"/>
  <c r="J124" i="98" s="1"/>
  <c r="I124" i="98" a="1"/>
  <c r="I124" i="98" s="1"/>
  <c r="H124" i="98" a="1"/>
  <c r="H124" i="98" s="1"/>
  <c r="G124" i="98" a="1"/>
  <c r="G124" i="98" s="1"/>
  <c r="F124" i="98" a="1"/>
  <c r="F124" i="98" s="1"/>
  <c r="E124" i="98" a="1"/>
  <c r="E124" i="98" s="1"/>
  <c r="D124" i="98" a="1"/>
  <c r="D124" i="98" s="1"/>
  <c r="AE123" i="98" a="1"/>
  <c r="AE123" i="98" s="1"/>
  <c r="AD123" i="98" a="1"/>
  <c r="AD123" i="98" s="1"/>
  <c r="AC123" i="98" a="1"/>
  <c r="AC123" i="98" s="1"/>
  <c r="AB123" i="98" a="1"/>
  <c r="AB123" i="98" s="1"/>
  <c r="AA123" i="98" a="1"/>
  <c r="AA123" i="98" s="1"/>
  <c r="Z123" i="98" a="1"/>
  <c r="Z123" i="98" s="1"/>
  <c r="Y123" i="98" a="1"/>
  <c r="Y123" i="98" s="1"/>
  <c r="X123" i="98" a="1"/>
  <c r="X123" i="98" s="1"/>
  <c r="W123" i="98" a="1"/>
  <c r="W123" i="98" s="1"/>
  <c r="V123" i="98" a="1"/>
  <c r="V123" i="98" s="1"/>
  <c r="U123" i="98" a="1"/>
  <c r="U123" i="98" s="1"/>
  <c r="T123" i="98" a="1"/>
  <c r="T123" i="98" s="1"/>
  <c r="S123" i="98" a="1"/>
  <c r="S123" i="98" s="1"/>
  <c r="R123" i="98" a="1"/>
  <c r="R123" i="98" s="1"/>
  <c r="Q123" i="98" a="1"/>
  <c r="Q123" i="98" s="1"/>
  <c r="P123" i="98" a="1"/>
  <c r="P123" i="98" s="1"/>
  <c r="O123" i="98" a="1"/>
  <c r="O123" i="98" s="1"/>
  <c r="N123" i="98" a="1"/>
  <c r="N123" i="98" s="1"/>
  <c r="M123" i="98" a="1"/>
  <c r="M123" i="98" s="1"/>
  <c r="L123" i="98" a="1"/>
  <c r="L123" i="98" s="1"/>
  <c r="K123" i="98" a="1"/>
  <c r="K123" i="98" s="1"/>
  <c r="J123" i="98" a="1"/>
  <c r="J123" i="98" s="1"/>
  <c r="I123" i="98" a="1"/>
  <c r="I123" i="98" s="1"/>
  <c r="H123" i="98" a="1"/>
  <c r="H123" i="98" s="1"/>
  <c r="G123" i="98" a="1"/>
  <c r="G123" i="98" s="1"/>
  <c r="F123" i="98" a="1"/>
  <c r="F123" i="98" s="1"/>
  <c r="E123" i="98" a="1"/>
  <c r="E123" i="98" s="1"/>
  <c r="D123" i="98" a="1"/>
  <c r="D123" i="98" s="1"/>
  <c r="AE122" i="98" a="1"/>
  <c r="AE122" i="98" s="1"/>
  <c r="AD122" i="98" a="1"/>
  <c r="AD122" i="98" s="1"/>
  <c r="AC122" i="98" a="1"/>
  <c r="AC122" i="98" s="1"/>
  <c r="AB122" i="98" a="1"/>
  <c r="AB122" i="98" s="1"/>
  <c r="AA122" i="98" a="1"/>
  <c r="AA122" i="98" s="1"/>
  <c r="Z122" i="98" a="1"/>
  <c r="Z122" i="98" s="1"/>
  <c r="Y122" i="98" a="1"/>
  <c r="Y122" i="98" s="1"/>
  <c r="X122" i="98" a="1"/>
  <c r="X122" i="98" s="1"/>
  <c r="W122" i="98" a="1"/>
  <c r="W122" i="98" s="1"/>
  <c r="V122" i="98" a="1"/>
  <c r="V122" i="98" s="1"/>
  <c r="U122" i="98" a="1"/>
  <c r="U122" i="98" s="1"/>
  <c r="T122" i="98" a="1"/>
  <c r="T122" i="98" s="1"/>
  <c r="S122" i="98" a="1"/>
  <c r="S122" i="98" s="1"/>
  <c r="R122" i="98" a="1"/>
  <c r="R122" i="98" s="1"/>
  <c r="Q122" i="98" a="1"/>
  <c r="Q122" i="98" s="1"/>
  <c r="P122" i="98" a="1"/>
  <c r="P122" i="98" s="1"/>
  <c r="O122" i="98" a="1"/>
  <c r="O122" i="98" s="1"/>
  <c r="N122" i="98" a="1"/>
  <c r="N122" i="98" s="1"/>
  <c r="M122" i="98" a="1"/>
  <c r="M122" i="98" s="1"/>
  <c r="L122" i="98" a="1"/>
  <c r="L122" i="98" s="1"/>
  <c r="K122" i="98" a="1"/>
  <c r="K122" i="98" s="1"/>
  <c r="J122" i="98" a="1"/>
  <c r="J122" i="98" s="1"/>
  <c r="I122" i="98" a="1"/>
  <c r="I122" i="98" s="1"/>
  <c r="H122" i="98" a="1"/>
  <c r="H122" i="98" s="1"/>
  <c r="G122" i="98" a="1"/>
  <c r="G122" i="98" s="1"/>
  <c r="F122" i="98" a="1"/>
  <c r="F122" i="98" s="1"/>
  <c r="E122" i="98" a="1"/>
  <c r="E122" i="98" s="1"/>
  <c r="D122" i="98" a="1"/>
  <c r="D122" i="98" s="1"/>
  <c r="AE121" i="98" a="1"/>
  <c r="AE121" i="98" s="1"/>
  <c r="AD121" i="98" a="1"/>
  <c r="AD121" i="98" s="1"/>
  <c r="AC121" i="98" a="1"/>
  <c r="AC121" i="98" s="1"/>
  <c r="AB121" i="98" a="1"/>
  <c r="AB121" i="98" s="1"/>
  <c r="AA121" i="98" a="1"/>
  <c r="AA121" i="98" s="1"/>
  <c r="Z121" i="98" a="1"/>
  <c r="Z121" i="98" s="1"/>
  <c r="Y121" i="98" a="1"/>
  <c r="Y121" i="98" s="1"/>
  <c r="X121" i="98" a="1"/>
  <c r="X121" i="98" s="1"/>
  <c r="W121" i="98" a="1"/>
  <c r="W121" i="98" s="1"/>
  <c r="V121" i="98" a="1"/>
  <c r="V121" i="98" s="1"/>
  <c r="U121" i="98" a="1"/>
  <c r="U121" i="98" s="1"/>
  <c r="T121" i="98" a="1"/>
  <c r="T121" i="98" s="1"/>
  <c r="S121" i="98" a="1"/>
  <c r="S121" i="98" s="1"/>
  <c r="R121" i="98" a="1"/>
  <c r="R121" i="98" s="1"/>
  <c r="Q121" i="98" a="1"/>
  <c r="Q121" i="98" s="1"/>
  <c r="P121" i="98" a="1"/>
  <c r="P121" i="98" s="1"/>
  <c r="O121" i="98" a="1"/>
  <c r="O121" i="98" s="1"/>
  <c r="N121" i="98" a="1"/>
  <c r="N121" i="98" s="1"/>
  <c r="M121" i="98" a="1"/>
  <c r="M121" i="98" s="1"/>
  <c r="L121" i="98" a="1"/>
  <c r="L121" i="98" s="1"/>
  <c r="K121" i="98" a="1"/>
  <c r="K121" i="98" s="1"/>
  <c r="J121" i="98" a="1"/>
  <c r="J121" i="98" s="1"/>
  <c r="I121" i="98" a="1"/>
  <c r="I121" i="98" s="1"/>
  <c r="H121" i="98" a="1"/>
  <c r="H121" i="98" s="1"/>
  <c r="G121" i="98" a="1"/>
  <c r="G121" i="98" s="1"/>
  <c r="F121" i="98" a="1"/>
  <c r="F121" i="98" s="1"/>
  <c r="E121" i="98" a="1"/>
  <c r="E121" i="98" s="1"/>
  <c r="D121" i="98" a="1"/>
  <c r="D121" i="98" s="1"/>
  <c r="AE120" i="98" a="1"/>
  <c r="AE120" i="98" s="1"/>
  <c r="AD120" i="98" a="1"/>
  <c r="AD120" i="98" s="1"/>
  <c r="AC120" i="98" a="1"/>
  <c r="AC120" i="98" s="1"/>
  <c r="AB120" i="98" a="1"/>
  <c r="AB120" i="98" s="1"/>
  <c r="AA120" i="98" a="1"/>
  <c r="AA120" i="98" s="1"/>
  <c r="Z120" i="98" a="1"/>
  <c r="Z120" i="98" s="1"/>
  <c r="Y120" i="98" a="1"/>
  <c r="Y120" i="98" s="1"/>
  <c r="X120" i="98" a="1"/>
  <c r="X120" i="98" s="1"/>
  <c r="W120" i="98" a="1"/>
  <c r="W120" i="98" s="1"/>
  <c r="V120" i="98" a="1"/>
  <c r="V120" i="98" s="1"/>
  <c r="U120" i="98" a="1"/>
  <c r="U120" i="98" s="1"/>
  <c r="T120" i="98" a="1"/>
  <c r="T120" i="98" s="1"/>
  <c r="S120" i="98" a="1"/>
  <c r="S120" i="98" s="1"/>
  <c r="R120" i="98" a="1"/>
  <c r="R120" i="98" s="1"/>
  <c r="Q120" i="98" a="1"/>
  <c r="Q120" i="98" s="1"/>
  <c r="P120" i="98" a="1"/>
  <c r="P120" i="98" s="1"/>
  <c r="O120" i="98" a="1"/>
  <c r="O120" i="98" s="1"/>
  <c r="N120" i="98" a="1"/>
  <c r="N120" i="98" s="1"/>
  <c r="M120" i="98" a="1"/>
  <c r="M120" i="98" s="1"/>
  <c r="L120" i="98" a="1"/>
  <c r="L120" i="98" s="1"/>
  <c r="K120" i="98" a="1"/>
  <c r="K120" i="98" s="1"/>
  <c r="J120" i="98" a="1"/>
  <c r="J120" i="98" s="1"/>
  <c r="I120" i="98" a="1"/>
  <c r="I120" i="98" s="1"/>
  <c r="H120" i="98" a="1"/>
  <c r="H120" i="98" s="1"/>
  <c r="G120" i="98" a="1"/>
  <c r="G120" i="98" s="1"/>
  <c r="F120" i="98" a="1"/>
  <c r="F120" i="98" s="1"/>
  <c r="E120" i="98" a="1"/>
  <c r="E120" i="98" s="1"/>
  <c r="D120" i="98" a="1"/>
  <c r="D120" i="98" s="1"/>
  <c r="AE119" i="98" a="1"/>
  <c r="AE119" i="98" s="1"/>
  <c r="AD119" i="98" a="1"/>
  <c r="AD119" i="98" s="1"/>
  <c r="AC119" i="98" a="1"/>
  <c r="AC119" i="98" s="1"/>
  <c r="AB119" i="98" a="1"/>
  <c r="AB119" i="98" s="1"/>
  <c r="AA119" i="98" a="1"/>
  <c r="AA119" i="98" s="1"/>
  <c r="Z119" i="98" a="1"/>
  <c r="Z119" i="98" s="1"/>
  <c r="Y119" i="98" a="1"/>
  <c r="Y119" i="98" s="1"/>
  <c r="X119" i="98" a="1"/>
  <c r="X119" i="98" s="1"/>
  <c r="W119" i="98" a="1"/>
  <c r="W119" i="98" s="1"/>
  <c r="V119" i="98" a="1"/>
  <c r="V119" i="98" s="1"/>
  <c r="U119" i="98" a="1"/>
  <c r="U119" i="98" s="1"/>
  <c r="T119" i="98" a="1"/>
  <c r="T119" i="98" s="1"/>
  <c r="S119" i="98" a="1"/>
  <c r="S119" i="98" s="1"/>
  <c r="R119" i="98" a="1"/>
  <c r="R119" i="98" s="1"/>
  <c r="Q119" i="98" a="1"/>
  <c r="Q119" i="98" s="1"/>
  <c r="P119" i="98" a="1"/>
  <c r="P119" i="98" s="1"/>
  <c r="O119" i="98" a="1"/>
  <c r="O119" i="98" s="1"/>
  <c r="N119" i="98" a="1"/>
  <c r="N119" i="98" s="1"/>
  <c r="M119" i="98" a="1"/>
  <c r="M119" i="98" s="1"/>
  <c r="L119" i="98" a="1"/>
  <c r="L119" i="98" s="1"/>
  <c r="K119" i="98" a="1"/>
  <c r="K119" i="98" s="1"/>
  <c r="J119" i="98" a="1"/>
  <c r="J119" i="98" s="1"/>
  <c r="I119" i="98" a="1"/>
  <c r="I119" i="98" s="1"/>
  <c r="H119" i="98" a="1"/>
  <c r="H119" i="98" s="1"/>
  <c r="G119" i="98" a="1"/>
  <c r="G119" i="98" s="1"/>
  <c r="F119" i="98" a="1"/>
  <c r="F119" i="98" s="1"/>
  <c r="E119" i="98" a="1"/>
  <c r="E119" i="98" s="1"/>
  <c r="D119" i="98" a="1"/>
  <c r="D119" i="98" s="1"/>
  <c r="AE118" i="98" a="1"/>
  <c r="AE118" i="98" s="1"/>
  <c r="AD118" i="98" a="1"/>
  <c r="AD118" i="98" s="1"/>
  <c r="AC118" i="98" a="1"/>
  <c r="AC118" i="98" s="1"/>
  <c r="AB118" i="98" a="1"/>
  <c r="AB118" i="98" s="1"/>
  <c r="AA118" i="98" a="1"/>
  <c r="AA118" i="98" s="1"/>
  <c r="Z118" i="98" a="1"/>
  <c r="Z118" i="98" s="1"/>
  <c r="Y118" i="98" a="1"/>
  <c r="Y118" i="98" s="1"/>
  <c r="X118" i="98" a="1"/>
  <c r="X118" i="98" s="1"/>
  <c r="W118" i="98" a="1"/>
  <c r="W118" i="98" s="1"/>
  <c r="V118" i="98" a="1"/>
  <c r="V118" i="98" s="1"/>
  <c r="U118" i="98" a="1"/>
  <c r="U118" i="98" s="1"/>
  <c r="T118" i="98" a="1"/>
  <c r="T118" i="98" s="1"/>
  <c r="S118" i="98" a="1"/>
  <c r="S118" i="98" s="1"/>
  <c r="R118" i="98" a="1"/>
  <c r="R118" i="98" s="1"/>
  <c r="Q118" i="98" a="1"/>
  <c r="Q118" i="98" s="1"/>
  <c r="P118" i="98" a="1"/>
  <c r="P118" i="98" s="1"/>
  <c r="O118" i="98" a="1"/>
  <c r="O118" i="98" s="1"/>
  <c r="N118" i="98" a="1"/>
  <c r="N118" i="98" s="1"/>
  <c r="M118" i="98" a="1"/>
  <c r="M118" i="98" s="1"/>
  <c r="L118" i="98" a="1"/>
  <c r="L118" i="98" s="1"/>
  <c r="K118" i="98" a="1"/>
  <c r="K118" i="98" s="1"/>
  <c r="J118" i="98" a="1"/>
  <c r="J118" i="98" s="1"/>
  <c r="I118" i="98" a="1"/>
  <c r="I118" i="98" s="1"/>
  <c r="H118" i="98" a="1"/>
  <c r="H118" i="98" s="1"/>
  <c r="G118" i="98" a="1"/>
  <c r="G118" i="98" s="1"/>
  <c r="F118" i="98" a="1"/>
  <c r="F118" i="98" s="1"/>
  <c r="E118" i="98" a="1"/>
  <c r="E118" i="98" s="1"/>
  <c r="D118" i="98" a="1"/>
  <c r="D118" i="98" s="1"/>
  <c r="AE117" i="98" a="1"/>
  <c r="AE117" i="98" s="1"/>
  <c r="AD117" i="98" a="1"/>
  <c r="AD117" i="98" s="1"/>
  <c r="AC117" i="98" a="1"/>
  <c r="AC117" i="98" s="1"/>
  <c r="AB117" i="98" a="1"/>
  <c r="AB117" i="98" s="1"/>
  <c r="AA117" i="98" a="1"/>
  <c r="AA117" i="98" s="1"/>
  <c r="Z117" i="98" a="1"/>
  <c r="Z117" i="98" s="1"/>
  <c r="Y117" i="98" a="1"/>
  <c r="Y117" i="98" s="1"/>
  <c r="X117" i="98" a="1"/>
  <c r="X117" i="98" s="1"/>
  <c r="W117" i="98" a="1"/>
  <c r="W117" i="98" s="1"/>
  <c r="V117" i="98" a="1"/>
  <c r="V117" i="98" s="1"/>
  <c r="U117" i="98" a="1"/>
  <c r="U117" i="98" s="1"/>
  <c r="T117" i="98" a="1"/>
  <c r="T117" i="98" s="1"/>
  <c r="S117" i="98" a="1"/>
  <c r="S117" i="98" s="1"/>
  <c r="R117" i="98" a="1"/>
  <c r="R117" i="98" s="1"/>
  <c r="Q117" i="98" a="1"/>
  <c r="Q117" i="98" s="1"/>
  <c r="P117" i="98" a="1"/>
  <c r="P117" i="98" s="1"/>
  <c r="O117" i="98" a="1"/>
  <c r="O117" i="98" s="1"/>
  <c r="N117" i="98" a="1"/>
  <c r="N117" i="98" s="1"/>
  <c r="M117" i="98" a="1"/>
  <c r="M117" i="98" s="1"/>
  <c r="L117" i="98" a="1"/>
  <c r="L117" i="98" s="1"/>
  <c r="K117" i="98" a="1"/>
  <c r="K117" i="98" s="1"/>
  <c r="J117" i="98" a="1"/>
  <c r="J117" i="98" s="1"/>
  <c r="I117" i="98" a="1"/>
  <c r="I117" i="98" s="1"/>
  <c r="H117" i="98" a="1"/>
  <c r="H117" i="98" s="1"/>
  <c r="G117" i="98" a="1"/>
  <c r="G117" i="98" s="1"/>
  <c r="F117" i="98" a="1"/>
  <c r="F117" i="98" s="1"/>
  <c r="E117" i="98" a="1"/>
  <c r="E117" i="98" s="1"/>
  <c r="D117" i="98" a="1"/>
  <c r="D117" i="98" s="1"/>
  <c r="AE116" i="98" a="1"/>
  <c r="AE116" i="98" s="1"/>
  <c r="AD116" i="98" a="1"/>
  <c r="AD116" i="98" s="1"/>
  <c r="AC116" i="98" a="1"/>
  <c r="AC116" i="98" s="1"/>
  <c r="AB116" i="98" a="1"/>
  <c r="AB116" i="98" s="1"/>
  <c r="AA116" i="98" a="1"/>
  <c r="AA116" i="98" s="1"/>
  <c r="Z116" i="98" a="1"/>
  <c r="Z116" i="98" s="1"/>
  <c r="Y116" i="98" a="1"/>
  <c r="Y116" i="98" s="1"/>
  <c r="X116" i="98" a="1"/>
  <c r="X116" i="98" s="1"/>
  <c r="W116" i="98" a="1"/>
  <c r="W116" i="98" s="1"/>
  <c r="V116" i="98" a="1"/>
  <c r="V116" i="98" s="1"/>
  <c r="U116" i="98" a="1"/>
  <c r="U116" i="98" s="1"/>
  <c r="T116" i="98" a="1"/>
  <c r="T116" i="98" s="1"/>
  <c r="S116" i="98" a="1"/>
  <c r="S116" i="98" s="1"/>
  <c r="R116" i="98" a="1"/>
  <c r="R116" i="98" s="1"/>
  <c r="Q116" i="98" a="1"/>
  <c r="Q116" i="98" s="1"/>
  <c r="P116" i="98" a="1"/>
  <c r="P116" i="98" s="1"/>
  <c r="O116" i="98" a="1"/>
  <c r="O116" i="98" s="1"/>
  <c r="N116" i="98" a="1"/>
  <c r="N116" i="98" s="1"/>
  <c r="M116" i="98" a="1"/>
  <c r="M116" i="98" s="1"/>
  <c r="L116" i="98" a="1"/>
  <c r="L116" i="98" s="1"/>
  <c r="K116" i="98" a="1"/>
  <c r="K116" i="98" s="1"/>
  <c r="J116" i="98" a="1"/>
  <c r="J116" i="98" s="1"/>
  <c r="I116" i="98" a="1"/>
  <c r="I116" i="98" s="1"/>
  <c r="H116" i="98" a="1"/>
  <c r="H116" i="98" s="1"/>
  <c r="G116" i="98" a="1"/>
  <c r="G116" i="98" s="1"/>
  <c r="F116" i="98" a="1"/>
  <c r="F116" i="98" s="1"/>
  <c r="E116" i="98" a="1"/>
  <c r="E116" i="98" s="1"/>
  <c r="D116" i="98" a="1"/>
  <c r="D116" i="98" s="1"/>
  <c r="AE115" i="98" a="1"/>
  <c r="AE115" i="98" s="1"/>
  <c r="AD115" i="98" a="1"/>
  <c r="AD115" i="98" s="1"/>
  <c r="AC115" i="98" a="1"/>
  <c r="AC115" i="98" s="1"/>
  <c r="AB115" i="98" a="1"/>
  <c r="AB115" i="98" s="1"/>
  <c r="AA115" i="98" a="1"/>
  <c r="AA115" i="98" s="1"/>
  <c r="Z115" i="98" a="1"/>
  <c r="Z115" i="98" s="1"/>
  <c r="Y115" i="98" a="1"/>
  <c r="Y115" i="98" s="1"/>
  <c r="X115" i="98" a="1"/>
  <c r="X115" i="98" s="1"/>
  <c r="W115" i="98" a="1"/>
  <c r="W115" i="98" s="1"/>
  <c r="V115" i="98" a="1"/>
  <c r="V115" i="98" s="1"/>
  <c r="U115" i="98" a="1"/>
  <c r="U115" i="98" s="1"/>
  <c r="T115" i="98" a="1"/>
  <c r="T115" i="98" s="1"/>
  <c r="S115" i="98" a="1"/>
  <c r="S115" i="98" s="1"/>
  <c r="R115" i="98" a="1"/>
  <c r="R115" i="98" s="1"/>
  <c r="Q115" i="98" a="1"/>
  <c r="Q115" i="98" s="1"/>
  <c r="P115" i="98" a="1"/>
  <c r="P115" i="98" s="1"/>
  <c r="O115" i="98" a="1"/>
  <c r="O115" i="98" s="1"/>
  <c r="N115" i="98" a="1"/>
  <c r="N115" i="98" s="1"/>
  <c r="M115" i="98" a="1"/>
  <c r="M115" i="98" s="1"/>
  <c r="L115" i="98" a="1"/>
  <c r="L115" i="98" s="1"/>
  <c r="K115" i="98" a="1"/>
  <c r="K115" i="98" s="1"/>
  <c r="J115" i="98" a="1"/>
  <c r="J115" i="98" s="1"/>
  <c r="I115" i="98" a="1"/>
  <c r="I115" i="98" s="1"/>
  <c r="H115" i="98" a="1"/>
  <c r="H115" i="98" s="1"/>
  <c r="G115" i="98" a="1"/>
  <c r="G115" i="98" s="1"/>
  <c r="F115" i="98" a="1"/>
  <c r="F115" i="98" s="1"/>
  <c r="E115" i="98" a="1"/>
  <c r="E115" i="98" s="1"/>
  <c r="D115" i="98" a="1"/>
  <c r="D115" i="98" s="1"/>
  <c r="AE114" i="98" a="1"/>
  <c r="AE114" i="98" s="1"/>
  <c r="AD114" i="98" a="1"/>
  <c r="AD114" i="98" s="1"/>
  <c r="AC114" i="98" a="1"/>
  <c r="AC114" i="98" s="1"/>
  <c r="AB114" i="98" a="1"/>
  <c r="AB114" i="98" s="1"/>
  <c r="AA114" i="98" a="1"/>
  <c r="AA114" i="98" s="1"/>
  <c r="Z114" i="98" a="1"/>
  <c r="Z114" i="98" s="1"/>
  <c r="Y114" i="98" a="1"/>
  <c r="Y114" i="98" s="1"/>
  <c r="X114" i="98" a="1"/>
  <c r="X114" i="98" s="1"/>
  <c r="W114" i="98" a="1"/>
  <c r="W114" i="98" s="1"/>
  <c r="V114" i="98" a="1"/>
  <c r="V114" i="98" s="1"/>
  <c r="U114" i="98" a="1"/>
  <c r="U114" i="98" s="1"/>
  <c r="T114" i="98" a="1"/>
  <c r="T114" i="98" s="1"/>
  <c r="S114" i="98" a="1"/>
  <c r="S114" i="98" s="1"/>
  <c r="R114" i="98" a="1"/>
  <c r="R114" i="98" s="1"/>
  <c r="Q114" i="98" a="1"/>
  <c r="Q114" i="98" s="1"/>
  <c r="P114" i="98" a="1"/>
  <c r="P114" i="98" s="1"/>
  <c r="O114" i="98" a="1"/>
  <c r="O114" i="98" s="1"/>
  <c r="N114" i="98" a="1"/>
  <c r="N114" i="98" s="1"/>
  <c r="M114" i="98" a="1"/>
  <c r="M114" i="98" s="1"/>
  <c r="L114" i="98" a="1"/>
  <c r="L114" i="98" s="1"/>
  <c r="K114" i="98" a="1"/>
  <c r="K114" i="98" s="1"/>
  <c r="J114" i="98" a="1"/>
  <c r="J114" i="98" s="1"/>
  <c r="I114" i="98" a="1"/>
  <c r="I114" i="98" s="1"/>
  <c r="H114" i="98" a="1"/>
  <c r="H114" i="98" s="1"/>
  <c r="G114" i="98" a="1"/>
  <c r="G114" i="98" s="1"/>
  <c r="F114" i="98" a="1"/>
  <c r="F114" i="98" s="1"/>
  <c r="E114" i="98" a="1"/>
  <c r="E114" i="98" s="1"/>
  <c r="D114" i="98" a="1"/>
  <c r="D114" i="98" s="1"/>
  <c r="AE113" i="98" a="1"/>
  <c r="AE113" i="98" s="1"/>
  <c r="AD113" i="98" a="1"/>
  <c r="AD113" i="98" s="1"/>
  <c r="AC113" i="98" a="1"/>
  <c r="AC113" i="98" s="1"/>
  <c r="AB113" i="98" a="1"/>
  <c r="AB113" i="98" s="1"/>
  <c r="AA113" i="98" a="1"/>
  <c r="AA113" i="98" s="1"/>
  <c r="Z113" i="98" a="1"/>
  <c r="Z113" i="98" s="1"/>
  <c r="Y113" i="98" a="1"/>
  <c r="Y113" i="98" s="1"/>
  <c r="X113" i="98" a="1"/>
  <c r="X113" i="98" s="1"/>
  <c r="W113" i="98" a="1"/>
  <c r="W113" i="98" s="1"/>
  <c r="V113" i="98" a="1"/>
  <c r="V113" i="98" s="1"/>
  <c r="U113" i="98" a="1"/>
  <c r="U113" i="98" s="1"/>
  <c r="T113" i="98" a="1"/>
  <c r="T113" i="98" s="1"/>
  <c r="S113" i="98" a="1"/>
  <c r="S113" i="98" s="1"/>
  <c r="R113" i="98" a="1"/>
  <c r="R113" i="98" s="1"/>
  <c r="Q113" i="98" a="1"/>
  <c r="Q113" i="98" s="1"/>
  <c r="P113" i="98" a="1"/>
  <c r="P113" i="98" s="1"/>
  <c r="O113" i="98" a="1"/>
  <c r="O113" i="98" s="1"/>
  <c r="N113" i="98" a="1"/>
  <c r="N113" i="98" s="1"/>
  <c r="M113" i="98" a="1"/>
  <c r="M113" i="98" s="1"/>
  <c r="L113" i="98" a="1"/>
  <c r="L113" i="98" s="1"/>
  <c r="K113" i="98" a="1"/>
  <c r="K113" i="98" s="1"/>
  <c r="J113" i="98" a="1"/>
  <c r="J113" i="98" s="1"/>
  <c r="I113" i="98" a="1"/>
  <c r="I113" i="98" s="1"/>
  <c r="H113" i="98" a="1"/>
  <c r="H113" i="98" s="1"/>
  <c r="G113" i="98" a="1"/>
  <c r="G113" i="98" s="1"/>
  <c r="F113" i="98" a="1"/>
  <c r="F113" i="98" s="1"/>
  <c r="E113" i="98" a="1"/>
  <c r="E113" i="98" s="1"/>
  <c r="D113" i="98" a="1"/>
  <c r="D113" i="98" s="1"/>
  <c r="AE112" i="98" a="1"/>
  <c r="AE112" i="98" s="1"/>
  <c r="AD112" i="98" a="1"/>
  <c r="AD112" i="98" s="1"/>
  <c r="AC112" i="98" a="1"/>
  <c r="AC112" i="98" s="1"/>
  <c r="AB112" i="98" a="1"/>
  <c r="AB112" i="98" s="1"/>
  <c r="AA112" i="98" a="1"/>
  <c r="AA112" i="98" s="1"/>
  <c r="Z112" i="98" a="1"/>
  <c r="Z112" i="98" s="1"/>
  <c r="Y112" i="98" a="1"/>
  <c r="Y112" i="98" s="1"/>
  <c r="X112" i="98" a="1"/>
  <c r="X112" i="98" s="1"/>
  <c r="W112" i="98" a="1"/>
  <c r="W112" i="98" s="1"/>
  <c r="V112" i="98" a="1"/>
  <c r="V112" i="98" s="1"/>
  <c r="U112" i="98" a="1"/>
  <c r="U112" i="98" s="1"/>
  <c r="T112" i="98" a="1"/>
  <c r="T112" i="98" s="1"/>
  <c r="S112" i="98" a="1"/>
  <c r="S112" i="98" s="1"/>
  <c r="R112" i="98" a="1"/>
  <c r="R112" i="98" s="1"/>
  <c r="Q112" i="98" a="1"/>
  <c r="Q112" i="98" s="1"/>
  <c r="P112" i="98" a="1"/>
  <c r="P112" i="98" s="1"/>
  <c r="O112" i="98" a="1"/>
  <c r="O112" i="98" s="1"/>
  <c r="N112" i="98" a="1"/>
  <c r="N112" i="98" s="1"/>
  <c r="M112" i="98" a="1"/>
  <c r="M112" i="98" s="1"/>
  <c r="L112" i="98" a="1"/>
  <c r="L112" i="98" s="1"/>
  <c r="K112" i="98" a="1"/>
  <c r="K112" i="98" s="1"/>
  <c r="J112" i="98" a="1"/>
  <c r="J112" i="98" s="1"/>
  <c r="I112" i="98" a="1"/>
  <c r="I112" i="98" s="1"/>
  <c r="H112" i="98" a="1"/>
  <c r="H112" i="98" s="1"/>
  <c r="G112" i="98" a="1"/>
  <c r="G112" i="98" s="1"/>
  <c r="F112" i="98" a="1"/>
  <c r="F112" i="98" s="1"/>
  <c r="E112" i="98" a="1"/>
  <c r="E112" i="98" s="1"/>
  <c r="D112" i="98" a="1"/>
  <c r="D112" i="98" s="1"/>
  <c r="AE111" i="98" a="1"/>
  <c r="AE111" i="98" s="1"/>
  <c r="AD111" i="98" a="1"/>
  <c r="AD111" i="98" s="1"/>
  <c r="AC111" i="98" a="1"/>
  <c r="AC111" i="98" s="1"/>
  <c r="AB111" i="98" a="1"/>
  <c r="AB111" i="98" s="1"/>
  <c r="AA111" i="98" a="1"/>
  <c r="AA111" i="98" s="1"/>
  <c r="Z111" i="98" a="1"/>
  <c r="Z111" i="98" s="1"/>
  <c r="Y111" i="98" a="1"/>
  <c r="Y111" i="98" s="1"/>
  <c r="X111" i="98" a="1"/>
  <c r="X111" i="98" s="1"/>
  <c r="W111" i="98" a="1"/>
  <c r="W111" i="98" s="1"/>
  <c r="V111" i="98" a="1"/>
  <c r="V111" i="98" s="1"/>
  <c r="U111" i="98" a="1"/>
  <c r="U111" i="98" s="1"/>
  <c r="T111" i="98" a="1"/>
  <c r="T111" i="98" s="1"/>
  <c r="S111" i="98" a="1"/>
  <c r="S111" i="98" s="1"/>
  <c r="R111" i="98" a="1"/>
  <c r="R111" i="98" s="1"/>
  <c r="Q111" i="98" a="1"/>
  <c r="Q111" i="98" s="1"/>
  <c r="P111" i="98" a="1"/>
  <c r="P111" i="98" s="1"/>
  <c r="O111" i="98" a="1"/>
  <c r="O111" i="98" s="1"/>
  <c r="N111" i="98" a="1"/>
  <c r="N111" i="98" s="1"/>
  <c r="M111" i="98" a="1"/>
  <c r="M111" i="98" s="1"/>
  <c r="L111" i="98" a="1"/>
  <c r="L111" i="98" s="1"/>
  <c r="K111" i="98" a="1"/>
  <c r="K111" i="98" s="1"/>
  <c r="J111" i="98" a="1"/>
  <c r="J111" i="98" s="1"/>
  <c r="I111" i="98" a="1"/>
  <c r="I111" i="98" s="1"/>
  <c r="H111" i="98" a="1"/>
  <c r="H111" i="98" s="1"/>
  <c r="G111" i="98" a="1"/>
  <c r="G111" i="98" s="1"/>
  <c r="F111" i="98" a="1"/>
  <c r="F111" i="98" s="1"/>
  <c r="E111" i="98" a="1"/>
  <c r="E111" i="98" s="1"/>
  <c r="D111" i="98" a="1"/>
  <c r="D111" i="98" s="1"/>
  <c r="AE110" i="98" a="1"/>
  <c r="AE110" i="98" s="1"/>
  <c r="AD110" i="98" a="1"/>
  <c r="AD110" i="98" s="1"/>
  <c r="AC110" i="98" a="1"/>
  <c r="AC110" i="98" s="1"/>
  <c r="AB110" i="98" a="1"/>
  <c r="AB110" i="98" s="1"/>
  <c r="AA110" i="98" a="1"/>
  <c r="AA110" i="98" s="1"/>
  <c r="Z110" i="98" a="1"/>
  <c r="Z110" i="98" s="1"/>
  <c r="Y110" i="98" a="1"/>
  <c r="Y110" i="98" s="1"/>
  <c r="X110" i="98" a="1"/>
  <c r="X110" i="98" s="1"/>
  <c r="W110" i="98" a="1"/>
  <c r="W110" i="98" s="1"/>
  <c r="V110" i="98" a="1"/>
  <c r="V110" i="98" s="1"/>
  <c r="U110" i="98" a="1"/>
  <c r="U110" i="98" s="1"/>
  <c r="T110" i="98" a="1"/>
  <c r="T110" i="98" s="1"/>
  <c r="S110" i="98" a="1"/>
  <c r="S110" i="98" s="1"/>
  <c r="R110" i="98" a="1"/>
  <c r="R110" i="98" s="1"/>
  <c r="Q110" i="98" a="1"/>
  <c r="Q110" i="98" s="1"/>
  <c r="P110" i="98" a="1"/>
  <c r="P110" i="98" s="1"/>
  <c r="O110" i="98" a="1"/>
  <c r="O110" i="98" s="1"/>
  <c r="N110" i="98" a="1"/>
  <c r="N110" i="98" s="1"/>
  <c r="M110" i="98" a="1"/>
  <c r="M110" i="98" s="1"/>
  <c r="L110" i="98" a="1"/>
  <c r="L110" i="98" s="1"/>
  <c r="K110" i="98" a="1"/>
  <c r="K110" i="98" s="1"/>
  <c r="J110" i="98" a="1"/>
  <c r="J110" i="98" s="1"/>
  <c r="I110" i="98" a="1"/>
  <c r="I110" i="98" s="1"/>
  <c r="H110" i="98" a="1"/>
  <c r="H110" i="98" s="1"/>
  <c r="G110" i="98" a="1"/>
  <c r="G110" i="98" s="1"/>
  <c r="F110" i="98" a="1"/>
  <c r="F110" i="98" s="1"/>
  <c r="E110" i="98" a="1"/>
  <c r="E110" i="98" s="1"/>
  <c r="D110" i="98" a="1"/>
  <c r="D110" i="98" s="1"/>
  <c r="AE109" i="98" a="1"/>
  <c r="AE109" i="98" s="1"/>
  <c r="AD109" i="98" a="1"/>
  <c r="AD109" i="98" s="1"/>
  <c r="AC109" i="98" a="1"/>
  <c r="AC109" i="98" s="1"/>
  <c r="AB109" i="98" a="1"/>
  <c r="AB109" i="98" s="1"/>
  <c r="AA109" i="98" a="1"/>
  <c r="AA109" i="98" s="1"/>
  <c r="Z109" i="98" a="1"/>
  <c r="Z109" i="98" s="1"/>
  <c r="Y109" i="98" a="1"/>
  <c r="Y109" i="98" s="1"/>
  <c r="X109" i="98" a="1"/>
  <c r="X109" i="98" s="1"/>
  <c r="W109" i="98" a="1"/>
  <c r="W109" i="98" s="1"/>
  <c r="V109" i="98" a="1"/>
  <c r="V109" i="98" s="1"/>
  <c r="U109" i="98" a="1"/>
  <c r="U109" i="98" s="1"/>
  <c r="T109" i="98" a="1"/>
  <c r="T109" i="98" s="1"/>
  <c r="S109" i="98" a="1"/>
  <c r="S109" i="98" s="1"/>
  <c r="R109" i="98" a="1"/>
  <c r="R109" i="98" s="1"/>
  <c r="Q109" i="98" a="1"/>
  <c r="Q109" i="98" s="1"/>
  <c r="P109" i="98" a="1"/>
  <c r="P109" i="98" s="1"/>
  <c r="O109" i="98" a="1"/>
  <c r="O109" i="98" s="1"/>
  <c r="N109" i="98" a="1"/>
  <c r="N109" i="98" s="1"/>
  <c r="M109" i="98" a="1"/>
  <c r="M109" i="98" s="1"/>
  <c r="L109" i="98" a="1"/>
  <c r="L109" i="98" s="1"/>
  <c r="K109" i="98" a="1"/>
  <c r="K109" i="98" s="1"/>
  <c r="J109" i="98" a="1"/>
  <c r="J109" i="98" s="1"/>
  <c r="I109" i="98" a="1"/>
  <c r="I109" i="98" s="1"/>
  <c r="H109" i="98" a="1"/>
  <c r="H109" i="98" s="1"/>
  <c r="G109" i="98" a="1"/>
  <c r="G109" i="98" s="1"/>
  <c r="F109" i="98" a="1"/>
  <c r="F109" i="98" s="1"/>
  <c r="E109" i="98" a="1"/>
  <c r="E109" i="98" s="1"/>
  <c r="D109" i="98" a="1"/>
  <c r="D109" i="98" s="1"/>
  <c r="AE108" i="98" a="1"/>
  <c r="AE108" i="98" s="1"/>
  <c r="AD108" i="98" a="1"/>
  <c r="AD108" i="98" s="1"/>
  <c r="AC108" i="98" a="1"/>
  <c r="AC108" i="98" s="1"/>
  <c r="AB108" i="98" a="1"/>
  <c r="AB108" i="98" s="1"/>
  <c r="AA108" i="98" a="1"/>
  <c r="AA108" i="98" s="1"/>
  <c r="Z108" i="98" a="1"/>
  <c r="Z108" i="98" s="1"/>
  <c r="Y108" i="98" a="1"/>
  <c r="Y108" i="98" s="1"/>
  <c r="X108" i="98" a="1"/>
  <c r="X108" i="98" s="1"/>
  <c r="W108" i="98" a="1"/>
  <c r="W108" i="98" s="1"/>
  <c r="V108" i="98" a="1"/>
  <c r="V108" i="98" s="1"/>
  <c r="U108" i="98" a="1"/>
  <c r="U108" i="98" s="1"/>
  <c r="T108" i="98" a="1"/>
  <c r="T108" i="98" s="1"/>
  <c r="S108" i="98" a="1"/>
  <c r="S108" i="98" s="1"/>
  <c r="R108" i="98" a="1"/>
  <c r="R108" i="98" s="1"/>
  <c r="Q108" i="98" a="1"/>
  <c r="Q108" i="98" s="1"/>
  <c r="P108" i="98" a="1"/>
  <c r="P108" i="98" s="1"/>
  <c r="O108" i="98" a="1"/>
  <c r="O108" i="98" s="1"/>
  <c r="N108" i="98" a="1"/>
  <c r="N108" i="98" s="1"/>
  <c r="M108" i="98" a="1"/>
  <c r="M108" i="98" s="1"/>
  <c r="L108" i="98" a="1"/>
  <c r="L108" i="98" s="1"/>
  <c r="K108" i="98" a="1"/>
  <c r="K108" i="98" s="1"/>
  <c r="J108" i="98" a="1"/>
  <c r="J108" i="98" s="1"/>
  <c r="I108" i="98" a="1"/>
  <c r="I108" i="98" s="1"/>
  <c r="H108" i="98" a="1"/>
  <c r="H108" i="98" s="1"/>
  <c r="G108" i="98" a="1"/>
  <c r="G108" i="98" s="1"/>
  <c r="F108" i="98" a="1"/>
  <c r="F108" i="98" s="1"/>
  <c r="E108" i="98" a="1"/>
  <c r="E108" i="98" s="1"/>
  <c r="D108" i="98" a="1"/>
  <c r="D108" i="98" s="1"/>
  <c r="AE107" i="98" a="1"/>
  <c r="AE107" i="98" s="1"/>
  <c r="AD107" i="98" a="1"/>
  <c r="AD107" i="98" s="1"/>
  <c r="AC107" i="98" a="1"/>
  <c r="AC107" i="98" s="1"/>
  <c r="AB107" i="98" a="1"/>
  <c r="AB107" i="98" s="1"/>
  <c r="AA107" i="98" a="1"/>
  <c r="AA107" i="98" s="1"/>
  <c r="Z107" i="98" a="1"/>
  <c r="Z107" i="98" s="1"/>
  <c r="Y107" i="98" a="1"/>
  <c r="Y107" i="98" s="1"/>
  <c r="X107" i="98" a="1"/>
  <c r="X107" i="98" s="1"/>
  <c r="W107" i="98" a="1"/>
  <c r="W107" i="98" s="1"/>
  <c r="V107" i="98" a="1"/>
  <c r="V107" i="98" s="1"/>
  <c r="U107" i="98" a="1"/>
  <c r="U107" i="98" s="1"/>
  <c r="T107" i="98" a="1"/>
  <c r="T107" i="98" s="1"/>
  <c r="S107" i="98" a="1"/>
  <c r="S107" i="98" s="1"/>
  <c r="R107" i="98" a="1"/>
  <c r="R107" i="98" s="1"/>
  <c r="Q107" i="98" a="1"/>
  <c r="Q107" i="98" s="1"/>
  <c r="P107" i="98" a="1"/>
  <c r="P107" i="98" s="1"/>
  <c r="O107" i="98" a="1"/>
  <c r="O107" i="98" s="1"/>
  <c r="N107" i="98" a="1"/>
  <c r="N107" i="98" s="1"/>
  <c r="M107" i="98" a="1"/>
  <c r="M107" i="98" s="1"/>
  <c r="L107" i="98" a="1"/>
  <c r="L107" i="98" s="1"/>
  <c r="K107" i="98" a="1"/>
  <c r="K107" i="98" s="1"/>
  <c r="J107" i="98" a="1"/>
  <c r="J107" i="98" s="1"/>
  <c r="I107" i="98" a="1"/>
  <c r="I107" i="98" s="1"/>
  <c r="H107" i="98" a="1"/>
  <c r="H107" i="98" s="1"/>
  <c r="G107" i="98" a="1"/>
  <c r="G107" i="98" s="1"/>
  <c r="F107" i="98" a="1"/>
  <c r="F107" i="98" s="1"/>
  <c r="E107" i="98" a="1"/>
  <c r="E107" i="98" s="1"/>
  <c r="D107" i="98" a="1"/>
  <c r="D107" i="98" s="1"/>
  <c r="AE106" i="98" a="1"/>
  <c r="AE106" i="98" s="1"/>
  <c r="AD106" i="98" a="1"/>
  <c r="AD106" i="98" s="1"/>
  <c r="AC106" i="98" a="1"/>
  <c r="AC106" i="98" s="1"/>
  <c r="AB106" i="98" a="1"/>
  <c r="AB106" i="98" s="1"/>
  <c r="AA106" i="98" a="1"/>
  <c r="AA106" i="98" s="1"/>
  <c r="Z106" i="98" a="1"/>
  <c r="Z106" i="98" s="1"/>
  <c r="Y106" i="98" a="1"/>
  <c r="Y106" i="98" s="1"/>
  <c r="X106" i="98" a="1"/>
  <c r="X106" i="98" s="1"/>
  <c r="W106" i="98" a="1"/>
  <c r="W106" i="98" s="1"/>
  <c r="V106" i="98" a="1"/>
  <c r="V106" i="98" s="1"/>
  <c r="U106" i="98" a="1"/>
  <c r="U106" i="98" s="1"/>
  <c r="T106" i="98" a="1"/>
  <c r="T106" i="98" s="1"/>
  <c r="S106" i="98" a="1"/>
  <c r="S106" i="98" s="1"/>
  <c r="R106" i="98" a="1"/>
  <c r="R106" i="98" s="1"/>
  <c r="Q106" i="98" a="1"/>
  <c r="Q106" i="98" s="1"/>
  <c r="P106" i="98" a="1"/>
  <c r="P106" i="98" s="1"/>
  <c r="O106" i="98" a="1"/>
  <c r="O106" i="98" s="1"/>
  <c r="N106" i="98" a="1"/>
  <c r="N106" i="98" s="1"/>
  <c r="M106" i="98" a="1"/>
  <c r="M106" i="98" s="1"/>
  <c r="L106" i="98" a="1"/>
  <c r="L106" i="98" s="1"/>
  <c r="K106" i="98" a="1"/>
  <c r="K106" i="98" s="1"/>
  <c r="J106" i="98" a="1"/>
  <c r="J106" i="98" s="1"/>
  <c r="I106" i="98" a="1"/>
  <c r="I106" i="98" s="1"/>
  <c r="H106" i="98" a="1"/>
  <c r="H106" i="98" s="1"/>
  <c r="G106" i="98" a="1"/>
  <c r="G106" i="98" s="1"/>
  <c r="F106" i="98" a="1"/>
  <c r="F106" i="98" s="1"/>
  <c r="E106" i="98" a="1"/>
  <c r="E106" i="98" s="1"/>
  <c r="D106" i="98" a="1"/>
  <c r="D106" i="98" s="1"/>
  <c r="AE105" i="98" a="1"/>
  <c r="AE105" i="98" s="1"/>
  <c r="AD105" i="98" a="1"/>
  <c r="AD105" i="98" s="1"/>
  <c r="AC105" i="98" a="1"/>
  <c r="AC105" i="98" s="1"/>
  <c r="AB105" i="98" a="1"/>
  <c r="AB105" i="98" s="1"/>
  <c r="AA105" i="98" a="1"/>
  <c r="AA105" i="98" s="1"/>
  <c r="Z105" i="98" a="1"/>
  <c r="Z105" i="98" s="1"/>
  <c r="Y105" i="98" a="1"/>
  <c r="Y105" i="98" s="1"/>
  <c r="X105" i="98" a="1"/>
  <c r="X105" i="98" s="1"/>
  <c r="W105" i="98" a="1"/>
  <c r="W105" i="98" s="1"/>
  <c r="V105" i="98" a="1"/>
  <c r="V105" i="98" s="1"/>
  <c r="U105" i="98" a="1"/>
  <c r="U105" i="98" s="1"/>
  <c r="T105" i="98" a="1"/>
  <c r="T105" i="98" s="1"/>
  <c r="S105" i="98" a="1"/>
  <c r="S105" i="98" s="1"/>
  <c r="R105" i="98" a="1"/>
  <c r="R105" i="98" s="1"/>
  <c r="Q105" i="98" a="1"/>
  <c r="Q105" i="98" s="1"/>
  <c r="P105" i="98" a="1"/>
  <c r="P105" i="98" s="1"/>
  <c r="O105" i="98" a="1"/>
  <c r="O105" i="98" s="1"/>
  <c r="N105" i="98" a="1"/>
  <c r="N105" i="98" s="1"/>
  <c r="M105" i="98" a="1"/>
  <c r="M105" i="98" s="1"/>
  <c r="L105" i="98" a="1"/>
  <c r="L105" i="98" s="1"/>
  <c r="K105" i="98" a="1"/>
  <c r="K105" i="98" s="1"/>
  <c r="J105" i="98" a="1"/>
  <c r="J105" i="98" s="1"/>
  <c r="I105" i="98" a="1"/>
  <c r="I105" i="98" s="1"/>
  <c r="H105" i="98" a="1"/>
  <c r="H105" i="98" s="1"/>
  <c r="G105" i="98" a="1"/>
  <c r="G105" i="98" s="1"/>
  <c r="F105" i="98" a="1"/>
  <c r="F105" i="98" s="1"/>
  <c r="E105" i="98" a="1"/>
  <c r="E105" i="98" s="1"/>
  <c r="D105" i="98" a="1"/>
  <c r="D105" i="98" s="1"/>
  <c r="AE104" i="98" a="1"/>
  <c r="AE104" i="98" s="1"/>
  <c r="AD104" i="98" a="1"/>
  <c r="AD104" i="98" s="1"/>
  <c r="AC104" i="98" a="1"/>
  <c r="AC104" i="98" s="1"/>
  <c r="AB104" i="98" a="1"/>
  <c r="AB104" i="98" s="1"/>
  <c r="AA104" i="98" a="1"/>
  <c r="AA104" i="98" s="1"/>
  <c r="Z104" i="98" a="1"/>
  <c r="Z104" i="98" s="1"/>
  <c r="Y104" i="98" a="1"/>
  <c r="Y104" i="98" s="1"/>
  <c r="X104" i="98" a="1"/>
  <c r="X104" i="98" s="1"/>
  <c r="W104" i="98" a="1"/>
  <c r="W104" i="98" s="1"/>
  <c r="V104" i="98" a="1"/>
  <c r="V104" i="98" s="1"/>
  <c r="U104" i="98" a="1"/>
  <c r="U104" i="98" s="1"/>
  <c r="T104" i="98" a="1"/>
  <c r="T104" i="98" s="1"/>
  <c r="S104" i="98" a="1"/>
  <c r="S104" i="98" s="1"/>
  <c r="R104" i="98" a="1"/>
  <c r="R104" i="98" s="1"/>
  <c r="Q104" i="98" a="1"/>
  <c r="Q104" i="98" s="1"/>
  <c r="P104" i="98" a="1"/>
  <c r="P104" i="98" s="1"/>
  <c r="O104" i="98" a="1"/>
  <c r="O104" i="98" s="1"/>
  <c r="N104" i="98" a="1"/>
  <c r="N104" i="98" s="1"/>
  <c r="M104" i="98" a="1"/>
  <c r="M104" i="98" s="1"/>
  <c r="L104" i="98" a="1"/>
  <c r="L104" i="98" s="1"/>
  <c r="K104" i="98" a="1"/>
  <c r="K104" i="98" s="1"/>
  <c r="J104" i="98" a="1"/>
  <c r="J104" i="98" s="1"/>
  <c r="I104" i="98" a="1"/>
  <c r="I104" i="98" s="1"/>
  <c r="H104" i="98" a="1"/>
  <c r="H104" i="98" s="1"/>
  <c r="G104" i="98" a="1"/>
  <c r="G104" i="98" s="1"/>
  <c r="F104" i="98" a="1"/>
  <c r="F104" i="98" s="1"/>
  <c r="E104" i="98" a="1"/>
  <c r="E104" i="98" s="1"/>
  <c r="D104" i="98" a="1"/>
  <c r="D104" i="98" s="1"/>
  <c r="AE103" i="98" a="1"/>
  <c r="AE103" i="98" s="1"/>
  <c r="AD103" i="98" a="1"/>
  <c r="AD103" i="98" s="1"/>
  <c r="AC103" i="98" a="1"/>
  <c r="AC103" i="98" s="1"/>
  <c r="AB103" i="98" a="1"/>
  <c r="AB103" i="98" s="1"/>
  <c r="AA103" i="98" a="1"/>
  <c r="AA103" i="98" s="1"/>
  <c r="Z103" i="98" a="1"/>
  <c r="Z103" i="98" s="1"/>
  <c r="Y103" i="98" a="1"/>
  <c r="Y103" i="98" s="1"/>
  <c r="X103" i="98" a="1"/>
  <c r="X103" i="98" s="1"/>
  <c r="W103" i="98" a="1"/>
  <c r="W103" i="98" s="1"/>
  <c r="V103" i="98" a="1"/>
  <c r="V103" i="98" s="1"/>
  <c r="U103" i="98" a="1"/>
  <c r="U103" i="98" s="1"/>
  <c r="T103" i="98" a="1"/>
  <c r="T103" i="98" s="1"/>
  <c r="S103" i="98" a="1"/>
  <c r="S103" i="98" s="1"/>
  <c r="R103" i="98" a="1"/>
  <c r="R103" i="98" s="1"/>
  <c r="Q103" i="98" a="1"/>
  <c r="Q103" i="98" s="1"/>
  <c r="P103" i="98" a="1"/>
  <c r="P103" i="98" s="1"/>
  <c r="O103" i="98" a="1"/>
  <c r="O103" i="98" s="1"/>
  <c r="N103" i="98" a="1"/>
  <c r="N103" i="98" s="1"/>
  <c r="M103" i="98" a="1"/>
  <c r="M103" i="98" s="1"/>
  <c r="L103" i="98" a="1"/>
  <c r="L103" i="98" s="1"/>
  <c r="K103" i="98" a="1"/>
  <c r="K103" i="98" s="1"/>
  <c r="J103" i="98" a="1"/>
  <c r="J103" i="98" s="1"/>
  <c r="I103" i="98" a="1"/>
  <c r="I103" i="98" s="1"/>
  <c r="H103" i="98" a="1"/>
  <c r="H103" i="98" s="1"/>
  <c r="G103" i="98" a="1"/>
  <c r="G103" i="98" s="1"/>
  <c r="F103" i="98" a="1"/>
  <c r="F103" i="98" s="1"/>
  <c r="E103" i="98" a="1"/>
  <c r="E103" i="98" s="1"/>
  <c r="D103" i="98" a="1"/>
  <c r="D103" i="98" s="1"/>
  <c r="AE102" i="98" a="1"/>
  <c r="AE102" i="98" s="1"/>
  <c r="AD102" i="98" a="1"/>
  <c r="AD102" i="98" s="1"/>
  <c r="AC102" i="98" a="1"/>
  <c r="AC102" i="98" s="1"/>
  <c r="AB102" i="98" a="1"/>
  <c r="AB102" i="98" s="1"/>
  <c r="AA102" i="98" a="1"/>
  <c r="AA102" i="98" s="1"/>
  <c r="Z102" i="98" a="1"/>
  <c r="Z102" i="98" s="1"/>
  <c r="Y102" i="98" a="1"/>
  <c r="Y102" i="98" s="1"/>
  <c r="X102" i="98" a="1"/>
  <c r="X102" i="98" s="1"/>
  <c r="W102" i="98" a="1"/>
  <c r="W102" i="98" s="1"/>
  <c r="V102" i="98" a="1"/>
  <c r="V102" i="98" s="1"/>
  <c r="U102" i="98" a="1"/>
  <c r="U102" i="98" s="1"/>
  <c r="T102" i="98" a="1"/>
  <c r="T102" i="98" s="1"/>
  <c r="S102" i="98" a="1"/>
  <c r="S102" i="98" s="1"/>
  <c r="R102" i="98" a="1"/>
  <c r="R102" i="98" s="1"/>
  <c r="Q102" i="98" a="1"/>
  <c r="Q102" i="98" s="1"/>
  <c r="P102" i="98" a="1"/>
  <c r="P102" i="98" s="1"/>
  <c r="O102" i="98" a="1"/>
  <c r="O102" i="98" s="1"/>
  <c r="N102" i="98" a="1"/>
  <c r="N102" i="98" s="1"/>
  <c r="M102" i="98" a="1"/>
  <c r="M102" i="98" s="1"/>
  <c r="L102" i="98" a="1"/>
  <c r="L102" i="98" s="1"/>
  <c r="K102" i="98" a="1"/>
  <c r="K102" i="98" s="1"/>
  <c r="J102" i="98" a="1"/>
  <c r="J102" i="98" s="1"/>
  <c r="I102" i="98" a="1"/>
  <c r="I102" i="98" s="1"/>
  <c r="H102" i="98" a="1"/>
  <c r="H102" i="98" s="1"/>
  <c r="G102" i="98" a="1"/>
  <c r="G102" i="98" s="1"/>
  <c r="F102" i="98" a="1"/>
  <c r="F102" i="98" s="1"/>
  <c r="E102" i="98" a="1"/>
  <c r="E102" i="98" s="1"/>
  <c r="D102" i="98" a="1"/>
  <c r="D102" i="98" s="1"/>
  <c r="AE101" i="98" a="1"/>
  <c r="AE101" i="98" s="1"/>
  <c r="AD101" i="98" a="1"/>
  <c r="AD101" i="98" s="1"/>
  <c r="AC101" i="98" a="1"/>
  <c r="AC101" i="98" s="1"/>
  <c r="AB101" i="98" a="1"/>
  <c r="AB101" i="98" s="1"/>
  <c r="AA101" i="98" a="1"/>
  <c r="AA101" i="98" s="1"/>
  <c r="Z101" i="98" a="1"/>
  <c r="Z101" i="98" s="1"/>
  <c r="Y101" i="98" a="1"/>
  <c r="Y101" i="98" s="1"/>
  <c r="X101" i="98" a="1"/>
  <c r="X101" i="98" s="1"/>
  <c r="W101" i="98" a="1"/>
  <c r="W101" i="98" s="1"/>
  <c r="V101" i="98" a="1"/>
  <c r="V101" i="98" s="1"/>
  <c r="U101" i="98" a="1"/>
  <c r="U101" i="98" s="1"/>
  <c r="T101" i="98" a="1"/>
  <c r="T101" i="98" s="1"/>
  <c r="S101" i="98" a="1"/>
  <c r="S101" i="98" s="1"/>
  <c r="R101" i="98" a="1"/>
  <c r="R101" i="98" s="1"/>
  <c r="Q101" i="98" a="1"/>
  <c r="Q101" i="98" s="1"/>
  <c r="P101" i="98" a="1"/>
  <c r="P101" i="98" s="1"/>
  <c r="O101" i="98" a="1"/>
  <c r="O101" i="98" s="1"/>
  <c r="N101" i="98" a="1"/>
  <c r="N101" i="98" s="1"/>
  <c r="M101" i="98" a="1"/>
  <c r="M101" i="98" s="1"/>
  <c r="L101" i="98" a="1"/>
  <c r="L101" i="98" s="1"/>
  <c r="K101" i="98" a="1"/>
  <c r="K101" i="98" s="1"/>
  <c r="J101" i="98" a="1"/>
  <c r="J101" i="98" s="1"/>
  <c r="I101" i="98" a="1"/>
  <c r="I101" i="98" s="1"/>
  <c r="H101" i="98" a="1"/>
  <c r="H101" i="98" s="1"/>
  <c r="G101" i="98" a="1"/>
  <c r="G101" i="98" s="1"/>
  <c r="F101" i="98" a="1"/>
  <c r="F101" i="98" s="1"/>
  <c r="E101" i="98" a="1"/>
  <c r="E101" i="98" s="1"/>
  <c r="D101" i="98" a="1"/>
  <c r="D101" i="98" s="1"/>
  <c r="AE100" i="98" a="1"/>
  <c r="AE100" i="98" s="1"/>
  <c r="AD100" i="98" a="1"/>
  <c r="AD100" i="98" s="1"/>
  <c r="AC100" i="98" a="1"/>
  <c r="AC100" i="98" s="1"/>
  <c r="AB100" i="98" a="1"/>
  <c r="AB100" i="98" s="1"/>
  <c r="AA100" i="98" a="1"/>
  <c r="AA100" i="98" s="1"/>
  <c r="Z100" i="98" a="1"/>
  <c r="Z100" i="98" s="1"/>
  <c r="Y100" i="98" a="1"/>
  <c r="Y100" i="98" s="1"/>
  <c r="X100" i="98" a="1"/>
  <c r="X100" i="98" s="1"/>
  <c r="W100" i="98" a="1"/>
  <c r="W100" i="98" s="1"/>
  <c r="V100" i="98" a="1"/>
  <c r="V100" i="98" s="1"/>
  <c r="U100" i="98" a="1"/>
  <c r="U100" i="98" s="1"/>
  <c r="T100" i="98" a="1"/>
  <c r="T100" i="98" s="1"/>
  <c r="S100" i="98" a="1"/>
  <c r="S100" i="98" s="1"/>
  <c r="R100" i="98" a="1"/>
  <c r="R100" i="98" s="1"/>
  <c r="Q100" i="98" a="1"/>
  <c r="Q100" i="98" s="1"/>
  <c r="P100" i="98" a="1"/>
  <c r="P100" i="98" s="1"/>
  <c r="O100" i="98" a="1"/>
  <c r="O100" i="98" s="1"/>
  <c r="N100" i="98" a="1"/>
  <c r="N100" i="98" s="1"/>
  <c r="M100" i="98" a="1"/>
  <c r="M100" i="98" s="1"/>
  <c r="L100" i="98" a="1"/>
  <c r="L100" i="98" s="1"/>
  <c r="K100" i="98" a="1"/>
  <c r="K100" i="98" s="1"/>
  <c r="J100" i="98" a="1"/>
  <c r="J100" i="98" s="1"/>
  <c r="I100" i="98" a="1"/>
  <c r="I100" i="98" s="1"/>
  <c r="H100" i="98" a="1"/>
  <c r="H100" i="98" s="1"/>
  <c r="G100" i="98" a="1"/>
  <c r="G100" i="98" s="1"/>
  <c r="F100" i="98" a="1"/>
  <c r="F100" i="98" s="1"/>
  <c r="E100" i="98" a="1"/>
  <c r="E100" i="98" s="1"/>
  <c r="D100" i="98" a="1"/>
  <c r="D100" i="98" s="1"/>
  <c r="AE99" i="98" a="1"/>
  <c r="AE99" i="98" s="1"/>
  <c r="AD99" i="98" a="1"/>
  <c r="AD99" i="98" s="1"/>
  <c r="AC99" i="98" a="1"/>
  <c r="AC99" i="98" s="1"/>
  <c r="AB99" i="98" a="1"/>
  <c r="AB99" i="98" s="1"/>
  <c r="AA99" i="98" a="1"/>
  <c r="AA99" i="98" s="1"/>
  <c r="Z99" i="98" a="1"/>
  <c r="Z99" i="98" s="1"/>
  <c r="Y99" i="98" a="1"/>
  <c r="Y99" i="98" s="1"/>
  <c r="X99" i="98" a="1"/>
  <c r="X99" i="98" s="1"/>
  <c r="W99" i="98" a="1"/>
  <c r="W99" i="98" s="1"/>
  <c r="V99" i="98" a="1"/>
  <c r="V99" i="98" s="1"/>
  <c r="U99" i="98" a="1"/>
  <c r="U99" i="98" s="1"/>
  <c r="T99" i="98" a="1"/>
  <c r="T99" i="98" s="1"/>
  <c r="S99" i="98" a="1"/>
  <c r="S99" i="98" s="1"/>
  <c r="R99" i="98" a="1"/>
  <c r="R99" i="98" s="1"/>
  <c r="Q99" i="98" a="1"/>
  <c r="Q99" i="98" s="1"/>
  <c r="P99" i="98" a="1"/>
  <c r="P99" i="98" s="1"/>
  <c r="O99" i="98" a="1"/>
  <c r="O99" i="98" s="1"/>
  <c r="N99" i="98" a="1"/>
  <c r="N99" i="98" s="1"/>
  <c r="M99" i="98" a="1"/>
  <c r="M99" i="98" s="1"/>
  <c r="L99" i="98" a="1"/>
  <c r="L99" i="98" s="1"/>
  <c r="K99" i="98" a="1"/>
  <c r="K99" i="98" s="1"/>
  <c r="J99" i="98" a="1"/>
  <c r="J99" i="98" s="1"/>
  <c r="I99" i="98" a="1"/>
  <c r="I99" i="98" s="1"/>
  <c r="H99" i="98" a="1"/>
  <c r="H99" i="98" s="1"/>
  <c r="G99" i="98" a="1"/>
  <c r="G99" i="98" s="1"/>
  <c r="F99" i="98" a="1"/>
  <c r="F99" i="98" s="1"/>
  <c r="E99" i="98" a="1"/>
  <c r="E99" i="98" s="1"/>
  <c r="D99" i="98" a="1"/>
  <c r="D99" i="98" s="1"/>
  <c r="AE98" i="98" a="1"/>
  <c r="AE98" i="98" s="1"/>
  <c r="AD98" i="98" a="1"/>
  <c r="AD98" i="98" s="1"/>
  <c r="AC98" i="98" a="1"/>
  <c r="AC98" i="98" s="1"/>
  <c r="AB98" i="98" a="1"/>
  <c r="AB98" i="98" s="1"/>
  <c r="AA98" i="98" a="1"/>
  <c r="AA98" i="98" s="1"/>
  <c r="Z98" i="98" a="1"/>
  <c r="Z98" i="98" s="1"/>
  <c r="Y98" i="98" a="1"/>
  <c r="Y98" i="98" s="1"/>
  <c r="X98" i="98" a="1"/>
  <c r="X98" i="98" s="1"/>
  <c r="W98" i="98" a="1"/>
  <c r="W98" i="98" s="1"/>
  <c r="V98" i="98" a="1"/>
  <c r="V98" i="98" s="1"/>
  <c r="U98" i="98" a="1"/>
  <c r="U98" i="98" s="1"/>
  <c r="T98" i="98" a="1"/>
  <c r="T98" i="98" s="1"/>
  <c r="S98" i="98" a="1"/>
  <c r="S98" i="98" s="1"/>
  <c r="R98" i="98" a="1"/>
  <c r="R98" i="98" s="1"/>
  <c r="Q98" i="98" a="1"/>
  <c r="Q98" i="98" s="1"/>
  <c r="P98" i="98" a="1"/>
  <c r="P98" i="98" s="1"/>
  <c r="O98" i="98" a="1"/>
  <c r="O98" i="98" s="1"/>
  <c r="N98" i="98" a="1"/>
  <c r="N98" i="98" s="1"/>
  <c r="M98" i="98" a="1"/>
  <c r="M98" i="98" s="1"/>
  <c r="L98" i="98" a="1"/>
  <c r="L98" i="98" s="1"/>
  <c r="K98" i="98" a="1"/>
  <c r="K98" i="98" s="1"/>
  <c r="J98" i="98" a="1"/>
  <c r="J98" i="98" s="1"/>
  <c r="I98" i="98" a="1"/>
  <c r="I98" i="98" s="1"/>
  <c r="H98" i="98" a="1"/>
  <c r="H98" i="98" s="1"/>
  <c r="G98" i="98" a="1"/>
  <c r="G98" i="98" s="1"/>
  <c r="F98" i="98" a="1"/>
  <c r="F98" i="98" s="1"/>
  <c r="E98" i="98" a="1"/>
  <c r="E98" i="98" s="1"/>
  <c r="D98" i="98" a="1"/>
  <c r="D98" i="98" s="1"/>
  <c r="AE97" i="98" a="1"/>
  <c r="AE97" i="98" s="1"/>
  <c r="AD97" i="98" a="1"/>
  <c r="AD97" i="98" s="1"/>
  <c r="AC97" i="98" a="1"/>
  <c r="AC97" i="98" s="1"/>
  <c r="AB97" i="98" a="1"/>
  <c r="AB97" i="98" s="1"/>
  <c r="AA97" i="98" a="1"/>
  <c r="AA97" i="98" s="1"/>
  <c r="Z97" i="98" a="1"/>
  <c r="Z97" i="98" s="1"/>
  <c r="Y97" i="98" a="1"/>
  <c r="Y97" i="98" s="1"/>
  <c r="X97" i="98" a="1"/>
  <c r="X97" i="98" s="1"/>
  <c r="W97" i="98" a="1"/>
  <c r="W97" i="98" s="1"/>
  <c r="V97" i="98" a="1"/>
  <c r="V97" i="98" s="1"/>
  <c r="U97" i="98" a="1"/>
  <c r="U97" i="98" s="1"/>
  <c r="T97" i="98" a="1"/>
  <c r="T97" i="98" s="1"/>
  <c r="S97" i="98" a="1"/>
  <c r="S97" i="98" s="1"/>
  <c r="R97" i="98" a="1"/>
  <c r="R97" i="98" s="1"/>
  <c r="Q97" i="98" a="1"/>
  <c r="Q97" i="98" s="1"/>
  <c r="P97" i="98" a="1"/>
  <c r="P97" i="98" s="1"/>
  <c r="O97" i="98" a="1"/>
  <c r="O97" i="98" s="1"/>
  <c r="N97" i="98" a="1"/>
  <c r="N97" i="98" s="1"/>
  <c r="M97" i="98" a="1"/>
  <c r="M97" i="98" s="1"/>
  <c r="L97" i="98" a="1"/>
  <c r="L97" i="98" s="1"/>
  <c r="K97" i="98" a="1"/>
  <c r="K97" i="98" s="1"/>
  <c r="J97" i="98" a="1"/>
  <c r="J97" i="98" s="1"/>
  <c r="I97" i="98" a="1"/>
  <c r="I97" i="98" s="1"/>
  <c r="H97" i="98" a="1"/>
  <c r="H97" i="98" s="1"/>
  <c r="G97" i="98" a="1"/>
  <c r="G97" i="98" s="1"/>
  <c r="F97" i="98" a="1"/>
  <c r="F97" i="98" s="1"/>
  <c r="E97" i="98" a="1"/>
  <c r="E97" i="98" s="1"/>
  <c r="D97" i="98" a="1"/>
  <c r="D97" i="98" s="1"/>
  <c r="AE96" i="98" a="1"/>
  <c r="AE96" i="98" s="1"/>
  <c r="AD96" i="98" a="1"/>
  <c r="AD96" i="98" s="1"/>
  <c r="AC96" i="98" a="1"/>
  <c r="AC96" i="98" s="1"/>
  <c r="AB96" i="98" a="1"/>
  <c r="AB96" i="98" s="1"/>
  <c r="AA96" i="98" a="1"/>
  <c r="AA96" i="98" s="1"/>
  <c r="Z96" i="98" a="1"/>
  <c r="Z96" i="98" s="1"/>
  <c r="Y96" i="98" a="1"/>
  <c r="Y96" i="98" s="1"/>
  <c r="X96" i="98" a="1"/>
  <c r="X96" i="98" s="1"/>
  <c r="W96" i="98" a="1"/>
  <c r="W96" i="98" s="1"/>
  <c r="V96" i="98" a="1"/>
  <c r="V96" i="98" s="1"/>
  <c r="U96" i="98" a="1"/>
  <c r="U96" i="98" s="1"/>
  <c r="T96" i="98" a="1"/>
  <c r="T96" i="98" s="1"/>
  <c r="S96" i="98" a="1"/>
  <c r="S96" i="98" s="1"/>
  <c r="R96" i="98" a="1"/>
  <c r="R96" i="98" s="1"/>
  <c r="Q96" i="98" a="1"/>
  <c r="Q96" i="98" s="1"/>
  <c r="P96" i="98" a="1"/>
  <c r="P96" i="98" s="1"/>
  <c r="O96" i="98" a="1"/>
  <c r="O96" i="98" s="1"/>
  <c r="N96" i="98" a="1"/>
  <c r="N96" i="98" s="1"/>
  <c r="M96" i="98" a="1"/>
  <c r="M96" i="98" s="1"/>
  <c r="L96" i="98" a="1"/>
  <c r="L96" i="98" s="1"/>
  <c r="K96" i="98" a="1"/>
  <c r="K96" i="98" s="1"/>
  <c r="J96" i="98" a="1"/>
  <c r="J96" i="98" s="1"/>
  <c r="I96" i="98" a="1"/>
  <c r="I96" i="98" s="1"/>
  <c r="H96" i="98" a="1"/>
  <c r="H96" i="98" s="1"/>
  <c r="G96" i="98" a="1"/>
  <c r="G96" i="98" s="1"/>
  <c r="F96" i="98" a="1"/>
  <c r="F96" i="98" s="1"/>
  <c r="E96" i="98" a="1"/>
  <c r="E96" i="98" s="1"/>
  <c r="D96" i="98" a="1"/>
  <c r="D96" i="98" s="1"/>
  <c r="AE95" i="98" a="1"/>
  <c r="AE95" i="98" s="1"/>
  <c r="AD95" i="98" a="1"/>
  <c r="AD95" i="98" s="1"/>
  <c r="AC95" i="98" a="1"/>
  <c r="AC95" i="98" s="1"/>
  <c r="AB95" i="98" a="1"/>
  <c r="AB95" i="98" s="1"/>
  <c r="AA95" i="98" a="1"/>
  <c r="AA95" i="98" s="1"/>
  <c r="Z95" i="98" a="1"/>
  <c r="Z95" i="98" s="1"/>
  <c r="Y95" i="98" a="1"/>
  <c r="Y95" i="98" s="1"/>
  <c r="X95" i="98" a="1"/>
  <c r="X95" i="98" s="1"/>
  <c r="W95" i="98" a="1"/>
  <c r="W95" i="98" s="1"/>
  <c r="V95" i="98" a="1"/>
  <c r="V95" i="98" s="1"/>
  <c r="U95" i="98" a="1"/>
  <c r="U95" i="98" s="1"/>
  <c r="T95" i="98" a="1"/>
  <c r="T95" i="98" s="1"/>
  <c r="S95" i="98" a="1"/>
  <c r="S95" i="98" s="1"/>
  <c r="R95" i="98" a="1"/>
  <c r="R95" i="98" s="1"/>
  <c r="Q95" i="98" a="1"/>
  <c r="Q95" i="98" s="1"/>
  <c r="P95" i="98" a="1"/>
  <c r="P95" i="98" s="1"/>
  <c r="O95" i="98" a="1"/>
  <c r="O95" i="98" s="1"/>
  <c r="N95" i="98" a="1"/>
  <c r="N95" i="98" s="1"/>
  <c r="M95" i="98" a="1"/>
  <c r="M95" i="98" s="1"/>
  <c r="L95" i="98" a="1"/>
  <c r="L95" i="98" s="1"/>
  <c r="K95" i="98" a="1"/>
  <c r="K95" i="98" s="1"/>
  <c r="J95" i="98" a="1"/>
  <c r="J95" i="98" s="1"/>
  <c r="I95" i="98" a="1"/>
  <c r="I95" i="98" s="1"/>
  <c r="H95" i="98" a="1"/>
  <c r="H95" i="98" s="1"/>
  <c r="G95" i="98" a="1"/>
  <c r="G95" i="98" s="1"/>
  <c r="F95" i="98" a="1"/>
  <c r="F95" i="98" s="1"/>
  <c r="E95" i="98" a="1"/>
  <c r="E95" i="98" s="1"/>
  <c r="D95" i="98" a="1"/>
  <c r="D95" i="98" s="1"/>
  <c r="AE94" i="98" a="1"/>
  <c r="AE94" i="98" s="1"/>
  <c r="AD94" i="98" a="1"/>
  <c r="AD94" i="98" s="1"/>
  <c r="AC94" i="98" a="1"/>
  <c r="AC94" i="98" s="1"/>
  <c r="AB94" i="98" a="1"/>
  <c r="AB94" i="98" s="1"/>
  <c r="AA94" i="98" a="1"/>
  <c r="AA94" i="98" s="1"/>
  <c r="Z94" i="98" a="1"/>
  <c r="Z94" i="98" s="1"/>
  <c r="Y94" i="98" a="1"/>
  <c r="Y94" i="98" s="1"/>
  <c r="X94" i="98" a="1"/>
  <c r="X94" i="98" s="1"/>
  <c r="W94" i="98" a="1"/>
  <c r="W94" i="98" s="1"/>
  <c r="V94" i="98" a="1"/>
  <c r="V94" i="98" s="1"/>
  <c r="U94" i="98" a="1"/>
  <c r="U94" i="98" s="1"/>
  <c r="T94" i="98" a="1"/>
  <c r="T94" i="98" s="1"/>
  <c r="S94" i="98" a="1"/>
  <c r="S94" i="98" s="1"/>
  <c r="R94" i="98" a="1"/>
  <c r="R94" i="98" s="1"/>
  <c r="Q94" i="98" a="1"/>
  <c r="Q94" i="98" s="1"/>
  <c r="P94" i="98" a="1"/>
  <c r="P94" i="98" s="1"/>
  <c r="O94" i="98" a="1"/>
  <c r="O94" i="98" s="1"/>
  <c r="N94" i="98" a="1"/>
  <c r="N94" i="98" s="1"/>
  <c r="M94" i="98" a="1"/>
  <c r="M94" i="98" s="1"/>
  <c r="L94" i="98" a="1"/>
  <c r="L94" i="98" s="1"/>
  <c r="K94" i="98" a="1"/>
  <c r="K94" i="98" s="1"/>
  <c r="J94" i="98" a="1"/>
  <c r="J94" i="98" s="1"/>
  <c r="I94" i="98" a="1"/>
  <c r="I94" i="98" s="1"/>
  <c r="H94" i="98" a="1"/>
  <c r="H94" i="98" s="1"/>
  <c r="G94" i="98" a="1"/>
  <c r="G94" i="98" s="1"/>
  <c r="F94" i="98" a="1"/>
  <c r="F94" i="98" s="1"/>
  <c r="E94" i="98" a="1"/>
  <c r="E94" i="98" s="1"/>
  <c r="D94" i="98" a="1"/>
  <c r="D94" i="98" s="1"/>
  <c r="AE93" i="98" a="1"/>
  <c r="AE93" i="98" s="1"/>
  <c r="AD93" i="98" a="1"/>
  <c r="AD93" i="98" s="1"/>
  <c r="AC93" i="98" a="1"/>
  <c r="AC93" i="98" s="1"/>
  <c r="AB93" i="98" a="1"/>
  <c r="AB93" i="98" s="1"/>
  <c r="AA93" i="98" a="1"/>
  <c r="AA93" i="98" s="1"/>
  <c r="Z93" i="98" a="1"/>
  <c r="Z93" i="98" s="1"/>
  <c r="Y93" i="98" a="1"/>
  <c r="Y93" i="98" s="1"/>
  <c r="X93" i="98" a="1"/>
  <c r="X93" i="98" s="1"/>
  <c r="W93" i="98" a="1"/>
  <c r="W93" i="98" s="1"/>
  <c r="V93" i="98" a="1"/>
  <c r="V93" i="98" s="1"/>
  <c r="U93" i="98" a="1"/>
  <c r="U93" i="98" s="1"/>
  <c r="T93" i="98" a="1"/>
  <c r="T93" i="98" s="1"/>
  <c r="S93" i="98" a="1"/>
  <c r="S93" i="98" s="1"/>
  <c r="R93" i="98" a="1"/>
  <c r="R93" i="98" s="1"/>
  <c r="Q93" i="98" a="1"/>
  <c r="Q93" i="98" s="1"/>
  <c r="P93" i="98" a="1"/>
  <c r="P93" i="98" s="1"/>
  <c r="O93" i="98" a="1"/>
  <c r="O93" i="98" s="1"/>
  <c r="N93" i="98" a="1"/>
  <c r="N93" i="98" s="1"/>
  <c r="M93" i="98" a="1"/>
  <c r="M93" i="98" s="1"/>
  <c r="L93" i="98" a="1"/>
  <c r="L93" i="98" s="1"/>
  <c r="K93" i="98" a="1"/>
  <c r="K93" i="98" s="1"/>
  <c r="J93" i="98" a="1"/>
  <c r="J93" i="98" s="1"/>
  <c r="I93" i="98" a="1"/>
  <c r="I93" i="98" s="1"/>
  <c r="H93" i="98" a="1"/>
  <c r="H93" i="98" s="1"/>
  <c r="G93" i="98" a="1"/>
  <c r="G93" i="98" s="1"/>
  <c r="F93" i="98" a="1"/>
  <c r="F93" i="98" s="1"/>
  <c r="E93" i="98" a="1"/>
  <c r="E93" i="98" s="1"/>
  <c r="D93" i="98" a="1"/>
  <c r="D93" i="98" s="1"/>
  <c r="AE92" i="98" a="1"/>
  <c r="AE92" i="98" s="1"/>
  <c r="AD92" i="98" a="1"/>
  <c r="AD92" i="98" s="1"/>
  <c r="AC92" i="98" a="1"/>
  <c r="AC92" i="98" s="1"/>
  <c r="AB92" i="98" a="1"/>
  <c r="AB92" i="98" s="1"/>
  <c r="AA92" i="98" a="1"/>
  <c r="AA92" i="98" s="1"/>
  <c r="Z92" i="98" a="1"/>
  <c r="Z92" i="98" s="1"/>
  <c r="Y92" i="98" a="1"/>
  <c r="Y92" i="98" s="1"/>
  <c r="X92" i="98" a="1"/>
  <c r="X92" i="98" s="1"/>
  <c r="W92" i="98" a="1"/>
  <c r="W92" i="98" s="1"/>
  <c r="V92" i="98" a="1"/>
  <c r="V92" i="98" s="1"/>
  <c r="U92" i="98" a="1"/>
  <c r="U92" i="98" s="1"/>
  <c r="T92" i="98" a="1"/>
  <c r="T92" i="98" s="1"/>
  <c r="S92" i="98" a="1"/>
  <c r="S92" i="98" s="1"/>
  <c r="R92" i="98" a="1"/>
  <c r="R92" i="98" s="1"/>
  <c r="Q92" i="98" a="1"/>
  <c r="Q92" i="98" s="1"/>
  <c r="P92" i="98" a="1"/>
  <c r="P92" i="98" s="1"/>
  <c r="O92" i="98" a="1"/>
  <c r="O92" i="98" s="1"/>
  <c r="N92" i="98" a="1"/>
  <c r="N92" i="98" s="1"/>
  <c r="M92" i="98" a="1"/>
  <c r="M92" i="98" s="1"/>
  <c r="L92" i="98" a="1"/>
  <c r="L92" i="98" s="1"/>
  <c r="K92" i="98" a="1"/>
  <c r="K92" i="98" s="1"/>
  <c r="J92" i="98" a="1"/>
  <c r="J92" i="98" s="1"/>
  <c r="I92" i="98" a="1"/>
  <c r="I92" i="98" s="1"/>
  <c r="H92" i="98" a="1"/>
  <c r="H92" i="98" s="1"/>
  <c r="G92" i="98" a="1"/>
  <c r="G92" i="98" s="1"/>
  <c r="F92" i="98" a="1"/>
  <c r="F92" i="98" s="1"/>
  <c r="E92" i="98" a="1"/>
  <c r="E92" i="98" s="1"/>
  <c r="D92" i="98" a="1"/>
  <c r="D92" i="98" s="1"/>
  <c r="AE91" i="98" a="1"/>
  <c r="AE91" i="98" s="1"/>
  <c r="AD91" i="98" a="1"/>
  <c r="AD91" i="98" s="1"/>
  <c r="AC91" i="98" a="1"/>
  <c r="AC91" i="98" s="1"/>
  <c r="AB91" i="98" a="1"/>
  <c r="AB91" i="98" s="1"/>
  <c r="AA91" i="98" a="1"/>
  <c r="AA91" i="98" s="1"/>
  <c r="Z91" i="98" a="1"/>
  <c r="Z91" i="98" s="1"/>
  <c r="Y91" i="98" a="1"/>
  <c r="Y91" i="98" s="1"/>
  <c r="X91" i="98" a="1"/>
  <c r="X91" i="98" s="1"/>
  <c r="W91" i="98" a="1"/>
  <c r="W91" i="98" s="1"/>
  <c r="V91" i="98" a="1"/>
  <c r="V91" i="98" s="1"/>
  <c r="U91" i="98" a="1"/>
  <c r="U91" i="98" s="1"/>
  <c r="T91" i="98" a="1"/>
  <c r="T91" i="98" s="1"/>
  <c r="S91" i="98" a="1"/>
  <c r="S91" i="98" s="1"/>
  <c r="R91" i="98" a="1"/>
  <c r="R91" i="98" s="1"/>
  <c r="Q91" i="98" a="1"/>
  <c r="Q91" i="98" s="1"/>
  <c r="P91" i="98" a="1"/>
  <c r="P91" i="98" s="1"/>
  <c r="O91" i="98" a="1"/>
  <c r="O91" i="98" s="1"/>
  <c r="N91" i="98" a="1"/>
  <c r="N91" i="98" s="1"/>
  <c r="M91" i="98" a="1"/>
  <c r="M91" i="98" s="1"/>
  <c r="L91" i="98" a="1"/>
  <c r="L91" i="98" s="1"/>
  <c r="K91" i="98" a="1"/>
  <c r="K91" i="98" s="1"/>
  <c r="J91" i="98" a="1"/>
  <c r="J91" i="98" s="1"/>
  <c r="I91" i="98" a="1"/>
  <c r="I91" i="98" s="1"/>
  <c r="H91" i="98" a="1"/>
  <c r="H91" i="98" s="1"/>
  <c r="G91" i="98" a="1"/>
  <c r="G91" i="98" s="1"/>
  <c r="F91" i="98" a="1"/>
  <c r="F91" i="98" s="1"/>
  <c r="E91" i="98" a="1"/>
  <c r="E91" i="98" s="1"/>
  <c r="D91" i="98" a="1"/>
  <c r="D91" i="98" s="1"/>
  <c r="AE90" i="98" a="1"/>
  <c r="AE90" i="98" s="1"/>
  <c r="AD90" i="98" a="1"/>
  <c r="AD90" i="98" s="1"/>
  <c r="AC90" i="98" a="1"/>
  <c r="AC90" i="98" s="1"/>
  <c r="AB90" i="98" a="1"/>
  <c r="AB90" i="98" s="1"/>
  <c r="AA90" i="98" a="1"/>
  <c r="AA90" i="98" s="1"/>
  <c r="Z90" i="98" a="1"/>
  <c r="Z90" i="98" s="1"/>
  <c r="Y90" i="98" a="1"/>
  <c r="Y90" i="98" s="1"/>
  <c r="X90" i="98" a="1"/>
  <c r="X90" i="98" s="1"/>
  <c r="W90" i="98" a="1"/>
  <c r="W90" i="98" s="1"/>
  <c r="V90" i="98" a="1"/>
  <c r="V90" i="98" s="1"/>
  <c r="U90" i="98" a="1"/>
  <c r="U90" i="98" s="1"/>
  <c r="T90" i="98" a="1"/>
  <c r="T90" i="98" s="1"/>
  <c r="S90" i="98" a="1"/>
  <c r="S90" i="98" s="1"/>
  <c r="R90" i="98" a="1"/>
  <c r="R90" i="98" s="1"/>
  <c r="Q90" i="98" a="1"/>
  <c r="Q90" i="98" s="1"/>
  <c r="P90" i="98" a="1"/>
  <c r="P90" i="98" s="1"/>
  <c r="O90" i="98" a="1"/>
  <c r="O90" i="98" s="1"/>
  <c r="N90" i="98" a="1"/>
  <c r="N90" i="98" s="1"/>
  <c r="M90" i="98" a="1"/>
  <c r="M90" i="98" s="1"/>
  <c r="L90" i="98" a="1"/>
  <c r="L90" i="98" s="1"/>
  <c r="K90" i="98" a="1"/>
  <c r="K90" i="98" s="1"/>
  <c r="J90" i="98" a="1"/>
  <c r="J90" i="98" s="1"/>
  <c r="I90" i="98" a="1"/>
  <c r="I90" i="98" s="1"/>
  <c r="H90" i="98" a="1"/>
  <c r="H90" i="98" s="1"/>
  <c r="G90" i="98" a="1"/>
  <c r="G90" i="98" s="1"/>
  <c r="F90" i="98" a="1"/>
  <c r="F90" i="98" s="1"/>
  <c r="E90" i="98" a="1"/>
  <c r="E90" i="98" s="1"/>
  <c r="D90" i="98" a="1"/>
  <c r="D90" i="98" s="1"/>
  <c r="F83" i="98" a="1"/>
  <c r="F83" i="98" s="1"/>
  <c r="E83" i="98" a="1"/>
  <c r="E83" i="98" s="1"/>
  <c r="D83" i="98" a="1"/>
  <c r="D83" i="98" s="1"/>
  <c r="D82" i="98" a="1"/>
  <c r="D82" i="98" s="1"/>
  <c r="D81" i="98" a="1"/>
  <c r="D81" i="98" s="1"/>
  <c r="F78" i="98" a="1"/>
  <c r="F78" i="98" s="1"/>
  <c r="E78" i="98" a="1"/>
  <c r="E78" i="98" s="1"/>
  <c r="I15" i="97" s="1"/>
  <c r="D78" i="98" a="1"/>
  <c r="D78" i="98" s="1"/>
  <c r="D77" i="98" a="1"/>
  <c r="D77" i="98" s="1"/>
  <c r="D76" i="98" a="1"/>
  <c r="D76" i="98" s="1"/>
  <c r="F73" i="98" a="1"/>
  <c r="F73" i="98" s="1"/>
  <c r="E73" i="98" a="1"/>
  <c r="E73" i="98" s="1"/>
  <c r="D73" i="98" a="1"/>
  <c r="D73" i="98" s="1"/>
  <c r="D72" i="98" a="1"/>
  <c r="D72" i="98" s="1"/>
  <c r="D71" i="98" a="1"/>
  <c r="D71" i="98" s="1"/>
  <c r="F68" i="98" a="1"/>
  <c r="F68" i="98" s="1"/>
  <c r="E68" i="98" a="1"/>
  <c r="E68" i="98" s="1"/>
  <c r="D68" i="98" a="1"/>
  <c r="D68" i="98" s="1"/>
  <c r="F67" i="98" a="1"/>
  <c r="F67" i="98" s="1"/>
  <c r="I19" i="95" s="1"/>
  <c r="E67" i="98" a="1"/>
  <c r="E67" i="98" s="1"/>
  <c r="I18" i="95" s="1"/>
  <c r="D67" i="98" a="1"/>
  <c r="D67" i="98" s="1"/>
  <c r="F66" i="98" a="1"/>
  <c r="F66" i="98" s="1"/>
  <c r="I16" i="95" s="1"/>
  <c r="E66" i="98" a="1"/>
  <c r="E66" i="98" s="1"/>
  <c r="I15" i="95" s="1"/>
  <c r="D66" i="98" a="1"/>
  <c r="D66" i="98" s="1"/>
  <c r="D64" i="98" a="1"/>
  <c r="D64" i="98" s="1"/>
  <c r="D63" i="98" a="1"/>
  <c r="D63" i="98" s="1"/>
  <c r="F60" i="98" a="1"/>
  <c r="F60" i="98" s="1"/>
  <c r="E60" i="98" a="1"/>
  <c r="E60" i="98" s="1"/>
  <c r="I50" i="93" s="1"/>
  <c r="D60" i="98" a="1"/>
  <c r="D60" i="98" s="1"/>
  <c r="D59" i="98" a="1"/>
  <c r="D59" i="98" s="1"/>
  <c r="D58" i="98" a="1"/>
  <c r="D58" i="98" s="1"/>
  <c r="E55" i="98" a="1"/>
  <c r="E55" i="98" s="1"/>
  <c r="D55" i="98" a="1"/>
  <c r="D55" i="98" s="1"/>
  <c r="E54" i="98" a="1"/>
  <c r="E54" i="98" s="1"/>
  <c r="D54" i="98" a="1"/>
  <c r="D54" i="98" s="1"/>
  <c r="E53" i="98" a="1"/>
  <c r="E53" i="98" s="1"/>
  <c r="D53" i="98" a="1"/>
  <c r="D53" i="98" s="1"/>
  <c r="E52" i="98" a="1"/>
  <c r="E52" i="98" s="1"/>
  <c r="D52" i="98" a="1"/>
  <c r="D52" i="98" s="1"/>
  <c r="E51" i="98" a="1"/>
  <c r="E51" i="98" s="1"/>
  <c r="D51" i="98" a="1"/>
  <c r="D51" i="98" s="1"/>
  <c r="D49" i="98" a="1"/>
  <c r="D49" i="98" s="1"/>
  <c r="D48" i="98" a="1"/>
  <c r="D48" i="98" s="1"/>
  <c r="I38" i="98" a="1"/>
  <c r="I38" i="98" s="1"/>
  <c r="H38" i="98" a="1"/>
  <c r="H38" i="98" s="1"/>
  <c r="G38" i="98" a="1"/>
  <c r="G38" i="98" s="1"/>
  <c r="F38" i="98" a="1"/>
  <c r="F38" i="98" s="1"/>
  <c r="E38" i="98" a="1"/>
  <c r="E38" i="98" s="1"/>
  <c r="D38" i="98" a="1"/>
  <c r="D38" i="98" s="1"/>
  <c r="G180" i="119" s="1"/>
  <c r="I37" i="98" a="1"/>
  <c r="I37" i="98" s="1"/>
  <c r="H37" i="98" a="1"/>
  <c r="H37" i="98" s="1"/>
  <c r="G37" i="98" a="1"/>
  <c r="G37" i="98" s="1"/>
  <c r="F37" i="98" a="1"/>
  <c r="F37" i="98" s="1"/>
  <c r="E37" i="98" a="1"/>
  <c r="E37" i="98" s="1"/>
  <c r="D37" i="98" a="1"/>
  <c r="D37" i="98" s="1"/>
  <c r="I36" i="98" a="1"/>
  <c r="I36" i="98" s="1"/>
  <c r="H36" i="98" a="1"/>
  <c r="H36" i="98" s="1"/>
  <c r="G36" i="98" a="1"/>
  <c r="G36" i="98" s="1"/>
  <c r="F36" i="98" a="1"/>
  <c r="F36" i="98" s="1"/>
  <c r="E36" i="98" a="1"/>
  <c r="E36" i="98" s="1"/>
  <c r="D36" i="98" a="1"/>
  <c r="D36" i="98" s="1"/>
  <c r="G190" i="119" s="1"/>
  <c r="I35" i="98" a="1"/>
  <c r="I35" i="98" s="1"/>
  <c r="H35" i="98" a="1"/>
  <c r="H35" i="98" s="1"/>
  <c r="G35" i="98" a="1"/>
  <c r="G35" i="98" s="1"/>
  <c r="F35" i="98" a="1"/>
  <c r="F35" i="98" s="1"/>
  <c r="E35" i="98" a="1"/>
  <c r="E35" i="98" s="1"/>
  <c r="D35" i="98" a="1"/>
  <c r="D35" i="98" s="1"/>
  <c r="G182" i="119" s="1"/>
  <c r="I34" i="98" a="1"/>
  <c r="I34" i="98" s="1"/>
  <c r="H34" i="98" a="1"/>
  <c r="H34" i="98" s="1"/>
  <c r="G34" i="98" a="1"/>
  <c r="G34" i="98" s="1"/>
  <c r="F34" i="98" a="1"/>
  <c r="F34" i="98" s="1"/>
  <c r="E34" i="98" a="1"/>
  <c r="E34" i="98" s="1"/>
  <c r="D34" i="98" a="1"/>
  <c r="D34" i="98" s="1"/>
  <c r="G184" i="119" s="1"/>
  <c r="I33" i="98" a="1"/>
  <c r="I33" i="98" s="1"/>
  <c r="H33" i="98" a="1"/>
  <c r="H33" i="98" s="1"/>
  <c r="G33" i="98" a="1"/>
  <c r="G33" i="98" s="1"/>
  <c r="F33" i="98" a="1"/>
  <c r="F33" i="98" s="1"/>
  <c r="E33" i="98" a="1"/>
  <c r="E33" i="98" s="1"/>
  <c r="D33" i="98" a="1"/>
  <c r="D33" i="98" s="1"/>
  <c r="G198" i="119" s="1"/>
  <c r="I32" i="98" a="1"/>
  <c r="I32" i="98" s="1"/>
  <c r="H32" i="98" a="1"/>
  <c r="H32" i="98" s="1"/>
  <c r="G32" i="98" a="1"/>
  <c r="G32" i="98" s="1"/>
  <c r="F32" i="98" a="1"/>
  <c r="F32" i="98" s="1"/>
  <c r="E32" i="98" a="1"/>
  <c r="E32" i="98" s="1"/>
  <c r="D32" i="98" a="1"/>
  <c r="D32" i="98" s="1"/>
  <c r="G191" i="119" s="1"/>
  <c r="I31" i="98" a="1"/>
  <c r="I31" i="98" s="1"/>
  <c r="H31" i="98" a="1"/>
  <c r="H31" i="98" s="1"/>
  <c r="G31" i="98" a="1"/>
  <c r="G31" i="98" s="1"/>
  <c r="F31" i="98" a="1"/>
  <c r="F31" i="98" s="1"/>
  <c r="E31" i="98" a="1"/>
  <c r="E31" i="98" s="1"/>
  <c r="D31" i="98" a="1"/>
  <c r="D31" i="98" s="1"/>
  <c r="G189" i="119" s="1"/>
  <c r="I30" i="98" a="1"/>
  <c r="I30" i="98" s="1"/>
  <c r="H30" i="98" a="1"/>
  <c r="H30" i="98" s="1"/>
  <c r="G30" i="98" a="1"/>
  <c r="G30" i="98" s="1"/>
  <c r="F30" i="98" a="1"/>
  <c r="F30" i="98" s="1"/>
  <c r="E30" i="98" a="1"/>
  <c r="E30" i="98" s="1"/>
  <c r="D30" i="98" a="1"/>
  <c r="D30" i="98" s="1"/>
  <c r="G188" i="119" s="1"/>
  <c r="I29" i="98" a="1"/>
  <c r="I29" i="98" s="1"/>
  <c r="H29" i="98" a="1"/>
  <c r="H29" i="98" s="1"/>
  <c r="G29" i="98" a="1"/>
  <c r="G29" i="98" s="1"/>
  <c r="F29" i="98" a="1"/>
  <c r="F29" i="98" s="1"/>
  <c r="E29" i="98" a="1"/>
  <c r="E29" i="98" s="1"/>
  <c r="D29" i="98" a="1"/>
  <c r="D29" i="98" s="1"/>
  <c r="G186" i="119" s="1"/>
  <c r="R28" i="98" a="1"/>
  <c r="R28" i="98" s="1"/>
  <c r="Q28" i="98" a="1"/>
  <c r="Q28" i="98" s="1"/>
  <c r="L28" i="98" a="1"/>
  <c r="L28" i="98" s="1"/>
  <c r="K28" i="98" a="1"/>
  <c r="K28" i="98" s="1"/>
  <c r="I28" i="98" a="1"/>
  <c r="I28" i="98" s="1"/>
  <c r="H28" i="98" a="1"/>
  <c r="H28" i="98" s="1"/>
  <c r="G28" i="98" a="1"/>
  <c r="G28" i="98" s="1"/>
  <c r="F28" i="98" a="1"/>
  <c r="F28" i="98" s="1"/>
  <c r="E28" i="98" a="1"/>
  <c r="E28" i="98" s="1"/>
  <c r="D28" i="98" a="1"/>
  <c r="D28" i="98" s="1"/>
  <c r="G187" i="119" s="1"/>
  <c r="R27" i="98" a="1"/>
  <c r="R27" i="98" s="1"/>
  <c r="Q27" i="98" a="1"/>
  <c r="Q27" i="98" s="1"/>
  <c r="L27" i="98" a="1"/>
  <c r="L27" i="98" s="1"/>
  <c r="K27" i="98" a="1"/>
  <c r="K27" i="98" s="1"/>
  <c r="I27" i="98" a="1"/>
  <c r="I27" i="98" s="1"/>
  <c r="H27" i="98" a="1"/>
  <c r="H27" i="98" s="1"/>
  <c r="G27" i="98" a="1"/>
  <c r="G27" i="98" s="1"/>
  <c r="F27" i="98" a="1"/>
  <c r="F27" i="98" s="1"/>
  <c r="E27" i="98" a="1"/>
  <c r="E27" i="98" s="1"/>
  <c r="D27" i="98" a="1"/>
  <c r="D27" i="98" s="1"/>
  <c r="G185" i="119" s="1"/>
  <c r="R26" i="98" a="1"/>
  <c r="R26" i="98" s="1"/>
  <c r="Q26" i="98" a="1"/>
  <c r="Q26" i="98" s="1"/>
  <c r="L26" i="98" a="1"/>
  <c r="L26" i="98" s="1"/>
  <c r="K26" i="98" a="1"/>
  <c r="K26" i="98" s="1"/>
  <c r="I26" i="98" a="1"/>
  <c r="I26" i="98" s="1"/>
  <c r="H26" i="98" a="1"/>
  <c r="H26" i="98" s="1"/>
  <c r="G26" i="98" a="1"/>
  <c r="G26" i="98" s="1"/>
  <c r="F26" i="98" a="1"/>
  <c r="F26" i="98" s="1"/>
  <c r="E26" i="98" a="1"/>
  <c r="E26" i="98" s="1"/>
  <c r="D26" i="98" a="1"/>
  <c r="D26" i="98" s="1"/>
  <c r="G179" i="119" s="1"/>
  <c r="R25" i="98" a="1"/>
  <c r="R25" i="98" s="1"/>
  <c r="Q25" i="98" a="1"/>
  <c r="Q25" i="98" s="1"/>
  <c r="L25" i="98" a="1"/>
  <c r="L25" i="98" s="1"/>
  <c r="K25" i="98" a="1"/>
  <c r="K25" i="98" s="1"/>
  <c r="I25" i="98" a="1"/>
  <c r="I25" i="98" s="1"/>
  <c r="H25" i="98" a="1"/>
  <c r="H25" i="98" s="1"/>
  <c r="G25" i="98" a="1"/>
  <c r="G25" i="98" s="1"/>
  <c r="F25" i="98" a="1"/>
  <c r="F25" i="98" s="1"/>
  <c r="E25" i="98" a="1"/>
  <c r="E25" i="98" s="1"/>
  <c r="D25" i="98" a="1"/>
  <c r="D25" i="98" s="1"/>
  <c r="G178" i="119" s="1"/>
  <c r="R24" i="98" a="1"/>
  <c r="R24" i="98" s="1"/>
  <c r="Q24" i="98" a="1"/>
  <c r="Q24" i="98" s="1"/>
  <c r="L24" i="98" a="1"/>
  <c r="L24" i="98" s="1"/>
  <c r="K24" i="98" a="1"/>
  <c r="K24" i="98" s="1"/>
  <c r="I24" i="98" a="1"/>
  <c r="I24" i="98" s="1"/>
  <c r="H24" i="98" a="1"/>
  <c r="H24" i="98" s="1"/>
  <c r="G24" i="98" a="1"/>
  <c r="G24" i="98" s="1"/>
  <c r="F24" i="98" a="1"/>
  <c r="F24" i="98" s="1"/>
  <c r="E24" i="98" a="1"/>
  <c r="E24" i="98" s="1"/>
  <c r="D24" i="98" a="1"/>
  <c r="D24" i="98" s="1"/>
  <c r="G193" i="119" s="1"/>
  <c r="V23" i="98" a="1"/>
  <c r="V23" i="98" s="1"/>
  <c r="R23" i="98" a="1"/>
  <c r="R23" i="98" s="1"/>
  <c r="Q23" i="98" a="1"/>
  <c r="Q23" i="98" s="1"/>
  <c r="L23" i="98" a="1"/>
  <c r="L23" i="98" s="1"/>
  <c r="K23" i="98" a="1"/>
  <c r="K23" i="98" s="1"/>
  <c r="I23" i="98" a="1"/>
  <c r="I23" i="98" s="1"/>
  <c r="H23" i="98" a="1"/>
  <c r="H23" i="98" s="1"/>
  <c r="G23" i="98" a="1"/>
  <c r="G23" i="98" s="1"/>
  <c r="F23" i="98" a="1"/>
  <c r="F23" i="98" s="1"/>
  <c r="E23" i="98" a="1"/>
  <c r="E23" i="98" s="1"/>
  <c r="D23" i="98" a="1"/>
  <c r="D23" i="98" s="1"/>
  <c r="G192" i="119" s="1"/>
  <c r="V22" i="98" a="1"/>
  <c r="V22" i="98" s="1"/>
  <c r="R22" i="98" a="1"/>
  <c r="R22" i="98" s="1"/>
  <c r="Q22" i="98" a="1"/>
  <c r="Q22" i="98" s="1"/>
  <c r="L22" i="98" a="1"/>
  <c r="L22" i="98" s="1"/>
  <c r="K22" i="98" a="1"/>
  <c r="K22" i="98" s="1"/>
  <c r="I22" i="98" a="1"/>
  <c r="I22" i="98" s="1"/>
  <c r="H22" i="98" a="1"/>
  <c r="H22" i="98" s="1"/>
  <c r="G22" i="98" a="1"/>
  <c r="G22" i="98" s="1"/>
  <c r="F22" i="98" a="1"/>
  <c r="F22" i="98" s="1"/>
  <c r="E22" i="98" a="1"/>
  <c r="E22" i="98" s="1"/>
  <c r="D22" i="98" a="1"/>
  <c r="D22" i="98" s="1"/>
  <c r="V21" i="98" a="1"/>
  <c r="V21" i="98" s="1"/>
  <c r="R21" i="98" a="1"/>
  <c r="R21" i="98" s="1"/>
  <c r="Q21" i="98" a="1"/>
  <c r="Q21" i="98" s="1"/>
  <c r="L21" i="98" a="1"/>
  <c r="L21" i="98" s="1"/>
  <c r="K21" i="98" a="1"/>
  <c r="K21" i="98" s="1"/>
  <c r="I21" i="98" a="1"/>
  <c r="I21" i="98" s="1"/>
  <c r="H21" i="98" a="1"/>
  <c r="H21" i="98" s="1"/>
  <c r="G21" i="98" a="1"/>
  <c r="G21" i="98" s="1"/>
  <c r="F21" i="98" a="1"/>
  <c r="F21" i="98" s="1"/>
  <c r="E21" i="98" a="1"/>
  <c r="E21" i="98" s="1"/>
  <c r="D21" i="98" a="1"/>
  <c r="D21" i="98" s="1"/>
  <c r="G181" i="119" s="1"/>
  <c r="V20" i="98" a="1"/>
  <c r="V20" i="98" s="1"/>
  <c r="R20" i="98" a="1"/>
  <c r="R20" i="98" s="1"/>
  <c r="Q20" i="98" a="1"/>
  <c r="Q20" i="98" s="1"/>
  <c r="L20" i="98" a="1"/>
  <c r="L20" i="98" s="1"/>
  <c r="K20" i="98" a="1"/>
  <c r="K20" i="98" s="1"/>
  <c r="I20" i="98" a="1"/>
  <c r="I20" i="98" s="1"/>
  <c r="H20" i="98" a="1"/>
  <c r="H20" i="98" s="1"/>
  <c r="G20" i="98" a="1"/>
  <c r="G20" i="98" s="1"/>
  <c r="F20" i="98" a="1"/>
  <c r="F20" i="98" s="1"/>
  <c r="E20" i="98" a="1"/>
  <c r="E20" i="98" s="1"/>
  <c r="D20" i="98" a="1"/>
  <c r="D20" i="98" s="1"/>
  <c r="V18" i="98" a="1"/>
  <c r="V18" i="98" s="1"/>
  <c r="Q18" i="98" a="1"/>
  <c r="Q18" i="98" s="1"/>
  <c r="K18" i="98" a="1"/>
  <c r="K18" i="98" s="1"/>
  <c r="V17" i="98" a="1"/>
  <c r="V17" i="98" s="1"/>
  <c r="Q17" i="98" a="1"/>
  <c r="Q17" i="98" s="1"/>
  <c r="K17" i="98" a="1"/>
  <c r="K17" i="98" s="1"/>
  <c r="D7" i="98" a="1"/>
  <c r="D7" i="98" s="1"/>
  <c r="D6" i="98" a="1"/>
  <c r="D6" i="98" s="1"/>
  <c r="D5" i="98" a="1"/>
  <c r="D5" i="98" s="1"/>
  <c r="F99" i="97" a="1"/>
  <c r="F99" i="97" s="1"/>
  <c r="D96" i="97" a="1"/>
  <c r="D96" i="97" s="1"/>
  <c r="H89" i="97" a="1"/>
  <c r="H89" i="97" s="1"/>
  <c r="D89" i="97" a="1"/>
  <c r="D89" i="97" s="1"/>
  <c r="E87" i="97" a="1"/>
  <c r="E87" i="97" s="1"/>
  <c r="F94" i="97" s="1"/>
  <c r="E86" i="97" a="1"/>
  <c r="E86" i="97" s="1"/>
  <c r="D82" i="97" a="1"/>
  <c r="D82" i="97" s="1"/>
  <c r="D81" i="97" a="1"/>
  <c r="D81" i="97" s="1"/>
  <c r="D67" i="97"/>
  <c r="D66" i="97"/>
  <c r="D65" i="97"/>
  <c r="I59" i="97"/>
  <c r="I58" i="97"/>
  <c r="I55" i="97" a="1"/>
  <c r="I55" i="97" s="1"/>
  <c r="G55" i="97" a="1"/>
  <c r="G55" i="97" s="1"/>
  <c r="D55" i="97" a="1"/>
  <c r="D55" i="97" s="1"/>
  <c r="E53" i="97" a="1"/>
  <c r="E53" i="97" s="1"/>
  <c r="F77" i="97" s="1"/>
  <c r="E52" i="97" a="1"/>
  <c r="E52" i="97" s="1"/>
  <c r="D48" i="97" a="1"/>
  <c r="D48" i="97" s="1"/>
  <c r="D47" i="97" a="1"/>
  <c r="D47" i="97" s="1"/>
  <c r="I17" i="97"/>
  <c r="I16" i="97"/>
  <c r="I13" i="97" a="1"/>
  <c r="I13" i="97" s="1"/>
  <c r="G13" i="97" a="1"/>
  <c r="G13" i="97" s="1"/>
  <c r="D13" i="97" a="1"/>
  <c r="D13" i="97" s="1"/>
  <c r="E11" i="97" a="1"/>
  <c r="E11" i="97" s="1"/>
  <c r="F43" i="97" s="1"/>
  <c r="E10" i="97" a="1"/>
  <c r="E10" i="97" s="1"/>
  <c r="D6" i="97" a="1"/>
  <c r="D6" i="97" s="1"/>
  <c r="D5" i="97" a="1"/>
  <c r="D5" i="97" s="1"/>
  <c r="F151" i="96" a="1"/>
  <c r="F151" i="96" s="1"/>
  <c r="D148" i="96" a="1"/>
  <c r="D148" i="96" s="1"/>
  <c r="I127" i="96"/>
  <c r="I124" i="96" a="1"/>
  <c r="I124" i="96" s="1"/>
  <c r="G124" i="96" a="1"/>
  <c r="G124" i="96" s="1"/>
  <c r="D124" i="96" a="1"/>
  <c r="D124" i="96" s="1"/>
  <c r="E122" i="96" a="1"/>
  <c r="E122" i="96" s="1"/>
  <c r="F146" i="96" s="1"/>
  <c r="E121" i="96" a="1"/>
  <c r="E121" i="96" s="1"/>
  <c r="D117" i="96" a="1"/>
  <c r="D117" i="96" s="1"/>
  <c r="D116" i="96" a="1"/>
  <c r="D116" i="96" s="1"/>
  <c r="I96" i="96" a="1"/>
  <c r="I96" i="96" s="1"/>
  <c r="G96" i="96" a="1"/>
  <c r="G96" i="96" s="1"/>
  <c r="D96" i="96" a="1"/>
  <c r="D96" i="96" s="1"/>
  <c r="E94" i="96" a="1"/>
  <c r="E94" i="96" s="1"/>
  <c r="G102" i="96" s="1"/>
  <c r="E93" i="96" a="1"/>
  <c r="E93" i="96" s="1"/>
  <c r="D89" i="96" a="1"/>
  <c r="D89" i="96" s="1"/>
  <c r="D88" i="96" a="1"/>
  <c r="D88" i="96" s="1"/>
  <c r="F84" i="96" a="1"/>
  <c r="F84" i="96" s="1"/>
  <c r="D81" i="96" a="1"/>
  <c r="D81" i="96" s="1"/>
  <c r="J52" i="96"/>
  <c r="J49" i="96" a="1"/>
  <c r="J49" i="96" s="1"/>
  <c r="H49" i="96" a="1"/>
  <c r="H49" i="96" s="1"/>
  <c r="D49" i="96" a="1"/>
  <c r="D49" i="96" s="1"/>
  <c r="E47" i="96" a="1"/>
  <c r="E47" i="96" s="1"/>
  <c r="F79" i="96" s="1"/>
  <c r="E46" i="96" a="1"/>
  <c r="E46" i="96" s="1"/>
  <c r="D42" i="96" a="1"/>
  <c r="D42" i="96" s="1"/>
  <c r="D41" i="96" a="1"/>
  <c r="D41" i="96" s="1"/>
  <c r="I14" i="96" a="1"/>
  <c r="I14" i="96" s="1"/>
  <c r="I13" i="96" a="1"/>
  <c r="I13" i="96" s="1"/>
  <c r="G13" i="96" a="1"/>
  <c r="G13" i="96" s="1"/>
  <c r="D13" i="96" a="1"/>
  <c r="D13" i="96" s="1"/>
  <c r="E11" i="96" a="1"/>
  <c r="E11" i="96" s="1"/>
  <c r="E10" i="96" a="1"/>
  <c r="E10" i="96" s="1"/>
  <c r="D6" i="96" a="1"/>
  <c r="D6" i="96" s="1"/>
  <c r="D5" i="96" a="1"/>
  <c r="D5" i="96" s="1"/>
  <c r="I17" i="95" a="1"/>
  <c r="I17" i="95" s="1"/>
  <c r="I14" i="95" a="1"/>
  <c r="I14" i="95" s="1"/>
  <c r="I13" i="95" a="1"/>
  <c r="I13" i="95" s="1"/>
  <c r="G13" i="95" a="1"/>
  <c r="G13" i="95" s="1"/>
  <c r="D13" i="95" a="1"/>
  <c r="D13" i="95" s="1"/>
  <c r="E11" i="95" a="1"/>
  <c r="E11" i="95" s="1"/>
  <c r="E10" i="95" a="1"/>
  <c r="E10" i="95" s="1"/>
  <c r="D6" i="95" a="1"/>
  <c r="D6" i="95" s="1"/>
  <c r="D5" i="95" a="1"/>
  <c r="D5" i="95" s="1"/>
  <c r="F55" i="94" a="1"/>
  <c r="F55" i="94" s="1"/>
  <c r="D52" i="94" a="1"/>
  <c r="D52" i="94" s="1"/>
  <c r="K47" i="94"/>
  <c r="I44" i="94" a="1"/>
  <c r="I44" i="94" s="1"/>
  <c r="D44" i="94" a="1"/>
  <c r="D44" i="94" s="1"/>
  <c r="E42" i="94" a="1"/>
  <c r="E42" i="94" s="1"/>
  <c r="F50" i="94" s="1"/>
  <c r="E41" i="94" a="1"/>
  <c r="E41" i="94" s="1"/>
  <c r="D37" i="94" a="1"/>
  <c r="D37" i="94" s="1"/>
  <c r="D36" i="94" a="1"/>
  <c r="D36" i="94" s="1"/>
  <c r="I30" i="94" a="1"/>
  <c r="I30" i="94" s="1"/>
  <c r="I29" i="94" a="1"/>
  <c r="I29" i="94" s="1"/>
  <c r="I28" i="94" a="1"/>
  <c r="I28" i="94" s="1"/>
  <c r="I27" i="94" a="1"/>
  <c r="I27" i="94" s="1"/>
  <c r="E72" i="97" s="1"/>
  <c r="I26" i="94" a="1"/>
  <c r="I26" i="94" s="1"/>
  <c r="E71" i="97" s="1"/>
  <c r="I25" i="94" a="1"/>
  <c r="I25" i="94" s="1"/>
  <c r="E107" i="96" s="1"/>
  <c r="I24" i="94" a="1"/>
  <c r="I24" i="94" s="1"/>
  <c r="I23" i="94" a="1"/>
  <c r="I23" i="94" s="1"/>
  <c r="I15" i="94" a="1"/>
  <c r="I15" i="94" s="1"/>
  <c r="I14" i="94" a="1"/>
  <c r="I14" i="94" s="1"/>
  <c r="I13" i="94" a="1"/>
  <c r="I13" i="94" s="1"/>
  <c r="G13" i="94" a="1"/>
  <c r="G13" i="94" s="1"/>
  <c r="D13" i="94" a="1"/>
  <c r="D13" i="94" s="1"/>
  <c r="E11" i="94" a="1"/>
  <c r="E11" i="94" s="1"/>
  <c r="F32" i="94" s="1"/>
  <c r="E10" i="94" a="1"/>
  <c r="E10" i="94" s="1"/>
  <c r="D6" i="94" a="1"/>
  <c r="D6" i="94" s="1"/>
  <c r="D5" i="94" a="1"/>
  <c r="D5" i="94" s="1"/>
  <c r="I53" i="93" a="1"/>
  <c r="I53" i="93" s="1"/>
  <c r="I52" i="93"/>
  <c r="I49" i="93" a="1"/>
  <c r="I49" i="93" s="1"/>
  <c r="G49" i="93" a="1"/>
  <c r="G49" i="93" s="1"/>
  <c r="D49" i="93" a="1"/>
  <c r="D49" i="93" s="1"/>
  <c r="E47" i="93" a="1"/>
  <c r="E47" i="93" s="1"/>
  <c r="E46" i="93" a="1"/>
  <c r="E46" i="93" s="1"/>
  <c r="D42" i="93" a="1"/>
  <c r="D42" i="93" s="1"/>
  <c r="D41" i="93" a="1"/>
  <c r="D41" i="93" s="1"/>
  <c r="I14" i="93" a="1"/>
  <c r="I14" i="93" s="1"/>
  <c r="I13" i="93" a="1"/>
  <c r="I13" i="93" s="1"/>
  <c r="G13" i="93" a="1"/>
  <c r="G13" i="93" s="1"/>
  <c r="D13" i="93" a="1"/>
  <c r="D13" i="93" s="1"/>
  <c r="E11" i="93" a="1"/>
  <c r="E11" i="93" s="1"/>
  <c r="E10" i="93" a="1"/>
  <c r="E10" i="93" s="1"/>
  <c r="D6" i="93" a="1"/>
  <c r="D6" i="93" s="1"/>
  <c r="D5" i="93" a="1"/>
  <c r="D5" i="93" s="1"/>
  <c r="O93" i="92" a="1"/>
  <c r="O93" i="92" s="1"/>
  <c r="M90" i="92" a="1"/>
  <c r="M90" i="92" s="1"/>
  <c r="F85" i="92" a="1"/>
  <c r="F85" i="92" s="1"/>
  <c r="D82" i="92" a="1"/>
  <c r="D82" i="92" s="1"/>
  <c r="S71" i="92"/>
  <c r="S70" i="92"/>
  <c r="S67" i="92" a="1"/>
  <c r="S67" i="92" s="1"/>
  <c r="Q67" i="92" a="1"/>
  <c r="Q67" i="92" s="1"/>
  <c r="M67" i="92" a="1"/>
  <c r="M67" i="92" s="1"/>
  <c r="N65" i="92" a="1"/>
  <c r="N65" i="92" s="1"/>
  <c r="N64" i="92" a="1"/>
  <c r="N64" i="92" s="1"/>
  <c r="M59" i="92" a="1"/>
  <c r="M59" i="92" s="1"/>
  <c r="M58" i="92" a="1"/>
  <c r="M58" i="92" s="1"/>
  <c r="V54" i="92" a="1"/>
  <c r="V54" i="92" s="1"/>
  <c r="T54" i="92"/>
  <c r="U54" i="92" s="1"/>
  <c r="S54" i="92" a="1"/>
  <c r="S54" i="92" s="1"/>
  <c r="R54" i="92" a="1"/>
  <c r="R54" i="92" s="1"/>
  <c r="Q54" i="92"/>
  <c r="V53" i="92" a="1"/>
  <c r="V53" i="92" s="1"/>
  <c r="T53" i="92"/>
  <c r="U53" i="92" s="1"/>
  <c r="S53" i="92" a="1"/>
  <c r="S53" i="92" s="1"/>
  <c r="R53" i="92" a="1"/>
  <c r="R53" i="92" s="1"/>
  <c r="Q53" i="92"/>
  <c r="I53" i="92"/>
  <c r="I52" i="92"/>
  <c r="I49" i="92" a="1"/>
  <c r="I49" i="92" s="1"/>
  <c r="G49" i="92" a="1"/>
  <c r="G49" i="92" s="1"/>
  <c r="D49" i="92" a="1"/>
  <c r="D49" i="92" s="1"/>
  <c r="E47" i="92" a="1"/>
  <c r="E47" i="92" s="1"/>
  <c r="E46" i="92" a="1"/>
  <c r="E46" i="92" s="1"/>
  <c r="D41" i="92" a="1"/>
  <c r="D41" i="92" s="1"/>
  <c r="D40" i="92" a="1"/>
  <c r="D40" i="92" s="1"/>
  <c r="R35" i="92" a="1"/>
  <c r="R35" i="92" s="1"/>
  <c r="P35" i="92" a="1"/>
  <c r="P35" i="92" s="1"/>
  <c r="M35" i="92" a="1"/>
  <c r="M35" i="92" s="1"/>
  <c r="N33" i="92" a="1"/>
  <c r="N33" i="92" s="1"/>
  <c r="V43" i="92" s="1"/>
  <c r="N32" i="92" a="1"/>
  <c r="N32" i="92" s="1"/>
  <c r="V44" i="92" s="1"/>
  <c r="M28" i="92" a="1"/>
  <c r="M28" i="92" s="1"/>
  <c r="M27" i="92" a="1"/>
  <c r="M27" i="92" s="1"/>
  <c r="R23" i="92" a="1"/>
  <c r="R23" i="92" s="1"/>
  <c r="P23" i="92" a="1"/>
  <c r="P23" i="92" s="1"/>
  <c r="M23" i="92" a="1"/>
  <c r="M23" i="92" s="1"/>
  <c r="N21" i="92" a="1"/>
  <c r="N21" i="92" s="1"/>
  <c r="S43" i="92" s="1"/>
  <c r="N20" i="92" a="1"/>
  <c r="N20" i="92" s="1"/>
  <c r="S44" i="92" s="1"/>
  <c r="M17" i="92" a="1"/>
  <c r="M17" i="92" s="1"/>
  <c r="M16" i="92" a="1"/>
  <c r="M16" i="92" s="1"/>
  <c r="I14" i="92" a="1"/>
  <c r="I14" i="92" s="1"/>
  <c r="I13" i="92" a="1"/>
  <c r="I13" i="92" s="1"/>
  <c r="G13" i="92" a="1"/>
  <c r="G13" i="92" s="1"/>
  <c r="D13" i="92" a="1"/>
  <c r="D13" i="92" s="1"/>
  <c r="R12" i="92" a="1"/>
  <c r="R12" i="92" s="1"/>
  <c r="P12" i="92" a="1"/>
  <c r="P12" i="92" s="1"/>
  <c r="M12" i="92" a="1"/>
  <c r="M12" i="92" s="1"/>
  <c r="E11" i="92" a="1"/>
  <c r="E11" i="92" s="1"/>
  <c r="N10" i="92" a="1"/>
  <c r="N10" i="92" s="1"/>
  <c r="R43" i="92" s="1"/>
  <c r="E10" i="92" a="1"/>
  <c r="E10" i="92" s="1"/>
  <c r="N9" i="92" a="1"/>
  <c r="N9" i="92" s="1"/>
  <c r="R44" i="92" s="1"/>
  <c r="M6" i="92" a="1"/>
  <c r="M6" i="92" s="1"/>
  <c r="D6" i="92" a="1"/>
  <c r="D6" i="92" s="1"/>
  <c r="M5" i="92" a="1"/>
  <c r="M5" i="92" s="1"/>
  <c r="D5" i="92" a="1"/>
  <c r="D5" i="92" s="1"/>
  <c r="G44" i="91"/>
  <c r="G43" i="91"/>
  <c r="G42" i="91"/>
  <c r="K33" i="91"/>
  <c r="K32" i="91"/>
  <c r="K31" i="91"/>
  <c r="A275" i="90"/>
  <c r="A217" i="90"/>
  <c r="O187" i="90" a="1"/>
  <c r="O187" i="90" s="1"/>
  <c r="F187" i="90" a="1"/>
  <c r="F187" i="90" s="1"/>
  <c r="M184" i="90" a="1"/>
  <c r="M184" i="90" s="1"/>
  <c r="D184" i="90" a="1"/>
  <c r="D184" i="90" s="1"/>
  <c r="A178" i="90"/>
  <c r="I155" i="90" a="1"/>
  <c r="I155" i="90" s="1"/>
  <c r="I154" i="90" a="1"/>
  <c r="I154" i="90" s="1"/>
  <c r="I153" i="90" a="1"/>
  <c r="I153" i="90" s="1"/>
  <c r="I152" i="90" a="1"/>
  <c r="I152" i="90" s="1"/>
  <c r="I151" i="90" a="1"/>
  <c r="I151" i="90" s="1"/>
  <c r="I150" i="90" a="1"/>
  <c r="I150" i="90" s="1"/>
  <c r="I149" i="90" a="1"/>
  <c r="I149" i="90" s="1"/>
  <c r="I148" i="90" a="1"/>
  <c r="I148" i="90" s="1"/>
  <c r="G148" i="90" a="1"/>
  <c r="F175" i="90" s="1"/>
  <c r="D148" i="90" a="1"/>
  <c r="D148" i="90" s="1"/>
  <c r="E146" i="90" a="1"/>
  <c r="E146" i="90" s="1"/>
  <c r="E145" i="90" a="1"/>
  <c r="E145" i="90" s="1"/>
  <c r="D138" i="90" a="1"/>
  <c r="D138" i="90" s="1"/>
  <c r="D137" i="90" a="1"/>
  <c r="D137" i="90" s="1"/>
  <c r="D136" i="90" a="1"/>
  <c r="D136" i="90" s="1"/>
  <c r="H127" i="90" a="1"/>
  <c r="H127" i="90" s="1"/>
  <c r="D127" i="90" a="1"/>
  <c r="D127" i="90" s="1"/>
  <c r="E125" i="90" a="1"/>
  <c r="E125" i="90" s="1"/>
  <c r="E124" i="90" a="1"/>
  <c r="E124" i="90" s="1"/>
  <c r="D120" i="90" a="1"/>
  <c r="D120" i="90" s="1"/>
  <c r="D119" i="90" a="1"/>
  <c r="D119" i="90" s="1"/>
  <c r="I95" i="90" a="1"/>
  <c r="I95" i="90" s="1"/>
  <c r="I94" i="90" a="1"/>
  <c r="I94" i="90" s="1"/>
  <c r="I93" i="90" a="1"/>
  <c r="I93" i="90" s="1"/>
  <c r="I92" i="90" a="1"/>
  <c r="I92" i="90" s="1"/>
  <c r="G92" i="90" a="1"/>
  <c r="G92" i="90" s="1"/>
  <c r="D92" i="90" a="1"/>
  <c r="D92" i="90" s="1"/>
  <c r="E90" i="90" a="1"/>
  <c r="E90" i="90" s="1"/>
  <c r="I115" i="90" s="1"/>
  <c r="E89" i="90" a="1"/>
  <c r="E89" i="90" s="1"/>
  <c r="D85" i="90" a="1"/>
  <c r="D85" i="90" s="1"/>
  <c r="D84" i="90" a="1"/>
  <c r="D84" i="90" s="1"/>
  <c r="I70" i="90" a="1"/>
  <c r="I70" i="90" s="1"/>
  <c r="I66" i="90" a="1"/>
  <c r="I66" i="90" s="1"/>
  <c r="I65" i="90" a="1"/>
  <c r="I65" i="90" s="1"/>
  <c r="I64" i="90"/>
  <c r="G64" i="90" a="1"/>
  <c r="G64" i="90" s="1"/>
  <c r="D64" i="90" a="1"/>
  <c r="D64" i="90" s="1"/>
  <c r="E62" i="90" a="1"/>
  <c r="E62" i="90" s="1"/>
  <c r="E61" i="90" a="1"/>
  <c r="E61" i="90" s="1"/>
  <c r="D56" i="90" a="1"/>
  <c r="D56" i="90" s="1"/>
  <c r="D55" i="90" a="1"/>
  <c r="D55" i="90" s="1"/>
  <c r="D54" i="90" a="1"/>
  <c r="D54" i="90" s="1"/>
  <c r="I38" i="90" a="1"/>
  <c r="I38" i="90" s="1"/>
  <c r="P37" i="90" a="1"/>
  <c r="P37" i="90" s="1"/>
  <c r="M37" i="90" a="1"/>
  <c r="M37" i="90" s="1"/>
  <c r="I37" i="90"/>
  <c r="D45" i="90" s="1"/>
  <c r="G37" i="90" a="1"/>
  <c r="G37" i="90" s="1"/>
  <c r="D37" i="90" a="1"/>
  <c r="D37" i="90" s="1"/>
  <c r="E35" i="90" a="1"/>
  <c r="E35" i="90" s="1"/>
  <c r="E34" i="90" a="1"/>
  <c r="E34" i="90" s="1"/>
  <c r="D30" i="90" a="1"/>
  <c r="D30" i="90" s="1"/>
  <c r="D29" i="90" a="1"/>
  <c r="D29" i="90" s="1"/>
  <c r="D28" i="90" a="1"/>
  <c r="D28" i="90" s="1"/>
  <c r="I14" i="90"/>
  <c r="G14" i="90" a="1"/>
  <c r="G14" i="90" s="1"/>
  <c r="D14" i="90" a="1"/>
  <c r="D14" i="90" s="1"/>
  <c r="E12" i="90" a="1"/>
  <c r="E12" i="90" s="1"/>
  <c r="E11" i="90" a="1"/>
  <c r="E11" i="90" s="1"/>
  <c r="D7" i="90" a="1"/>
  <c r="D7" i="90" s="1"/>
  <c r="D6" i="90" a="1"/>
  <c r="D6" i="90" s="1"/>
  <c r="D5" i="90" a="1"/>
  <c r="D5" i="90" s="1"/>
  <c r="F53" i="89"/>
  <c r="E53" i="89"/>
  <c r="F50" i="89"/>
  <c r="I41" i="89"/>
  <c r="H41" i="89"/>
  <c r="G41" i="89"/>
  <c r="F41" i="89"/>
  <c r="E41" i="89"/>
  <c r="D233" i="88" a="1"/>
  <c r="D233" i="88" s="1"/>
  <c r="F54" i="79" s="1"/>
  <c r="R40" i="90" s="1"/>
  <c r="D232" i="88" a="1"/>
  <c r="D232" i="88" s="1"/>
  <c r="D231" i="88" a="1"/>
  <c r="D231" i="88" s="1"/>
  <c r="D230" i="88" a="1"/>
  <c r="D230" i="88" s="1"/>
  <c r="D229" i="88" a="1"/>
  <c r="D229" i="88" s="1"/>
  <c r="D227" i="88" a="1"/>
  <c r="D227" i="88" s="1"/>
  <c r="F54" i="89" s="1"/>
  <c r="D226" i="88" a="1"/>
  <c r="D226" i="88" s="1"/>
  <c r="D225" i="88" a="1"/>
  <c r="D225" i="88" s="1"/>
  <c r="D224" i="88" a="1"/>
  <c r="D224" i="88" s="1"/>
  <c r="D223" i="88" a="1"/>
  <c r="D223" i="88" s="1"/>
  <c r="D221" i="88" a="1"/>
  <c r="D221" i="88" s="1"/>
  <c r="I14" i="86" s="1"/>
  <c r="D220" i="88" a="1"/>
  <c r="D220" i="88" s="1"/>
  <c r="D219" i="88" a="1"/>
  <c r="D219" i="88" s="1"/>
  <c r="D218" i="88" a="1"/>
  <c r="D218" i="88" s="1"/>
  <c r="D217" i="88" a="1"/>
  <c r="D217" i="88" s="1"/>
  <c r="D215" i="88" a="1"/>
  <c r="D215" i="88" s="1"/>
  <c r="J15" i="83" s="1"/>
  <c r="A215" i="88"/>
  <c r="D214" i="88" a="1"/>
  <c r="D214" i="88" s="1"/>
  <c r="D213" i="88" a="1"/>
  <c r="D213" i="88" s="1"/>
  <c r="D212" i="88" a="1"/>
  <c r="D212" i="88" s="1"/>
  <c r="D211" i="88" a="1"/>
  <c r="D211" i="88" s="1"/>
  <c r="D209" i="88" a="1"/>
  <c r="D209" i="88" s="1"/>
  <c r="I15" i="87" s="1"/>
  <c r="D208" i="88" a="1"/>
  <c r="D208" i="88" s="1"/>
  <c r="D207" i="88" a="1"/>
  <c r="D207" i="88" s="1"/>
  <c r="D206" i="88" a="1"/>
  <c r="D206" i="88" s="1"/>
  <c r="D205" i="88" a="1"/>
  <c r="D205" i="88" s="1"/>
  <c r="D202" i="88" a="1"/>
  <c r="D202" i="88" s="1"/>
  <c r="I43" i="83" s="1"/>
  <c r="D201" i="88" a="1"/>
  <c r="D201" i="88" s="1"/>
  <c r="D200" i="88" a="1"/>
  <c r="D200" i="88" s="1"/>
  <c r="D199" i="88" a="1"/>
  <c r="D199" i="88" s="1"/>
  <c r="D198" i="88" a="1"/>
  <c r="D198" i="88" s="1"/>
  <c r="D195" i="88" a="1"/>
  <c r="D195" i="88" s="1"/>
  <c r="I221" i="80" s="1"/>
  <c r="D194" i="88" a="1"/>
  <c r="D194" i="88" s="1"/>
  <c r="D193" i="88" a="1"/>
  <c r="D193" i="88" s="1"/>
  <c r="D192" i="88" a="1"/>
  <c r="D192" i="88" s="1"/>
  <c r="D191" i="88" a="1"/>
  <c r="D191" i="88" s="1"/>
  <c r="D188" i="88" a="1"/>
  <c r="D188" i="88" s="1"/>
  <c r="I128" i="80" s="1"/>
  <c r="D187" i="88" a="1"/>
  <c r="D187" i="88" s="1"/>
  <c r="D186" i="88" a="1"/>
  <c r="D186" i="88" s="1"/>
  <c r="D185" i="88" a="1"/>
  <c r="D185" i="88" s="1"/>
  <c r="D184" i="88" a="1"/>
  <c r="D184" i="88" s="1"/>
  <c r="D181" i="88" a="1"/>
  <c r="D181" i="88" s="1"/>
  <c r="D180" i="88" a="1"/>
  <c r="D180" i="88" s="1"/>
  <c r="D179" i="88" a="1"/>
  <c r="D179" i="88" s="1"/>
  <c r="D178" i="88" a="1"/>
  <c r="D178" i="88" s="1"/>
  <c r="D177" i="88" a="1"/>
  <c r="D177" i="88" s="1"/>
  <c r="D174" i="88" a="1"/>
  <c r="D174" i="88" s="1"/>
  <c r="A174" i="88"/>
  <c r="D173" i="88" a="1"/>
  <c r="D173" i="88" s="1"/>
  <c r="D172" i="88" a="1"/>
  <c r="D172" i="88" s="1"/>
  <c r="D171" i="88" a="1"/>
  <c r="D171" i="88" s="1"/>
  <c r="D170" i="88" a="1"/>
  <c r="D170" i="88" s="1"/>
  <c r="D167" i="88" a="1"/>
  <c r="D167" i="88" s="1"/>
  <c r="I65" i="80" s="1"/>
  <c r="D166" i="88" a="1"/>
  <c r="D166" i="88" s="1"/>
  <c r="D165" i="88" a="1"/>
  <c r="D165" i="88" s="1"/>
  <c r="D164" i="88" a="1"/>
  <c r="D164" i="88" s="1"/>
  <c r="D163" i="88" a="1"/>
  <c r="D163" i="88" s="1"/>
  <c r="D160" i="88" a="1"/>
  <c r="D160" i="88" s="1"/>
  <c r="D159" i="88" a="1"/>
  <c r="D159" i="88" s="1"/>
  <c r="D158" i="88" a="1"/>
  <c r="D158" i="88" s="1"/>
  <c r="D157" i="88" a="1"/>
  <c r="D157" i="88" s="1"/>
  <c r="D156" i="88" a="1"/>
  <c r="D156" i="88" s="1"/>
  <c r="D153" i="88" a="1"/>
  <c r="D153" i="88" s="1"/>
  <c r="H37" i="89" s="1"/>
  <c r="D152" i="88" a="1"/>
  <c r="D152" i="88" s="1"/>
  <c r="D151" i="88" a="1"/>
  <c r="D151" i="88" s="1"/>
  <c r="D150" i="88" a="1"/>
  <c r="D150" i="88" s="1"/>
  <c r="D149" i="88" a="1"/>
  <c r="D149" i="88" s="1"/>
  <c r="F146" i="88" a="1"/>
  <c r="F146" i="88" s="1"/>
  <c r="E146" i="88" a="1"/>
  <c r="E146" i="88" s="1"/>
  <c r="D146" i="88" a="1"/>
  <c r="D146" i="88" s="1"/>
  <c r="F145" i="88" a="1"/>
  <c r="F145" i="88" s="1"/>
  <c r="E145" i="88" a="1"/>
  <c r="E145" i="88" s="1"/>
  <c r="D145" i="88" a="1"/>
  <c r="D145" i="88" s="1"/>
  <c r="F144" i="88" a="1"/>
  <c r="F144" i="88" s="1"/>
  <c r="E144" i="88" a="1"/>
  <c r="E144" i="88" s="1"/>
  <c r="D144" i="88" a="1"/>
  <c r="D144" i="88" s="1"/>
  <c r="F143" i="88" a="1"/>
  <c r="F143" i="88" s="1"/>
  <c r="E143" i="88" a="1"/>
  <c r="E143" i="88" s="1"/>
  <c r="D143" i="88" a="1"/>
  <c r="D143" i="88" s="1"/>
  <c r="F142" i="88" a="1"/>
  <c r="F142" i="88" s="1"/>
  <c r="E142" i="88" a="1"/>
  <c r="E142" i="88" s="1"/>
  <c r="D142" i="88" a="1"/>
  <c r="D142" i="88" s="1"/>
  <c r="D140" i="88" a="1"/>
  <c r="D140" i="88" s="1"/>
  <c r="D139" i="88" a="1"/>
  <c r="D139" i="88" s="1"/>
  <c r="D138" i="88" a="1"/>
  <c r="D138" i="88" s="1"/>
  <c r="D137" i="88" a="1"/>
  <c r="D137" i="88" s="1"/>
  <c r="D136" i="88" a="1"/>
  <c r="D136" i="88" s="1"/>
  <c r="F133" i="88" a="1"/>
  <c r="F133" i="88" s="1"/>
  <c r="E133" i="88" a="1"/>
  <c r="E133" i="88" s="1"/>
  <c r="D133" i="88" a="1"/>
  <c r="D133" i="88" s="1"/>
  <c r="F132" i="88" a="1"/>
  <c r="F132" i="88" s="1"/>
  <c r="E132" i="88" a="1"/>
  <c r="E132" i="88" s="1"/>
  <c r="D132" i="88" a="1"/>
  <c r="D132" i="88" s="1"/>
  <c r="F131" i="88" a="1"/>
  <c r="F131" i="88" s="1"/>
  <c r="E131" i="88" a="1"/>
  <c r="E131" i="88" s="1"/>
  <c r="D131" i="88" a="1"/>
  <c r="D131" i="88" s="1"/>
  <c r="F130" i="88" a="1"/>
  <c r="F130" i="88" s="1"/>
  <c r="E130" i="88" a="1"/>
  <c r="E130" i="88" s="1"/>
  <c r="D130" i="88" a="1"/>
  <c r="D130" i="88" s="1"/>
  <c r="F129" i="88" a="1"/>
  <c r="F129" i="88" s="1"/>
  <c r="E129" i="88" a="1"/>
  <c r="E129" i="88" s="1"/>
  <c r="D129" i="88" a="1"/>
  <c r="D129" i="88" s="1"/>
  <c r="D127" i="88" a="1"/>
  <c r="D127" i="88" s="1"/>
  <c r="D126" i="88" a="1"/>
  <c r="D126" i="88" s="1"/>
  <c r="D125" i="88" a="1"/>
  <c r="D125" i="88" s="1"/>
  <c r="D124" i="88" a="1"/>
  <c r="D124" i="88" s="1"/>
  <c r="D123" i="88" a="1"/>
  <c r="D123" i="88" s="1"/>
  <c r="G120" i="88" a="1"/>
  <c r="G120" i="88" s="1"/>
  <c r="F120" i="88" a="1"/>
  <c r="F120" i="88" s="1"/>
  <c r="E120" i="88" a="1"/>
  <c r="E120" i="88" s="1"/>
  <c r="D120" i="88" a="1"/>
  <c r="D120" i="88" s="1"/>
  <c r="G119" i="88" a="1"/>
  <c r="G119" i="88" s="1"/>
  <c r="F119" i="88" a="1"/>
  <c r="F119" i="88" s="1"/>
  <c r="E119" i="88" a="1"/>
  <c r="E119" i="88" s="1"/>
  <c r="D119" i="88" a="1"/>
  <c r="D119" i="88" s="1"/>
  <c r="G118" i="88" a="1"/>
  <c r="G118" i="88" s="1"/>
  <c r="F118" i="88" a="1"/>
  <c r="F118" i="88" s="1"/>
  <c r="E118" i="88" a="1"/>
  <c r="E118" i="88" s="1"/>
  <c r="D118" i="88" a="1"/>
  <c r="D118" i="88" s="1"/>
  <c r="G117" i="88" a="1"/>
  <c r="G117" i="88" s="1"/>
  <c r="F117" i="88" a="1"/>
  <c r="F117" i="88" s="1"/>
  <c r="E117" i="88" a="1"/>
  <c r="E117" i="88" s="1"/>
  <c r="D117" i="88" a="1"/>
  <c r="D117" i="88" s="1"/>
  <c r="D115" i="88" a="1"/>
  <c r="D115" i="88" s="1"/>
  <c r="D114" i="88" a="1"/>
  <c r="D114" i="88" s="1"/>
  <c r="D113" i="88" a="1"/>
  <c r="D113" i="88" s="1"/>
  <c r="D112" i="88" a="1"/>
  <c r="D112" i="88" s="1"/>
  <c r="E109" i="88" a="1"/>
  <c r="E109" i="88" s="1"/>
  <c r="D109" i="88" a="1"/>
  <c r="D109" i="88" s="1"/>
  <c r="E108" i="88" a="1"/>
  <c r="E108" i="88" s="1"/>
  <c r="D108" i="88" a="1"/>
  <c r="D108" i="88" s="1"/>
  <c r="D106" i="88" a="1"/>
  <c r="D106" i="88" s="1"/>
  <c r="D105" i="88" a="1"/>
  <c r="D105" i="88" s="1"/>
  <c r="D104" i="88" a="1"/>
  <c r="D104" i="88" s="1"/>
  <c r="D103" i="88" a="1"/>
  <c r="D103" i="88" s="1"/>
  <c r="E100" i="88" a="1"/>
  <c r="E100" i="88" s="1"/>
  <c r="E175" i="90" s="1"/>
  <c r="D100" i="88" a="1"/>
  <c r="D100" i="88" s="1"/>
  <c r="E99" i="88" a="1"/>
  <c r="E99" i="88" s="1"/>
  <c r="D175" i="90" s="1"/>
  <c r="D99" i="88" a="1"/>
  <c r="D99" i="88" s="1"/>
  <c r="D97" i="88" a="1"/>
  <c r="D97" i="88" s="1"/>
  <c r="D96" i="88" a="1"/>
  <c r="D96" i="88" s="1"/>
  <c r="D95" i="88" a="1"/>
  <c r="D95" i="88" s="1"/>
  <c r="D94" i="88" a="1"/>
  <c r="D94" i="88" s="1"/>
  <c r="G91" i="88" a="1"/>
  <c r="G91" i="88" s="1"/>
  <c r="F91" i="88" a="1"/>
  <c r="F91" i="88" s="1"/>
  <c r="E91" i="88" a="1"/>
  <c r="E91" i="88" s="1"/>
  <c r="D91" i="88" a="1"/>
  <c r="D91" i="88" s="1"/>
  <c r="G90" i="88" a="1"/>
  <c r="G90" i="88" s="1"/>
  <c r="F90" i="88" a="1"/>
  <c r="F90" i="88" s="1"/>
  <c r="E90" i="88" a="1"/>
  <c r="E90" i="88" s="1"/>
  <c r="D90" i="88" a="1"/>
  <c r="D90" i="88" s="1"/>
  <c r="G89" i="88" a="1"/>
  <c r="G89" i="88" s="1"/>
  <c r="F89" i="88" a="1"/>
  <c r="F89" i="88" s="1"/>
  <c r="E89" i="88" a="1"/>
  <c r="E89" i="88" s="1"/>
  <c r="D89" i="88" a="1"/>
  <c r="D89" i="88" s="1"/>
  <c r="G88" i="88" a="1"/>
  <c r="G88" i="88" s="1"/>
  <c r="F88" i="88" a="1"/>
  <c r="F88" i="88" s="1"/>
  <c r="E88" i="88" a="1"/>
  <c r="E88" i="88" s="1"/>
  <c r="D88" i="88" a="1"/>
  <c r="D88" i="88" s="1"/>
  <c r="G87" i="88" a="1"/>
  <c r="G87" i="88" s="1"/>
  <c r="F87" i="88" a="1"/>
  <c r="F87" i="88" s="1"/>
  <c r="E87" i="88" a="1"/>
  <c r="E87" i="88" s="1"/>
  <c r="D87" i="88" a="1"/>
  <c r="D87" i="88" s="1"/>
  <c r="D85" i="88" a="1"/>
  <c r="D85" i="88" s="1"/>
  <c r="D84" i="88" a="1"/>
  <c r="D84" i="88" s="1"/>
  <c r="D83" i="88" a="1"/>
  <c r="D83" i="88" s="1"/>
  <c r="D82" i="88" a="1"/>
  <c r="D82" i="88" s="1"/>
  <c r="D81" i="88" a="1"/>
  <c r="D81" i="88" s="1"/>
  <c r="M78" i="88" a="1"/>
  <c r="M78" i="88" s="1"/>
  <c r="L78" i="88" a="1"/>
  <c r="L78" i="88" s="1"/>
  <c r="K78" i="88" a="1"/>
  <c r="K78" i="88" s="1"/>
  <c r="J78" i="88" a="1"/>
  <c r="J78" i="88" s="1"/>
  <c r="I78" i="88" a="1"/>
  <c r="I78" i="88" s="1"/>
  <c r="H78" i="88" a="1"/>
  <c r="H78" i="88" s="1"/>
  <c r="G78" i="88" a="1"/>
  <c r="G78" i="88" s="1"/>
  <c r="F78" i="88" a="1"/>
  <c r="F78" i="88" s="1"/>
  <c r="E78" i="88" a="1"/>
  <c r="E78" i="88" s="1"/>
  <c r="D78" i="88" a="1"/>
  <c r="D78" i="88" s="1"/>
  <c r="M77" i="88" a="1"/>
  <c r="M77" i="88" s="1"/>
  <c r="L77" i="88" a="1"/>
  <c r="L77" i="88" s="1"/>
  <c r="K77" i="88" a="1"/>
  <c r="K77" i="88" s="1"/>
  <c r="J77" i="88" a="1"/>
  <c r="J77" i="88" s="1"/>
  <c r="I77" i="88" a="1"/>
  <c r="I77" i="88" s="1"/>
  <c r="H77" i="88" a="1"/>
  <c r="H77" i="88" s="1"/>
  <c r="G77" i="88" a="1"/>
  <c r="G77" i="88" s="1"/>
  <c r="F77" i="88" a="1"/>
  <c r="F77" i="88" s="1"/>
  <c r="E77" i="88" a="1"/>
  <c r="E77" i="88" s="1"/>
  <c r="D77" i="88" a="1"/>
  <c r="D77" i="88" s="1"/>
  <c r="M76" i="88" a="1"/>
  <c r="M76" i="88" s="1"/>
  <c r="L76" i="88" a="1"/>
  <c r="L76" i="88" s="1"/>
  <c r="K76" i="88" a="1"/>
  <c r="K76" i="88" s="1"/>
  <c r="J76" i="88" a="1"/>
  <c r="J76" i="88" s="1"/>
  <c r="I76" i="88" a="1"/>
  <c r="I76" i="88" s="1"/>
  <c r="H76" i="88" a="1"/>
  <c r="H76" i="88" s="1"/>
  <c r="G76" i="88" a="1"/>
  <c r="G76" i="88" s="1"/>
  <c r="F76" i="88" a="1"/>
  <c r="F76" i="88" s="1"/>
  <c r="E76" i="88" a="1"/>
  <c r="E76" i="88" s="1"/>
  <c r="D76" i="88" a="1"/>
  <c r="D76" i="88" s="1"/>
  <c r="M75" i="88" a="1"/>
  <c r="M75" i="88" s="1"/>
  <c r="L75" i="88" a="1"/>
  <c r="L75" i="88" s="1"/>
  <c r="K75" i="88" a="1"/>
  <c r="K75" i="88" s="1"/>
  <c r="J75" i="88" a="1"/>
  <c r="J75" i="88" s="1"/>
  <c r="I75" i="88" a="1"/>
  <c r="I75" i="88" s="1"/>
  <c r="H75" i="88" a="1"/>
  <c r="H75" i="88" s="1"/>
  <c r="G75" i="88" a="1"/>
  <c r="G75" i="88" s="1"/>
  <c r="F75" i="88" a="1"/>
  <c r="F75" i="88" s="1"/>
  <c r="E75" i="88" a="1"/>
  <c r="E75" i="88" s="1"/>
  <c r="D75" i="88" a="1"/>
  <c r="D75" i="88" s="1"/>
  <c r="M74" i="88" a="1"/>
  <c r="M74" i="88" s="1"/>
  <c r="L74" i="88" a="1"/>
  <c r="L74" i="88" s="1"/>
  <c r="K74" i="88" a="1"/>
  <c r="K74" i="88" s="1"/>
  <c r="J74" i="88" a="1"/>
  <c r="J74" i="88" s="1"/>
  <c r="I74" i="88" a="1"/>
  <c r="I74" i="88" s="1"/>
  <c r="H74" i="88" a="1"/>
  <c r="H74" i="88" s="1"/>
  <c r="G74" i="88" a="1"/>
  <c r="G74" i="88" s="1"/>
  <c r="F74" i="88" a="1"/>
  <c r="F74" i="88" s="1"/>
  <c r="E74" i="88" a="1"/>
  <c r="E74" i="88" s="1"/>
  <c r="D74" i="88" a="1"/>
  <c r="D74" i="88" s="1"/>
  <c r="M73" i="88" a="1"/>
  <c r="M73" i="88" s="1"/>
  <c r="L73" i="88" a="1"/>
  <c r="L73" i="88" s="1"/>
  <c r="K73" i="88" a="1"/>
  <c r="K73" i="88" s="1"/>
  <c r="J73" i="88" a="1"/>
  <c r="J73" i="88" s="1"/>
  <c r="I73" i="88" a="1"/>
  <c r="I73" i="88" s="1"/>
  <c r="H73" i="88" a="1"/>
  <c r="H73" i="88" s="1"/>
  <c r="G73" i="88" a="1"/>
  <c r="G73" i="88" s="1"/>
  <c r="F73" i="88" a="1"/>
  <c r="F73" i="88" s="1"/>
  <c r="E73" i="88" a="1"/>
  <c r="E73" i="88" s="1"/>
  <c r="D73" i="88" a="1"/>
  <c r="D73" i="88" s="1"/>
  <c r="D71" i="88" a="1"/>
  <c r="D71" i="88" s="1"/>
  <c r="D70" i="88" a="1"/>
  <c r="D70" i="88" s="1"/>
  <c r="D69" i="88" a="1"/>
  <c r="D69" i="88" s="1"/>
  <c r="D68" i="88" a="1"/>
  <c r="D68" i="88" s="1"/>
  <c r="D67" i="88" a="1"/>
  <c r="D67" i="88" s="1"/>
  <c r="G64" i="88" a="1"/>
  <c r="G64" i="88" s="1"/>
  <c r="H198" i="81" s="1"/>
  <c r="F64" i="88" a="1"/>
  <c r="F64" i="88" s="1"/>
  <c r="E64" i="88" a="1"/>
  <c r="E64" i="88" s="1"/>
  <c r="H280" i="80" s="1"/>
  <c r="D64" i="88" a="1"/>
  <c r="D64" i="88" s="1"/>
  <c r="G63" i="88" a="1"/>
  <c r="G63" i="88" s="1"/>
  <c r="F198" i="81" s="1"/>
  <c r="F63" i="88" a="1"/>
  <c r="F63" i="88" s="1"/>
  <c r="E63" i="88" a="1"/>
  <c r="E63" i="88" s="1"/>
  <c r="F280" i="80" s="1"/>
  <c r="D63" i="88" a="1"/>
  <c r="D63" i="88" s="1"/>
  <c r="D61" i="88" a="1"/>
  <c r="D61" i="88" s="1"/>
  <c r="D60" i="88" a="1"/>
  <c r="D60" i="88" s="1"/>
  <c r="D59" i="88" a="1"/>
  <c r="D59" i="88" s="1"/>
  <c r="D58" i="88" a="1"/>
  <c r="D58" i="88" s="1"/>
  <c r="H55" i="88" a="1"/>
  <c r="H55" i="88" s="1"/>
  <c r="H24" i="81" s="1" a="1"/>
  <c r="H24" i="81" s="1"/>
  <c r="G55" i="88" a="1"/>
  <c r="G55" i="88" s="1"/>
  <c r="G24" i="81" s="1" a="1"/>
  <c r="G24" i="81" s="1"/>
  <c r="F55" i="88" a="1"/>
  <c r="F55" i="88" s="1"/>
  <c r="F24" i="81" s="1" a="1"/>
  <c r="F24" i="81" s="1"/>
  <c r="E55" i="88" a="1"/>
  <c r="E55" i="88" s="1"/>
  <c r="E24" i="81" s="1" a="1"/>
  <c r="E24" i="81" s="1"/>
  <c r="D55" i="88" a="1"/>
  <c r="D55" i="88" s="1"/>
  <c r="D24" i="81" s="1" a="1"/>
  <c r="D24" i="81" s="1"/>
  <c r="D53" i="88" a="1"/>
  <c r="D53" i="88" s="1"/>
  <c r="D52" i="88" a="1"/>
  <c r="D52" i="88" s="1"/>
  <c r="D51" i="88" a="1"/>
  <c r="D51" i="88" s="1"/>
  <c r="D50" i="88" a="1"/>
  <c r="D50" i="88" s="1"/>
  <c r="H47" i="88" a="1"/>
  <c r="H47" i="88" s="1"/>
  <c r="G47" i="88" a="1"/>
  <c r="G47" i="88" s="1"/>
  <c r="F47" i="88" a="1"/>
  <c r="F47" i="88" s="1"/>
  <c r="E47" i="88" a="1"/>
  <c r="E47" i="88" s="1"/>
  <c r="D47" i="88" a="1"/>
  <c r="D47" i="88" s="1"/>
  <c r="D45" i="88" a="1"/>
  <c r="D45" i="88" s="1"/>
  <c r="D44" i="88" a="1"/>
  <c r="D44" i="88" s="1"/>
  <c r="D43" i="88" a="1"/>
  <c r="D43" i="88" s="1"/>
  <c r="D42" i="88" a="1"/>
  <c r="D42" i="88" s="1"/>
  <c r="F39" i="88" a="1"/>
  <c r="F39" i="88" s="1"/>
  <c r="E39" i="88" a="1"/>
  <c r="E39" i="88" s="1"/>
  <c r="D39" i="88" a="1"/>
  <c r="D39" i="88" s="1"/>
  <c r="D37" i="88" a="1"/>
  <c r="D37" i="88" s="1"/>
  <c r="D36" i="88" a="1"/>
  <c r="D36" i="88" s="1"/>
  <c r="D35" i="88" a="1"/>
  <c r="D35" i="88" s="1"/>
  <c r="D34" i="88" a="1"/>
  <c r="D34" i="88" s="1"/>
  <c r="G31" i="88" a="1"/>
  <c r="G31" i="88" s="1"/>
  <c r="F31" i="88" a="1"/>
  <c r="F31" i="88" s="1"/>
  <c r="E31" i="88" a="1"/>
  <c r="E31" i="88" s="1"/>
  <c r="D31" i="88" a="1"/>
  <c r="D31" i="88" s="1"/>
  <c r="G30" i="88" a="1"/>
  <c r="G30" i="88" s="1"/>
  <c r="F30" i="88" a="1"/>
  <c r="F30" i="88" s="1"/>
  <c r="E30" i="88" a="1"/>
  <c r="E30" i="88" s="1"/>
  <c r="D30" i="88" a="1"/>
  <c r="D30" i="88" s="1"/>
  <c r="G29" i="88" a="1"/>
  <c r="G29" i="88" s="1"/>
  <c r="F29" i="88" a="1"/>
  <c r="F29" i="88" s="1"/>
  <c r="E29" i="88" a="1"/>
  <c r="E29" i="88" s="1"/>
  <c r="D29" i="88" a="1"/>
  <c r="D29" i="88" s="1"/>
  <c r="G28" i="88" a="1"/>
  <c r="G28" i="88" s="1"/>
  <c r="F28" i="88" a="1"/>
  <c r="F28" i="88" s="1"/>
  <c r="E28" i="88" a="1"/>
  <c r="E28" i="88" s="1"/>
  <c r="D28" i="88" a="1"/>
  <c r="D28" i="88" s="1"/>
  <c r="G27" i="88" a="1"/>
  <c r="G27" i="88" s="1"/>
  <c r="F27" i="88" a="1"/>
  <c r="F27" i="88" s="1"/>
  <c r="E27" i="88" a="1"/>
  <c r="E27" i="88" s="1"/>
  <c r="D27" i="88" a="1"/>
  <c r="D27" i="88" s="1"/>
  <c r="G26" i="88" a="1"/>
  <c r="G26" i="88" s="1"/>
  <c r="F26" i="88" a="1"/>
  <c r="F26" i="88" s="1"/>
  <c r="E26" i="88" a="1"/>
  <c r="E26" i="88" s="1"/>
  <c r="D26" i="88" a="1"/>
  <c r="D26" i="88" s="1"/>
  <c r="G25" i="88" a="1"/>
  <c r="G25" i="88" s="1"/>
  <c r="F25" i="88" a="1"/>
  <c r="F25" i="88" s="1"/>
  <c r="E25" i="88" a="1"/>
  <c r="E25" i="88" s="1"/>
  <c r="D25" i="88" a="1"/>
  <c r="D25" i="88" s="1"/>
  <c r="G24" i="88" a="1"/>
  <c r="G24" i="88" s="1"/>
  <c r="F24" i="88" a="1"/>
  <c r="F24" i="88" s="1"/>
  <c r="E24" i="88" a="1"/>
  <c r="E24" i="88" s="1"/>
  <c r="D24" i="88" a="1"/>
  <c r="D24" i="88" s="1"/>
  <c r="G23" i="88" a="1"/>
  <c r="G23" i="88" s="1"/>
  <c r="F23" i="88" a="1"/>
  <c r="F23" i="88" s="1"/>
  <c r="E23" i="88" a="1"/>
  <c r="E23" i="88" s="1"/>
  <c r="D23" i="88" a="1"/>
  <c r="D23" i="88" s="1"/>
  <c r="G22" i="88" a="1"/>
  <c r="G22" i="88" s="1"/>
  <c r="F22" i="88" a="1"/>
  <c r="F22" i="88" s="1"/>
  <c r="E22" i="88" a="1"/>
  <c r="E22" i="88" s="1"/>
  <c r="D22" i="88" a="1"/>
  <c r="D22" i="88" s="1"/>
  <c r="D20" i="88" a="1"/>
  <c r="D20" i="88" s="1"/>
  <c r="D19" i="88" a="1"/>
  <c r="D19" i="88" s="1"/>
  <c r="D18" i="88" a="1"/>
  <c r="D18" i="88" s="1"/>
  <c r="D17" i="88" a="1"/>
  <c r="D17" i="88" s="1"/>
  <c r="D16" i="88" a="1"/>
  <c r="D16" i="88" s="1"/>
  <c r="Q52" i="87" a="1"/>
  <c r="Q52" i="87" s="1"/>
  <c r="F52" i="87" a="1"/>
  <c r="F52" i="87" s="1"/>
  <c r="O49" i="87" a="1"/>
  <c r="O49" i="87" s="1"/>
  <c r="D49" i="87" a="1"/>
  <c r="D49" i="87" s="1"/>
  <c r="S43" i="87" a="1"/>
  <c r="S43" i="87" s="1"/>
  <c r="O43" i="87" a="1"/>
  <c r="O43" i="87" s="1"/>
  <c r="H43" i="87" a="1"/>
  <c r="H43" i="87" s="1"/>
  <c r="D43" i="87" a="1"/>
  <c r="D43" i="87" s="1"/>
  <c r="E41" i="87" a="1"/>
  <c r="E41" i="87" s="1"/>
  <c r="E40" i="87" a="1"/>
  <c r="E40" i="87" s="1"/>
  <c r="D36" i="87" a="1"/>
  <c r="D36" i="87" s="1"/>
  <c r="D35" i="87" a="1"/>
  <c r="D35" i="87" s="1"/>
  <c r="O28" i="87"/>
  <c r="D28" i="87"/>
  <c r="O23" i="87"/>
  <c r="D23" i="87"/>
  <c r="I18" i="87"/>
  <c r="I17" i="87"/>
  <c r="I16" i="87"/>
  <c r="I13" i="87" a="1"/>
  <c r="I13" i="87" s="1"/>
  <c r="G13" i="87" a="1"/>
  <c r="G13" i="87" s="1"/>
  <c r="D13" i="87" a="1"/>
  <c r="D13" i="87" s="1"/>
  <c r="E11" i="87" a="1"/>
  <c r="E11" i="87" s="1"/>
  <c r="E10" i="87" a="1"/>
  <c r="E10" i="87" s="1"/>
  <c r="D6" i="87" a="1"/>
  <c r="D6" i="87" s="1"/>
  <c r="D5" i="87" a="1"/>
  <c r="D5" i="87" s="1"/>
  <c r="Q50" i="86" a="1"/>
  <c r="Q50" i="86" s="1"/>
  <c r="F50" i="86" a="1"/>
  <c r="F50" i="86" s="1"/>
  <c r="O47" i="86" a="1"/>
  <c r="O47" i="86" s="1"/>
  <c r="D47" i="86" a="1"/>
  <c r="D47" i="86" s="1"/>
  <c r="I42" i="86"/>
  <c r="I41" i="86"/>
  <c r="G38" i="86" a="1"/>
  <c r="G38" i="86" s="1"/>
  <c r="D38" i="86" a="1"/>
  <c r="P38" i="86" s="1"/>
  <c r="E36" i="86" a="1"/>
  <c r="E36" i="86" s="1"/>
  <c r="E35" i="86" a="1"/>
  <c r="E35" i="86" s="1"/>
  <c r="D31" i="86" a="1"/>
  <c r="D31" i="86" s="1"/>
  <c r="D30" i="86" a="1"/>
  <c r="D30" i="86" s="1"/>
  <c r="O24" i="86"/>
  <c r="D24" i="86"/>
  <c r="O19" i="86"/>
  <c r="D19" i="86"/>
  <c r="I13" i="86" a="1"/>
  <c r="I13" i="86" s="1"/>
  <c r="G13" i="86" a="1"/>
  <c r="G13" i="86" s="1"/>
  <c r="D13" i="86" a="1"/>
  <c r="D13" i="86" s="1"/>
  <c r="E11" i="86" a="1"/>
  <c r="E11" i="86" s="1"/>
  <c r="E10" i="86" a="1"/>
  <c r="E10" i="86" s="1"/>
  <c r="D6" i="86" a="1"/>
  <c r="D6" i="86" s="1"/>
  <c r="D5" i="86" a="1"/>
  <c r="D5" i="86" s="1"/>
  <c r="Q58" i="85" a="1"/>
  <c r="Q58" i="85" s="1"/>
  <c r="F58" i="85" a="1"/>
  <c r="F58" i="85" s="1"/>
  <c r="O55" i="85" a="1"/>
  <c r="O55" i="85" s="1"/>
  <c r="D55" i="85" a="1"/>
  <c r="D55" i="85" s="1"/>
  <c r="O51" i="85"/>
  <c r="D51" i="85"/>
  <c r="J43" i="85" a="1"/>
  <c r="J43" i="85" s="1"/>
  <c r="H43" i="85" a="1"/>
  <c r="H43" i="85" s="1"/>
  <c r="D43" i="85" a="1"/>
  <c r="D43" i="85" s="1"/>
  <c r="E41" i="85" a="1"/>
  <c r="E41" i="85" s="1"/>
  <c r="E40" i="85" a="1"/>
  <c r="E40" i="85" s="1"/>
  <c r="D36" i="85" a="1"/>
  <c r="D36" i="85" s="1"/>
  <c r="D35" i="85" a="1"/>
  <c r="D35" i="85" s="1"/>
  <c r="O31" i="85"/>
  <c r="D31" i="85"/>
  <c r="O25" i="85"/>
  <c r="D25" i="85"/>
  <c r="I14" i="85" a="1"/>
  <c r="I14" i="85" s="1"/>
  <c r="I13" i="85" a="1"/>
  <c r="I13" i="85" s="1"/>
  <c r="G13" i="85" a="1"/>
  <c r="K25" i="85" s="1"/>
  <c r="D13" i="85" a="1"/>
  <c r="D13" i="85" s="1"/>
  <c r="E11" i="85" a="1"/>
  <c r="E11" i="85" s="1"/>
  <c r="E10" i="85" a="1"/>
  <c r="E10" i="85" s="1"/>
  <c r="D6" i="85" a="1"/>
  <c r="D6" i="85" s="1"/>
  <c r="D5" i="85" a="1"/>
  <c r="D5" i="85" s="1"/>
  <c r="O146" i="84"/>
  <c r="D146" i="84"/>
  <c r="P145" i="84"/>
  <c r="O145" i="84"/>
  <c r="E145" i="84"/>
  <c r="D145" i="84"/>
  <c r="O144" i="84"/>
  <c r="D144" i="84"/>
  <c r="P143" i="84"/>
  <c r="O143" i="84"/>
  <c r="D143" i="84"/>
  <c r="O142" i="84"/>
  <c r="D142" i="84"/>
  <c r="O141" i="84"/>
  <c r="D141" i="84"/>
  <c r="O140" i="84"/>
  <c r="D140" i="84"/>
  <c r="O139" i="84"/>
  <c r="D139" i="84"/>
  <c r="F134" i="84"/>
  <c r="D134" i="84"/>
  <c r="F133" i="84"/>
  <c r="E133" i="84"/>
  <c r="D133" i="84"/>
  <c r="F132" i="84"/>
  <c r="D132" i="84"/>
  <c r="F131" i="84"/>
  <c r="E131" i="84"/>
  <c r="D131" i="84"/>
  <c r="F130" i="84"/>
  <c r="D130" i="84"/>
  <c r="F129" i="84"/>
  <c r="D129" i="84"/>
  <c r="F128" i="84"/>
  <c r="D128" i="84"/>
  <c r="F127" i="84"/>
  <c r="D127" i="84"/>
  <c r="O113" i="84"/>
  <c r="D113" i="84"/>
  <c r="P112" i="84"/>
  <c r="O112" i="84"/>
  <c r="E112" i="84"/>
  <c r="D112" i="84"/>
  <c r="O111" i="84"/>
  <c r="D111" i="84"/>
  <c r="P110" i="84"/>
  <c r="O110" i="84"/>
  <c r="E110" i="84"/>
  <c r="D110" i="84"/>
  <c r="O109" i="84"/>
  <c r="D109" i="84"/>
  <c r="O108" i="84"/>
  <c r="D108" i="84"/>
  <c r="O107" i="84"/>
  <c r="D107" i="84"/>
  <c r="O106" i="84"/>
  <c r="D106" i="84"/>
  <c r="I101" i="84" a="1"/>
  <c r="I101" i="84" s="1"/>
  <c r="I100" i="84" a="1"/>
  <c r="I100" i="84" s="1"/>
  <c r="I99" i="84" a="1"/>
  <c r="I99" i="84" s="1"/>
  <c r="I98" i="84" a="1"/>
  <c r="I98" i="84" s="1"/>
  <c r="I97" i="84" a="1"/>
  <c r="I97" i="84" s="1"/>
  <c r="G97" i="84" a="1"/>
  <c r="G97" i="84" s="1"/>
  <c r="D97" i="84" a="1"/>
  <c r="D97" i="84" s="1"/>
  <c r="E95" i="84" a="1"/>
  <c r="E95" i="84" s="1"/>
  <c r="E94" i="84" a="1"/>
  <c r="E94" i="84" s="1"/>
  <c r="D90" i="84" a="1"/>
  <c r="D90" i="84" s="1"/>
  <c r="D89" i="84" a="1"/>
  <c r="D89" i="84" s="1"/>
  <c r="O83" i="84"/>
  <c r="D83" i="84"/>
  <c r="P82" i="84"/>
  <c r="O82" i="84"/>
  <c r="E82" i="84"/>
  <c r="D82" i="84"/>
  <c r="O81" i="84"/>
  <c r="D81" i="84"/>
  <c r="O80" i="84"/>
  <c r="E80" i="84"/>
  <c r="D80" i="84"/>
  <c r="O79" i="84"/>
  <c r="D79" i="84"/>
  <c r="O78" i="84"/>
  <c r="D78" i="84"/>
  <c r="O77" i="84"/>
  <c r="D77" i="84"/>
  <c r="O76" i="84"/>
  <c r="D76" i="84"/>
  <c r="F71" i="84"/>
  <c r="E71" i="84"/>
  <c r="D71" i="84"/>
  <c r="F70" i="84"/>
  <c r="E70" i="84"/>
  <c r="D70" i="84"/>
  <c r="F69" i="84"/>
  <c r="D69" i="84"/>
  <c r="D68" i="84"/>
  <c r="F67" i="84"/>
  <c r="D67" i="84"/>
  <c r="F66" i="84"/>
  <c r="D66" i="84"/>
  <c r="D65" i="84"/>
  <c r="F64" i="84"/>
  <c r="D64" i="84"/>
  <c r="O59" i="84"/>
  <c r="D59" i="84"/>
  <c r="P58" i="84"/>
  <c r="O58" i="84"/>
  <c r="E58" i="84"/>
  <c r="D58" i="84"/>
  <c r="O57" i="84"/>
  <c r="D57" i="84"/>
  <c r="P56" i="84"/>
  <c r="O56" i="84"/>
  <c r="D56" i="84"/>
  <c r="O55" i="84"/>
  <c r="D55" i="84"/>
  <c r="O54" i="84"/>
  <c r="D54" i="84"/>
  <c r="O53" i="84"/>
  <c r="D53" i="84"/>
  <c r="O52" i="84"/>
  <c r="D52" i="84"/>
  <c r="O47" i="84"/>
  <c r="D47" i="84"/>
  <c r="P46" i="84"/>
  <c r="O46" i="84"/>
  <c r="E46" i="84"/>
  <c r="D46" i="84"/>
  <c r="O45" i="84"/>
  <c r="D45" i="84"/>
  <c r="P44" i="84"/>
  <c r="O44" i="84"/>
  <c r="D44" i="84"/>
  <c r="O43" i="84"/>
  <c r="D43" i="84"/>
  <c r="O42" i="84"/>
  <c r="D42" i="84"/>
  <c r="O41" i="84"/>
  <c r="D41" i="84"/>
  <c r="O40" i="84"/>
  <c r="D40" i="84"/>
  <c r="I17" i="84" a="1"/>
  <c r="I17" i="84" s="1"/>
  <c r="I16" i="84" a="1"/>
  <c r="I16" i="84" s="1"/>
  <c r="I15" i="84" a="1"/>
  <c r="I15" i="84" s="1"/>
  <c r="I14" i="84" a="1"/>
  <c r="I14" i="84" s="1"/>
  <c r="I13" i="84" a="1"/>
  <c r="I13" i="84" s="1"/>
  <c r="G13" i="84" a="1"/>
  <c r="G64" i="84" s="1"/>
  <c r="D13" i="84" a="1"/>
  <c r="D13" i="84" s="1"/>
  <c r="E11" i="84" a="1"/>
  <c r="E11" i="84" s="1"/>
  <c r="K76" i="84" s="1"/>
  <c r="E10" i="84" a="1"/>
  <c r="E10" i="84" s="1"/>
  <c r="D6" i="84" a="1"/>
  <c r="D6" i="84" s="1"/>
  <c r="D119" i="84" s="1"/>
  <c r="D5" i="84" a="1"/>
  <c r="D5" i="84" s="1"/>
  <c r="Q57" i="83" a="1"/>
  <c r="Q57" i="83" s="1"/>
  <c r="F57" i="83" a="1"/>
  <c r="F57" i="83" s="1"/>
  <c r="O54" i="83" a="1"/>
  <c r="O54" i="83" s="1"/>
  <c r="D54" i="83" a="1"/>
  <c r="D54" i="83" s="1"/>
  <c r="O50" i="83"/>
  <c r="D50" i="83"/>
  <c r="O49" i="83"/>
  <c r="D49" i="83"/>
  <c r="I42" i="83" a="1"/>
  <c r="I42" i="83" s="1"/>
  <c r="G42" i="83" a="1"/>
  <c r="G42" i="83" s="1"/>
  <c r="D42" i="83" a="1"/>
  <c r="D42" i="83" s="1"/>
  <c r="E40" i="83" a="1"/>
  <c r="E40" i="83" s="1"/>
  <c r="E39" i="83" a="1"/>
  <c r="E39" i="83" s="1"/>
  <c r="D35" i="83" a="1"/>
  <c r="D35" i="83" s="1"/>
  <c r="D34" i="83" a="1"/>
  <c r="D34" i="83" s="1"/>
  <c r="O30" i="83"/>
  <c r="D30" i="83"/>
  <c r="O29" i="83"/>
  <c r="D29" i="83"/>
  <c r="O24" i="83"/>
  <c r="D24" i="83"/>
  <c r="O23" i="83"/>
  <c r="D23" i="83"/>
  <c r="J18" i="83"/>
  <c r="J17" i="83"/>
  <c r="J16" i="83"/>
  <c r="J13" i="83" a="1"/>
  <c r="J13" i="83" s="1"/>
  <c r="H13" i="83" a="1"/>
  <c r="H13" i="83" s="1"/>
  <c r="D13" i="83" a="1"/>
  <c r="D13" i="83" s="1"/>
  <c r="E11" i="83" a="1"/>
  <c r="E11" i="83" s="1"/>
  <c r="E10" i="83" a="1"/>
  <c r="E10" i="83" s="1"/>
  <c r="D6" i="83" a="1"/>
  <c r="D6" i="83" s="1"/>
  <c r="D5" i="83" a="1"/>
  <c r="D5" i="83" s="1"/>
  <c r="Q73" i="82" a="1"/>
  <c r="Q73" i="82" s="1"/>
  <c r="F73" i="82" a="1"/>
  <c r="F73" i="82" s="1"/>
  <c r="O70" i="82" a="1"/>
  <c r="O70" i="82" s="1"/>
  <c r="D70" i="82" a="1"/>
  <c r="D70" i="82" s="1"/>
  <c r="I65" i="82"/>
  <c r="I64" i="82"/>
  <c r="G61" i="82" a="1"/>
  <c r="G61" i="82" s="1"/>
  <c r="D61" i="82" a="1"/>
  <c r="P61" i="82" s="1"/>
  <c r="E59" i="82" a="1"/>
  <c r="E59" i="82" s="1"/>
  <c r="E58" i="82" a="1"/>
  <c r="E58" i="82" s="1"/>
  <c r="D54" i="82" a="1"/>
  <c r="D54" i="82" s="1"/>
  <c r="D53" i="82" a="1"/>
  <c r="D53" i="82" s="1"/>
  <c r="O47" i="82"/>
  <c r="D47" i="82"/>
  <c r="P46" i="82"/>
  <c r="O46" i="82"/>
  <c r="E46" i="82"/>
  <c r="D46" i="82"/>
  <c r="O45" i="82"/>
  <c r="D45" i="82"/>
  <c r="P44" i="82"/>
  <c r="O44" i="82"/>
  <c r="E44" i="82"/>
  <c r="D44" i="82"/>
  <c r="O43" i="82"/>
  <c r="D43" i="82"/>
  <c r="O42" i="82"/>
  <c r="D42" i="82"/>
  <c r="O41" i="82"/>
  <c r="D41" i="82"/>
  <c r="O40" i="82"/>
  <c r="D40" i="82"/>
  <c r="O26" i="82"/>
  <c r="D26" i="82"/>
  <c r="P25" i="82"/>
  <c r="O25" i="82"/>
  <c r="E25" i="82"/>
  <c r="D25" i="82"/>
  <c r="O24" i="82"/>
  <c r="D24" i="82"/>
  <c r="P23" i="82"/>
  <c r="O23" i="82"/>
  <c r="E23" i="82"/>
  <c r="D23" i="82"/>
  <c r="O22" i="82"/>
  <c r="D22" i="82"/>
  <c r="O21" i="82"/>
  <c r="D21" i="82"/>
  <c r="O20" i="82"/>
  <c r="D20" i="82"/>
  <c r="O19" i="82"/>
  <c r="D19" i="82"/>
  <c r="I14" i="82" a="1"/>
  <c r="I14" i="82" s="1"/>
  <c r="I13" i="82" a="1"/>
  <c r="I13" i="82" s="1"/>
  <c r="G13" i="82" a="1"/>
  <c r="F31" i="82" s="1"/>
  <c r="D13" i="82" a="1"/>
  <c r="D13" i="82" s="1"/>
  <c r="E11" i="82" a="1"/>
  <c r="E11" i="82" s="1"/>
  <c r="E10" i="82" a="1"/>
  <c r="E10" i="82" s="1"/>
  <c r="D6" i="82" a="1"/>
  <c r="D6" i="82" s="1"/>
  <c r="D5" i="82" a="1"/>
  <c r="D5" i="82" s="1"/>
  <c r="P292" i="81" a="1"/>
  <c r="P292" i="81" s="1"/>
  <c r="F292" i="81" a="1"/>
  <c r="F292" i="81" s="1"/>
  <c r="N289" i="81" a="1"/>
  <c r="N289" i="81" s="1"/>
  <c r="D289" i="81" a="1"/>
  <c r="D289" i="81" s="1"/>
  <c r="N285" i="81"/>
  <c r="D285" i="81"/>
  <c r="A285" i="81"/>
  <c r="O284" i="81"/>
  <c r="N284" i="81"/>
  <c r="E284" i="81"/>
  <c r="D284" i="81"/>
  <c r="N283" i="81"/>
  <c r="D283" i="81"/>
  <c r="O282" i="81"/>
  <c r="N282" i="81"/>
  <c r="D282" i="81"/>
  <c r="N281" i="81"/>
  <c r="D281" i="81"/>
  <c r="N280" i="81"/>
  <c r="D280" i="81"/>
  <c r="N279" i="81"/>
  <c r="D279" i="81"/>
  <c r="N278" i="81"/>
  <c r="D278" i="81"/>
  <c r="I263" i="81" a="1"/>
  <c r="I263" i="81" s="1"/>
  <c r="I262" i="81" a="1"/>
  <c r="I262" i="81" s="1"/>
  <c r="G262" i="81" a="1"/>
  <c r="G262" i="81" s="1"/>
  <c r="D262" i="81" a="1"/>
  <c r="D262" i="81" s="1"/>
  <c r="E260" i="81" a="1"/>
  <c r="E260" i="81" s="1"/>
  <c r="E259" i="81" a="1"/>
  <c r="E259" i="81" s="1"/>
  <c r="D255" i="81" a="1"/>
  <c r="D255" i="81" s="1"/>
  <c r="D254" i="81" a="1"/>
  <c r="D254" i="81" s="1"/>
  <c r="N250" i="81"/>
  <c r="D250" i="81"/>
  <c r="O249" i="81"/>
  <c r="N249" i="81"/>
  <c r="D249" i="81"/>
  <c r="N248" i="81"/>
  <c r="D248" i="81"/>
  <c r="O247" i="81"/>
  <c r="N247" i="81"/>
  <c r="E247" i="81"/>
  <c r="D247" i="81"/>
  <c r="N246" i="81"/>
  <c r="D246" i="81"/>
  <c r="N245" i="81"/>
  <c r="D245" i="81"/>
  <c r="A245" i="81"/>
  <c r="N244" i="81"/>
  <c r="D244" i="81"/>
  <c r="N243" i="81"/>
  <c r="D243" i="81"/>
  <c r="N238" i="81"/>
  <c r="D238" i="81"/>
  <c r="O237" i="81"/>
  <c r="N237" i="81"/>
  <c r="E237" i="81"/>
  <c r="D237" i="81"/>
  <c r="N236" i="81"/>
  <c r="D236" i="81"/>
  <c r="O235" i="81"/>
  <c r="N235" i="81"/>
  <c r="E235" i="81"/>
  <c r="D235" i="81"/>
  <c r="N234" i="81"/>
  <c r="D234" i="81"/>
  <c r="N233" i="81"/>
  <c r="D233" i="81"/>
  <c r="N232" i="81"/>
  <c r="D232" i="81"/>
  <c r="N231" i="81"/>
  <c r="D231" i="81"/>
  <c r="J226" i="81" a="1"/>
  <c r="J226" i="81" s="1"/>
  <c r="I226" i="81" a="1"/>
  <c r="I226" i="81" s="1"/>
  <c r="J225" i="81" a="1"/>
  <c r="J225" i="81" s="1"/>
  <c r="I225" i="81" a="1"/>
  <c r="I225" i="81" s="1"/>
  <c r="G225" i="81" a="1"/>
  <c r="G225" i="81" s="1"/>
  <c r="D225" i="81" a="1"/>
  <c r="D225" i="81" s="1"/>
  <c r="E223" i="81" a="1"/>
  <c r="E223" i="81" s="1"/>
  <c r="E222" i="81" a="1"/>
  <c r="E222" i="81" s="1"/>
  <c r="D218" i="81" a="1"/>
  <c r="D218" i="81" s="1"/>
  <c r="D217" i="81" a="1"/>
  <c r="D217" i="81" s="1"/>
  <c r="A208" i="81"/>
  <c r="I193" i="81" a="1"/>
  <c r="I193" i="81" s="1"/>
  <c r="I192" i="81" a="1"/>
  <c r="I192" i="81" s="1"/>
  <c r="I191" i="81" a="1"/>
  <c r="I191" i="81" s="1"/>
  <c r="I190" i="81" a="1"/>
  <c r="I190" i="81" s="1"/>
  <c r="I189" i="81" a="1"/>
  <c r="I189" i="81" s="1"/>
  <c r="G189" i="81" a="1"/>
  <c r="G189" i="81" s="1"/>
  <c r="D189" i="81" a="1"/>
  <c r="D189" i="81" s="1"/>
  <c r="E187" i="81" a="1"/>
  <c r="E187" i="81" s="1"/>
  <c r="E186" i="81" a="1"/>
  <c r="E186" i="81" s="1"/>
  <c r="D182" i="81" a="1"/>
  <c r="D182" i="81" s="1"/>
  <c r="D181" i="81" a="1"/>
  <c r="D181" i="81" s="1"/>
  <c r="D180" i="81" a="1"/>
  <c r="D180" i="81" s="1"/>
  <c r="A171" i="81"/>
  <c r="H166" i="81"/>
  <c r="G166" i="81"/>
  <c r="F166" i="81"/>
  <c r="E166" i="81"/>
  <c r="D166" i="81"/>
  <c r="I161" i="81" a="1"/>
  <c r="I161" i="81" s="1"/>
  <c r="I160" i="81" a="1"/>
  <c r="I160" i="81" s="1"/>
  <c r="I159" i="81" a="1"/>
  <c r="I159" i="81" s="1"/>
  <c r="G159" i="81" a="1"/>
  <c r="D159" i="81" a="1"/>
  <c r="D159" i="81" s="1"/>
  <c r="E157" i="81" a="1"/>
  <c r="E157" i="81" s="1"/>
  <c r="E156" i="81" a="1"/>
  <c r="E156" i="81" s="1"/>
  <c r="D152" i="81" a="1"/>
  <c r="D152" i="81" s="1"/>
  <c r="D151" i="81" a="1"/>
  <c r="D151" i="81" s="1"/>
  <c r="D150" i="81" a="1"/>
  <c r="D150" i="81" s="1"/>
  <c r="I141" i="81" a="1"/>
  <c r="I141" i="81" s="1"/>
  <c r="I140" i="81" a="1"/>
  <c r="I140" i="81" s="1"/>
  <c r="I139" i="81" a="1"/>
  <c r="I139" i="81" s="1"/>
  <c r="G139" i="81" a="1"/>
  <c r="G139" i="81" s="1"/>
  <c r="D139" i="81" a="1"/>
  <c r="D139" i="81" s="1"/>
  <c r="E137" i="81" a="1"/>
  <c r="E137" i="81" s="1"/>
  <c r="I146" i="81" s="1"/>
  <c r="E136" i="81" a="1"/>
  <c r="E136" i="81" s="1"/>
  <c r="D131" i="81" a="1"/>
  <c r="D131" i="81" s="1"/>
  <c r="D130" i="81" a="1"/>
  <c r="D130" i="81" s="1"/>
  <c r="H116" i="81" a="1"/>
  <c r="H116" i="81" s="1"/>
  <c r="H115" i="81" a="1"/>
  <c r="H115" i="81" s="1"/>
  <c r="D115" i="81" a="1"/>
  <c r="D115" i="81" s="1"/>
  <c r="E113" i="81" a="1"/>
  <c r="E113" i="81" s="1"/>
  <c r="E112" i="81" a="1"/>
  <c r="E112" i="81" s="1"/>
  <c r="D108" i="81" a="1"/>
  <c r="D108" i="81" s="1"/>
  <c r="D107" i="81" a="1"/>
  <c r="D107" i="81" s="1"/>
  <c r="I83" i="81" a="1"/>
  <c r="I83" i="81" s="1"/>
  <c r="I82" i="81" a="1"/>
  <c r="I82" i="81" s="1"/>
  <c r="I81" i="81" a="1"/>
  <c r="I81" i="81" s="1"/>
  <c r="I80" i="81" a="1"/>
  <c r="I80" i="81" s="1"/>
  <c r="I79" i="81" a="1"/>
  <c r="I79" i="81" s="1"/>
  <c r="I78" i="81"/>
  <c r="G78" i="81" a="1"/>
  <c r="I93" i="81" s="1"/>
  <c r="D78" i="81" a="1"/>
  <c r="D78" i="81" s="1"/>
  <c r="E76" i="81" a="1"/>
  <c r="E76" i="81" s="1"/>
  <c r="E75" i="81" a="1"/>
  <c r="E75" i="81" s="1"/>
  <c r="D71" i="81" a="1"/>
  <c r="D71" i="81" s="1"/>
  <c r="D70" i="81" a="1"/>
  <c r="D70" i="81" s="1"/>
  <c r="D69" i="81" a="1"/>
  <c r="D69" i="81" s="1"/>
  <c r="I45" i="81" a="1"/>
  <c r="I45" i="81" s="1"/>
  <c r="I44" i="81" a="1"/>
  <c r="I44" i="81" s="1"/>
  <c r="I43" i="81" a="1"/>
  <c r="I43" i="81" s="1"/>
  <c r="I42" i="81" a="1"/>
  <c r="I42" i="81" s="1"/>
  <c r="G42" i="81" a="1"/>
  <c r="G42" i="81" s="1"/>
  <c r="I50" i="81" s="1"/>
  <c r="D42" i="81" a="1"/>
  <c r="D42" i="81" s="1"/>
  <c r="E40" i="81" a="1"/>
  <c r="E40" i="81" s="1"/>
  <c r="E39" i="81" a="1"/>
  <c r="E39" i="81" s="1"/>
  <c r="D34" i="81" a="1"/>
  <c r="D34" i="81" s="1"/>
  <c r="D33" i="81" a="1"/>
  <c r="D33" i="81" s="1"/>
  <c r="H14" i="81" a="1"/>
  <c r="H14" i="81" s="1"/>
  <c r="H13" i="81" a="1"/>
  <c r="H13" i="81" s="1"/>
  <c r="F13" i="81" a="1"/>
  <c r="F13" i="81" s="1"/>
  <c r="D13" i="81" a="1"/>
  <c r="D13" i="81" s="1"/>
  <c r="E11" i="81" a="1"/>
  <c r="E11" i="81" s="1"/>
  <c r="E10" i="81" a="1"/>
  <c r="E10" i="81" s="1"/>
  <c r="D6" i="81" a="1"/>
  <c r="D6" i="81" s="1"/>
  <c r="D5" i="81" a="1"/>
  <c r="D5" i="81" s="1"/>
  <c r="Q305" i="80" a="1"/>
  <c r="Q305" i="80" s="1"/>
  <c r="F305" i="80" a="1"/>
  <c r="F305" i="80" s="1"/>
  <c r="O302" i="80" a="1"/>
  <c r="O302" i="80" s="1"/>
  <c r="D302" i="80" a="1"/>
  <c r="D302" i="80" s="1"/>
  <c r="O298" i="80"/>
  <c r="D298" i="80"/>
  <c r="P297" i="80"/>
  <c r="O297" i="80"/>
  <c r="E297" i="80"/>
  <c r="D297" i="80"/>
  <c r="O296" i="80"/>
  <c r="D296" i="80"/>
  <c r="P295" i="80"/>
  <c r="O295" i="80"/>
  <c r="E295" i="80"/>
  <c r="D295" i="80"/>
  <c r="O294" i="80"/>
  <c r="D294" i="80"/>
  <c r="O293" i="80"/>
  <c r="D293" i="80"/>
  <c r="O292" i="80"/>
  <c r="D292" i="80"/>
  <c r="O291" i="80"/>
  <c r="D291" i="80"/>
  <c r="O290" i="80"/>
  <c r="D290" i="80"/>
  <c r="A275" i="80"/>
  <c r="H270" i="80"/>
  <c r="G270" i="80"/>
  <c r="F270" i="80"/>
  <c r="E270" i="80"/>
  <c r="D270" i="80"/>
  <c r="J265" i="80" a="1"/>
  <c r="J265" i="80" s="1"/>
  <c r="J264" i="80" a="1"/>
  <c r="J264" i="80" s="1"/>
  <c r="J263" i="80" a="1"/>
  <c r="J263" i="80" s="1"/>
  <c r="J262" i="80" a="1"/>
  <c r="J262" i="80" s="1"/>
  <c r="J261" i="80" a="1"/>
  <c r="J261" i="80" s="1"/>
  <c r="J260" i="80" a="1"/>
  <c r="J260" i="80" s="1"/>
  <c r="J259" i="80" a="1"/>
  <c r="J259" i="80" s="1"/>
  <c r="J258" i="80" a="1"/>
  <c r="J258" i="80" s="1"/>
  <c r="H258" i="80" a="1"/>
  <c r="H258" i="80" s="1"/>
  <c r="D258" i="80" a="1"/>
  <c r="D258" i="80" s="1"/>
  <c r="E256" i="80" a="1"/>
  <c r="E256" i="80" s="1"/>
  <c r="E255" i="80" a="1"/>
  <c r="E255" i="80" s="1"/>
  <c r="D251" i="80" a="1"/>
  <c r="D251" i="80" s="1"/>
  <c r="D250" i="80" a="1"/>
  <c r="D250" i="80" s="1"/>
  <c r="D249" i="80" a="1"/>
  <c r="D249" i="80" s="1"/>
  <c r="O245" i="80"/>
  <c r="D245" i="80"/>
  <c r="P244" i="80"/>
  <c r="O244" i="80"/>
  <c r="E244" i="80"/>
  <c r="D244" i="80"/>
  <c r="O243" i="80"/>
  <c r="D243" i="80"/>
  <c r="P242" i="80"/>
  <c r="O242" i="80"/>
  <c r="E242" i="80"/>
  <c r="D242" i="80"/>
  <c r="O241" i="80"/>
  <c r="D241" i="80"/>
  <c r="O240" i="80"/>
  <c r="D240" i="80"/>
  <c r="O239" i="80"/>
  <c r="D239" i="80"/>
  <c r="O238" i="80"/>
  <c r="D238" i="80"/>
  <c r="O237" i="80"/>
  <c r="D237" i="80"/>
  <c r="T223" i="80"/>
  <c r="T220" i="80" a="1"/>
  <c r="T220" i="80" s="1"/>
  <c r="I220" i="80" a="1"/>
  <c r="I220" i="80" s="1"/>
  <c r="J219" i="80" a="1"/>
  <c r="J219" i="80" s="1"/>
  <c r="I219" i="80" a="1"/>
  <c r="I219" i="80" s="1"/>
  <c r="R218" i="80" a="1"/>
  <c r="R218" i="80" s="1"/>
  <c r="O218" i="80" a="1"/>
  <c r="O218" i="80" s="1"/>
  <c r="I218" i="80" a="1"/>
  <c r="I218" i="80" s="1"/>
  <c r="G218" i="80" a="1"/>
  <c r="G218" i="80" s="1"/>
  <c r="D218" i="80" a="1"/>
  <c r="D218" i="80" s="1"/>
  <c r="A217" i="80"/>
  <c r="E216" i="80" a="1"/>
  <c r="E216" i="80" s="1"/>
  <c r="E215" i="80" a="1"/>
  <c r="E215" i="80" s="1"/>
  <c r="D211" i="80" a="1"/>
  <c r="D211" i="80" s="1"/>
  <c r="D210" i="80" a="1"/>
  <c r="D210" i="80" s="1"/>
  <c r="O206" i="80"/>
  <c r="D206" i="80"/>
  <c r="O205" i="80"/>
  <c r="D205" i="80"/>
  <c r="P200" i="80"/>
  <c r="O200" i="80"/>
  <c r="E200" i="80"/>
  <c r="D200" i="80"/>
  <c r="O199" i="80"/>
  <c r="D199" i="80"/>
  <c r="I194" i="80" a="1"/>
  <c r="I194" i="80" s="1"/>
  <c r="I193" i="80" a="1"/>
  <c r="I193" i="80" s="1"/>
  <c r="I192" i="80" a="1"/>
  <c r="I192" i="80" s="1"/>
  <c r="G192" i="80" a="1"/>
  <c r="G192" i="80" s="1"/>
  <c r="D192" i="80" a="1"/>
  <c r="D192" i="80" s="1"/>
  <c r="E190" i="80" a="1"/>
  <c r="E190" i="80" s="1"/>
  <c r="E189" i="80" a="1"/>
  <c r="E189" i="80" s="1"/>
  <c r="D185" i="80" a="1"/>
  <c r="D185" i="80" s="1"/>
  <c r="D184" i="80" a="1"/>
  <c r="D184" i="80" s="1"/>
  <c r="D183" i="80" a="1"/>
  <c r="D183" i="80" s="1"/>
  <c r="P179" i="80"/>
  <c r="O179" i="80"/>
  <c r="E179" i="80"/>
  <c r="D179" i="80"/>
  <c r="O178" i="80"/>
  <c r="D178" i="80"/>
  <c r="A178" i="80"/>
  <c r="P177" i="80"/>
  <c r="O177" i="80"/>
  <c r="E177" i="80"/>
  <c r="D177" i="80"/>
  <c r="O176" i="80"/>
  <c r="D176" i="80"/>
  <c r="O175" i="80"/>
  <c r="D175" i="80"/>
  <c r="O174" i="80"/>
  <c r="D174" i="80"/>
  <c r="O173" i="80"/>
  <c r="D173" i="80"/>
  <c r="Q168" i="80"/>
  <c r="P168" i="80"/>
  <c r="O168" i="80"/>
  <c r="D168" i="80"/>
  <c r="O167" i="80"/>
  <c r="F167" i="80"/>
  <c r="D167" i="80"/>
  <c r="P166" i="80"/>
  <c r="O166" i="80"/>
  <c r="F166" i="80"/>
  <c r="E166" i="80"/>
  <c r="D166" i="80"/>
  <c r="Q165" i="80"/>
  <c r="O165" i="80"/>
  <c r="D165" i="80"/>
  <c r="Q164" i="80"/>
  <c r="O164" i="80"/>
  <c r="D164" i="80"/>
  <c r="Q163" i="80"/>
  <c r="O163" i="80"/>
  <c r="F163" i="80"/>
  <c r="D163" i="80"/>
  <c r="O162" i="80"/>
  <c r="D162" i="80"/>
  <c r="P157" i="80"/>
  <c r="O157" i="80"/>
  <c r="E157" i="80"/>
  <c r="D157" i="80"/>
  <c r="O156" i="80"/>
  <c r="D156" i="80"/>
  <c r="P155" i="80"/>
  <c r="O155" i="80"/>
  <c r="E155" i="80"/>
  <c r="D155" i="80"/>
  <c r="O154" i="80"/>
  <c r="D154" i="80"/>
  <c r="O153" i="80"/>
  <c r="D153" i="80"/>
  <c r="O152" i="80"/>
  <c r="D152" i="80"/>
  <c r="O151" i="80"/>
  <c r="D151" i="80"/>
  <c r="I146" i="80" a="1"/>
  <c r="I146" i="80" s="1"/>
  <c r="I145" i="80" a="1"/>
  <c r="I145" i="80" s="1"/>
  <c r="G145" i="80" a="1"/>
  <c r="G145" i="80" s="1"/>
  <c r="K151" i="80" s="1"/>
  <c r="D145" i="80" a="1"/>
  <c r="D145" i="80" s="1"/>
  <c r="E143" i="80" a="1"/>
  <c r="E143" i="80" s="1"/>
  <c r="K173" i="80" s="1"/>
  <c r="E142" i="80" a="1"/>
  <c r="E142" i="80" s="1"/>
  <c r="D138" i="80" a="1"/>
  <c r="D138" i="80" s="1"/>
  <c r="D137" i="80" a="1"/>
  <c r="D137" i="80" s="1"/>
  <c r="I127" i="80" a="1"/>
  <c r="I127" i="80" s="1"/>
  <c r="I126" i="80" a="1"/>
  <c r="I126" i="80" s="1"/>
  <c r="G126" i="80" a="1"/>
  <c r="G126" i="80" s="1"/>
  <c r="D126" i="80" a="1"/>
  <c r="D126" i="80" s="1"/>
  <c r="E124" i="80" a="1"/>
  <c r="E124" i="80" s="1"/>
  <c r="E123" i="80" a="1"/>
  <c r="E123" i="80" s="1"/>
  <c r="D119" i="80" a="1"/>
  <c r="D119" i="80" s="1"/>
  <c r="D118" i="80" a="1"/>
  <c r="D118" i="80" s="1"/>
  <c r="I94" i="80" a="1"/>
  <c r="I94" i="80" s="1"/>
  <c r="I93" i="80" a="1"/>
  <c r="I93" i="80" s="1"/>
  <c r="I92" i="80" a="1"/>
  <c r="I92" i="80" s="1"/>
  <c r="I91" i="80" a="1"/>
  <c r="I91" i="80" s="1"/>
  <c r="G91" i="80" a="1"/>
  <c r="G91" i="80" s="1"/>
  <c r="D91" i="80" a="1"/>
  <c r="D91" i="80" s="1"/>
  <c r="E89" i="80" a="1"/>
  <c r="E89" i="80" s="1"/>
  <c r="T114" i="80" s="1"/>
  <c r="S50" i="81" s="1"/>
  <c r="E88" i="80" a="1"/>
  <c r="E88" i="80" s="1"/>
  <c r="D84" i="80" a="1"/>
  <c r="D84" i="80" s="1"/>
  <c r="D83" i="80" a="1"/>
  <c r="D83" i="80" s="1"/>
  <c r="I68" i="80" a="1"/>
  <c r="I68" i="80" s="1"/>
  <c r="I64" i="80" a="1"/>
  <c r="I64" i="80" s="1"/>
  <c r="I63" i="80" a="1"/>
  <c r="I63" i="80" s="1"/>
  <c r="I62" i="80"/>
  <c r="D74" i="80" s="1"/>
  <c r="D93" i="81" s="1"/>
  <c r="G62" i="80" a="1"/>
  <c r="G62" i="80" s="1"/>
  <c r="D62" i="80" a="1"/>
  <c r="D62" i="80" s="1"/>
  <c r="E60" i="80" a="1"/>
  <c r="E60" i="80" s="1"/>
  <c r="E59" i="80" a="1"/>
  <c r="E59" i="80" s="1"/>
  <c r="D55" i="80" a="1"/>
  <c r="D55" i="80" s="1"/>
  <c r="D54" i="80" a="1"/>
  <c r="D54" i="80" s="1"/>
  <c r="I38" i="80" a="1"/>
  <c r="I38" i="80" s="1"/>
  <c r="R37" i="80" a="1"/>
  <c r="R37" i="80" s="1"/>
  <c r="O37" i="80" a="1"/>
  <c r="O37" i="80" s="1"/>
  <c r="I37" i="80"/>
  <c r="D45" i="80" s="1"/>
  <c r="G37" i="80" a="1"/>
  <c r="G37" i="80" s="1"/>
  <c r="D37" i="80" a="1"/>
  <c r="D37" i="80" s="1"/>
  <c r="E35" i="80" a="1"/>
  <c r="E35" i="80" s="1"/>
  <c r="E34" i="80" a="1"/>
  <c r="E34" i="80" s="1"/>
  <c r="D30" i="80" a="1"/>
  <c r="D30" i="80" s="1"/>
  <c r="D29" i="80" a="1"/>
  <c r="D29" i="80" s="1"/>
  <c r="D28" i="80" a="1"/>
  <c r="D28" i="80" s="1"/>
  <c r="I14" i="80"/>
  <c r="G14" i="80" a="1"/>
  <c r="G14" i="80" s="1"/>
  <c r="D14" i="80" a="1"/>
  <c r="D14" i="80" s="1"/>
  <c r="E12" i="80" a="1"/>
  <c r="E12" i="80" s="1"/>
  <c r="T24" i="80" s="1"/>
  <c r="E11" i="80" a="1"/>
  <c r="E11" i="80" s="1"/>
  <c r="D7" i="80" a="1"/>
  <c r="D7" i="80" s="1"/>
  <c r="D6" i="80" a="1"/>
  <c r="D6" i="80" s="1"/>
  <c r="D5" i="80" a="1"/>
  <c r="D5" i="80" s="1"/>
  <c r="N118" i="79"/>
  <c r="E116" i="79"/>
  <c r="D116" i="79"/>
  <c r="E115" i="79"/>
  <c r="F168" i="80" s="1"/>
  <c r="N113" i="79"/>
  <c r="E111" i="79"/>
  <c r="Q167" i="80" s="1"/>
  <c r="E110" i="79"/>
  <c r="N108" i="79"/>
  <c r="E106" i="79"/>
  <c r="Q166" i="80" s="1"/>
  <c r="D106" i="79"/>
  <c r="E105" i="79"/>
  <c r="N103" i="79"/>
  <c r="F68" i="84" s="1"/>
  <c r="D99" i="79"/>
  <c r="I96" i="79"/>
  <c r="H96" i="79"/>
  <c r="G96" i="79"/>
  <c r="F96" i="79"/>
  <c r="E96" i="79"/>
  <c r="N94" i="79"/>
  <c r="E91" i="79"/>
  <c r="F165" i="80" s="1"/>
  <c r="N89" i="79"/>
  <c r="E86" i="79"/>
  <c r="F164" i="80" s="1"/>
  <c r="N84" i="79"/>
  <c r="F65" i="84" s="1"/>
  <c r="E81" i="79"/>
  <c r="N79" i="79"/>
  <c r="D75" i="79"/>
  <c r="F50" i="79"/>
  <c r="E36" i="83" a="1"/>
  <c r="E61" i="118" a="1"/>
  <c r="E37" i="85" a="1"/>
  <c r="E132" i="81" a="1"/>
  <c r="O27" i="110"/>
  <c r="E100" i="117" a="1"/>
  <c r="N60" i="92" a="1"/>
  <c r="E290" i="117" a="1"/>
  <c r="E121" i="90" a="1"/>
  <c r="E7" i="95" a="1"/>
  <c r="E139" i="90" a="1"/>
  <c r="E31" i="80" a="1"/>
  <c r="E32" i="86"/>
  <c r="E252" i="80" a="1"/>
  <c r="E7" i="103" a="1"/>
  <c r="E31" i="90" a="1"/>
  <c r="E188" i="117" a="1"/>
  <c r="O79" i="118"/>
  <c r="E7" i="94" a="1"/>
  <c r="E7" i="87" a="1"/>
  <c r="E25" i="100"/>
  <c r="E35" i="81" a="1"/>
  <c r="E7" i="86" a="1"/>
  <c r="E79" i="118"/>
  <c r="E153" i="81" a="1"/>
  <c r="L8" i="104" a="1"/>
  <c r="E37" i="87"/>
  <c r="E38" i="94" a="1"/>
  <c r="E7" i="110" a="1"/>
  <c r="E83" i="97"/>
  <c r="E256" i="81" a="1"/>
  <c r="E7" i="92" a="1"/>
  <c r="O42" i="118"/>
  <c r="E212" i="80" a="1"/>
  <c r="E8" i="80" a="1"/>
  <c r="E42" i="92" a="1"/>
  <c r="E43" i="96" a="1"/>
  <c r="E7" i="107" a="1"/>
  <c r="E7" i="97" a="1"/>
  <c r="E86" i="90" a="1"/>
  <c r="E91" i="84" a="1"/>
  <c r="O26" i="118" a="1"/>
  <c r="E203" i="117" a="1"/>
  <c r="E7" i="96" a="1"/>
  <c r="O61" i="118" a="1"/>
  <c r="E523" i="117"/>
  <c r="E7" i="111" a="1"/>
  <c r="E7" i="82" a="1"/>
  <c r="E42" i="118"/>
  <c r="E174" i="117" a="1"/>
  <c r="E323" i="117" a="1"/>
  <c r="E219" i="81" a="1"/>
  <c r="E120" i="80" a="1"/>
  <c r="E139" i="80" a="1"/>
  <c r="E7" i="83" a="1"/>
  <c r="E99" i="107" a="1"/>
  <c r="E7" i="104" a="1"/>
  <c r="E57" i="90" a="1"/>
  <c r="E7" i="118"/>
  <c r="L7" i="103" a="1"/>
  <c r="E8" i="90" a="1"/>
  <c r="E418" i="117" a="1"/>
  <c r="E109" i="81" a="1"/>
  <c r="E508" i="117"/>
  <c r="E7" i="81" a="1"/>
  <c r="E385" i="117" a="1"/>
  <c r="E72" i="81" a="1"/>
  <c r="E183" i="81" a="1"/>
  <c r="E594" i="117" a="1"/>
  <c r="E540" i="117"/>
  <c r="E49" i="97" a="1"/>
  <c r="E90" i="96" a="1"/>
  <c r="E27" i="110"/>
  <c r="E7" i="117" a="1"/>
  <c r="E56" i="80" a="1"/>
  <c r="E85" i="80" a="1"/>
  <c r="E43" i="93" a="1"/>
  <c r="E118" i="96" a="1"/>
  <c r="E355" i="117" a="1"/>
  <c r="E7" i="85" a="1"/>
  <c r="O7" i="118"/>
  <c r="E186" i="80" a="1"/>
  <c r="E561" i="117" a="1"/>
  <c r="E7" i="84" a="1"/>
  <c r="E26" i="118" a="1"/>
  <c r="E7" i="93" a="1"/>
  <c r="E151" i="117" a="1"/>
  <c r="E30" i="111" a="1"/>
  <c r="E55" i="82"/>
  <c r="E258" i="117" a="1"/>
  <c r="E8" i="100"/>
  <c r="H40" i="79" l="1"/>
  <c r="I40" i="89"/>
  <c r="E36" i="89"/>
  <c r="H40" i="89"/>
  <c r="G40" i="89"/>
  <c r="G36" i="89"/>
  <c r="H36" i="89"/>
  <c r="I36" i="89"/>
  <c r="F36" i="89"/>
  <c r="E74" i="97"/>
  <c r="E111" i="96"/>
  <c r="E73" i="97"/>
  <c r="E110" i="96"/>
  <c r="F110" i="96" s="1" a="1"/>
  <c r="F110" i="96" s="1"/>
  <c r="E142" i="96" s="1"/>
  <c r="I67" i="80"/>
  <c r="I69" i="90"/>
  <c r="E40" i="89"/>
  <c r="H109" i="80"/>
  <c r="G109" i="80"/>
  <c r="H55" i="81"/>
  <c r="F109" i="80"/>
  <c r="G55" i="81"/>
  <c r="E109" i="80"/>
  <c r="H110" i="90"/>
  <c r="F55" i="81"/>
  <c r="G110" i="90"/>
  <c r="E55" i="81"/>
  <c r="F110" i="90"/>
  <c r="E110" i="90"/>
  <c r="F40" i="89"/>
  <c r="E18" i="89"/>
  <c r="M100" i="90" s="1"/>
  <c r="F18" i="79"/>
  <c r="E18" i="79"/>
  <c r="H9" i="113" a="1"/>
  <c r="H9" i="113" s="1"/>
  <c r="H8" i="113" a="1"/>
  <c r="H8" i="113" s="1"/>
  <c r="H7" i="113" a="1"/>
  <c r="H7" i="113" s="1"/>
  <c r="F42" i="117" s="1" a="1"/>
  <c r="F42" i="117" s="1"/>
  <c r="G14" i="89"/>
  <c r="F100" i="90" s="1"/>
  <c r="F14" i="89"/>
  <c r="E100" i="90" s="1"/>
  <c r="E14" i="89"/>
  <c r="D100" i="90" s="1"/>
  <c r="G14" i="79"/>
  <c r="F14" i="79"/>
  <c r="E14" i="79"/>
  <c r="G18" i="89"/>
  <c r="O100" i="90" s="1"/>
  <c r="F18" i="89"/>
  <c r="N100" i="90" s="1"/>
  <c r="G18" i="79"/>
  <c r="T40" i="80"/>
  <c r="J91" i="97"/>
  <c r="J87" i="118"/>
  <c r="F15" i="89" a="1"/>
  <c r="F15" i="89" s="1"/>
  <c r="E105" i="90" s="1"/>
  <c r="F15" i="79" a="1"/>
  <c r="F15" i="79" s="1"/>
  <c r="F19" i="89" a="1"/>
  <c r="F19" i="89" s="1"/>
  <c r="N105" i="90" s="1"/>
  <c r="F19" i="79" a="1"/>
  <c r="F19" i="79" s="1"/>
  <c r="F37" i="89"/>
  <c r="E54" i="89"/>
  <c r="E68" i="97"/>
  <c r="E105" i="96"/>
  <c r="F105" i="96" s="1" a="1"/>
  <c r="F105" i="96" s="1"/>
  <c r="E137" i="96" s="1"/>
  <c r="I175" i="119"/>
  <c r="H195" i="119"/>
  <c r="I15" i="89" a="1"/>
  <c r="I15" i="89" s="1"/>
  <c r="H105" i="90" s="1"/>
  <c r="I15" i="79" a="1"/>
  <c r="I15" i="79" s="1"/>
  <c r="I19" i="89" a="1"/>
  <c r="I19" i="89" s="1"/>
  <c r="Q105" i="90" s="1"/>
  <c r="I19" i="79" a="1"/>
  <c r="I19" i="79" s="1"/>
  <c r="I37" i="89"/>
  <c r="J39" i="104"/>
  <c r="H39" i="104"/>
  <c r="G39" i="104"/>
  <c r="I39" i="104"/>
  <c r="M36" i="103" a="1"/>
  <c r="M36" i="103" s="1"/>
  <c r="M25" i="104" a="1"/>
  <c r="M25" i="104" s="1"/>
  <c r="L25" i="104" a="1"/>
  <c r="L25" i="104" s="1"/>
  <c r="M27" i="103" a="1"/>
  <c r="M27" i="103" s="1"/>
  <c r="L27" i="103" a="1"/>
  <c r="L27" i="103" s="1"/>
  <c r="Q27" i="103" s="1" a="1"/>
  <c r="Q27" i="103" s="1"/>
  <c r="M32" i="104" a="1"/>
  <c r="M32" i="104" s="1"/>
  <c r="L28" i="104" a="1"/>
  <c r="L28" i="104" s="1"/>
  <c r="O28" i="104" s="1" a="1"/>
  <c r="O28" i="104" s="1"/>
  <c r="M28" i="104" a="1"/>
  <c r="M28" i="104" s="1"/>
  <c r="M34" i="103" a="1"/>
  <c r="M34" i="103" s="1"/>
  <c r="L34" i="103" a="1"/>
  <c r="L34" i="103" s="1"/>
  <c r="M25" i="103" a="1"/>
  <c r="M25" i="103" s="1"/>
  <c r="L25" i="103" a="1"/>
  <c r="L25" i="103" s="1"/>
  <c r="L28" i="103" a="1"/>
  <c r="L28" i="103" s="1"/>
  <c r="N28" i="103" s="1" a="1"/>
  <c r="N28" i="103" s="1"/>
  <c r="M28" i="103" a="1"/>
  <c r="M28" i="103" s="1"/>
  <c r="M29" i="104" a="1"/>
  <c r="M29" i="104" s="1"/>
  <c r="L29" i="104" a="1"/>
  <c r="L29" i="104" s="1"/>
  <c r="I30" i="117" a="1"/>
  <c r="I30" i="117" s="1"/>
  <c r="J30" i="117" s="1" a="1"/>
  <c r="J30" i="117" s="1"/>
  <c r="I14" i="89" a="1"/>
  <c r="I14" i="89" s="1"/>
  <c r="H100" i="90" s="1"/>
  <c r="I14" i="79" a="1"/>
  <c r="I14" i="79" s="1"/>
  <c r="I18" i="89" a="1"/>
  <c r="I18" i="89" s="1"/>
  <c r="Q100" i="90" s="1"/>
  <c r="I18" i="79" a="1"/>
  <c r="I18" i="79" s="1"/>
  <c r="M37" i="103" a="1"/>
  <c r="M37" i="103" s="1"/>
  <c r="L37" i="103" a="1"/>
  <c r="L37" i="103" s="1"/>
  <c r="T14" i="110"/>
  <c r="E20" i="109"/>
  <c r="E249" i="81"/>
  <c r="E168" i="80"/>
  <c r="D115" i="79"/>
  <c r="I40" i="104"/>
  <c r="H40" i="104"/>
  <c r="J40" i="104"/>
  <c r="G40" i="104"/>
  <c r="M29" i="103" a="1"/>
  <c r="M29" i="103" s="1"/>
  <c r="L29" i="103" a="1"/>
  <c r="L29" i="103" s="1"/>
  <c r="H68" i="79"/>
  <c r="T25" i="85" s="1"/>
  <c r="D105" i="79"/>
  <c r="E56" i="84"/>
  <c r="E44" i="84"/>
  <c r="E282" i="81"/>
  <c r="P80" i="84"/>
  <c r="E68" i="84"/>
  <c r="E112" i="96"/>
  <c r="E75" i="97"/>
  <c r="I177" i="119"/>
  <c r="H197" i="119"/>
  <c r="E269" i="81" a="1"/>
  <c r="E269" i="81" s="1"/>
  <c r="E22" i="84" a="1"/>
  <c r="E22" i="84" s="1"/>
  <c r="H14" i="89" a="1"/>
  <c r="H14" i="89" s="1"/>
  <c r="G100" i="90" s="1"/>
  <c r="H14" i="79" a="1"/>
  <c r="H14" i="79" s="1"/>
  <c r="H18" i="89" a="1"/>
  <c r="H18" i="89" s="1"/>
  <c r="P100" i="90" s="1"/>
  <c r="H18" i="79" a="1"/>
  <c r="H18" i="79" s="1"/>
  <c r="D23" i="97" a="1"/>
  <c r="D23" i="97" s="1"/>
  <c r="D59" i="96" a="1"/>
  <c r="D59" i="96" s="1"/>
  <c r="D19" i="93" a="1"/>
  <c r="P21" i="91"/>
  <c r="P20" i="91"/>
  <c r="G183" i="119"/>
  <c r="D19" i="96" a="1"/>
  <c r="D60" i="92" a="1"/>
  <c r="D60" i="92" s="1"/>
  <c r="D19" i="92" a="1"/>
  <c r="P22" i="91"/>
  <c r="D58" i="93" a="1"/>
  <c r="D58" i="93" s="1"/>
  <c r="L16" i="91" a="1"/>
  <c r="L16" i="91" s="1"/>
  <c r="O15" i="91" a="1"/>
  <c r="O15" i="91" s="1"/>
  <c r="R14" i="91" a="1"/>
  <c r="R14" i="91" s="1"/>
  <c r="U13" i="91" a="1"/>
  <c r="U13" i="91" s="1"/>
  <c r="X12" i="91"/>
  <c r="J12" i="91" a="1"/>
  <c r="J12" i="91" s="1"/>
  <c r="K16" i="91" a="1"/>
  <c r="K16" i="91" s="1"/>
  <c r="N15" i="91" a="1"/>
  <c r="N15" i="91" s="1"/>
  <c r="Q14" i="91" a="1"/>
  <c r="Q14" i="91" s="1"/>
  <c r="T13" i="91" a="1"/>
  <c r="T13" i="91" s="1"/>
  <c r="W12" i="91"/>
  <c r="O16" i="91" a="1"/>
  <c r="O16" i="91" s="1"/>
  <c r="P15" i="91" a="1"/>
  <c r="P15" i="91" s="1"/>
  <c r="O14" i="91" a="1"/>
  <c r="O14" i="91" s="1"/>
  <c r="P13" i="91" a="1"/>
  <c r="P13" i="91" s="1"/>
  <c r="Q12" i="91" a="1"/>
  <c r="Q12" i="91" s="1"/>
  <c r="AD221" i="117" s="1" a="1"/>
  <c r="AD221" i="117" s="1"/>
  <c r="N16" i="91" a="1"/>
  <c r="N16" i="91" s="1"/>
  <c r="M15" i="91" a="1"/>
  <c r="M15" i="91" s="1"/>
  <c r="N14" i="91" a="1"/>
  <c r="N14" i="91" s="1"/>
  <c r="O13" i="91" a="1"/>
  <c r="O13" i="91" s="1"/>
  <c r="P12" i="91" a="1"/>
  <c r="P12" i="91" s="1"/>
  <c r="M16" i="91" a="1"/>
  <c r="M16" i="91" s="1"/>
  <c r="L15" i="91" a="1"/>
  <c r="L15" i="91" s="1"/>
  <c r="M14" i="91" a="1"/>
  <c r="M14" i="91" s="1"/>
  <c r="N13" i="91" a="1"/>
  <c r="N13" i="91" s="1"/>
  <c r="O12" i="91" a="1"/>
  <c r="O12" i="91" s="1"/>
  <c r="J16" i="91" a="1"/>
  <c r="J16" i="91" s="1"/>
  <c r="K15" i="91" a="1"/>
  <c r="K15" i="91" s="1"/>
  <c r="L14" i="91" a="1"/>
  <c r="L14" i="91" s="1"/>
  <c r="M13" i="91" a="1"/>
  <c r="M13" i="91" s="1"/>
  <c r="N12" i="91" a="1"/>
  <c r="N12" i="91" s="1"/>
  <c r="G16" i="91"/>
  <c r="V16" i="91" s="1"/>
  <c r="J15" i="91" a="1"/>
  <c r="J15" i="91" s="1"/>
  <c r="K14" i="91" a="1"/>
  <c r="K14" i="91" s="1"/>
  <c r="L13" i="91" a="1"/>
  <c r="L13" i="91" s="1"/>
  <c r="M12" i="91" a="1"/>
  <c r="M12" i="91" s="1"/>
  <c r="X16" i="91"/>
  <c r="F16" i="91"/>
  <c r="G15" i="91"/>
  <c r="J14" i="91" a="1"/>
  <c r="J14" i="91" s="1"/>
  <c r="K13" i="91" a="1"/>
  <c r="K13" i="91" s="1"/>
  <c r="L12" i="91" a="1"/>
  <c r="L12" i="91" s="1"/>
  <c r="W16" i="91"/>
  <c r="X15" i="91"/>
  <c r="F15" i="91"/>
  <c r="G14" i="91"/>
  <c r="V14" i="91" s="1"/>
  <c r="J13" i="91" a="1"/>
  <c r="J13" i="91" s="1"/>
  <c r="K12" i="91" a="1"/>
  <c r="K12" i="91" s="1"/>
  <c r="W15" i="91"/>
  <c r="X14" i="91"/>
  <c r="F14" i="91"/>
  <c r="G13" i="91"/>
  <c r="G12" i="91"/>
  <c r="U16" i="91" a="1"/>
  <c r="U16" i="91" s="1"/>
  <c r="W14" i="91"/>
  <c r="X13" i="91"/>
  <c r="F13" i="91"/>
  <c r="F12" i="91"/>
  <c r="T16" i="91" a="1"/>
  <c r="T16" i="91" s="1"/>
  <c r="U15" i="91" a="1"/>
  <c r="U15" i="91" s="1"/>
  <c r="W13" i="91"/>
  <c r="S16" i="91" a="1"/>
  <c r="S16" i="91" s="1"/>
  <c r="T15" i="91" a="1"/>
  <c r="T15" i="91" s="1"/>
  <c r="U14" i="91" a="1"/>
  <c r="U14" i="91" s="1"/>
  <c r="U12" i="91" a="1"/>
  <c r="U12" i="91" s="1"/>
  <c r="R16" i="91" a="1"/>
  <c r="R16" i="91" s="1"/>
  <c r="S15" i="91" a="1"/>
  <c r="S15" i="91" s="1"/>
  <c r="T14" i="91" a="1"/>
  <c r="T14" i="91" s="1"/>
  <c r="S13" i="91" a="1"/>
  <c r="S13" i="91" s="1"/>
  <c r="T12" i="91" a="1"/>
  <c r="T12" i="91" s="1"/>
  <c r="Q16" i="91" a="1"/>
  <c r="Q16" i="91" s="1"/>
  <c r="R15" i="91" a="1"/>
  <c r="R15" i="91" s="1"/>
  <c r="S14" i="91" a="1"/>
  <c r="S14" i="91" s="1"/>
  <c r="R13" i="91" a="1"/>
  <c r="R13" i="91" s="1"/>
  <c r="S12" i="91" a="1"/>
  <c r="S12" i="91" s="1"/>
  <c r="P16" i="91" a="1"/>
  <c r="P16" i="91" s="1"/>
  <c r="Q15" i="91" a="1"/>
  <c r="Q15" i="91" s="1"/>
  <c r="P14" i="91" a="1"/>
  <c r="P14" i="91" s="1"/>
  <c r="Q13" i="91" a="1"/>
  <c r="Q13" i="91" s="1"/>
  <c r="R12" i="91" a="1"/>
  <c r="R12" i="91" s="1"/>
  <c r="E31" i="82" a="1"/>
  <c r="E31" i="82" s="1"/>
  <c r="E31" i="84" a="1"/>
  <c r="E31" i="84" s="1"/>
  <c r="E37" i="89"/>
  <c r="I97" i="96"/>
  <c r="F112" i="96" s="1" a="1"/>
  <c r="F112" i="96" s="1"/>
  <c r="E144" i="96" s="1"/>
  <c r="I33" i="118"/>
  <c r="I176" i="119"/>
  <c r="H196" i="119"/>
  <c r="D51" i="114"/>
  <c r="D162" i="117" s="1"/>
  <c r="F162" i="117" s="1" a="1"/>
  <c r="F162" i="117" s="1"/>
  <c r="G162" i="117" s="1" a="1"/>
  <c r="G162" i="117" s="1"/>
  <c r="D164" i="117"/>
  <c r="F164" i="117" s="1" a="1"/>
  <c r="F164" i="117" s="1"/>
  <c r="D163" i="117"/>
  <c r="F163" i="117" s="1" a="1"/>
  <c r="F163" i="117" s="1"/>
  <c r="I28" i="89" a="1"/>
  <c r="I28" i="89" s="1"/>
  <c r="E24" i="89" a="1"/>
  <c r="E24" i="89" s="1"/>
  <c r="D165" i="90" s="1"/>
  <c r="E25" i="89" a="1"/>
  <c r="E25" i="89" s="1"/>
  <c r="D170" i="90" s="1"/>
  <c r="E25" i="79" a="1"/>
  <c r="E25" i="79" s="1"/>
  <c r="I24" i="89" a="1"/>
  <c r="I24" i="89" s="1"/>
  <c r="H165" i="90" s="1"/>
  <c r="I24" i="79" a="1"/>
  <c r="I24" i="79" s="1"/>
  <c r="H24" i="89" a="1"/>
  <c r="H24" i="89" s="1"/>
  <c r="G165" i="90" s="1"/>
  <c r="H24" i="79" a="1"/>
  <c r="H24" i="79" s="1"/>
  <c r="G24" i="89" a="1"/>
  <c r="G24" i="89" s="1"/>
  <c r="F165" i="90" s="1"/>
  <c r="G24" i="79" a="1"/>
  <c r="G24" i="79" s="1"/>
  <c r="F24" i="89" a="1"/>
  <c r="F24" i="89" s="1"/>
  <c r="E165" i="90" s="1"/>
  <c r="F24" i="79" a="1"/>
  <c r="F24" i="79" s="1"/>
  <c r="I28" i="79" a="1"/>
  <c r="I28" i="79" s="1"/>
  <c r="E24" i="79" a="1"/>
  <c r="E24" i="79" s="1"/>
  <c r="H28" i="89" a="1"/>
  <c r="H28" i="89" s="1"/>
  <c r="H28" i="79" a="1"/>
  <c r="H28" i="79" s="1"/>
  <c r="G28" i="89" a="1"/>
  <c r="G28" i="89" s="1"/>
  <c r="G28" i="79" a="1"/>
  <c r="G28" i="79" s="1"/>
  <c r="F28" i="89" a="1"/>
  <c r="F28" i="89" s="1"/>
  <c r="F28" i="79" a="1"/>
  <c r="F28" i="79" s="1"/>
  <c r="E28" i="89" a="1"/>
  <c r="E28" i="89" s="1"/>
  <c r="E28" i="79" a="1"/>
  <c r="E28" i="79" s="1"/>
  <c r="I25" i="89" a="1"/>
  <c r="I25" i="89" s="1"/>
  <c r="I25" i="79" a="1"/>
  <c r="I25" i="79" s="1"/>
  <c r="H25" i="89" a="1"/>
  <c r="H25" i="89" s="1"/>
  <c r="H25" i="79" a="1"/>
  <c r="H25" i="79" s="1"/>
  <c r="G25" i="89" a="1"/>
  <c r="G25" i="89" s="1"/>
  <c r="G25" i="79" a="1"/>
  <c r="G25" i="79" s="1"/>
  <c r="F25" i="89" a="1"/>
  <c r="F25" i="89" s="1"/>
  <c r="F25" i="79" a="1"/>
  <c r="F25" i="79" s="1"/>
  <c r="G177" i="119"/>
  <c r="G176" i="119"/>
  <c r="G175" i="119"/>
  <c r="G174" i="119"/>
  <c r="E15" i="89" a="1"/>
  <c r="E15" i="89" s="1"/>
  <c r="D105" i="90" s="1"/>
  <c r="E15" i="79" a="1"/>
  <c r="E15" i="79" s="1"/>
  <c r="E19" i="89" a="1"/>
  <c r="E19" i="89" s="1"/>
  <c r="M105" i="90" s="1"/>
  <c r="E19" i="79" a="1"/>
  <c r="E19" i="79" s="1"/>
  <c r="E143" i="84"/>
  <c r="G15" i="89" a="1"/>
  <c r="G15" i="89" s="1"/>
  <c r="F105" i="90" s="1"/>
  <c r="G15" i="79" a="1"/>
  <c r="G15" i="79" s="1"/>
  <c r="G19" i="89" a="1"/>
  <c r="G19" i="89" s="1"/>
  <c r="O105" i="90" s="1"/>
  <c r="G19" i="79" a="1"/>
  <c r="G19" i="79" s="1"/>
  <c r="I66" i="80"/>
  <c r="I68" i="90"/>
  <c r="G37" i="89"/>
  <c r="E69" i="97"/>
  <c r="E106" i="96"/>
  <c r="M27" i="104" a="1"/>
  <c r="M27" i="104" s="1"/>
  <c r="L27" i="104" a="1"/>
  <c r="L27" i="104" s="1"/>
  <c r="L38" i="104" a="1"/>
  <c r="L38" i="104" s="1"/>
  <c r="M38" i="104" a="1"/>
  <c r="M38" i="104" s="1"/>
  <c r="D22" i="84" a="1"/>
  <c r="D22" i="84" s="1"/>
  <c r="D31" i="82" a="1"/>
  <c r="D31" i="82" s="1"/>
  <c r="D31" i="84" a="1"/>
  <c r="D31" i="84" s="1"/>
  <c r="D269" i="81" a="1"/>
  <c r="D269" i="81" s="1"/>
  <c r="H15" i="89" a="1"/>
  <c r="H15" i="89" s="1"/>
  <c r="G105" i="90" s="1"/>
  <c r="H15" i="79" a="1"/>
  <c r="H15" i="79" s="1"/>
  <c r="H19" i="89" a="1"/>
  <c r="H19" i="89" s="1"/>
  <c r="P105" i="90" s="1"/>
  <c r="H19" i="79" a="1"/>
  <c r="H19" i="79" s="1"/>
  <c r="D109" i="80"/>
  <c r="D55" i="81"/>
  <c r="D110" i="90"/>
  <c r="J30" i="104"/>
  <c r="P30" i="104" s="1" a="1"/>
  <c r="P30" i="104" s="1"/>
  <c r="H30" i="104"/>
  <c r="N30" i="104" s="1" a="1"/>
  <c r="N30" i="104" s="1"/>
  <c r="L14" i="114"/>
  <c r="G374" i="117" a="1"/>
  <c r="G374" i="117" s="1"/>
  <c r="G372" i="117" a="1"/>
  <c r="G372" i="117" s="1"/>
  <c r="J372" i="117" s="1" a="1"/>
  <c r="J372" i="117" s="1"/>
  <c r="G370" i="117" a="1"/>
  <c r="G370" i="117" s="1"/>
  <c r="O230" i="80"/>
  <c r="D230" i="80"/>
  <c r="E28" i="87"/>
  <c r="E151" i="80"/>
  <c r="P23" i="87"/>
  <c r="E23" i="87"/>
  <c r="P31" i="85"/>
  <c r="P290" i="80"/>
  <c r="E31" i="85"/>
  <c r="E290" i="80"/>
  <c r="P25" i="85"/>
  <c r="E25" i="85"/>
  <c r="P24" i="86"/>
  <c r="P237" i="80"/>
  <c r="O228" i="80"/>
  <c r="E24" i="86"/>
  <c r="E237" i="80"/>
  <c r="D228" i="80"/>
  <c r="P19" i="86"/>
  <c r="E19" i="86"/>
  <c r="P173" i="80"/>
  <c r="E173" i="80"/>
  <c r="P162" i="80"/>
  <c r="P51" i="85"/>
  <c r="E162" i="80"/>
  <c r="P28" i="87"/>
  <c r="E51" i="85"/>
  <c r="P151" i="80"/>
  <c r="E64" i="79"/>
  <c r="I68" i="79"/>
  <c r="U25" i="85" s="1"/>
  <c r="I19" i="102"/>
  <c r="K30" i="103" a="1"/>
  <c r="K30" i="103" s="1"/>
  <c r="E25" i="104"/>
  <c r="L35" i="104" a="1"/>
  <c r="L35" i="104" s="1"/>
  <c r="E58" i="117" a="1"/>
  <c r="E58" i="117" s="1"/>
  <c r="G66" i="117" s="1" a="1"/>
  <c r="G66" i="117" s="1"/>
  <c r="F64" i="79"/>
  <c r="E69" i="79"/>
  <c r="D108" i="79"/>
  <c r="H27" i="103" a="1"/>
  <c r="H27" i="103" s="1"/>
  <c r="E37" i="103"/>
  <c r="J37" i="103" s="1" a="1"/>
  <c r="J37" i="103" s="1"/>
  <c r="H32" i="104"/>
  <c r="P120" i="117" a="1"/>
  <c r="P120" i="117" s="1"/>
  <c r="AC237" i="117"/>
  <c r="G367" i="117" a="1"/>
  <c r="G367" i="117" s="1"/>
  <c r="J33" i="104"/>
  <c r="H33" i="104"/>
  <c r="E38" i="104"/>
  <c r="E31" i="104"/>
  <c r="F469" i="117" a="1"/>
  <c r="F469" i="117" s="1"/>
  <c r="G64" i="79"/>
  <c r="F69" i="79"/>
  <c r="J27" i="103" a="1"/>
  <c r="J27" i="103" s="1"/>
  <c r="G31" i="103" a="1"/>
  <c r="G31" i="103" s="1"/>
  <c r="AB120" i="117" a="1"/>
  <c r="AB120" i="117" s="1"/>
  <c r="G368" i="117" a="1"/>
  <c r="G368" i="117" s="1"/>
  <c r="O231" i="80"/>
  <c r="D231" i="80"/>
  <c r="H64" i="79"/>
  <c r="G69" i="79"/>
  <c r="E70" i="97"/>
  <c r="H31" i="103" a="1"/>
  <c r="H31" i="103" s="1"/>
  <c r="G34" i="103" a="1"/>
  <c r="G34" i="103" s="1"/>
  <c r="P121" i="117" a="1"/>
  <c r="P121" i="117" s="1"/>
  <c r="J32" i="104"/>
  <c r="I32" i="104"/>
  <c r="G32" i="104"/>
  <c r="F481" i="117" a="1"/>
  <c r="F481" i="117" s="1"/>
  <c r="G481" i="117" s="1" a="1"/>
  <c r="G481" i="117" s="1"/>
  <c r="I64" i="79"/>
  <c r="H69" i="79"/>
  <c r="I21" i="102"/>
  <c r="E25" i="103"/>
  <c r="H25" i="103" s="1" a="1"/>
  <c r="H25" i="103" s="1"/>
  <c r="L31" i="103" a="1"/>
  <c r="L31" i="103" s="1"/>
  <c r="K34" i="103" a="1"/>
  <c r="K34" i="103" s="1"/>
  <c r="E26" i="104"/>
  <c r="G33" i="104"/>
  <c r="L36" i="104" a="1"/>
  <c r="L36" i="104" s="1"/>
  <c r="X122" i="117" a="1"/>
  <c r="X122" i="117" s="1"/>
  <c r="L33" i="103" a="1"/>
  <c r="L33" i="103" s="1"/>
  <c r="O229" i="80"/>
  <c r="D229" i="80"/>
  <c r="D79" i="79"/>
  <c r="E65" i="79"/>
  <c r="I69" i="79"/>
  <c r="G28" i="103" a="1"/>
  <c r="G28" i="103" s="1"/>
  <c r="E38" i="103"/>
  <c r="I38" i="103" s="1" a="1"/>
  <c r="I38" i="103" s="1"/>
  <c r="I33" i="104"/>
  <c r="O33" i="104" s="1" a="1"/>
  <c r="O33" i="104" s="1"/>
  <c r="E37" i="104"/>
  <c r="P123" i="117" a="1"/>
  <c r="P123" i="117" s="1"/>
  <c r="E27" i="104"/>
  <c r="E34" i="104"/>
  <c r="E29" i="104"/>
  <c r="E36" i="104"/>
  <c r="I530" i="117" a="1"/>
  <c r="I530" i="117" s="1"/>
  <c r="I69" i="118"/>
  <c r="F466" i="117" a="1"/>
  <c r="F466" i="117" s="1"/>
  <c r="G466" i="117" s="1" a="1"/>
  <c r="G466" i="117" s="1"/>
  <c r="O232" i="80"/>
  <c r="D232" i="80"/>
  <c r="F65" i="79"/>
  <c r="E70" i="79"/>
  <c r="K28" i="103" a="1"/>
  <c r="K28" i="103" s="1"/>
  <c r="G32" i="103" a="1"/>
  <c r="G32" i="103" s="1"/>
  <c r="G30" i="104"/>
  <c r="K33" i="104"/>
  <c r="I24" i="117" a="1"/>
  <c r="I24" i="117" s="1"/>
  <c r="J24" i="117" s="1" a="1"/>
  <c r="J24" i="117" s="1"/>
  <c r="X123" i="117" a="1"/>
  <c r="X123" i="117" s="1"/>
  <c r="M26" i="104" a="1"/>
  <c r="M26" i="104" s="1"/>
  <c r="L26" i="104" a="1"/>
  <c r="L26" i="104" s="1"/>
  <c r="J163" i="107" a="1"/>
  <c r="J163" i="107" s="1"/>
  <c r="J137" i="107" a="1"/>
  <c r="J137" i="107" s="1"/>
  <c r="D21" i="107" a="1"/>
  <c r="D157" i="107" a="1"/>
  <c r="D157" i="107" s="1"/>
  <c r="J162" i="107" a="1"/>
  <c r="J162" i="107" s="1"/>
  <c r="J178" i="107" a="1"/>
  <c r="J178" i="107" s="1"/>
  <c r="J161" i="107" a="1"/>
  <c r="J161" i="107" s="1"/>
  <c r="J135" i="107" a="1"/>
  <c r="J135" i="107" s="1"/>
  <c r="J177" i="107" a="1"/>
  <c r="J177" i="107" s="1"/>
  <c r="J168" i="107" a="1"/>
  <c r="J168" i="107" s="1"/>
  <c r="J125" i="107" a="1"/>
  <c r="J125" i="107" s="1"/>
  <c r="D59" i="107" a="1"/>
  <c r="J166" i="107" a="1"/>
  <c r="J166" i="107" s="1"/>
  <c r="J159" i="107" a="1"/>
  <c r="J159" i="107" s="1"/>
  <c r="J133" i="107" a="1"/>
  <c r="J133" i="107" s="1"/>
  <c r="J175" i="107" a="1"/>
  <c r="J175" i="107" s="1"/>
  <c r="J123" i="107" a="1"/>
  <c r="J123" i="107" s="1"/>
  <c r="J158" i="107" a="1"/>
  <c r="J158" i="107" s="1"/>
  <c r="J164" i="107" a="1"/>
  <c r="J164" i="107" s="1"/>
  <c r="J157" i="107" a="1"/>
  <c r="J157" i="107" s="1"/>
  <c r="D116" i="107" a="1"/>
  <c r="D116" i="107" s="1"/>
  <c r="J116" i="107" s="1" a="1"/>
  <c r="J116" i="107" s="1"/>
  <c r="J173" i="107" a="1"/>
  <c r="J173" i="107" s="1"/>
  <c r="J138" i="107" a="1"/>
  <c r="J138" i="107" s="1"/>
  <c r="J121" i="107" a="1"/>
  <c r="J121" i="107" s="1"/>
  <c r="G65" i="79"/>
  <c r="F70" i="79"/>
  <c r="I32" i="103" a="1"/>
  <c r="I32" i="103" s="1"/>
  <c r="G35" i="103" a="1"/>
  <c r="G35" i="103" s="1"/>
  <c r="I30" i="104"/>
  <c r="I26" i="117" a="1"/>
  <c r="I26" i="117" s="1"/>
  <c r="AA237" i="117" a="1"/>
  <c r="AA237" i="117" s="1"/>
  <c r="E430" i="117"/>
  <c r="G430" i="117" s="1" a="1"/>
  <c r="G430" i="117" s="1"/>
  <c r="G436" i="117" a="1"/>
  <c r="G436" i="117" s="1"/>
  <c r="G435" i="117" a="1"/>
  <c r="G435" i="117" s="1"/>
  <c r="H435" i="117" s="1" a="1"/>
  <c r="H435" i="117" s="1"/>
  <c r="G434" i="117" a="1"/>
  <c r="G434" i="117" s="1"/>
  <c r="H434" i="117" s="1" a="1"/>
  <c r="H434" i="117" s="1"/>
  <c r="G433" i="117" a="1"/>
  <c r="G433" i="117" s="1"/>
  <c r="H433" i="117" s="1" a="1"/>
  <c r="H433" i="117" s="1"/>
  <c r="G432" i="117" a="1"/>
  <c r="G432" i="117" s="1"/>
  <c r="H432" i="117" s="1" a="1"/>
  <c r="H432" i="117" s="1"/>
  <c r="G431" i="117" a="1"/>
  <c r="G431" i="117" s="1"/>
  <c r="G439" i="117" a="1"/>
  <c r="G439" i="117" s="1"/>
  <c r="H439" i="117" s="1" a="1"/>
  <c r="H439" i="117" s="1"/>
  <c r="G438" i="117" a="1"/>
  <c r="G438" i="117" s="1"/>
  <c r="H438" i="117" s="1" a="1"/>
  <c r="H438" i="117" s="1"/>
  <c r="G437" i="117" a="1"/>
  <c r="G437" i="117" s="1"/>
  <c r="I39" i="103" a="1"/>
  <c r="I39" i="103" s="1"/>
  <c r="I36" i="103" a="1"/>
  <c r="I36" i="103" s="1"/>
  <c r="J33" i="103" a="1"/>
  <c r="J33" i="103" s="1"/>
  <c r="J30" i="103" a="1"/>
  <c r="J30" i="103" s="1"/>
  <c r="I27" i="103" a="1"/>
  <c r="I27" i="103" s="1"/>
  <c r="G39" i="103" a="1"/>
  <c r="G39" i="103" s="1"/>
  <c r="G36" i="103" a="1"/>
  <c r="G36" i="103" s="1"/>
  <c r="H33" i="103" a="1"/>
  <c r="H33" i="103" s="1"/>
  <c r="H30" i="103" a="1"/>
  <c r="H30" i="103" s="1"/>
  <c r="N30" i="103" s="1" a="1"/>
  <c r="N30" i="103" s="1"/>
  <c r="G27" i="103" a="1"/>
  <c r="G27" i="103" s="1"/>
  <c r="J34" i="103" a="1"/>
  <c r="J34" i="103" s="1"/>
  <c r="K31" i="103" a="1"/>
  <c r="K31" i="103" s="1"/>
  <c r="J28" i="103" a="1"/>
  <c r="J28" i="103" s="1"/>
  <c r="I34" i="103" a="1"/>
  <c r="I34" i="103" s="1"/>
  <c r="J31" i="103" a="1"/>
  <c r="J31" i="103" s="1"/>
  <c r="I28" i="103" a="1"/>
  <c r="I28" i="103" s="1"/>
  <c r="H34" i="103" a="1"/>
  <c r="H34" i="103" s="1"/>
  <c r="I31" i="103" a="1"/>
  <c r="I31" i="103" s="1"/>
  <c r="H28" i="103" a="1"/>
  <c r="H28" i="103" s="1"/>
  <c r="I35" i="103" a="1"/>
  <c r="I35" i="103" s="1"/>
  <c r="K32" i="103" a="1"/>
  <c r="K32" i="103" s="1"/>
  <c r="J29" i="103" a="1"/>
  <c r="J29" i="103" s="1"/>
  <c r="H35" i="103" a="1"/>
  <c r="H35" i="103" s="1"/>
  <c r="J32" i="103" a="1"/>
  <c r="J32" i="103" s="1"/>
  <c r="I29" i="103" a="1"/>
  <c r="I29" i="103" s="1"/>
  <c r="K39" i="103" a="1"/>
  <c r="K39" i="103" s="1"/>
  <c r="K36" i="103" a="1"/>
  <c r="K36" i="103" s="1"/>
  <c r="H32" i="103" a="1"/>
  <c r="H32" i="103" s="1"/>
  <c r="G29" i="103" a="1"/>
  <c r="G29" i="103" s="1"/>
  <c r="K27" i="103" a="1"/>
  <c r="K27" i="103" s="1"/>
  <c r="L33" i="104" a="1"/>
  <c r="L33" i="104" s="1"/>
  <c r="P33" i="104" s="1" a="1"/>
  <c r="P33" i="104" s="1"/>
  <c r="I17" i="108"/>
  <c r="E157" i="107" a="1"/>
  <c r="E157" i="107" s="1"/>
  <c r="E59" i="107" a="1"/>
  <c r="E116" i="107" a="1"/>
  <c r="E116" i="107" s="1"/>
  <c r="E21" i="107" a="1"/>
  <c r="L11" i="114"/>
  <c r="K90" i="119"/>
  <c r="M89" i="119" s="1"/>
  <c r="T126" i="117" a="1"/>
  <c r="T126" i="117" s="1"/>
  <c r="AB122" i="117" a="1"/>
  <c r="AB122" i="117" s="1"/>
  <c r="AB125" i="117" a="1"/>
  <c r="AB125" i="117" s="1"/>
  <c r="T122" i="117" a="1"/>
  <c r="T122" i="117" s="1"/>
  <c r="X119" i="117" a="1"/>
  <c r="X119" i="117" s="1"/>
  <c r="X125" i="117" a="1"/>
  <c r="X125" i="117" s="1"/>
  <c r="P122" i="117" a="1"/>
  <c r="P122" i="117" s="1"/>
  <c r="AB128" i="117" a="1"/>
  <c r="AB128" i="117" s="1"/>
  <c r="T125" i="117" a="1"/>
  <c r="T125" i="117" s="1"/>
  <c r="AB121" i="117" a="1"/>
  <c r="AB121" i="117" s="1"/>
  <c r="X128" i="117" a="1"/>
  <c r="X128" i="117" s="1"/>
  <c r="P125" i="117" a="1"/>
  <c r="P125" i="117" s="1"/>
  <c r="X121" i="117" a="1"/>
  <c r="X121" i="117" s="1"/>
  <c r="T128" i="117" a="1"/>
  <c r="T128" i="117" s="1"/>
  <c r="AB124" i="117" a="1"/>
  <c r="AB124" i="117" s="1"/>
  <c r="T121" i="117" a="1"/>
  <c r="T121" i="117" s="1"/>
  <c r="T119" i="117" a="1"/>
  <c r="T119" i="117" s="1"/>
  <c r="X127" i="117" a="1"/>
  <c r="X127" i="117" s="1"/>
  <c r="P124" i="117" a="1"/>
  <c r="P124" i="117" s="1"/>
  <c r="X120" i="117" a="1"/>
  <c r="X120" i="117" s="1"/>
  <c r="T127" i="117" a="1"/>
  <c r="T127" i="117" s="1"/>
  <c r="AB123" i="117" a="1"/>
  <c r="AB123" i="117" s="1"/>
  <c r="T120" i="117" a="1"/>
  <c r="T120" i="117" s="1"/>
  <c r="P119" i="117" a="1"/>
  <c r="P119" i="117" s="1"/>
  <c r="AB126" i="117" a="1"/>
  <c r="AB126" i="117" s="1"/>
  <c r="T123" i="117" a="1"/>
  <c r="T123" i="117" s="1"/>
  <c r="AB119" i="117" a="1"/>
  <c r="AB119" i="117" s="1"/>
  <c r="F479" i="117" a="1"/>
  <c r="F479" i="117" s="1"/>
  <c r="G479" i="117" s="1" a="1"/>
  <c r="G479" i="117" s="1"/>
  <c r="H65" i="79"/>
  <c r="G70" i="79"/>
  <c r="E108" i="96"/>
  <c r="F108" i="96" s="1" a="1"/>
  <c r="F108" i="96" s="1"/>
  <c r="E140" i="96" s="1"/>
  <c r="L32" i="103" a="1"/>
  <c r="L32" i="103" s="1"/>
  <c r="J35" i="103" a="1"/>
  <c r="J35" i="103" s="1"/>
  <c r="K30" i="104"/>
  <c r="I28" i="117" a="1"/>
  <c r="I28" i="117" s="1"/>
  <c r="X124" i="117" a="1"/>
  <c r="X124" i="117" s="1"/>
  <c r="F35" i="84"/>
  <c r="F34" i="84"/>
  <c r="F33" i="84"/>
  <c r="F32" i="84"/>
  <c r="F31" i="84"/>
  <c r="I67" i="90"/>
  <c r="G194" i="119"/>
  <c r="S239" i="117" s="1" a="1"/>
  <c r="S239" i="117" s="1"/>
  <c r="G197" i="119"/>
  <c r="AA244" i="117" s="1" a="1"/>
  <c r="AA244" i="117" s="1"/>
  <c r="G196" i="119"/>
  <c r="G195" i="119"/>
  <c r="I15" i="100" a="1"/>
  <c r="I15" i="100" s="1"/>
  <c r="E18" i="100" s="1" a="1"/>
  <c r="E18" i="100" s="1"/>
  <c r="M35" i="103" a="1"/>
  <c r="M35" i="103" s="1"/>
  <c r="L35" i="103" a="1"/>
  <c r="L35" i="103" s="1"/>
  <c r="L37" i="104" a="1"/>
  <c r="L37" i="104" s="1"/>
  <c r="O11" i="114"/>
  <c r="F367" i="117" a="1"/>
  <c r="F367" i="117" s="1"/>
  <c r="E63" i="79"/>
  <c r="I65" i="79"/>
  <c r="H70" i="79"/>
  <c r="E109" i="96"/>
  <c r="F109" i="96" s="1" a="1"/>
  <c r="F109" i="96" s="1"/>
  <c r="E141" i="96" s="1"/>
  <c r="E26" i="103"/>
  <c r="J26" i="103" s="1" a="1"/>
  <c r="J26" i="103" s="1"/>
  <c r="H29" i="103" a="1"/>
  <c r="H29" i="103" s="1"/>
  <c r="N29" i="103" s="1" a="1"/>
  <c r="N29" i="103" s="1"/>
  <c r="K35" i="103" a="1"/>
  <c r="K35" i="103" s="1"/>
  <c r="M30" i="104" a="1"/>
  <c r="M30" i="104" s="1"/>
  <c r="P126" i="117" a="1"/>
  <c r="P126" i="117" s="1"/>
  <c r="Q237" i="117"/>
  <c r="L26" i="103" a="1"/>
  <c r="L26" i="103" s="1"/>
  <c r="L30" i="103" a="1"/>
  <c r="L30" i="103" s="1"/>
  <c r="I27" i="117" a="1"/>
  <c r="I27" i="117" s="1"/>
  <c r="E76" i="117" a="1"/>
  <c r="E76" i="117" s="1"/>
  <c r="J80" i="117" s="1" a="1"/>
  <c r="J80" i="117" s="1"/>
  <c r="I25" i="117" a="1"/>
  <c r="I25" i="117" s="1"/>
  <c r="I23" i="117" a="1"/>
  <c r="I23" i="117" s="1"/>
  <c r="I32" i="117" a="1"/>
  <c r="I32" i="117" s="1"/>
  <c r="I31" i="117" a="1"/>
  <c r="I31" i="117" s="1"/>
  <c r="M31" i="117" s="1" a="1"/>
  <c r="M31" i="117" s="1"/>
  <c r="I29" i="117" a="1"/>
  <c r="I29" i="117" s="1"/>
  <c r="D270" i="117" a="1"/>
  <c r="F63" i="79"/>
  <c r="G25" i="85" s="1"/>
  <c r="E68" i="79"/>
  <c r="I70" i="79"/>
  <c r="J15" i="110" a="1"/>
  <c r="J15" i="110" s="1"/>
  <c r="G26" i="103" a="1"/>
  <c r="G26" i="103" s="1"/>
  <c r="K29" i="103" a="1"/>
  <c r="K29" i="103" s="1"/>
  <c r="H39" i="103" a="1"/>
  <c r="H39" i="103" s="1"/>
  <c r="L34" i="104" a="1"/>
  <c r="L34" i="104" s="1"/>
  <c r="E39" i="117" a="1"/>
  <c r="E39" i="117" s="1"/>
  <c r="J44" i="117" s="1" a="1"/>
  <c r="J44" i="117" s="1"/>
  <c r="X126" i="117" a="1"/>
  <c r="X126" i="117" s="1"/>
  <c r="G448" i="117" a="1"/>
  <c r="G448" i="117" s="1"/>
  <c r="I174" i="119"/>
  <c r="H194" i="119"/>
  <c r="M38" i="103" a="1"/>
  <c r="M38" i="103" s="1"/>
  <c r="L38" i="103" a="1"/>
  <c r="L38" i="103" s="1"/>
  <c r="G454" i="117" a="1"/>
  <c r="G454" i="117" s="1"/>
  <c r="G452" i="117" a="1"/>
  <c r="G452" i="117" s="1"/>
  <c r="H452" i="117" s="1" a="1"/>
  <c r="H452" i="117" s="1"/>
  <c r="G450" i="117" a="1"/>
  <c r="G450" i="117" s="1"/>
  <c r="H450" i="117" s="1" a="1"/>
  <c r="H450" i="117" s="1"/>
  <c r="D56" i="114" a="1"/>
  <c r="G63" i="79"/>
  <c r="H25" i="85" s="1"/>
  <c r="F68" i="79"/>
  <c r="R25" i="85" s="1"/>
  <c r="D84" i="79"/>
  <c r="J16" i="110" a="1"/>
  <c r="J16" i="110" s="1"/>
  <c r="G33" i="103" a="1"/>
  <c r="G33" i="103" s="1"/>
  <c r="H36" i="103" a="1"/>
  <c r="H36" i="103" s="1"/>
  <c r="J39" i="103" a="1"/>
  <c r="J39" i="103" s="1"/>
  <c r="E35" i="104"/>
  <c r="P127" i="117" a="1"/>
  <c r="P127" i="117" s="1"/>
  <c r="J28" i="104"/>
  <c r="I28" i="104"/>
  <c r="H28" i="104"/>
  <c r="E302" i="117" a="1"/>
  <c r="E302" i="117" s="1"/>
  <c r="E301" i="117" a="1"/>
  <c r="E301" i="117" s="1"/>
  <c r="E300" i="117" a="1"/>
  <c r="E300" i="117" s="1"/>
  <c r="H63" i="79"/>
  <c r="I25" i="85" s="1"/>
  <c r="G68" i="79"/>
  <c r="S25" i="85" s="1"/>
  <c r="D89" i="79"/>
  <c r="D92" i="79" s="1"/>
  <c r="G30" i="103" a="1"/>
  <c r="G30" i="103" s="1"/>
  <c r="Q30" i="103" s="1" a="1"/>
  <c r="Q30" i="103" s="1"/>
  <c r="I33" i="103" a="1"/>
  <c r="I33" i="103" s="1"/>
  <c r="O33" i="103" s="1" a="1"/>
  <c r="O33" i="103" s="1"/>
  <c r="E50" i="103" s="1"/>
  <c r="J36" i="103" a="1"/>
  <c r="J36" i="103" s="1"/>
  <c r="L39" i="103" a="1"/>
  <c r="L39" i="103" s="1"/>
  <c r="L31" i="104" a="1"/>
  <c r="L31" i="104" s="1"/>
  <c r="AB127" i="117" a="1"/>
  <c r="AB127" i="117" s="1"/>
  <c r="J17" i="110" a="1"/>
  <c r="J17" i="110" s="1"/>
  <c r="J14" i="110" a="1"/>
  <c r="J14" i="110" s="1"/>
  <c r="I63" i="79"/>
  <c r="J25" i="85" s="1"/>
  <c r="D94" i="79"/>
  <c r="M26" i="103" a="1"/>
  <c r="M26" i="103" s="1"/>
  <c r="I30" i="103" a="1"/>
  <c r="I30" i="103" s="1"/>
  <c r="K33" i="103" a="1"/>
  <c r="K33" i="103" s="1"/>
  <c r="G28" i="104"/>
  <c r="P128" i="117" a="1"/>
  <c r="P128" i="117" s="1"/>
  <c r="G376" i="117" a="1"/>
  <c r="G376" i="117" s="1"/>
  <c r="G456" i="117" a="1"/>
  <c r="G456" i="117" s="1"/>
  <c r="G457" i="117" a="1"/>
  <c r="G457" i="117" s="1"/>
  <c r="G369" i="117" a="1"/>
  <c r="G369" i="117" s="1"/>
  <c r="G449" i="117" a="1"/>
  <c r="G449" i="117" s="1"/>
  <c r="G371" i="117" a="1"/>
  <c r="G371" i="117" s="1"/>
  <c r="G451" i="117" a="1"/>
  <c r="G451" i="117" s="1"/>
  <c r="H451" i="117" s="1" a="1"/>
  <c r="H451" i="117" s="1"/>
  <c r="AA243" i="117" a="1"/>
  <c r="AA243" i="117" s="1"/>
  <c r="G373" i="117" a="1"/>
  <c r="G373" i="117" s="1"/>
  <c r="G453" i="117" a="1"/>
  <c r="G453" i="117" s="1"/>
  <c r="G375" i="117" a="1"/>
  <c r="G375" i="117" s="1"/>
  <c r="G455" i="117" a="1"/>
  <c r="G455" i="117" s="1"/>
  <c r="K40" i="104" a="1"/>
  <c r="K40" i="104" s="1"/>
  <c r="K39" i="104" a="1"/>
  <c r="K39" i="104" s="1"/>
  <c r="D109" i="79"/>
  <c r="D110" i="79"/>
  <c r="J627" i="117" a="1"/>
  <c r="J627" i="117" s="1"/>
  <c r="J45" i="117" a="1"/>
  <c r="J45" i="117" s="1"/>
  <c r="M27" i="117" a="1"/>
  <c r="M27" i="117" s="1"/>
  <c r="P74" i="118"/>
  <c r="F74" i="118"/>
  <c r="J439" i="117" a="1"/>
  <c r="J439" i="117" s="1"/>
  <c r="G470" i="117" a="1"/>
  <c r="G470" i="117" s="1"/>
  <c r="G164" i="117" a="1"/>
  <c r="G164" i="117" s="1"/>
  <c r="F296" i="117"/>
  <c r="I467" i="117" a="1"/>
  <c r="I467" i="117" s="1"/>
  <c r="G42" i="117" a="1"/>
  <c r="G42" i="117" s="1"/>
  <c r="G469" i="117" a="1"/>
  <c r="G469" i="117" s="1"/>
  <c r="J87" i="117" a="1"/>
  <c r="J87" i="117" s="1"/>
  <c r="G468" i="117" a="1"/>
  <c r="G468" i="117" s="1"/>
  <c r="E61" i="118"/>
  <c r="O61" i="118"/>
  <c r="E26" i="118"/>
  <c r="O26" i="118"/>
  <c r="P55" i="118"/>
  <c r="F55" i="118"/>
  <c r="G480" i="117" a="1"/>
  <c r="G480" i="117" s="1"/>
  <c r="F19" i="118"/>
  <c r="F90" i="118"/>
  <c r="E151" i="117"/>
  <c r="E188" i="117"/>
  <c r="E203" i="117"/>
  <c r="E7" i="117"/>
  <c r="E323" i="117"/>
  <c r="E174" i="117"/>
  <c r="E385" i="117"/>
  <c r="E258" i="117"/>
  <c r="E355" i="117"/>
  <c r="E100" i="117"/>
  <c r="E418" i="117"/>
  <c r="E290" i="117"/>
  <c r="E561" i="117"/>
  <c r="E594" i="117"/>
  <c r="J61" i="117" a="1"/>
  <c r="J61" i="117" s="1"/>
  <c r="G88" i="117" a="1"/>
  <c r="G88" i="117" s="1"/>
  <c r="G84" i="117" a="1"/>
  <c r="G84" i="117" s="1"/>
  <c r="G80" i="117" a="1"/>
  <c r="G80" i="117" s="1"/>
  <c r="G87" i="117" a="1"/>
  <c r="G87" i="117" s="1"/>
  <c r="G83" i="117" a="1"/>
  <c r="G83" i="117" s="1"/>
  <c r="F34" i="117"/>
  <c r="F94" i="117"/>
  <c r="F54" i="117"/>
  <c r="F93" i="117"/>
  <c r="F35" i="117"/>
  <c r="F53" i="117"/>
  <c r="F91" i="117"/>
  <c r="F90" i="117"/>
  <c r="F73" i="117"/>
  <c r="F72" i="117"/>
  <c r="F642" i="117"/>
  <c r="F641" i="117"/>
  <c r="F639" i="117"/>
  <c r="F621" i="117"/>
  <c r="F638" i="117"/>
  <c r="F620" i="117"/>
  <c r="F144" i="117"/>
  <c r="F141" i="117"/>
  <c r="F145" i="117"/>
  <c r="F131" i="117"/>
  <c r="F130" i="117"/>
  <c r="F142" i="117"/>
  <c r="N573" i="117"/>
  <c r="F573" i="117"/>
  <c r="G49" i="117" a="1"/>
  <c r="G49" i="117" s="1"/>
  <c r="G45" i="117" a="1"/>
  <c r="G45" i="117" s="1"/>
  <c r="G48" i="117" a="1"/>
  <c r="G48" i="117" s="1"/>
  <c r="G47" i="117" a="1"/>
  <c r="G47" i="117" s="1"/>
  <c r="G43" i="117" a="1"/>
  <c r="G43" i="117" s="1"/>
  <c r="J32" i="117" a="1"/>
  <c r="J32" i="117" s="1"/>
  <c r="J23" i="117" a="1"/>
  <c r="J23" i="117" s="1"/>
  <c r="J42" i="117" a="1"/>
  <c r="J42" i="117" s="1"/>
  <c r="L337" i="117"/>
  <c r="L345" i="117"/>
  <c r="L344" i="117"/>
  <c r="L338" i="117"/>
  <c r="L343" i="117"/>
  <c r="L342" i="117"/>
  <c r="L341" i="117"/>
  <c r="L336" i="117"/>
  <c r="M28" i="117" a="1"/>
  <c r="M28" i="117" s="1"/>
  <c r="J83" i="117" a="1"/>
  <c r="J83" i="117" s="1"/>
  <c r="J26" i="117" a="1"/>
  <c r="J26" i="117" s="1"/>
  <c r="J46" i="117" a="1"/>
  <c r="J46" i="117" s="1"/>
  <c r="J70" i="117" a="1"/>
  <c r="J70" i="117" s="1"/>
  <c r="J67" i="117" a="1"/>
  <c r="J67" i="117" s="1"/>
  <c r="L339" i="117"/>
  <c r="J50" i="117" a="1"/>
  <c r="J50" i="117" s="1"/>
  <c r="I163" i="117" a="1"/>
  <c r="I163" i="117" s="1"/>
  <c r="E167" i="117" s="1"/>
  <c r="G163" i="117" a="1"/>
  <c r="G163" i="117" s="1"/>
  <c r="K405" i="117"/>
  <c r="K400" i="117"/>
  <c r="K403" i="117"/>
  <c r="K404" i="117"/>
  <c r="K402" i="117"/>
  <c r="K408" i="117"/>
  <c r="K401" i="117"/>
  <c r="K407" i="117"/>
  <c r="J43" i="117" a="1"/>
  <c r="J43" i="117" s="1"/>
  <c r="I121" i="117" a="1"/>
  <c r="I121" i="117" s="1"/>
  <c r="F484" i="117"/>
  <c r="F473" i="117"/>
  <c r="F317" i="117"/>
  <c r="F501" i="117"/>
  <c r="F378" i="117"/>
  <c r="F348" i="117"/>
  <c r="F249" i="117"/>
  <c r="F483" i="117"/>
  <c r="F472" i="117"/>
  <c r="F460" i="117"/>
  <c r="F442" i="117"/>
  <c r="F411" i="117"/>
  <c r="F533" i="117"/>
  <c r="F459" i="117"/>
  <c r="F441" i="117"/>
  <c r="F410" i="117"/>
  <c r="F555" i="117"/>
  <c r="F379" i="117"/>
  <c r="F167" i="117"/>
  <c r="F284" i="117"/>
  <c r="F252" i="117"/>
  <c r="F283" i="117"/>
  <c r="F251" i="117"/>
  <c r="F518" i="117"/>
  <c r="F502" i="117"/>
  <c r="F248" i="117"/>
  <c r="L340" i="117"/>
  <c r="K399" i="117"/>
  <c r="M24" i="117" a="1"/>
  <c r="M24" i="117" s="1"/>
  <c r="J64" i="117" a="1"/>
  <c r="J64" i="117" s="1"/>
  <c r="J68" i="117" a="1"/>
  <c r="J68" i="117" s="1"/>
  <c r="M29" i="117" a="1"/>
  <c r="M29" i="117" s="1"/>
  <c r="G51" i="117" a="1"/>
  <c r="G51" i="117" s="1"/>
  <c r="E533" i="117" a="1"/>
  <c r="E533" i="117" s="1"/>
  <c r="J85" i="117" a="1"/>
  <c r="J85" i="117" s="1"/>
  <c r="J88" i="117" a="1"/>
  <c r="J88" i="117" s="1"/>
  <c r="G85" i="117" a="1"/>
  <c r="G85" i="117" s="1"/>
  <c r="J81" i="117" a="1"/>
  <c r="J81" i="117" s="1"/>
  <c r="I120" i="117" a="1"/>
  <c r="I120" i="117" s="1"/>
  <c r="M25" i="117" a="1"/>
  <c r="M25" i="117" s="1"/>
  <c r="J48" i="117" a="1"/>
  <c r="J48" i="117" s="1"/>
  <c r="G86" i="117" a="1"/>
  <c r="G86" i="117" s="1"/>
  <c r="F347" i="117"/>
  <c r="J65" i="117" a="1"/>
  <c r="J65" i="117" s="1"/>
  <c r="J27" i="117" a="1"/>
  <c r="J27" i="117" s="1"/>
  <c r="J82" i="117" a="1"/>
  <c r="J82" i="117" s="1"/>
  <c r="J86" i="117" a="1"/>
  <c r="J86" i="117" s="1"/>
  <c r="F316" i="117"/>
  <c r="H453" i="117" a="1"/>
  <c r="H453" i="117" s="1"/>
  <c r="H449" i="117" a="1"/>
  <c r="H449" i="117" s="1"/>
  <c r="H448" i="117" a="1"/>
  <c r="H448" i="117" s="1"/>
  <c r="G62" i="117" a="1"/>
  <c r="G62" i="117" s="1"/>
  <c r="K342" i="117" a="1"/>
  <c r="K342" i="117" s="1"/>
  <c r="K341" i="117" a="1"/>
  <c r="K341" i="117" s="1"/>
  <c r="K339" i="117" a="1"/>
  <c r="K339" i="117" s="1"/>
  <c r="K344" i="117" a="1"/>
  <c r="K344" i="117" s="1"/>
  <c r="K338" i="117" a="1"/>
  <c r="K338" i="117" s="1"/>
  <c r="K337" i="117" a="1"/>
  <c r="K337" i="117" s="1"/>
  <c r="K343" i="117" a="1"/>
  <c r="K343" i="117" s="1"/>
  <c r="J432" i="117" a="1"/>
  <c r="J432" i="117" s="1"/>
  <c r="H370" i="117" a="1"/>
  <c r="H370" i="117" s="1"/>
  <c r="J373" i="117" a="1"/>
  <c r="J373" i="117" s="1"/>
  <c r="J376" i="117" a="1"/>
  <c r="J376" i="117" s="1"/>
  <c r="H430" i="117" a="1"/>
  <c r="H430" i="117" s="1"/>
  <c r="K493" i="117" a="1"/>
  <c r="K493" i="117" s="1"/>
  <c r="K499" i="117" a="1"/>
  <c r="K499" i="117" s="1"/>
  <c r="K492" i="117" a="1"/>
  <c r="K492" i="117" s="1"/>
  <c r="K498" i="117" a="1"/>
  <c r="K498" i="117" s="1"/>
  <c r="K491" i="117" a="1"/>
  <c r="K491" i="117" s="1"/>
  <c r="J438" i="117" a="1"/>
  <c r="J438" i="117" s="1"/>
  <c r="I469" i="117" a="1"/>
  <c r="I469" i="117" s="1"/>
  <c r="G63" i="117" a="1"/>
  <c r="G63" i="117" s="1"/>
  <c r="J66" i="117" a="1"/>
  <c r="J66" i="117" s="1"/>
  <c r="G70" i="117" a="1"/>
  <c r="G70" i="117" s="1"/>
  <c r="J452" i="117" a="1"/>
  <c r="J452" i="117" s="1"/>
  <c r="J401" i="117" a="1"/>
  <c r="J401" i="117" s="1"/>
  <c r="J405" i="117" a="1"/>
  <c r="J405" i="117" s="1"/>
  <c r="H431" i="117" a="1"/>
  <c r="H431" i="117" s="1"/>
  <c r="J449" i="117" a="1"/>
  <c r="J449" i="117" s="1"/>
  <c r="G467" i="117" a="1"/>
  <c r="G467" i="117" s="1"/>
  <c r="I480" i="117" a="1"/>
  <c r="I480" i="117" s="1"/>
  <c r="E484" i="117" s="1"/>
  <c r="K494" i="117" a="1"/>
  <c r="K494" i="117" s="1"/>
  <c r="J630" i="117" a="1"/>
  <c r="J630" i="117" s="1"/>
  <c r="J613" i="117" a="1"/>
  <c r="J613" i="117" s="1"/>
  <c r="J631" i="117" a="1"/>
  <c r="J631" i="117" s="1"/>
  <c r="J614" i="117" a="1"/>
  <c r="J614" i="117" s="1"/>
  <c r="J609" i="117" a="1"/>
  <c r="J609" i="117" s="1"/>
  <c r="J632" i="117" a="1"/>
  <c r="J632" i="117" s="1"/>
  <c r="L17" i="114"/>
  <c r="L20" i="114"/>
  <c r="O17" i="114"/>
  <c r="O12" i="114"/>
  <c r="R12" i="114"/>
  <c r="O15" i="114"/>
  <c r="L18" i="114"/>
  <c r="R15" i="114"/>
  <c r="O18" i="114"/>
  <c r="L13" i="114"/>
  <c r="O20" i="114"/>
  <c r="O13" i="114"/>
  <c r="L16" i="114"/>
  <c r="O16" i="114"/>
  <c r="L19" i="114"/>
  <c r="O19" i="114"/>
  <c r="E7" i="111"/>
  <c r="E30" i="111"/>
  <c r="P48" i="111"/>
  <c r="F48" i="111"/>
  <c r="E7" i="110"/>
  <c r="E99" i="107"/>
  <c r="E7" i="107"/>
  <c r="F192" i="107"/>
  <c r="F151" i="107"/>
  <c r="J44" i="87"/>
  <c r="E7" i="104"/>
  <c r="L8" i="104"/>
  <c r="F58" i="104"/>
  <c r="F49" i="104"/>
  <c r="F57" i="104"/>
  <c r="F46" i="104"/>
  <c r="F56" i="104"/>
  <c r="F45" i="104"/>
  <c r="F55" i="104"/>
  <c r="F44" i="104"/>
  <c r="F52" i="104"/>
  <c r="F43" i="104"/>
  <c r="F51" i="104"/>
  <c r="F50" i="104"/>
  <c r="Q28" i="104" a="1"/>
  <c r="Q28" i="104" s="1"/>
  <c r="D39" i="104"/>
  <c r="L39" i="104" s="1" a="1"/>
  <c r="L39" i="104" s="1"/>
  <c r="D42" i="104"/>
  <c r="Q30" i="104" a="1"/>
  <c r="Q30" i="104" s="1"/>
  <c r="N28" i="104" a="1"/>
  <c r="N28" i="104" s="1"/>
  <c r="O30" i="104" a="1"/>
  <c r="O30" i="104" s="1"/>
  <c r="D40" i="104"/>
  <c r="L40" i="104" s="1" a="1"/>
  <c r="L40" i="104" s="1"/>
  <c r="D48" i="104"/>
  <c r="E7" i="103"/>
  <c r="L7" i="103"/>
  <c r="Q29" i="103" a="1"/>
  <c r="Q29" i="103" s="1"/>
  <c r="P30" i="103" a="1"/>
  <c r="P30" i="103" s="1"/>
  <c r="O30" i="103" a="1"/>
  <c r="O30" i="103" s="1"/>
  <c r="P29" i="103" a="1"/>
  <c r="P29" i="103" s="1"/>
  <c r="N27" i="103" a="1"/>
  <c r="N27" i="103" s="1"/>
  <c r="F43" i="103"/>
  <c r="D39" i="103"/>
  <c r="F52" i="103"/>
  <c r="F62" i="103"/>
  <c r="Q35" i="103" a="1"/>
  <c r="Q35" i="103" s="1"/>
  <c r="F44" i="103"/>
  <c r="D54" i="103"/>
  <c r="F63" i="103"/>
  <c r="F45" i="103"/>
  <c r="F55" i="103"/>
  <c r="F64" i="103"/>
  <c r="F46" i="103"/>
  <c r="F56" i="103"/>
  <c r="F67" i="103"/>
  <c r="F57" i="103"/>
  <c r="F49" i="103"/>
  <c r="F68" i="103"/>
  <c r="O29" i="103" a="1"/>
  <c r="O29" i="103" s="1"/>
  <c r="D36" i="103"/>
  <c r="L36" i="103" s="1" a="1"/>
  <c r="L36" i="103" s="1"/>
  <c r="F58" i="103"/>
  <c r="D31" i="103"/>
  <c r="Q32" i="103" a="1"/>
  <c r="Q32" i="103" s="1"/>
  <c r="F50" i="103"/>
  <c r="F69" i="103"/>
  <c r="F51" i="103"/>
  <c r="F61" i="103"/>
  <c r="I17" i="102"/>
  <c r="I18" i="102"/>
  <c r="L32" i="104" s="1" a="1"/>
  <c r="L32" i="104" s="1"/>
  <c r="Q32" i="104" s="1" a="1"/>
  <c r="Q32" i="104" s="1"/>
  <c r="I20" i="102"/>
  <c r="F111" i="96" a="1"/>
  <c r="F111" i="96" s="1"/>
  <c r="E143" i="96" s="1"/>
  <c r="I57" i="97"/>
  <c r="F107" i="96" a="1"/>
  <c r="F107" i="96" s="1"/>
  <c r="E139" i="96" s="1"/>
  <c r="E49" i="97"/>
  <c r="E7" i="97"/>
  <c r="F40" i="79"/>
  <c r="I40" i="79"/>
  <c r="H36" i="79"/>
  <c r="E54" i="79"/>
  <c r="E43" i="96"/>
  <c r="E118" i="96"/>
  <c r="E7" i="96"/>
  <c r="E90" i="96"/>
  <c r="G59" i="96"/>
  <c r="E7" i="95"/>
  <c r="E38" i="94"/>
  <c r="E7" i="94"/>
  <c r="E7" i="93"/>
  <c r="E43" i="93"/>
  <c r="F78" i="93"/>
  <c r="F58" i="93"/>
  <c r="F80" i="92"/>
  <c r="O88" i="92"/>
  <c r="I36" i="79"/>
  <c r="E40" i="79"/>
  <c r="E7" i="92"/>
  <c r="E42" i="92"/>
  <c r="N60" i="92"/>
  <c r="G13" i="85"/>
  <c r="T19" i="85" s="1"/>
  <c r="F60" i="92"/>
  <c r="E36" i="79"/>
  <c r="F36" i="79"/>
  <c r="G36" i="79"/>
  <c r="I80" i="90"/>
  <c r="R80" i="90"/>
  <c r="O182" i="90"/>
  <c r="F182" i="90"/>
  <c r="I180" i="90"/>
  <c r="D29" i="91"/>
  <c r="G40" i="79"/>
  <c r="D75" i="90"/>
  <c r="E8" i="90"/>
  <c r="E31" i="90"/>
  <c r="E57" i="90"/>
  <c r="E139" i="90"/>
  <c r="E121" i="90"/>
  <c r="E86" i="90"/>
  <c r="I132" i="90"/>
  <c r="R132" i="90"/>
  <c r="R24" i="90"/>
  <c r="I24" i="90"/>
  <c r="I170" i="90"/>
  <c r="G148" i="90"/>
  <c r="I160" i="90" s="1"/>
  <c r="I165" i="90"/>
  <c r="R180" i="90"/>
  <c r="R115" i="90"/>
  <c r="R170" i="90"/>
  <c r="R165" i="90"/>
  <c r="Q53" i="85"/>
  <c r="F53" i="85"/>
  <c r="I37" i="79"/>
  <c r="H121" i="81" s="1"/>
  <c r="G37" i="79"/>
  <c r="F121" i="81" s="1"/>
  <c r="F37" i="79"/>
  <c r="E121" i="81" s="1"/>
  <c r="I41" i="79"/>
  <c r="R121" i="81" s="1"/>
  <c r="H37" i="79"/>
  <c r="G121" i="81" s="1"/>
  <c r="E37" i="79"/>
  <c r="D121" i="81" s="1"/>
  <c r="H41" i="79"/>
  <c r="Q121" i="81" s="1"/>
  <c r="G41" i="79"/>
  <c r="P121" i="81" s="1"/>
  <c r="F41" i="79"/>
  <c r="O121" i="81" s="1"/>
  <c r="E41" i="79"/>
  <c r="N121" i="81" s="1"/>
  <c r="Q30" i="87"/>
  <c r="V23" i="87"/>
  <c r="E53" i="79"/>
  <c r="F53" i="79"/>
  <c r="E7" i="87"/>
  <c r="Q47" i="87"/>
  <c r="F47" i="87"/>
  <c r="V28" i="87"/>
  <c r="K28" i="87"/>
  <c r="F30" i="87"/>
  <c r="E119" i="79"/>
  <c r="K23" i="87"/>
  <c r="E7" i="86"/>
  <c r="Q26" i="86"/>
  <c r="K19" i="86"/>
  <c r="F26" i="86"/>
  <c r="K24" i="86"/>
  <c r="V24" i="86"/>
  <c r="V19" i="86"/>
  <c r="Q45" i="86"/>
  <c r="F45" i="86"/>
  <c r="D38" i="86"/>
  <c r="O38" i="86" s="1"/>
  <c r="G95" i="79"/>
  <c r="E7" i="85"/>
  <c r="E37" i="85"/>
  <c r="V31" i="85"/>
  <c r="K31" i="85"/>
  <c r="V25" i="85"/>
  <c r="V51" i="85"/>
  <c r="K51" i="85"/>
  <c r="E91" i="84"/>
  <c r="E7" i="84"/>
  <c r="Q148" i="84"/>
  <c r="K106" i="84"/>
  <c r="K146" i="84"/>
  <c r="K142" i="84"/>
  <c r="V106" i="84"/>
  <c r="K144" i="84"/>
  <c r="F148" i="84"/>
  <c r="K140" i="84"/>
  <c r="K143" i="84"/>
  <c r="K139" i="84"/>
  <c r="V139" i="84"/>
  <c r="K141" i="84"/>
  <c r="K145" i="84"/>
  <c r="G159" i="81"/>
  <c r="I166" i="81" s="1"/>
  <c r="I171" i="81"/>
  <c r="V49" i="83"/>
  <c r="K49" i="83"/>
  <c r="Q115" i="84"/>
  <c r="F115" i="84"/>
  <c r="Q85" i="84"/>
  <c r="V76" i="84"/>
  <c r="F85" i="84"/>
  <c r="G127" i="84"/>
  <c r="K52" i="84"/>
  <c r="V52" i="84"/>
  <c r="G13" i="84"/>
  <c r="E7" i="83"/>
  <c r="E36" i="83"/>
  <c r="K23" i="83"/>
  <c r="V23" i="83"/>
  <c r="V29" i="83"/>
  <c r="K29" i="83"/>
  <c r="G13" i="82"/>
  <c r="K19" i="82" s="1"/>
  <c r="S121" i="81"/>
  <c r="F52" i="83"/>
  <c r="Q52" i="83"/>
  <c r="I120" i="79"/>
  <c r="E7" i="82"/>
  <c r="Q68" i="82"/>
  <c r="F68" i="82"/>
  <c r="K40" i="82"/>
  <c r="Q49" i="82"/>
  <c r="V40" i="82"/>
  <c r="F49" i="82"/>
  <c r="I203" i="81"/>
  <c r="S208" i="81"/>
  <c r="G162" i="80"/>
  <c r="D61" i="82"/>
  <c r="O61" i="82" s="1"/>
  <c r="E132" i="81"/>
  <c r="E153" i="81"/>
  <c r="E219" i="81"/>
  <c r="E183" i="81"/>
  <c r="E7" i="81"/>
  <c r="E109" i="81"/>
  <c r="E256" i="81"/>
  <c r="E35" i="81"/>
  <c r="E72" i="81"/>
  <c r="I126" i="81"/>
  <c r="S126" i="81"/>
  <c r="I65" i="81"/>
  <c r="S65" i="81"/>
  <c r="I103" i="81"/>
  <c r="S103" i="81"/>
  <c r="P287" i="81"/>
  <c r="F287" i="81"/>
  <c r="T133" i="80"/>
  <c r="I133" i="80"/>
  <c r="S213" i="81"/>
  <c r="I213" i="81"/>
  <c r="I29" i="81"/>
  <c r="S29" i="81"/>
  <c r="S176" i="81"/>
  <c r="I176" i="81"/>
  <c r="I98" i="81"/>
  <c r="H95" i="79"/>
  <c r="I55" i="81"/>
  <c r="S203" i="81"/>
  <c r="I88" i="81"/>
  <c r="F119" i="79"/>
  <c r="G78" i="81"/>
  <c r="V173" i="80"/>
  <c r="S88" i="81"/>
  <c r="S98" i="81"/>
  <c r="I121" i="81"/>
  <c r="S146" i="81"/>
  <c r="V152" i="80"/>
  <c r="I208" i="81"/>
  <c r="I198" i="81"/>
  <c r="E120" i="80"/>
  <c r="E85" i="80"/>
  <c r="E8" i="80"/>
  <c r="E139" i="80"/>
  <c r="E252" i="80"/>
  <c r="E31" i="80"/>
  <c r="E56" i="80"/>
  <c r="E186" i="80"/>
  <c r="E212" i="80"/>
  <c r="K237" i="80"/>
  <c r="V237" i="80"/>
  <c r="V205" i="80"/>
  <c r="K206" i="80"/>
  <c r="V206" i="80"/>
  <c r="K205" i="80"/>
  <c r="I24" i="80"/>
  <c r="T79" i="80"/>
  <c r="I79" i="80"/>
  <c r="I60" i="81" s="1"/>
  <c r="Q300" i="80"/>
  <c r="F300" i="80"/>
  <c r="I45" i="80"/>
  <c r="I114" i="80"/>
  <c r="F95" i="79"/>
  <c r="G119" i="79"/>
  <c r="R162" i="80"/>
  <c r="I95" i="79"/>
  <c r="E120" i="79"/>
  <c r="H119" i="79"/>
  <c r="F120" i="79"/>
  <c r="D104" i="79"/>
  <c r="D114" i="79"/>
  <c r="G120" i="79"/>
  <c r="I119" i="79"/>
  <c r="E95" i="79"/>
  <c r="H120" i="79"/>
  <c r="D90" i="79"/>
  <c r="G78" i="13"/>
  <c r="G77" i="13"/>
  <c r="F71" i="13"/>
  <c r="E23" i="72" a="1"/>
  <c r="E23" i="72" s="1"/>
  <c r="E24" i="72" s="1" a="1"/>
  <c r="E24" i="72" s="1"/>
  <c r="F67" i="13" s="1"/>
  <c r="F77" i="13" s="1"/>
  <c r="H19" i="90" l="1"/>
  <c r="H24" i="90" s="1" a="1"/>
  <c r="H24" i="90" s="1"/>
  <c r="H19" i="80"/>
  <c r="H24" i="80" s="1" a="1"/>
  <c r="H24" i="80" s="1"/>
  <c r="D21" i="107"/>
  <c r="G181" i="107" a="1"/>
  <c r="G181" i="107" s="1"/>
  <c r="G173" i="107" a="1"/>
  <c r="G173" i="107" s="1"/>
  <c r="G129" i="107" a="1"/>
  <c r="G129" i="107" s="1"/>
  <c r="G121" i="107" a="1"/>
  <c r="G121" i="107" s="1"/>
  <c r="G51" i="107" a="1"/>
  <c r="G51" i="107" s="1"/>
  <c r="G42" i="107" a="1"/>
  <c r="G42" i="107" s="1"/>
  <c r="G35" i="107" a="1"/>
  <c r="G35" i="107" s="1"/>
  <c r="G27" i="107" a="1"/>
  <c r="G27" i="107" s="1"/>
  <c r="G180" i="107" a="1"/>
  <c r="G180" i="107" s="1"/>
  <c r="G172" i="107" a="1"/>
  <c r="G172" i="107" s="1"/>
  <c r="G163" i="107" a="1"/>
  <c r="G163" i="107" s="1"/>
  <c r="G137" i="107" a="1"/>
  <c r="G137" i="107" s="1"/>
  <c r="G128" i="107" a="1"/>
  <c r="G128" i="107" s="1"/>
  <c r="G171" i="107" a="1"/>
  <c r="G171" i="107" s="1"/>
  <c r="G149" i="107" a="1"/>
  <c r="G149" i="107" s="1"/>
  <c r="G120" i="107" a="1"/>
  <c r="G120" i="107" s="1"/>
  <c r="G50" i="107" a="1"/>
  <c r="G50" i="107" s="1"/>
  <c r="G41" i="107" a="1"/>
  <c r="G41" i="107" s="1"/>
  <c r="G34" i="107" a="1"/>
  <c r="G34" i="107" s="1"/>
  <c r="G26" i="107" a="1"/>
  <c r="G26" i="107" s="1"/>
  <c r="G170" i="107" a="1"/>
  <c r="G170" i="107" s="1"/>
  <c r="G162" i="107" a="1"/>
  <c r="G162" i="107" s="1"/>
  <c r="G148" i="107" a="1"/>
  <c r="G148" i="107" s="1"/>
  <c r="G136" i="107" a="1"/>
  <c r="G136" i="107" s="1"/>
  <c r="G178" i="107" a="1"/>
  <c r="G178" i="107" s="1"/>
  <c r="G169" i="107" a="1"/>
  <c r="G169" i="107" s="1"/>
  <c r="G147" i="107" a="1"/>
  <c r="G147" i="107" s="1"/>
  <c r="G126" i="107" a="1"/>
  <c r="G126" i="107" s="1"/>
  <c r="G119" i="107" a="1"/>
  <c r="G119" i="107" s="1"/>
  <c r="G48" i="107" a="1"/>
  <c r="G48" i="107" s="1"/>
  <c r="G40" i="107" a="1"/>
  <c r="G40" i="107" s="1"/>
  <c r="G33" i="107" a="1"/>
  <c r="G33" i="107" s="1"/>
  <c r="G25" i="107" a="1"/>
  <c r="G25" i="107" s="1"/>
  <c r="G190" i="107" a="1"/>
  <c r="G190" i="107" s="1"/>
  <c r="G161" i="107" a="1"/>
  <c r="G161" i="107" s="1"/>
  <c r="G146" i="107" a="1"/>
  <c r="G146" i="107" s="1"/>
  <c r="G135" i="107" a="1"/>
  <c r="G135" i="107" s="1"/>
  <c r="G189" i="107" a="1"/>
  <c r="G189" i="107" s="1"/>
  <c r="G177" i="107" a="1"/>
  <c r="G177" i="107" s="1"/>
  <c r="G145" i="107" a="1"/>
  <c r="G145" i="107" s="1"/>
  <c r="G125" i="107" a="1"/>
  <c r="G125" i="107" s="1"/>
  <c r="G118" i="107" a="1"/>
  <c r="G118" i="107" s="1"/>
  <c r="G47" i="107" a="1"/>
  <c r="G47" i="107" s="1"/>
  <c r="G39" i="107" a="1"/>
  <c r="G39" i="107" s="1"/>
  <c r="G31" i="107" a="1"/>
  <c r="G31" i="107" s="1"/>
  <c r="G24" i="107" a="1"/>
  <c r="G24" i="107" s="1"/>
  <c r="G188" i="107" a="1"/>
  <c r="G188" i="107" s="1"/>
  <c r="G167" i="107" a="1"/>
  <c r="G167" i="107" s="1"/>
  <c r="G160" i="107" a="1"/>
  <c r="G160" i="107" s="1"/>
  <c r="G134" i="107" a="1"/>
  <c r="G134" i="107" s="1"/>
  <c r="G187" i="107" a="1"/>
  <c r="G187" i="107" s="1"/>
  <c r="G176" i="107" a="1"/>
  <c r="G176" i="107" s="1"/>
  <c r="G143" i="107" a="1"/>
  <c r="G143" i="107" s="1"/>
  <c r="G124" i="107" a="1"/>
  <c r="G124" i="107" s="1"/>
  <c r="G117" i="107" a="1"/>
  <c r="G117" i="107" s="1"/>
  <c r="G54" i="107" a="1"/>
  <c r="G54" i="107" s="1"/>
  <c r="G46" i="107" a="1"/>
  <c r="G46" i="107" s="1"/>
  <c r="G38" i="107" a="1"/>
  <c r="G38" i="107" s="1"/>
  <c r="G30" i="107" a="1"/>
  <c r="G30" i="107" s="1"/>
  <c r="G23" i="107" a="1"/>
  <c r="G23" i="107" s="1"/>
  <c r="G186" i="107" a="1"/>
  <c r="G186" i="107" s="1"/>
  <c r="G166" i="107" a="1"/>
  <c r="G166" i="107" s="1"/>
  <c r="G159" i="107" a="1"/>
  <c r="G159" i="107" s="1"/>
  <c r="G142" i="107" a="1"/>
  <c r="G142" i="107" s="1"/>
  <c r="G133" i="107" a="1"/>
  <c r="G133" i="107" s="1"/>
  <c r="G175" i="107" a="1"/>
  <c r="G175" i="107" s="1"/>
  <c r="G141" i="107" a="1"/>
  <c r="G141" i="107" s="1"/>
  <c r="G123" i="107" a="1"/>
  <c r="G123" i="107" s="1"/>
  <c r="G53" i="107" a="1"/>
  <c r="G53" i="107" s="1"/>
  <c r="G45" i="107" a="1"/>
  <c r="G45" i="107" s="1"/>
  <c r="G37" i="107" a="1"/>
  <c r="G37" i="107" s="1"/>
  <c r="G29" i="107" a="1"/>
  <c r="G29" i="107" s="1"/>
  <c r="G22" i="107" a="1"/>
  <c r="G22" i="107" s="1"/>
  <c r="G184" i="107" a="1"/>
  <c r="G184" i="107" s="1"/>
  <c r="G165" i="107" a="1"/>
  <c r="G165" i="107" s="1"/>
  <c r="G158" i="107" a="1"/>
  <c r="G158" i="107" s="1"/>
  <c r="G140" i="107" a="1"/>
  <c r="G140" i="107" s="1"/>
  <c r="G132" i="107" a="1"/>
  <c r="G132" i="107" s="1"/>
  <c r="G183" i="107" a="1"/>
  <c r="G183" i="107" s="1"/>
  <c r="G174" i="107" a="1"/>
  <c r="G174" i="107" s="1"/>
  <c r="G139" i="107" a="1"/>
  <c r="G139" i="107" s="1"/>
  <c r="G131" i="107" a="1"/>
  <c r="G131" i="107" s="1"/>
  <c r="G122" i="107" a="1"/>
  <c r="G122" i="107" s="1"/>
  <c r="G52" i="107" a="1"/>
  <c r="G52" i="107" s="1"/>
  <c r="G44" i="107" a="1"/>
  <c r="G44" i="107" s="1"/>
  <c r="G36" i="107" a="1"/>
  <c r="G36" i="107" s="1"/>
  <c r="G28" i="107" a="1"/>
  <c r="G28" i="107" s="1"/>
  <c r="G182" i="107" a="1"/>
  <c r="G182" i="107" s="1"/>
  <c r="G164" i="107" a="1"/>
  <c r="G164" i="107" s="1"/>
  <c r="I164" i="107" s="1"/>
  <c r="K164" i="107" s="1" a="1"/>
  <c r="K164" i="107" s="1"/>
  <c r="G130" i="107" a="1"/>
  <c r="G130" i="107" s="1"/>
  <c r="K37" i="104"/>
  <c r="Q37" i="104" s="1" a="1"/>
  <c r="Q37" i="104" s="1"/>
  <c r="J37" i="104"/>
  <c r="G37" i="104"/>
  <c r="I37" i="104"/>
  <c r="H37" i="104"/>
  <c r="I26" i="104"/>
  <c r="H26" i="104"/>
  <c r="K26" i="104"/>
  <c r="J26" i="104"/>
  <c r="G26" i="104"/>
  <c r="W243" i="117" a="1"/>
  <c r="W243" i="117" s="1"/>
  <c r="Q19" i="81"/>
  <c r="Q29" i="81" s="1" a="1"/>
  <c r="Q29" i="81" s="1"/>
  <c r="R99" i="80"/>
  <c r="I237" i="81" a="1"/>
  <c r="I237" i="81" s="1"/>
  <c r="I236" i="81" a="1"/>
  <c r="I236" i="81" s="1"/>
  <c r="I238" i="81" a="1"/>
  <c r="I238" i="81" s="1"/>
  <c r="I235" i="81" a="1"/>
  <c r="I235" i="81" s="1"/>
  <c r="H26" i="103" a="1"/>
  <c r="H26" i="103" s="1"/>
  <c r="O28" i="103" a="1"/>
  <c r="O28" i="103" s="1"/>
  <c r="S235" i="81" a="1"/>
  <c r="S235" i="81" s="1"/>
  <c r="S237" i="81" a="1"/>
  <c r="S237" i="81" s="1"/>
  <c r="S236" i="81" a="1"/>
  <c r="S236" i="81" s="1"/>
  <c r="S238" i="81" a="1"/>
  <c r="S238" i="81" s="1"/>
  <c r="P237" i="81" a="1"/>
  <c r="P237" i="81" s="1"/>
  <c r="P236" i="81" a="1"/>
  <c r="P236" i="81" s="1"/>
  <c r="P235" i="81" a="1"/>
  <c r="P235" i="81" s="1"/>
  <c r="Q200" i="80" a="1"/>
  <c r="Q157" i="80" a="1"/>
  <c r="P238" i="81" a="1"/>
  <c r="P238" i="81" s="1"/>
  <c r="Q155" i="80" a="1"/>
  <c r="Q156" i="80" a="1"/>
  <c r="E275" i="80"/>
  <c r="E171" i="81"/>
  <c r="G235" i="81" a="1"/>
  <c r="G235" i="81" s="1"/>
  <c r="G236" i="81" a="1"/>
  <c r="G236" i="81" s="1"/>
  <c r="G238" i="81" a="1"/>
  <c r="G238" i="81" s="1"/>
  <c r="G237" i="81" a="1"/>
  <c r="G237" i="81" s="1"/>
  <c r="K31" i="104"/>
  <c r="Q31" i="104" s="1" a="1"/>
  <c r="Q31" i="104" s="1"/>
  <c r="J31" i="104"/>
  <c r="I31" i="104"/>
  <c r="H31" i="104"/>
  <c r="G31" i="104"/>
  <c r="O31" i="104" s="1" a="1"/>
  <c r="O31" i="104" s="1"/>
  <c r="Y221" i="117" a="1"/>
  <c r="D19" i="81"/>
  <c r="D29" i="81" s="1" a="1"/>
  <c r="D29" i="81" s="1"/>
  <c r="D99" i="80"/>
  <c r="D114" i="80" s="1" a="1"/>
  <c r="D114" i="80" s="1"/>
  <c r="W237" i="117" a="1"/>
  <c r="W237" i="117" s="1"/>
  <c r="G37" i="103" a="1"/>
  <c r="G37" i="103" s="1"/>
  <c r="P37" i="103" s="1" a="1"/>
  <c r="P37" i="103" s="1"/>
  <c r="N98" i="81"/>
  <c r="O104" i="80"/>
  <c r="H285" i="80"/>
  <c r="H208" i="81"/>
  <c r="F275" i="80"/>
  <c r="F203" i="81"/>
  <c r="R231" i="81" a="1"/>
  <c r="R231" i="81" s="1"/>
  <c r="R232" i="81" a="1"/>
  <c r="R232" i="81" s="1"/>
  <c r="R234" i="81" a="1"/>
  <c r="R234" i="81" s="1"/>
  <c r="R233" i="81" a="1"/>
  <c r="R233" i="81" s="1"/>
  <c r="S241" i="117" a="1"/>
  <c r="S241" i="117" s="1"/>
  <c r="S245" i="117" a="1"/>
  <c r="S245" i="117" s="1"/>
  <c r="I233" i="81" a="1"/>
  <c r="I233" i="81" s="1"/>
  <c r="I232" i="81" a="1"/>
  <c r="I232" i="81" s="1"/>
  <c r="I231" i="81" a="1"/>
  <c r="I231" i="81" s="1"/>
  <c r="I234" i="81" a="1"/>
  <c r="I234" i="81" s="1"/>
  <c r="P234" i="81" a="1"/>
  <c r="P234" i="81" s="1"/>
  <c r="Q153" i="80" a="1"/>
  <c r="P233" i="81" a="1"/>
  <c r="P233" i="81" s="1"/>
  <c r="Q152" i="80" a="1"/>
  <c r="P232" i="81" a="1"/>
  <c r="P232" i="81" s="1"/>
  <c r="Q154" i="80" a="1"/>
  <c r="Q199" i="80" a="1"/>
  <c r="P231" i="81" a="1"/>
  <c r="P231" i="81" s="1"/>
  <c r="E29" i="79"/>
  <c r="O285" i="80" s="1"/>
  <c r="O275" i="80"/>
  <c r="N171" i="81"/>
  <c r="AK221" i="117" a="1"/>
  <c r="U221" i="117" a="1"/>
  <c r="D270" i="117"/>
  <c r="F277" i="117" a="1"/>
  <c r="F277" i="117" s="1"/>
  <c r="E277" i="117"/>
  <c r="I277" i="117" s="1" a="1"/>
  <c r="I277" i="117" s="1"/>
  <c r="F276" i="117" a="1"/>
  <c r="F276" i="117" s="1"/>
  <c r="E276" i="117"/>
  <c r="F275" i="117" a="1"/>
  <c r="F275" i="117" s="1"/>
  <c r="G275" i="117" s="1" a="1"/>
  <c r="G275" i="117" s="1"/>
  <c r="E275" i="117"/>
  <c r="F281" i="117" a="1"/>
  <c r="F281" i="117" s="1"/>
  <c r="F274" i="117" a="1"/>
  <c r="F274" i="117" s="1"/>
  <c r="E280" i="117"/>
  <c r="E273" i="117"/>
  <c r="F279" i="117" a="1"/>
  <c r="F279" i="117" s="1"/>
  <c r="F272" i="117" a="1"/>
  <c r="F272" i="117" s="1"/>
  <c r="F278" i="117" a="1"/>
  <c r="F278" i="117" s="1"/>
  <c r="F271" i="117" a="1"/>
  <c r="F271" i="117" s="1"/>
  <c r="E281" i="117"/>
  <c r="F280" i="117" a="1"/>
  <c r="F280" i="117" s="1"/>
  <c r="E279" i="117"/>
  <c r="I279" i="117" s="1" a="1"/>
  <c r="I279" i="117" s="1"/>
  <c r="E278" i="117"/>
  <c r="E274" i="117"/>
  <c r="I274" i="117" s="1" a="1"/>
  <c r="I274" i="117" s="1"/>
  <c r="F273" i="117" a="1"/>
  <c r="F273" i="117" s="1"/>
  <c r="G273" i="117" s="1" a="1"/>
  <c r="G273" i="117" s="1"/>
  <c r="E272" i="117"/>
  <c r="I272" i="117" s="1" a="1"/>
  <c r="I272" i="117" s="1"/>
  <c r="E271" i="117"/>
  <c r="E21" i="107"/>
  <c r="H21" i="107" s="1" a="1"/>
  <c r="H21" i="107" s="1"/>
  <c r="H50" i="107" a="1"/>
  <c r="H50" i="107" s="1"/>
  <c r="I50" i="107" s="1" a="1"/>
  <c r="I50" i="107" s="1"/>
  <c r="H145" i="107" s="1"/>
  <c r="H41" i="107" a="1"/>
  <c r="H41" i="107" s="1"/>
  <c r="H34" i="107" a="1"/>
  <c r="H34" i="107" s="1"/>
  <c r="H26" i="107" a="1"/>
  <c r="H26" i="107" s="1"/>
  <c r="H48" i="107" a="1"/>
  <c r="H48" i="107" s="1"/>
  <c r="H40" i="107" a="1"/>
  <c r="H40" i="107" s="1"/>
  <c r="H33" i="107" a="1"/>
  <c r="H33" i="107" s="1"/>
  <c r="H25" i="107" a="1"/>
  <c r="H25" i="107" s="1"/>
  <c r="H47" i="107" a="1"/>
  <c r="H47" i="107" s="1"/>
  <c r="I47" i="107" s="1" a="1"/>
  <c r="I47" i="107" s="1"/>
  <c r="H142" i="107" s="1"/>
  <c r="H39" i="107" a="1"/>
  <c r="H39" i="107" s="1"/>
  <c r="H31" i="107" a="1"/>
  <c r="H31" i="107" s="1"/>
  <c r="I31" i="107" s="1" a="1"/>
  <c r="I31" i="107" s="1"/>
  <c r="H126" i="107" s="1"/>
  <c r="I126" i="107" s="1"/>
  <c r="K126" i="107" s="1" a="1"/>
  <c r="K126" i="107" s="1"/>
  <c r="H24" i="107" a="1"/>
  <c r="H24" i="107" s="1"/>
  <c r="H54" i="107" a="1"/>
  <c r="H54" i="107" s="1"/>
  <c r="I54" i="107" s="1" a="1"/>
  <c r="I54" i="107" s="1"/>
  <c r="H149" i="107" s="1"/>
  <c r="H46" i="107" a="1"/>
  <c r="H46" i="107" s="1"/>
  <c r="H38" i="107" a="1"/>
  <c r="H38" i="107" s="1"/>
  <c r="H30" i="107" a="1"/>
  <c r="H30" i="107" s="1"/>
  <c r="H23" i="107" a="1"/>
  <c r="H23" i="107" s="1"/>
  <c r="H53" i="107" a="1"/>
  <c r="H53" i="107" s="1"/>
  <c r="H45" i="107" a="1"/>
  <c r="H45" i="107" s="1"/>
  <c r="H37" i="107" a="1"/>
  <c r="H37" i="107" s="1"/>
  <c r="H29" i="107" a="1"/>
  <c r="H29" i="107" s="1"/>
  <c r="H22" i="107" a="1"/>
  <c r="H22" i="107" s="1"/>
  <c r="H52" i="107" a="1"/>
  <c r="H52" i="107" s="1"/>
  <c r="H44" i="107" a="1"/>
  <c r="H44" i="107" s="1"/>
  <c r="H36" i="107" a="1"/>
  <c r="H36" i="107" s="1"/>
  <c r="H28" i="107" a="1"/>
  <c r="H28" i="107" s="1"/>
  <c r="H51" i="107" a="1"/>
  <c r="H51" i="107" s="1"/>
  <c r="H42" i="107" a="1"/>
  <c r="H42" i="107" s="1"/>
  <c r="I42" i="107" s="1" a="1"/>
  <c r="I42" i="107" s="1"/>
  <c r="H137" i="107" s="1"/>
  <c r="I137" i="107" s="1"/>
  <c r="K137" i="107" s="1" a="1"/>
  <c r="K137" i="107" s="1"/>
  <c r="H35" i="107" a="1"/>
  <c r="H35" i="107" s="1"/>
  <c r="I35" i="107" s="1" a="1"/>
  <c r="I35" i="107" s="1"/>
  <c r="H130" i="107" s="1"/>
  <c r="H27" i="107" a="1"/>
  <c r="H27" i="107" s="1"/>
  <c r="AE240" i="117" a="1"/>
  <c r="AE240" i="117" s="1"/>
  <c r="S232" i="81" a="1"/>
  <c r="S232" i="81" s="1"/>
  <c r="S233" i="81" a="1"/>
  <c r="S233" i="81" s="1"/>
  <c r="S234" i="81" a="1"/>
  <c r="S234" i="81" s="1"/>
  <c r="S231" i="81" a="1"/>
  <c r="S231" i="81" s="1"/>
  <c r="G232" i="81" a="1"/>
  <c r="G232" i="81" s="1"/>
  <c r="G233" i="81" a="1"/>
  <c r="G233" i="81" s="1"/>
  <c r="G231" i="81" a="1"/>
  <c r="G231" i="81" s="1"/>
  <c r="G234" i="81" a="1"/>
  <c r="G234" i="81" s="1"/>
  <c r="F106" i="96" a="1"/>
  <c r="F106" i="96" s="1"/>
  <c r="E138" i="96" s="1"/>
  <c r="P31" i="104" a="1"/>
  <c r="P31" i="104" s="1"/>
  <c r="W246" i="117" a="1"/>
  <c r="W246" i="117" s="1"/>
  <c r="F246" i="117" s="1" a="1"/>
  <c r="F246" i="117" s="1"/>
  <c r="K26" i="103" a="1"/>
  <c r="K26" i="103" s="1"/>
  <c r="H38" i="103" a="1"/>
  <c r="H38" i="103" s="1"/>
  <c r="H37" i="103" a="1"/>
  <c r="H37" i="103" s="1"/>
  <c r="N37" i="103" s="1" a="1"/>
  <c r="N37" i="103" s="1"/>
  <c r="J124" i="107" a="1"/>
  <c r="J124" i="107" s="1"/>
  <c r="E64" i="84"/>
  <c r="E52" i="84"/>
  <c r="E40" i="84"/>
  <c r="E278" i="81"/>
  <c r="P76" i="84"/>
  <c r="E163" i="80"/>
  <c r="E76" i="84"/>
  <c r="D82" i="79"/>
  <c r="E139" i="84"/>
  <c r="O278" i="81"/>
  <c r="E40" i="82"/>
  <c r="E19" i="82"/>
  <c r="O243" i="81"/>
  <c r="P174" i="80"/>
  <c r="P40" i="84"/>
  <c r="P40" i="82"/>
  <c r="P19" i="82"/>
  <c r="O231" i="81"/>
  <c r="P106" i="84"/>
  <c r="P52" i="84"/>
  <c r="P152" i="80"/>
  <c r="E243" i="81"/>
  <c r="E174" i="80"/>
  <c r="E152" i="80"/>
  <c r="E231" i="81"/>
  <c r="P238" i="80"/>
  <c r="E106" i="84"/>
  <c r="E127" i="84"/>
  <c r="P139" i="84"/>
  <c r="E291" i="80"/>
  <c r="P163" i="80"/>
  <c r="P291" i="80"/>
  <c r="E238" i="80"/>
  <c r="J234" i="81" a="1"/>
  <c r="J234" i="81" s="1"/>
  <c r="J232" i="81" a="1"/>
  <c r="J232" i="81" s="1"/>
  <c r="J231" i="81" a="1"/>
  <c r="J231" i="81" s="1"/>
  <c r="J233" i="81" a="1"/>
  <c r="J233" i="81" s="1"/>
  <c r="W240" i="117" a="1"/>
  <c r="W240" i="117" s="1"/>
  <c r="AA245" i="117" a="1"/>
  <c r="AA245" i="117" s="1"/>
  <c r="AE244" i="117" a="1"/>
  <c r="AE244" i="117" s="1"/>
  <c r="W244" i="117" a="1"/>
  <c r="W244" i="117" s="1"/>
  <c r="W242" i="117" a="1"/>
  <c r="W242" i="117" s="1"/>
  <c r="W241" i="117" a="1"/>
  <c r="W241" i="117" s="1"/>
  <c r="AA238" i="117" a="1"/>
  <c r="AA238" i="117" s="1"/>
  <c r="F29" i="79"/>
  <c r="P285" i="80" s="1"/>
  <c r="P275" i="80"/>
  <c r="O171" i="81"/>
  <c r="H203" i="81"/>
  <c r="H275" i="80"/>
  <c r="D19" i="92"/>
  <c r="F19" i="92" s="1" a="1"/>
  <c r="F19" i="92" s="1"/>
  <c r="F33" i="92" a="1"/>
  <c r="F33" i="92" s="1"/>
  <c r="F31" i="92" a="1"/>
  <c r="F31" i="92" s="1"/>
  <c r="F29" i="92" a="1"/>
  <c r="F29" i="92" s="1"/>
  <c r="F27" i="92" a="1"/>
  <c r="F27" i="92" s="1"/>
  <c r="F24" i="92" a="1"/>
  <c r="F24" i="92" s="1"/>
  <c r="F37" i="92" a="1"/>
  <c r="F37" i="92" s="1"/>
  <c r="F23" i="92" a="1"/>
  <c r="F23" i="92" s="1"/>
  <c r="F35" i="92" a="1"/>
  <c r="F35" i="92" s="1"/>
  <c r="F21" i="92" a="1"/>
  <c r="F21" i="92" s="1"/>
  <c r="F22" i="92" a="1"/>
  <c r="F22" i="92" s="1"/>
  <c r="F20" i="92" a="1"/>
  <c r="F20" i="92" s="1"/>
  <c r="F36" i="92" a="1"/>
  <c r="F36" i="92" s="1"/>
  <c r="F34" i="92" a="1"/>
  <c r="F34" i="92" s="1"/>
  <c r="F32" i="92" a="1"/>
  <c r="F32" i="92" s="1"/>
  <c r="F30" i="92" a="1"/>
  <c r="F30" i="92" s="1"/>
  <c r="F28" i="92" a="1"/>
  <c r="F28" i="92" s="1"/>
  <c r="F26" i="92" a="1"/>
  <c r="F26" i="92" s="1"/>
  <c r="F25" i="92" a="1"/>
  <c r="F25" i="92" s="1"/>
  <c r="I40" i="90"/>
  <c r="I40" i="80"/>
  <c r="G61" i="117" a="1"/>
  <c r="G61" i="117" s="1"/>
  <c r="S243" i="117" a="1"/>
  <c r="S243" i="117" s="1"/>
  <c r="E59" i="107"/>
  <c r="H59" i="107" s="1" a="1"/>
  <c r="H59" i="107" s="1"/>
  <c r="H91" i="107" a="1"/>
  <c r="H91" i="107" s="1"/>
  <c r="H83" i="107" a="1"/>
  <c r="H83" i="107" s="1"/>
  <c r="H75" i="107" a="1"/>
  <c r="H75" i="107" s="1"/>
  <c r="H67" i="107" a="1"/>
  <c r="H67" i="107" s="1"/>
  <c r="H60" i="107" a="1"/>
  <c r="H60" i="107" s="1"/>
  <c r="H90" i="107" a="1"/>
  <c r="H90" i="107" s="1"/>
  <c r="H82" i="107" a="1"/>
  <c r="H82" i="107" s="1"/>
  <c r="H74" i="107" a="1"/>
  <c r="H74" i="107" s="1"/>
  <c r="H66" i="107" a="1"/>
  <c r="H66" i="107" s="1"/>
  <c r="H89" i="107" a="1"/>
  <c r="H89" i="107" s="1"/>
  <c r="H80" i="107" a="1"/>
  <c r="H80" i="107" s="1"/>
  <c r="H73" i="107" a="1"/>
  <c r="H73" i="107" s="1"/>
  <c r="H65" i="107" a="1"/>
  <c r="H65" i="107" s="1"/>
  <c r="H88" i="107" a="1"/>
  <c r="H88" i="107" s="1"/>
  <c r="H79" i="107" a="1"/>
  <c r="H79" i="107" s="1"/>
  <c r="H72" i="107" a="1"/>
  <c r="H72" i="107" s="1"/>
  <c r="H64" i="107" a="1"/>
  <c r="H64" i="107" s="1"/>
  <c r="H86" i="107" a="1"/>
  <c r="H86" i="107" s="1"/>
  <c r="H78" i="107" a="1"/>
  <c r="H78" i="107" s="1"/>
  <c r="H71" i="107" a="1"/>
  <c r="H71" i="107" s="1"/>
  <c r="H63" i="107" a="1"/>
  <c r="H63" i="107" s="1"/>
  <c r="H85" i="107" a="1"/>
  <c r="H85" i="107" s="1"/>
  <c r="H77" i="107" a="1"/>
  <c r="H77" i="107" s="1"/>
  <c r="H69" i="107" a="1"/>
  <c r="H69" i="107" s="1"/>
  <c r="H62" i="107" a="1"/>
  <c r="H62" i="107" s="1"/>
  <c r="H92" i="107" a="1"/>
  <c r="H92" i="107" s="1"/>
  <c r="H84" i="107" a="1"/>
  <c r="H84" i="107" s="1"/>
  <c r="H76" i="107" a="1"/>
  <c r="H76" i="107" s="1"/>
  <c r="H68" i="107" a="1"/>
  <c r="H68" i="107" s="1"/>
  <c r="H61" i="107" a="1"/>
  <c r="H61" i="107" s="1"/>
  <c r="I26" i="103" a="1"/>
  <c r="I26" i="103" s="1"/>
  <c r="D19" i="80"/>
  <c r="D24" i="80" s="1" a="1"/>
  <c r="D24" i="80" s="1"/>
  <c r="D79" i="80" s="1" a="1"/>
  <c r="D79" i="80" s="1"/>
  <c r="D60" i="81" s="1"/>
  <c r="D19" i="90"/>
  <c r="D24" i="90" s="1" a="1"/>
  <c r="D24" i="90" s="1"/>
  <c r="D80" i="90" s="1" a="1"/>
  <c r="D80" i="90" s="1"/>
  <c r="D115" i="90" s="1" a="1"/>
  <c r="D115" i="90" s="1"/>
  <c r="D132" i="90" s="1" a="1"/>
  <c r="D132" i="90" s="1"/>
  <c r="D180" i="90" s="1" a="1"/>
  <c r="D180" i="90" s="1"/>
  <c r="J374" i="117" a="1"/>
  <c r="J374" i="117" s="1"/>
  <c r="J369" i="117" a="1"/>
  <c r="J369" i="117" s="1"/>
  <c r="H369" i="117" a="1"/>
  <c r="H369" i="117" s="1"/>
  <c r="J51" i="117" a="1"/>
  <c r="J51" i="117" s="1"/>
  <c r="S240" i="117" a="1"/>
  <c r="S240" i="117" s="1"/>
  <c r="J174" i="107" a="1"/>
  <c r="J174" i="107" s="1"/>
  <c r="J176" i="107" a="1"/>
  <c r="J176" i="107" s="1"/>
  <c r="J127" i="107" a="1"/>
  <c r="J127" i="107" s="1"/>
  <c r="J29" i="104"/>
  <c r="I29" i="104"/>
  <c r="G29" i="104"/>
  <c r="O29" i="104" s="1" a="1"/>
  <c r="O29" i="104" s="1"/>
  <c r="K29" i="104"/>
  <c r="Q29" i="104" s="1" a="1"/>
  <c r="Q29" i="104" s="1"/>
  <c r="H29" i="104"/>
  <c r="AE239" i="117" a="1"/>
  <c r="AE239" i="117" s="1"/>
  <c r="K25" i="104"/>
  <c r="I25" i="104"/>
  <c r="H25" i="104"/>
  <c r="G25" i="104"/>
  <c r="P25" i="104" s="1" a="1"/>
  <c r="P25" i="104" s="1"/>
  <c r="J25" i="104"/>
  <c r="R104" i="80"/>
  <c r="Q98" i="81"/>
  <c r="G29" i="79"/>
  <c r="P203" i="81"/>
  <c r="Q275" i="80"/>
  <c r="D208" i="81"/>
  <c r="N208" i="81"/>
  <c r="D285" i="80"/>
  <c r="AG221" i="117" a="1"/>
  <c r="V13" i="91"/>
  <c r="D19" i="96"/>
  <c r="F19" i="96" s="1" a="1"/>
  <c r="F19" i="96" s="1"/>
  <c r="G19" i="96" s="1" a="1"/>
  <c r="G19" i="96" s="1"/>
  <c r="F34" i="96" a="1"/>
  <c r="F34" i="96" s="1"/>
  <c r="G34" i="96" s="1" a="1"/>
  <c r="G34" i="96" s="1"/>
  <c r="F27" i="96" a="1"/>
  <c r="F27" i="96" s="1"/>
  <c r="G27" i="96" s="1" a="1"/>
  <c r="G27" i="96" s="1"/>
  <c r="F20" i="96" a="1"/>
  <c r="F20" i="96" s="1"/>
  <c r="G20" i="96" s="1" a="1"/>
  <c r="G20" i="96" s="1"/>
  <c r="F33" i="96" a="1"/>
  <c r="F33" i="96" s="1"/>
  <c r="G33" i="96" s="1" a="1"/>
  <c r="G33" i="96" s="1"/>
  <c r="F32" i="96" a="1"/>
  <c r="F32" i="96" s="1"/>
  <c r="G32" i="96" s="1" a="1"/>
  <c r="G32" i="96" s="1"/>
  <c r="F31" i="96" a="1"/>
  <c r="F31" i="96" s="1"/>
  <c r="G31" i="96" s="1" a="1"/>
  <c r="G31" i="96" s="1"/>
  <c r="F30" i="96" a="1"/>
  <c r="F30" i="96" s="1"/>
  <c r="G30" i="96" s="1" a="1"/>
  <c r="G30" i="96" s="1"/>
  <c r="F29" i="96" a="1"/>
  <c r="F29" i="96" s="1"/>
  <c r="G29" i="96" s="1" a="1"/>
  <c r="G29" i="96" s="1"/>
  <c r="F28" i="96" a="1"/>
  <c r="F28" i="96" s="1"/>
  <c r="G28" i="96" s="1" a="1"/>
  <c r="G28" i="96" s="1"/>
  <c r="F26" i="96" a="1"/>
  <c r="F26" i="96" s="1"/>
  <c r="G26" i="96" s="1" a="1"/>
  <c r="G26" i="96" s="1"/>
  <c r="F25" i="96" a="1"/>
  <c r="F25" i="96" s="1"/>
  <c r="G25" i="96" s="1" a="1"/>
  <c r="G25" i="96" s="1"/>
  <c r="F24" i="96" a="1"/>
  <c r="F24" i="96" s="1"/>
  <c r="G24" i="96" s="1" a="1"/>
  <c r="G24" i="96" s="1"/>
  <c r="F37" i="96" a="1"/>
  <c r="F37" i="96" s="1"/>
  <c r="G37" i="96" s="1" a="1"/>
  <c r="G37" i="96" s="1"/>
  <c r="F23" i="96" a="1"/>
  <c r="F23" i="96" s="1"/>
  <c r="G23" i="96" s="1" a="1"/>
  <c r="G23" i="96" s="1"/>
  <c r="F36" i="96" a="1"/>
  <c r="F36" i="96" s="1"/>
  <c r="G36" i="96" s="1" a="1"/>
  <c r="G36" i="96" s="1"/>
  <c r="F22" i="96" a="1"/>
  <c r="F22" i="96" s="1"/>
  <c r="G22" i="96" s="1" a="1"/>
  <c r="G22" i="96" s="1"/>
  <c r="F35" i="96" a="1"/>
  <c r="F35" i="96" s="1"/>
  <c r="G35" i="96" s="1" a="1"/>
  <c r="G35" i="96" s="1"/>
  <c r="F21" i="96" a="1"/>
  <c r="F21" i="96" s="1"/>
  <c r="G21" i="96" s="1" a="1"/>
  <c r="G21" i="96" s="1"/>
  <c r="H99" i="80"/>
  <c r="H19" i="81"/>
  <c r="H29" i="81" s="1" a="1"/>
  <c r="H29" i="81" s="1"/>
  <c r="F79" i="80" a="1"/>
  <c r="F79" i="80" s="1"/>
  <c r="F60" i="81" s="1"/>
  <c r="O19" i="90"/>
  <c r="O24" i="90" s="1" a="1"/>
  <c r="O24" i="90" s="1"/>
  <c r="Q19" i="80"/>
  <c r="Q24" i="80" s="1" a="1"/>
  <c r="Q24" i="80" s="1"/>
  <c r="Q79" i="80" s="1" a="1"/>
  <c r="Q79" i="80" s="1"/>
  <c r="Q114" i="80" s="1" a="1"/>
  <c r="Q114" i="80" s="1"/>
  <c r="N80" i="90" a="1"/>
  <c r="N80" i="90" s="1"/>
  <c r="N115" i="90" s="1" a="1"/>
  <c r="N115" i="90" s="1"/>
  <c r="N132" i="90" s="1" a="1"/>
  <c r="N132" i="90" s="1"/>
  <c r="N180" i="90" s="1" a="1"/>
  <c r="N180" i="90" s="1"/>
  <c r="Q19" i="90"/>
  <c r="Q24" i="90" s="1" a="1"/>
  <c r="Q24" i="90" s="1"/>
  <c r="Q80" i="90" s="1" a="1"/>
  <c r="Q80" i="90" s="1"/>
  <c r="Q115" i="90" s="1" a="1"/>
  <c r="Q115" i="90" s="1"/>
  <c r="Q132" i="90" s="1" a="1"/>
  <c r="Q132" i="90" s="1"/>
  <c r="S19" i="80"/>
  <c r="S24" i="80" s="1" a="1"/>
  <c r="S24" i="80" s="1"/>
  <c r="P28" i="103" a="1"/>
  <c r="P28" i="103" s="1"/>
  <c r="G67" i="117" a="1"/>
  <c r="G67" i="117" s="1"/>
  <c r="G82" i="117" a="1"/>
  <c r="G82" i="117" s="1"/>
  <c r="J49" i="117" a="1"/>
  <c r="J49" i="117" s="1"/>
  <c r="S244" i="117" a="1"/>
  <c r="S244" i="117" s="1"/>
  <c r="F244" i="117" s="1" a="1"/>
  <c r="F244" i="117" s="1"/>
  <c r="J132" i="107" a="1"/>
  <c r="J132" i="107" s="1"/>
  <c r="D59" i="107"/>
  <c r="G59" i="107" s="1" a="1"/>
  <c r="G59" i="107" s="1"/>
  <c r="I59" i="107" s="1" a="1"/>
  <c r="I59" i="107" s="1"/>
  <c r="H157" i="107" s="1"/>
  <c r="G92" i="107" a="1"/>
  <c r="G92" i="107" s="1"/>
  <c r="G84" i="107" a="1"/>
  <c r="G84" i="107" s="1"/>
  <c r="I84" i="107" s="1" a="1"/>
  <c r="I84" i="107" s="1"/>
  <c r="H182" i="107" s="1"/>
  <c r="G76" i="107" a="1"/>
  <c r="G76" i="107" s="1"/>
  <c r="I76" i="107" s="1" a="1"/>
  <c r="I76" i="107" s="1"/>
  <c r="H174" i="107" s="1"/>
  <c r="I174" i="107" s="1"/>
  <c r="K174" i="107" s="1" a="1"/>
  <c r="K174" i="107" s="1"/>
  <c r="G68" i="107" a="1"/>
  <c r="G68" i="107" s="1"/>
  <c r="I68" i="107" s="1" a="1"/>
  <c r="I68" i="107" s="1"/>
  <c r="H166" i="107" s="1"/>
  <c r="I166" i="107" s="1"/>
  <c r="K166" i="107" s="1" a="1"/>
  <c r="K166" i="107" s="1"/>
  <c r="G61" i="107" a="1"/>
  <c r="G61" i="107" s="1"/>
  <c r="I61" i="107" s="1" a="1"/>
  <c r="I61" i="107" s="1"/>
  <c r="H159" i="107" s="1"/>
  <c r="I159" i="107" s="1"/>
  <c r="K159" i="107" s="1" a="1"/>
  <c r="K159" i="107" s="1"/>
  <c r="G91" i="107" a="1"/>
  <c r="G91" i="107" s="1"/>
  <c r="I91" i="107" s="1" a="1"/>
  <c r="I91" i="107" s="1"/>
  <c r="H189" i="107" s="1"/>
  <c r="G83" i="107" a="1"/>
  <c r="G83" i="107" s="1"/>
  <c r="G75" i="107" a="1"/>
  <c r="G75" i="107" s="1"/>
  <c r="G67" i="107" a="1"/>
  <c r="G67" i="107" s="1"/>
  <c r="G60" i="107" a="1"/>
  <c r="G60" i="107" s="1"/>
  <c r="G90" i="107" a="1"/>
  <c r="G90" i="107" s="1"/>
  <c r="I90" i="107" s="1" a="1"/>
  <c r="I90" i="107" s="1"/>
  <c r="H188" i="107" s="1"/>
  <c r="G82" i="107" a="1"/>
  <c r="G82" i="107" s="1"/>
  <c r="I82" i="107" s="1" a="1"/>
  <c r="I82" i="107" s="1"/>
  <c r="H180" i="107" s="1"/>
  <c r="G74" i="107" a="1"/>
  <c r="G74" i="107" s="1"/>
  <c r="I74" i="107" s="1" a="1"/>
  <c r="I74" i="107" s="1"/>
  <c r="H172" i="107" s="1"/>
  <c r="G66" i="107" a="1"/>
  <c r="G66" i="107" s="1"/>
  <c r="I66" i="107" s="1" a="1"/>
  <c r="I66" i="107" s="1"/>
  <c r="H164" i="107" s="1"/>
  <c r="G89" i="107" a="1"/>
  <c r="G89" i="107" s="1"/>
  <c r="I89" i="107" s="1" a="1"/>
  <c r="I89" i="107" s="1"/>
  <c r="H187" i="107" s="1"/>
  <c r="G80" i="107" a="1"/>
  <c r="G80" i="107" s="1"/>
  <c r="I80" i="107" s="1" a="1"/>
  <c r="I80" i="107" s="1"/>
  <c r="H178" i="107" s="1"/>
  <c r="G73" i="107" a="1"/>
  <c r="G73" i="107" s="1"/>
  <c r="I73" i="107" s="1" a="1"/>
  <c r="I73" i="107" s="1"/>
  <c r="H171" i="107" s="1"/>
  <c r="G65" i="107" a="1"/>
  <c r="G65" i="107" s="1"/>
  <c r="I65" i="107" s="1" a="1"/>
  <c r="I65" i="107" s="1"/>
  <c r="H163" i="107" s="1"/>
  <c r="I163" i="107" s="1"/>
  <c r="K163" i="107" s="1" a="1"/>
  <c r="K163" i="107" s="1"/>
  <c r="G88" i="107" a="1"/>
  <c r="G88" i="107" s="1"/>
  <c r="I88" i="107" s="1" a="1"/>
  <c r="I88" i="107" s="1"/>
  <c r="H186" i="107" s="1"/>
  <c r="G79" i="107" a="1"/>
  <c r="G79" i="107" s="1"/>
  <c r="I79" i="107" s="1" a="1"/>
  <c r="I79" i="107" s="1"/>
  <c r="H177" i="107" s="1"/>
  <c r="I177" i="107" s="1"/>
  <c r="K177" i="107" s="1" a="1"/>
  <c r="K177" i="107" s="1"/>
  <c r="G72" i="107" a="1"/>
  <c r="G72" i="107" s="1"/>
  <c r="G64" i="107" a="1"/>
  <c r="G64" i="107" s="1"/>
  <c r="G86" i="107" a="1"/>
  <c r="G86" i="107" s="1"/>
  <c r="G78" i="107" a="1"/>
  <c r="G78" i="107" s="1"/>
  <c r="G71" i="107" a="1"/>
  <c r="G71" i="107" s="1"/>
  <c r="G63" i="107" a="1"/>
  <c r="G63" i="107" s="1"/>
  <c r="G85" i="107" a="1"/>
  <c r="G85" i="107" s="1"/>
  <c r="I85" i="107" s="1" a="1"/>
  <c r="I85" i="107" s="1"/>
  <c r="H183" i="107" s="1"/>
  <c r="G77" i="107" a="1"/>
  <c r="G77" i="107" s="1"/>
  <c r="I77" i="107" s="1" a="1"/>
  <c r="I77" i="107" s="1"/>
  <c r="H175" i="107" s="1"/>
  <c r="G69" i="107" a="1"/>
  <c r="G69" i="107" s="1"/>
  <c r="I69" i="107" s="1" a="1"/>
  <c r="I69" i="107" s="1"/>
  <c r="H167" i="107" s="1"/>
  <c r="G62" i="107" a="1"/>
  <c r="G62" i="107" s="1"/>
  <c r="I62" i="107" s="1" a="1"/>
  <c r="I62" i="107" s="1"/>
  <c r="H160" i="107" s="1"/>
  <c r="J136" i="107" a="1"/>
  <c r="J136" i="107" s="1"/>
  <c r="K34" i="104"/>
  <c r="Q34" i="104" s="1" a="1"/>
  <c r="Q34" i="104" s="1"/>
  <c r="J34" i="104"/>
  <c r="P34" i="104" s="1" a="1"/>
  <c r="P34" i="104" s="1"/>
  <c r="I34" i="104"/>
  <c r="O34" i="104" s="1" a="1"/>
  <c r="O34" i="104" s="1"/>
  <c r="H34" i="104"/>
  <c r="G34" i="104"/>
  <c r="AE246" i="117" a="1"/>
  <c r="AE246" i="117" s="1"/>
  <c r="G29" i="89"/>
  <c r="O165" i="90"/>
  <c r="AL221" i="117" a="1"/>
  <c r="AL221" i="117" s="1"/>
  <c r="H98" i="81"/>
  <c r="H104" i="80"/>
  <c r="AA246" i="117" a="1"/>
  <c r="AA246" i="117" s="1"/>
  <c r="K35" i="104"/>
  <c r="J35" i="104"/>
  <c r="H35" i="104"/>
  <c r="I35" i="104"/>
  <c r="G35" i="104"/>
  <c r="O35" i="104" s="1" a="1"/>
  <c r="O35" i="104" s="1"/>
  <c r="AA239" i="117" a="1"/>
  <c r="AA239" i="117" s="1"/>
  <c r="F151" i="80" a="1"/>
  <c r="F25" i="85"/>
  <c r="J119" i="107" a="1"/>
  <c r="J119" i="107" s="1"/>
  <c r="F156" i="80" a="1"/>
  <c r="F235" i="81" a="1"/>
  <c r="F235" i="81" s="1"/>
  <c r="F155" i="80" a="1"/>
  <c r="F237" i="81" a="1"/>
  <c r="F237" i="81" s="1"/>
  <c r="F238" i="81" a="1"/>
  <c r="F238" i="81" s="1"/>
  <c r="F157" i="80" a="1"/>
  <c r="F236" i="81" a="1"/>
  <c r="F236" i="81" s="1"/>
  <c r="F200" i="80" a="1"/>
  <c r="E29" i="89"/>
  <c r="M170" i="90" s="1"/>
  <c r="M165" i="90"/>
  <c r="S242" i="117" a="1"/>
  <c r="S242" i="117" s="1"/>
  <c r="S246" i="117" a="1"/>
  <c r="S246" i="117" s="1"/>
  <c r="J126" i="107" a="1"/>
  <c r="J126" i="107" s="1"/>
  <c r="AE241" i="117" a="1"/>
  <c r="AE241" i="117" s="1"/>
  <c r="Z221" i="117" a="1"/>
  <c r="Z221" i="117" s="1"/>
  <c r="E104" i="80"/>
  <c r="E98" i="81"/>
  <c r="R39" i="90"/>
  <c r="M50" i="90" s="1" a="1"/>
  <c r="M50" i="90" s="1"/>
  <c r="T39" i="80"/>
  <c r="O50" i="80" s="1" a="1"/>
  <c r="O50" i="80" s="1"/>
  <c r="N88" i="81" s="1"/>
  <c r="AE242" i="117" a="1"/>
  <c r="AE242" i="117" s="1"/>
  <c r="F242" i="117" s="1" a="1"/>
  <c r="F242" i="117" s="1"/>
  <c r="F29" i="89"/>
  <c r="N165" i="90"/>
  <c r="O221" i="117" a="1"/>
  <c r="O221" i="117" s="1"/>
  <c r="G19" i="90"/>
  <c r="G24" i="90" s="1" a="1"/>
  <c r="G24" i="90" s="1"/>
  <c r="G80" i="90" s="1" a="1"/>
  <c r="G80" i="90" s="1"/>
  <c r="G115" i="90" s="1" a="1"/>
  <c r="G115" i="90" s="1"/>
  <c r="G132" i="90" s="1" a="1"/>
  <c r="G132" i="90" s="1"/>
  <c r="G180" i="90" s="1" a="1"/>
  <c r="G180" i="90" s="1"/>
  <c r="G19" i="80"/>
  <c r="G24" i="80" s="1" a="1"/>
  <c r="G24" i="80" s="1"/>
  <c r="N19" i="90"/>
  <c r="N24" i="90" s="1" a="1"/>
  <c r="N24" i="90" s="1"/>
  <c r="P19" i="80"/>
  <c r="P24" i="80" s="1" a="1"/>
  <c r="P24" i="80" s="1"/>
  <c r="P79" i="80" s="1" a="1"/>
  <c r="P79" i="80" s="1"/>
  <c r="P114" i="80" s="1" a="1"/>
  <c r="P114" i="80" s="1"/>
  <c r="P133" i="80" s="1" a="1"/>
  <c r="P133" i="80" s="1"/>
  <c r="J63" i="117" a="1"/>
  <c r="J63" i="117" s="1"/>
  <c r="E73" i="117" s="1"/>
  <c r="E77" i="84"/>
  <c r="P292" i="80"/>
  <c r="P175" i="80"/>
  <c r="E292" i="80"/>
  <c r="E175" i="80"/>
  <c r="P107" i="84"/>
  <c r="P53" i="84"/>
  <c r="E41" i="84"/>
  <c r="E41" i="82"/>
  <c r="E20" i="82"/>
  <c r="E244" i="81"/>
  <c r="O232" i="81"/>
  <c r="E107" i="84"/>
  <c r="E53" i="84"/>
  <c r="E239" i="80"/>
  <c r="E128" i="84"/>
  <c r="P239" i="80"/>
  <c r="E65" i="84"/>
  <c r="P164" i="80"/>
  <c r="D87" i="79"/>
  <c r="P140" i="84"/>
  <c r="P41" i="84"/>
  <c r="P41" i="82"/>
  <c r="P20" i="82"/>
  <c r="E279" i="81"/>
  <c r="P153" i="80"/>
  <c r="O244" i="81"/>
  <c r="E153" i="80"/>
  <c r="O279" i="81"/>
  <c r="E164" i="80"/>
  <c r="E140" i="84"/>
  <c r="P77" i="84"/>
  <c r="D86" i="79"/>
  <c r="D85" i="79"/>
  <c r="E232" i="81"/>
  <c r="S237" i="117" a="1"/>
  <c r="S237" i="117" s="1"/>
  <c r="G98" i="81"/>
  <c r="G104" i="80"/>
  <c r="G285" i="80"/>
  <c r="Q208" i="81"/>
  <c r="G208" i="81"/>
  <c r="R237" i="81" a="1"/>
  <c r="R237" i="81" s="1"/>
  <c r="R235" i="81" a="1"/>
  <c r="R235" i="81" s="1"/>
  <c r="R236" i="81" a="1"/>
  <c r="R236" i="81" s="1"/>
  <c r="R238" i="81" a="1"/>
  <c r="R238" i="81" s="1"/>
  <c r="Q28" i="103" a="1"/>
  <c r="Q28" i="103" s="1"/>
  <c r="T236" i="81" a="1"/>
  <c r="T236" i="81" s="1"/>
  <c r="T235" i="81" a="1"/>
  <c r="T235" i="81" s="1"/>
  <c r="T237" i="81" a="1"/>
  <c r="T237" i="81" s="1"/>
  <c r="T238" i="81" a="1"/>
  <c r="T238" i="81" s="1"/>
  <c r="G38" i="104"/>
  <c r="K38" i="104"/>
  <c r="I38" i="104"/>
  <c r="J38" i="104"/>
  <c r="H38" i="104"/>
  <c r="E19" i="81"/>
  <c r="E29" i="81" s="1" a="1"/>
  <c r="E29" i="81" s="1"/>
  <c r="E99" i="80"/>
  <c r="Q151" i="80" a="1"/>
  <c r="Q25" i="85"/>
  <c r="D111" i="79"/>
  <c r="E81" i="84"/>
  <c r="P296" i="80"/>
  <c r="P111" i="84"/>
  <c r="O248" i="81"/>
  <c r="E296" i="80"/>
  <c r="E156" i="80"/>
  <c r="P45" i="84"/>
  <c r="E283" i="81"/>
  <c r="E167" i="80"/>
  <c r="E45" i="82"/>
  <c r="E24" i="82"/>
  <c r="E57" i="84"/>
  <c r="E111" i="84"/>
  <c r="E236" i="81"/>
  <c r="P167" i="80"/>
  <c r="E248" i="81"/>
  <c r="E243" i="80"/>
  <c r="P243" i="80"/>
  <c r="P178" i="80"/>
  <c r="E178" i="80"/>
  <c r="P144" i="84"/>
  <c r="E132" i="84"/>
  <c r="E69" i="84"/>
  <c r="P45" i="82"/>
  <c r="P24" i="82"/>
  <c r="P57" i="84"/>
  <c r="E45" i="84"/>
  <c r="O236" i="81"/>
  <c r="P156" i="80"/>
  <c r="O283" i="81"/>
  <c r="E144" i="84"/>
  <c r="P81" i="84"/>
  <c r="G99" i="80"/>
  <c r="G19" i="81"/>
  <c r="G29" i="81" s="1" a="1"/>
  <c r="G29" i="81" s="1"/>
  <c r="AE245" i="117" a="1"/>
  <c r="AE245" i="117" s="1"/>
  <c r="T233" i="81" a="1"/>
  <c r="T233" i="81" s="1"/>
  <c r="T234" i="81" a="1"/>
  <c r="T234" i="81" s="1"/>
  <c r="T232" i="81" a="1"/>
  <c r="T232" i="81" s="1"/>
  <c r="T231" i="81" a="1"/>
  <c r="T231" i="81" s="1"/>
  <c r="D98" i="81"/>
  <c r="D104" i="80"/>
  <c r="G275" i="80"/>
  <c r="G171" i="81"/>
  <c r="J38" i="103" a="1"/>
  <c r="J38" i="103" s="1"/>
  <c r="P104" i="80"/>
  <c r="O98" i="81"/>
  <c r="J117" i="107" a="1"/>
  <c r="J117" i="107" s="1"/>
  <c r="J144" i="107" a="1"/>
  <c r="J144" i="107" s="1"/>
  <c r="K36" i="104"/>
  <c r="I36" i="104"/>
  <c r="G36" i="104"/>
  <c r="J36" i="104"/>
  <c r="H36" i="104"/>
  <c r="V12" i="91"/>
  <c r="V15" i="91"/>
  <c r="I39" i="90"/>
  <c r="D50" i="90" s="1" a="1"/>
  <c r="D50" i="90" s="1"/>
  <c r="I39" i="80"/>
  <c r="D50" i="80" s="1" a="1"/>
  <c r="D50" i="80" s="1"/>
  <c r="D88" i="81" s="1"/>
  <c r="S79" i="80" a="1"/>
  <c r="S79" i="80" s="1"/>
  <c r="S114" i="80" s="1" a="1"/>
  <c r="S114" i="80" s="1"/>
  <c r="S133" i="80" s="1" a="1"/>
  <c r="S133" i="80" s="1"/>
  <c r="F19" i="80"/>
  <c r="F24" i="80" s="1" a="1"/>
  <c r="F24" i="80" s="1"/>
  <c r="F19" i="90"/>
  <c r="F24" i="90" s="1" a="1"/>
  <c r="F24" i="90" s="1"/>
  <c r="F80" i="90" s="1" a="1"/>
  <c r="F80" i="90" s="1"/>
  <c r="F115" i="90" s="1" a="1"/>
  <c r="F115" i="90" s="1"/>
  <c r="F132" i="90" s="1" a="1"/>
  <c r="F132" i="90" s="1"/>
  <c r="AA242" i="117" a="1"/>
  <c r="AA242" i="117" s="1"/>
  <c r="E67" i="84"/>
  <c r="P199" i="80"/>
  <c r="E199" i="80"/>
  <c r="J134" i="107" a="1"/>
  <c r="J134" i="107" s="1"/>
  <c r="AE243" i="117" a="1"/>
  <c r="AE243" i="117" s="1"/>
  <c r="H29" i="79"/>
  <c r="R285" i="80" s="1"/>
  <c r="Q171" i="81"/>
  <c r="R275" i="80"/>
  <c r="O50" i="92" a="1"/>
  <c r="S238" i="117" a="1"/>
  <c r="S238" i="117" s="1"/>
  <c r="K37" i="103" a="1"/>
  <c r="K37" i="103" s="1"/>
  <c r="Q37" i="103" s="1" a="1"/>
  <c r="Q37" i="103" s="1"/>
  <c r="F99" i="80"/>
  <c r="F19" i="81"/>
  <c r="F29" i="81" s="1" a="1"/>
  <c r="F29" i="81" s="1"/>
  <c r="J238" i="81" a="1"/>
  <c r="J238" i="81" s="1"/>
  <c r="J237" i="81" a="1"/>
  <c r="J237" i="81" s="1"/>
  <c r="J236" i="81" a="1"/>
  <c r="J236" i="81" s="1"/>
  <c r="J235" i="81" a="1"/>
  <c r="J235" i="81" s="1"/>
  <c r="R19" i="81"/>
  <c r="R29" i="81" s="1" a="1"/>
  <c r="R29" i="81" s="1"/>
  <c r="S99" i="80"/>
  <c r="W239" i="117" a="1"/>
  <c r="W239" i="117" s="1"/>
  <c r="E245" i="81"/>
  <c r="E154" i="80"/>
  <c r="E129" i="84"/>
  <c r="P176" i="80"/>
  <c r="P240" i="80"/>
  <c r="P165" i="80"/>
  <c r="E165" i="80"/>
  <c r="P78" i="84"/>
  <c r="E66" i="84"/>
  <c r="E240" i="80"/>
  <c r="D91" i="79"/>
  <c r="P141" i="84"/>
  <c r="O233" i="81"/>
  <c r="P293" i="80"/>
  <c r="E293" i="80"/>
  <c r="P42" i="84"/>
  <c r="P42" i="82"/>
  <c r="P21" i="82"/>
  <c r="E280" i="81"/>
  <c r="P154" i="80"/>
  <c r="E141" i="84"/>
  <c r="O280" i="81"/>
  <c r="E78" i="84"/>
  <c r="E108" i="84"/>
  <c r="E54" i="84"/>
  <c r="E176" i="80"/>
  <c r="P108" i="84"/>
  <c r="E42" i="82"/>
  <c r="E233" i="81"/>
  <c r="E42" i="84"/>
  <c r="E21" i="82"/>
  <c r="O245" i="81"/>
  <c r="P54" i="84"/>
  <c r="I25" i="103" a="1"/>
  <c r="I25" i="103" s="1"/>
  <c r="J122" i="107" a="1"/>
  <c r="J122" i="107" s="1"/>
  <c r="S104" i="80"/>
  <c r="R98" i="81"/>
  <c r="G38" i="103" a="1"/>
  <c r="G38" i="103" s="1"/>
  <c r="N38" i="103" s="1" a="1"/>
  <c r="N38" i="103" s="1"/>
  <c r="I27" i="104"/>
  <c r="G27" i="104"/>
  <c r="N27" i="104" s="1" a="1"/>
  <c r="N27" i="104" s="1"/>
  <c r="K27" i="104"/>
  <c r="J27" i="104"/>
  <c r="H27" i="104"/>
  <c r="E208" i="81"/>
  <c r="E285" i="80"/>
  <c r="O208" i="81"/>
  <c r="V221" i="117" a="1"/>
  <c r="V221" i="117" s="1"/>
  <c r="N19" i="81"/>
  <c r="N29" i="81" s="1" a="1"/>
  <c r="N29" i="81" s="1"/>
  <c r="O99" i="80"/>
  <c r="D81" i="79"/>
  <c r="G79" i="80" a="1"/>
  <c r="G79" i="80" s="1"/>
  <c r="P80" i="90" a="1"/>
  <c r="P80" i="90" s="1"/>
  <c r="P115" i="90" s="1" a="1"/>
  <c r="P115" i="90" s="1"/>
  <c r="P132" i="90" s="1" a="1"/>
  <c r="P132" i="90" s="1"/>
  <c r="E19" i="90"/>
  <c r="E24" i="90" s="1" a="1"/>
  <c r="E24" i="90" s="1"/>
  <c r="E80" i="90" s="1" a="1"/>
  <c r="E80" i="90" s="1"/>
  <c r="E115" i="90" s="1" a="1"/>
  <c r="E115" i="90" s="1"/>
  <c r="E132" i="90" s="1" a="1"/>
  <c r="E132" i="90" s="1"/>
  <c r="E180" i="90" s="1" a="1"/>
  <c r="E180" i="90" s="1"/>
  <c r="E19" i="80"/>
  <c r="E24" i="80" s="1" a="1"/>
  <c r="E24" i="80" s="1"/>
  <c r="E79" i="80" s="1" a="1"/>
  <c r="E79" i="80" s="1"/>
  <c r="E60" i="81" s="1"/>
  <c r="AC221" i="117" a="1"/>
  <c r="O19" i="81"/>
  <c r="O29" i="81" s="1" a="1"/>
  <c r="O29" i="81" s="1"/>
  <c r="P99" i="80"/>
  <c r="D80" i="79"/>
  <c r="H80" i="90" a="1"/>
  <c r="H80" i="90" s="1"/>
  <c r="H115" i="90" s="1" a="1"/>
  <c r="H115" i="90" s="1"/>
  <c r="H132" i="90" s="1" a="1"/>
  <c r="H132" i="90" s="1"/>
  <c r="O80" i="90" a="1"/>
  <c r="O80" i="90" s="1"/>
  <c r="O115" i="90" s="1" a="1"/>
  <c r="O115" i="90" s="1"/>
  <c r="O132" i="90" s="1" a="1"/>
  <c r="O132" i="90" s="1"/>
  <c r="P27" i="103" a="1"/>
  <c r="P27" i="103" s="1"/>
  <c r="G44" i="117" a="1"/>
  <c r="G44" i="117" s="1"/>
  <c r="G65" i="117" a="1"/>
  <c r="G65" i="117" s="1"/>
  <c r="J84" i="117" a="1"/>
  <c r="J84" i="117" s="1"/>
  <c r="G64" i="117" a="1"/>
  <c r="G64" i="117" s="1"/>
  <c r="G46" i="117" a="1"/>
  <c r="G46" i="117" s="1"/>
  <c r="G81" i="117" a="1"/>
  <c r="G81" i="117" s="1"/>
  <c r="W238" i="117" a="1"/>
  <c r="W238" i="117" s="1"/>
  <c r="G25" i="103" a="1"/>
  <c r="G25" i="103" s="1"/>
  <c r="Q25" i="103" s="1" a="1"/>
  <c r="Q25" i="103" s="1"/>
  <c r="K25" i="103" a="1"/>
  <c r="K25" i="103" s="1"/>
  <c r="Q238" i="81" a="1"/>
  <c r="Q238" i="81" s="1"/>
  <c r="Q235" i="81" a="1"/>
  <c r="Q235" i="81" s="1"/>
  <c r="Q236" i="81" a="1"/>
  <c r="Q236" i="81" s="1"/>
  <c r="Q237" i="81" a="1"/>
  <c r="Q237" i="81" s="1"/>
  <c r="J185" i="107" a="1"/>
  <c r="J185" i="107" s="1"/>
  <c r="J167" i="107" a="1"/>
  <c r="J167" i="107" s="1"/>
  <c r="J120" i="107" a="1"/>
  <c r="J120" i="107" s="1"/>
  <c r="H231" i="81" a="1"/>
  <c r="H231" i="81" s="1"/>
  <c r="H232" i="81" a="1"/>
  <c r="H232" i="81" s="1"/>
  <c r="H233" i="81" a="1"/>
  <c r="H233" i="81" s="1"/>
  <c r="H234" i="81" a="1"/>
  <c r="H234" i="81" s="1"/>
  <c r="F153" i="80" a="1"/>
  <c r="F152" i="80" a="1"/>
  <c r="F232" i="81" a="1"/>
  <c r="F232" i="81" s="1"/>
  <c r="F231" i="81" a="1"/>
  <c r="F231" i="81" s="1"/>
  <c r="F199" i="80" a="1"/>
  <c r="F234" i="81" a="1"/>
  <c r="F234" i="81" s="1"/>
  <c r="F233" i="81" a="1"/>
  <c r="F233" i="81" s="1"/>
  <c r="F154" i="80" a="1"/>
  <c r="F208" i="81"/>
  <c r="F285" i="80"/>
  <c r="D275" i="80"/>
  <c r="D171" i="81"/>
  <c r="R221" i="117" a="1"/>
  <c r="R221" i="117" s="1"/>
  <c r="Q221" i="117" a="1"/>
  <c r="D19" i="93"/>
  <c r="F19" i="93" s="1" a="1"/>
  <c r="F19" i="93" s="1"/>
  <c r="F24" i="93" a="1"/>
  <c r="F24" i="93" s="1"/>
  <c r="F36" i="93" a="1"/>
  <c r="F36" i="93" s="1"/>
  <c r="F22" i="93" a="1"/>
  <c r="F22" i="93" s="1"/>
  <c r="F34" i="93" a="1"/>
  <c r="F34" i="93" s="1"/>
  <c r="F20" i="93" a="1"/>
  <c r="F20" i="93" s="1"/>
  <c r="F32" i="93" a="1"/>
  <c r="F32" i="93" s="1"/>
  <c r="F29" i="93" a="1"/>
  <c r="F29" i="93" s="1"/>
  <c r="F28" i="93" a="1"/>
  <c r="F28" i="93" s="1"/>
  <c r="F26" i="93" a="1"/>
  <c r="F26" i="93" s="1"/>
  <c r="F33" i="93" a="1"/>
  <c r="F33" i="93" s="1"/>
  <c r="F31" i="93" a="1"/>
  <c r="F31" i="93" s="1"/>
  <c r="F30" i="93" a="1"/>
  <c r="F30" i="93" s="1"/>
  <c r="F27" i="93" a="1"/>
  <c r="F27" i="93" s="1"/>
  <c r="F25" i="93" a="1"/>
  <c r="F25" i="93" s="1"/>
  <c r="F23" i="93" a="1"/>
  <c r="F23" i="93" s="1"/>
  <c r="F21" i="93" a="1"/>
  <c r="F21" i="93" s="1"/>
  <c r="F37" i="93" a="1"/>
  <c r="F37" i="93" s="1"/>
  <c r="F35" i="93" a="1"/>
  <c r="F35" i="93" s="1"/>
  <c r="P19" i="81"/>
  <c r="P29" i="81" s="1" a="1"/>
  <c r="P29" i="81" s="1"/>
  <c r="Q99" i="80"/>
  <c r="O27" i="103" a="1"/>
  <c r="O27" i="103" s="1"/>
  <c r="J47" i="117" a="1"/>
  <c r="J47" i="117" s="1"/>
  <c r="G69" i="117" a="1"/>
  <c r="G69" i="117" s="1"/>
  <c r="G68" i="117" a="1"/>
  <c r="G68" i="117" s="1"/>
  <c r="AA240" i="117" a="1"/>
  <c r="AA240" i="117" s="1"/>
  <c r="W245" i="117" a="1"/>
  <c r="W245" i="117" s="1"/>
  <c r="F245" i="117" s="1" a="1"/>
  <c r="F245" i="117" s="1"/>
  <c r="K38" i="103" a="1"/>
  <c r="K38" i="103" s="1"/>
  <c r="I37" i="103" a="1"/>
  <c r="I37" i="103" s="1"/>
  <c r="O37" i="103" s="1" a="1"/>
  <c r="O37" i="103" s="1"/>
  <c r="J25" i="103" a="1"/>
  <c r="J25" i="103" s="1"/>
  <c r="J165" i="107" a="1"/>
  <c r="J165" i="107" s="1"/>
  <c r="J160" i="107" a="1"/>
  <c r="J160" i="107" s="1"/>
  <c r="J179" i="107" a="1"/>
  <c r="J179" i="107" s="1"/>
  <c r="AE238" i="117" a="1"/>
  <c r="AE238" i="117" s="1"/>
  <c r="Q231" i="81" a="1"/>
  <c r="Q231" i="81" s="1"/>
  <c r="Q233" i="81" a="1"/>
  <c r="Q233" i="81" s="1"/>
  <c r="Q234" i="81" a="1"/>
  <c r="Q234" i="81" s="1"/>
  <c r="Q232" i="81" a="1"/>
  <c r="Q232" i="81" s="1"/>
  <c r="AE237" i="117" a="1"/>
  <c r="AE237" i="117" s="1"/>
  <c r="Q104" i="80"/>
  <c r="P98" i="81"/>
  <c r="H29" i="89"/>
  <c r="P165" i="90"/>
  <c r="I29" i="89"/>
  <c r="Q165" i="90"/>
  <c r="H79" i="80" a="1"/>
  <c r="H79" i="80" s="1"/>
  <c r="H60" i="81" s="1"/>
  <c r="O19" i="80"/>
  <c r="O24" i="80" s="1" a="1"/>
  <c r="O24" i="80" s="1"/>
  <c r="O79" i="80" s="1" a="1"/>
  <c r="O79" i="80" s="1"/>
  <c r="O114" i="80" s="1" a="1"/>
  <c r="O114" i="80" s="1"/>
  <c r="N50" i="81" s="1"/>
  <c r="M19" i="90"/>
  <c r="M24" i="90" s="1" a="1"/>
  <c r="M24" i="90" s="1"/>
  <c r="J69" i="117" a="1"/>
  <c r="J69" i="117" s="1"/>
  <c r="G50" i="117" a="1"/>
  <c r="G50" i="117" s="1"/>
  <c r="AA241" i="117" a="1"/>
  <c r="AA241" i="117" s="1"/>
  <c r="D56" i="114"/>
  <c r="D136" i="117" s="1"/>
  <c r="F136" i="117" s="1" a="1"/>
  <c r="F136" i="117" s="1"/>
  <c r="G136" i="117" s="1" a="1"/>
  <c r="G136" i="117" s="1"/>
  <c r="D139" i="117"/>
  <c r="F139" i="117" s="1" a="1"/>
  <c r="F139" i="117" s="1"/>
  <c r="D138" i="117"/>
  <c r="F138" i="117" s="1" a="1"/>
  <c r="F138" i="117" s="1"/>
  <c r="D137" i="117"/>
  <c r="F137" i="117" s="1" a="1"/>
  <c r="F137" i="117" s="1"/>
  <c r="G137" i="117" s="1" a="1"/>
  <c r="G137" i="117" s="1"/>
  <c r="H236" i="81" a="1"/>
  <c r="H236" i="81" s="1"/>
  <c r="H237" i="81" a="1"/>
  <c r="H237" i="81" s="1"/>
  <c r="H238" i="81" a="1"/>
  <c r="H238" i="81" s="1"/>
  <c r="H235" i="81" a="1"/>
  <c r="H235" i="81" s="1"/>
  <c r="J118" i="107" a="1"/>
  <c r="J118" i="107" s="1"/>
  <c r="F98" i="81"/>
  <c r="F104" i="80"/>
  <c r="F114" i="80" s="1" a="1"/>
  <c r="F114" i="80" s="1"/>
  <c r="I29" i="79"/>
  <c r="R203" i="81"/>
  <c r="S275" i="80"/>
  <c r="AH221" i="117" a="1"/>
  <c r="AH221" i="117" s="1"/>
  <c r="P221" i="117" a="1"/>
  <c r="P221" i="117" s="1"/>
  <c r="P19" i="90"/>
  <c r="P24" i="90" s="1" a="1"/>
  <c r="P24" i="90" s="1"/>
  <c r="R19" i="80"/>
  <c r="R24" i="80" s="1" a="1"/>
  <c r="R24" i="80" s="1"/>
  <c r="R79" i="80" s="1" a="1"/>
  <c r="R79" i="80" s="1"/>
  <c r="R114" i="80" s="1" a="1"/>
  <c r="R114" i="80" s="1"/>
  <c r="R133" i="80" s="1" a="1"/>
  <c r="R133" i="80" s="1"/>
  <c r="G114" i="80" a="1"/>
  <c r="G114" i="80" s="1"/>
  <c r="G60" i="81"/>
  <c r="O133" i="80" a="1"/>
  <c r="O133" i="80" s="1"/>
  <c r="J29" i="117" a="1"/>
  <c r="J29" i="117" s="1"/>
  <c r="Q33" i="104" a="1"/>
  <c r="Q33" i="104" s="1"/>
  <c r="N33" i="104" a="1"/>
  <c r="N33" i="104" s="1"/>
  <c r="P28" i="104" a="1"/>
  <c r="P28" i="104" s="1"/>
  <c r="O26" i="104" a="1"/>
  <c r="O26" i="104" s="1"/>
  <c r="N26" i="104" a="1"/>
  <c r="N26" i="104" s="1"/>
  <c r="Q26" i="104" a="1"/>
  <c r="Q26" i="104" s="1"/>
  <c r="P26" i="104" a="1"/>
  <c r="P26" i="104" s="1"/>
  <c r="O38" i="103" a="1"/>
  <c r="O38" i="103" s="1"/>
  <c r="Q33" i="103" a="1"/>
  <c r="Q33" i="103" s="1"/>
  <c r="E52" i="103" s="1"/>
  <c r="N33" i="103" a="1"/>
  <c r="N33" i="103" s="1"/>
  <c r="E49" i="103" s="1"/>
  <c r="P33" i="103" a="1"/>
  <c r="P33" i="103" s="1"/>
  <c r="E51" i="103" s="1"/>
  <c r="N32" i="103" a="1"/>
  <c r="N32" i="103" s="1"/>
  <c r="O32" i="103" a="1"/>
  <c r="O32" i="103" s="1"/>
  <c r="P32" i="103" a="1"/>
  <c r="P32" i="103" s="1"/>
  <c r="E166" i="117"/>
  <c r="E473" i="117"/>
  <c r="M30" i="117" a="1"/>
  <c r="M30" i="117" s="1"/>
  <c r="H374" i="117" a="1"/>
  <c r="H374" i="117" s="1"/>
  <c r="M32" i="117" a="1"/>
  <c r="M32" i="117" s="1"/>
  <c r="J28" i="117" a="1"/>
  <c r="J28" i="117" s="1"/>
  <c r="F121" i="117"/>
  <c r="G121" i="117" s="1" a="1"/>
  <c r="G121" i="117" s="1"/>
  <c r="H373" i="117" a="1"/>
  <c r="H373" i="117" s="1"/>
  <c r="F239" i="117" a="1"/>
  <c r="F239" i="117" s="1"/>
  <c r="J31" i="117" a="1"/>
  <c r="J31" i="117" s="1"/>
  <c r="H372" i="117" a="1"/>
  <c r="H372" i="117" s="1"/>
  <c r="E472" i="117"/>
  <c r="E483" i="117"/>
  <c r="E639" i="117"/>
  <c r="F126" i="117"/>
  <c r="I126" i="117" s="1" a="1"/>
  <c r="I126" i="117" s="1"/>
  <c r="F123" i="117"/>
  <c r="G123" i="117" s="1" a="1"/>
  <c r="G123" i="117" s="1"/>
  <c r="F127" i="117"/>
  <c r="I127" i="117" s="1" a="1"/>
  <c r="I127" i="117" s="1"/>
  <c r="E411" i="117"/>
  <c r="F241" i="117" a="1"/>
  <c r="F241" i="117" s="1"/>
  <c r="E502" i="117"/>
  <c r="F124" i="117"/>
  <c r="I124" i="117" s="1" a="1"/>
  <c r="I124" i="117" s="1"/>
  <c r="F122" i="117"/>
  <c r="I122" i="117" s="1" a="1"/>
  <c r="I122" i="117" s="1"/>
  <c r="F120" i="117"/>
  <c r="G120" i="117" s="1" a="1"/>
  <c r="G120" i="117" s="1"/>
  <c r="F128" i="117"/>
  <c r="G128" i="117" s="1" a="1"/>
  <c r="G128" i="117" s="1"/>
  <c r="F238" i="117" a="1"/>
  <c r="F238" i="117" s="1"/>
  <c r="E348" i="117"/>
  <c r="F125" i="117"/>
  <c r="G125" i="117" s="1" a="1"/>
  <c r="G125" i="117" s="1"/>
  <c r="F243" i="117" a="1"/>
  <c r="F243" i="117" s="1"/>
  <c r="E53" i="117"/>
  <c r="J437" i="117" a="1"/>
  <c r="J437" i="117" s="1"/>
  <c r="H437" i="117" a="1"/>
  <c r="H437" i="117" s="1"/>
  <c r="H456" i="117" a="1"/>
  <c r="H456" i="117" s="1"/>
  <c r="J456" i="117" a="1"/>
  <c r="J456" i="117" s="1"/>
  <c r="G79" i="117" a="1"/>
  <c r="G79" i="117" s="1"/>
  <c r="E90" i="117" s="1"/>
  <c r="J79" i="117" a="1"/>
  <c r="J79" i="117" s="1"/>
  <c r="E91" i="117" s="1"/>
  <c r="I271" i="117" a="1"/>
  <c r="I271" i="117" s="1"/>
  <c r="G271" i="117" a="1"/>
  <c r="G271" i="117" s="1"/>
  <c r="H457" i="117" a="1"/>
  <c r="H457" i="117" s="1"/>
  <c r="J457" i="117" a="1"/>
  <c r="J457" i="117" s="1"/>
  <c r="G277" i="117" a="1"/>
  <c r="G277" i="117" s="1"/>
  <c r="J25" i="117" a="1"/>
  <c r="J25" i="117" s="1"/>
  <c r="G274" i="117" a="1"/>
  <c r="G274" i="117" s="1"/>
  <c r="E54" i="117"/>
  <c r="F237" i="117" a="1"/>
  <c r="F237" i="117" s="1"/>
  <c r="J436" i="117" a="1"/>
  <c r="J436" i="117" s="1"/>
  <c r="H436" i="117" a="1"/>
  <c r="H436" i="117" s="1"/>
  <c r="J454" i="117" a="1"/>
  <c r="J454" i="117" s="1"/>
  <c r="H454" i="117" a="1"/>
  <c r="H454" i="117" s="1"/>
  <c r="E72" i="117"/>
  <c r="H376" i="117" a="1"/>
  <c r="H376" i="117" s="1"/>
  <c r="I281" i="117" a="1"/>
  <c r="I281" i="117" s="1"/>
  <c r="G281" i="117" a="1"/>
  <c r="G281" i="117" s="1"/>
  <c r="F240" i="117" a="1"/>
  <c r="F240" i="117" s="1"/>
  <c r="J367" i="117" a="1"/>
  <c r="J367" i="117" s="1"/>
  <c r="H367" i="117" a="1"/>
  <c r="H367" i="117" s="1"/>
  <c r="F119" i="117"/>
  <c r="G119" i="117" s="1" a="1"/>
  <c r="G119" i="117" s="1"/>
  <c r="M26" i="117" a="1"/>
  <c r="M26" i="117" s="1"/>
  <c r="J370" i="117" a="1"/>
  <c r="J370" i="117" s="1"/>
  <c r="G280" i="117" a="1"/>
  <c r="G280" i="117" s="1"/>
  <c r="I280" i="117" a="1"/>
  <c r="I280" i="117" s="1"/>
  <c r="J368" i="117" a="1"/>
  <c r="J368" i="117" s="1"/>
  <c r="H368" i="117" a="1"/>
  <c r="H368" i="117" s="1"/>
  <c r="G272" i="117" a="1"/>
  <c r="G272" i="117" s="1"/>
  <c r="E621" i="117"/>
  <c r="J371" i="117" a="1"/>
  <c r="J371" i="117" s="1"/>
  <c r="H371" i="117" a="1"/>
  <c r="H371" i="117" s="1"/>
  <c r="J375" i="117" a="1"/>
  <c r="J375" i="117" s="1"/>
  <c r="H375" i="117" a="1"/>
  <c r="H375" i="117" s="1"/>
  <c r="I278" i="117" a="1"/>
  <c r="I278" i="117" s="1"/>
  <c r="G278" i="117" a="1"/>
  <c r="G278" i="117" s="1"/>
  <c r="J455" i="117" a="1"/>
  <c r="J455" i="117" s="1"/>
  <c r="H455" i="117" a="1"/>
  <c r="H455" i="117" s="1"/>
  <c r="E21" i="110" a="1"/>
  <c r="E21" i="110" s="1"/>
  <c r="I40" i="107" a="1"/>
  <c r="I40" i="107" s="1"/>
  <c r="H135" i="107" s="1"/>
  <c r="I135" i="107" s="1"/>
  <c r="K135" i="107" s="1" a="1"/>
  <c r="K135" i="107" s="1"/>
  <c r="I25" i="107" a="1"/>
  <c r="I25" i="107" s="1"/>
  <c r="H120" i="107" s="1"/>
  <c r="I120" i="107" s="1"/>
  <c r="K120" i="107" s="1" a="1"/>
  <c r="K120" i="107" s="1"/>
  <c r="O21" i="110" a="1"/>
  <c r="O21" i="110" s="1"/>
  <c r="I78" i="107" a="1"/>
  <c r="I78" i="107" s="1"/>
  <c r="H176" i="107" s="1"/>
  <c r="I176" i="107" s="1"/>
  <c r="K176" i="107" s="1" a="1"/>
  <c r="K176" i="107" s="1"/>
  <c r="I178" i="107"/>
  <c r="K178" i="107" s="1" a="1"/>
  <c r="K178" i="107" s="1"/>
  <c r="I26" i="107" a="1"/>
  <c r="I26" i="107" s="1"/>
  <c r="H121" i="107" s="1"/>
  <c r="I121" i="107" s="1"/>
  <c r="K121" i="107" s="1" a="1"/>
  <c r="K121" i="107" s="1"/>
  <c r="I92" i="107" a="1"/>
  <c r="I92" i="107" s="1"/>
  <c r="H190" i="107" s="1"/>
  <c r="I185" i="107" s="1"/>
  <c r="K185" i="107" s="1" a="1"/>
  <c r="K185" i="107" s="1"/>
  <c r="I175" i="107"/>
  <c r="K175" i="107" s="1" a="1"/>
  <c r="K175" i="107" s="1"/>
  <c r="I29" i="107" a="1"/>
  <c r="I29" i="107" s="1"/>
  <c r="H124" i="107" s="1"/>
  <c r="I124" i="107" s="1"/>
  <c r="K124" i="107" s="1" a="1"/>
  <c r="K124" i="107" s="1"/>
  <c r="I71" i="107" a="1"/>
  <c r="I71" i="107" s="1"/>
  <c r="H169" i="107" s="1"/>
  <c r="I30" i="107" a="1"/>
  <c r="I30" i="107" s="1"/>
  <c r="H125" i="107" s="1"/>
  <c r="I125" i="107" s="1"/>
  <c r="K125" i="107" s="1" a="1"/>
  <c r="K125" i="107" s="1"/>
  <c r="I23" i="107" a="1"/>
  <c r="I23" i="107" s="1"/>
  <c r="H118" i="107" s="1"/>
  <c r="I48" i="107" a="1"/>
  <c r="I48" i="107" s="1"/>
  <c r="H143" i="107" s="1"/>
  <c r="I39" i="107" a="1"/>
  <c r="I39" i="107" s="1"/>
  <c r="H134" i="107" s="1"/>
  <c r="I134" i="107" s="1"/>
  <c r="K134" i="107" s="1" a="1"/>
  <c r="K134" i="107" s="1"/>
  <c r="I36" i="107" a="1"/>
  <c r="I36" i="107" s="1"/>
  <c r="H131" i="107" s="1"/>
  <c r="I37" i="107" a="1"/>
  <c r="I37" i="107" s="1"/>
  <c r="H132" i="107" s="1"/>
  <c r="I132" i="107" s="1"/>
  <c r="K132" i="107" s="1" a="1"/>
  <c r="K132" i="107" s="1"/>
  <c r="I86" i="107" a="1"/>
  <c r="I86" i="107" s="1"/>
  <c r="H184" i="107" s="1"/>
  <c r="I38" i="107" a="1"/>
  <c r="I38" i="107" s="1"/>
  <c r="H133" i="107" s="1"/>
  <c r="I133" i="107" s="1"/>
  <c r="K133" i="107" s="1" a="1"/>
  <c r="K133" i="107" s="1"/>
  <c r="I63" i="107" a="1"/>
  <c r="I63" i="107" s="1"/>
  <c r="H161" i="107" s="1"/>
  <c r="I161" i="107" s="1"/>
  <c r="K161" i="107" s="1" a="1"/>
  <c r="K161" i="107" s="1"/>
  <c r="I167" i="107"/>
  <c r="K167" i="107" s="1" a="1"/>
  <c r="K167" i="107" s="1"/>
  <c r="I22" i="107" a="1"/>
  <c r="I22" i="107" s="1"/>
  <c r="H117" i="107" s="1"/>
  <c r="I117" i="107" s="1"/>
  <c r="K117" i="107" s="1" a="1"/>
  <c r="K117" i="107" s="1"/>
  <c r="I41" i="107" a="1"/>
  <c r="I41" i="107" s="1"/>
  <c r="H136" i="107" s="1"/>
  <c r="I136" i="107" s="1"/>
  <c r="I52" i="107" a="1"/>
  <c r="I52" i="107" s="1"/>
  <c r="H147" i="107" s="1"/>
  <c r="I160" i="107"/>
  <c r="K160" i="107" s="1" a="1"/>
  <c r="K160" i="107" s="1"/>
  <c r="I34" i="107" a="1"/>
  <c r="I34" i="107" s="1"/>
  <c r="H129" i="107" s="1"/>
  <c r="I44" i="107" a="1"/>
  <c r="I44" i="107" s="1"/>
  <c r="H139" i="107" s="1"/>
  <c r="I53" i="107" a="1"/>
  <c r="I53" i="107" s="1"/>
  <c r="H148" i="107" s="1"/>
  <c r="I33" i="107" a="1"/>
  <c r="I33" i="107" s="1"/>
  <c r="H128" i="107" s="1"/>
  <c r="I24" i="107" a="1"/>
  <c r="I24" i="107" s="1"/>
  <c r="H119" i="107" s="1"/>
  <c r="I119" i="107" s="1"/>
  <c r="K119" i="107" s="1" a="1"/>
  <c r="K119" i="107" s="1"/>
  <c r="I28" i="107" a="1"/>
  <c r="I28" i="107" s="1"/>
  <c r="H123" i="107" s="1"/>
  <c r="I123" i="107" s="1"/>
  <c r="K123" i="107" s="1" a="1"/>
  <c r="K123" i="107" s="1"/>
  <c r="I27" i="107" a="1"/>
  <c r="I27" i="107" s="1"/>
  <c r="H122" i="107" s="1"/>
  <c r="I122" i="107" s="1"/>
  <c r="K122" i="107" s="1" a="1"/>
  <c r="K122" i="107" s="1"/>
  <c r="I45" i="107" a="1"/>
  <c r="I45" i="107" s="1"/>
  <c r="H140" i="107" s="1"/>
  <c r="I46" i="107" a="1"/>
  <c r="I46" i="107" s="1"/>
  <c r="H141" i="107" s="1"/>
  <c r="Q27" i="104" a="1"/>
  <c r="Q27" i="104" s="1"/>
  <c r="Q25" i="104" a="1"/>
  <c r="Q25" i="104" s="1"/>
  <c r="P40" i="104" a="1"/>
  <c r="P40" i="104" s="1"/>
  <c r="O40" i="104" a="1"/>
  <c r="O40" i="104" s="1"/>
  <c r="N40" i="104" a="1"/>
  <c r="N40" i="104" s="1"/>
  <c r="P29" i="104" a="1"/>
  <c r="P29" i="104" s="1"/>
  <c r="N34" i="104" a="1"/>
  <c r="N34" i="104" s="1"/>
  <c r="P39" i="104" a="1"/>
  <c r="P39" i="104" s="1"/>
  <c r="O39" i="104" a="1"/>
  <c r="O39" i="104" s="1"/>
  <c r="N39" i="104" a="1"/>
  <c r="N39" i="104" s="1"/>
  <c r="Q40" i="104" a="1"/>
  <c r="Q40" i="104" s="1"/>
  <c r="P35" i="104" a="1"/>
  <c r="P35" i="104" s="1"/>
  <c r="Q39" i="104" a="1"/>
  <c r="Q39" i="104" s="1"/>
  <c r="P32" i="104" a="1"/>
  <c r="P32" i="104" s="1"/>
  <c r="O32" i="104" a="1"/>
  <c r="O32" i="104" s="1"/>
  <c r="N32" i="104" a="1"/>
  <c r="N32" i="104" s="1"/>
  <c r="Q26" i="103" a="1"/>
  <c r="Q26" i="103" s="1"/>
  <c r="P26" i="103" a="1"/>
  <c r="P26" i="103" s="1"/>
  <c r="O26" i="103" a="1"/>
  <c r="O26" i="103" s="1"/>
  <c r="N26" i="103" a="1"/>
  <c r="N26" i="103" s="1"/>
  <c r="N35" i="103" a="1"/>
  <c r="N35" i="103" s="1"/>
  <c r="O35" i="103" a="1"/>
  <c r="O35" i="103" s="1"/>
  <c r="P35" i="103" a="1"/>
  <c r="P35" i="103" s="1"/>
  <c r="Q39" i="103" a="1"/>
  <c r="Q39" i="103" s="1"/>
  <c r="P39" i="103" a="1"/>
  <c r="P39" i="103" s="1"/>
  <c r="O39" i="103" a="1"/>
  <c r="O39" i="103" s="1"/>
  <c r="N39" i="103" a="1"/>
  <c r="N39" i="103" s="1"/>
  <c r="N36" i="103" a="1"/>
  <c r="N36" i="103" s="1"/>
  <c r="Q36" i="103" a="1"/>
  <c r="Q36" i="103" s="1"/>
  <c r="P36" i="103" a="1"/>
  <c r="P36" i="103" s="1"/>
  <c r="O36" i="103" a="1"/>
  <c r="O36" i="103" s="1"/>
  <c r="N25" i="103" a="1"/>
  <c r="N25" i="103" s="1"/>
  <c r="O25" i="103" a="1"/>
  <c r="O25" i="103" s="1"/>
  <c r="Q34" i="103" a="1"/>
  <c r="Q34" i="103" s="1"/>
  <c r="P34" i="103" a="1"/>
  <c r="P34" i="103" s="1"/>
  <c r="O34" i="103" a="1"/>
  <c r="O34" i="103" s="1"/>
  <c r="N34" i="103" a="1"/>
  <c r="N34" i="103" s="1"/>
  <c r="P25" i="103" a="1"/>
  <c r="P25" i="103" s="1"/>
  <c r="Q31" i="103" a="1"/>
  <c r="Q31" i="103" s="1"/>
  <c r="P31" i="103" a="1"/>
  <c r="P31" i="103" s="1"/>
  <c r="O31" i="103" a="1"/>
  <c r="O31" i="103" s="1"/>
  <c r="N31" i="103" a="1"/>
  <c r="N31" i="103" s="1"/>
  <c r="I19" i="85"/>
  <c r="M80" i="90" a="1"/>
  <c r="M80" i="90" s="1"/>
  <c r="M115" i="90" s="1" a="1"/>
  <c r="M115" i="90" s="1"/>
  <c r="M132" i="90" s="1" a="1"/>
  <c r="M132" i="90" s="1"/>
  <c r="M180" i="90" s="1" a="1"/>
  <c r="M180" i="90" s="1"/>
  <c r="K40" i="84"/>
  <c r="V40" i="84"/>
  <c r="V19" i="82"/>
  <c r="F68" i="13"/>
  <c r="F78" i="13" s="1"/>
  <c r="Q133" i="80" l="1" a="1"/>
  <c r="Q133" i="80" s="1"/>
  <c r="P50" i="81"/>
  <c r="P126" i="81" s="1" a="1"/>
  <c r="P126" i="81" s="1"/>
  <c r="F153" i="80"/>
  <c r="F175" i="80" s="1" a="1"/>
  <c r="F175" i="80" s="1"/>
  <c r="G175" i="80" a="1"/>
  <c r="G175" i="80" s="1"/>
  <c r="J175" i="80" a="1"/>
  <c r="J175" i="80" s="1"/>
  <c r="H175" i="80" a="1"/>
  <c r="H175" i="80" s="1"/>
  <c r="I175" i="80" a="1"/>
  <c r="I175" i="80" s="1"/>
  <c r="O65" i="81" a="1"/>
  <c r="O65" i="81" s="1"/>
  <c r="O103" i="81" s="1" a="1"/>
  <c r="O103" i="81" s="1"/>
  <c r="O146" i="81" s="1" a="1"/>
  <c r="O146" i="81" s="1"/>
  <c r="O176" i="81" s="1" a="1"/>
  <c r="O176" i="81" s="1"/>
  <c r="P19" i="85" s="1"/>
  <c r="R31" i="85" s="1" a="1"/>
  <c r="R31" i="85" s="1"/>
  <c r="O36" i="104" a="1"/>
  <c r="O36" i="104" s="1"/>
  <c r="E50" i="104" s="1"/>
  <c r="N36" i="104" a="1"/>
  <c r="N36" i="104" s="1"/>
  <c r="E49" i="104" s="1"/>
  <c r="P36" i="104" a="1"/>
  <c r="P36" i="104" s="1"/>
  <c r="E51" i="104" s="1"/>
  <c r="P170" i="90"/>
  <c r="G170" i="90"/>
  <c r="Q221" i="117"/>
  <c r="S221" i="117" s="1" a="1"/>
  <c r="S221" i="117" s="1"/>
  <c r="S226" i="117" a="1"/>
  <c r="S226" i="117" s="1"/>
  <c r="S228" i="117" a="1"/>
  <c r="S228" i="117" s="1"/>
  <c r="S230" i="117" a="1"/>
  <c r="S230" i="117" s="1"/>
  <c r="S223" i="117" a="1"/>
  <c r="S223" i="117" s="1"/>
  <c r="S225" i="117" a="1"/>
  <c r="S225" i="117" s="1"/>
  <c r="S229" i="117" a="1"/>
  <c r="S229" i="117" s="1"/>
  <c r="F229" i="117" s="1" a="1"/>
  <c r="F229" i="117" s="1"/>
  <c r="S222" i="117" a="1"/>
  <c r="S222" i="117" s="1"/>
  <c r="S224" i="117" a="1"/>
  <c r="S224" i="117" s="1"/>
  <c r="S227" i="117" a="1"/>
  <c r="S227" i="117" s="1"/>
  <c r="I179" i="107"/>
  <c r="K179" i="107" s="1" a="1"/>
  <c r="K179" i="107" s="1"/>
  <c r="E141" i="117"/>
  <c r="O38" i="104" a="1"/>
  <c r="O38" i="104" s="1"/>
  <c r="N38" i="104" a="1"/>
  <c r="N38" i="104" s="1"/>
  <c r="P38" i="104" a="1"/>
  <c r="P38" i="104" s="1"/>
  <c r="N35" i="104" a="1"/>
  <c r="N35" i="104" s="1"/>
  <c r="T206" i="80" a="1"/>
  <c r="T206" i="80" s="1"/>
  <c r="Q200" i="80"/>
  <c r="U206" i="80" a="1"/>
  <c r="U206" i="80" s="1"/>
  <c r="S206" i="80" a="1"/>
  <c r="S206" i="80" s="1"/>
  <c r="R206" i="80" a="1"/>
  <c r="R206" i="80" s="1"/>
  <c r="I273" i="117" a="1"/>
  <c r="I273" i="117" s="1"/>
  <c r="O50" i="81"/>
  <c r="O126" i="81" s="1" a="1"/>
  <c r="O126" i="81" s="1"/>
  <c r="S285" i="80"/>
  <c r="R208" i="81"/>
  <c r="N29" i="104" a="1"/>
  <c r="N29" i="104" s="1"/>
  <c r="I275" i="117" a="1"/>
  <c r="I275" i="117" s="1"/>
  <c r="O50" i="92"/>
  <c r="S51" i="92" a="1"/>
  <c r="S51" i="92" s="1"/>
  <c r="T51" i="92"/>
  <c r="V51" i="92" s="1" a="1"/>
  <c r="V51" i="92" s="1"/>
  <c r="S52" i="92" a="1"/>
  <c r="S52" i="92" s="1"/>
  <c r="R51" i="92" a="1"/>
  <c r="R51" i="92" s="1"/>
  <c r="R52" i="92" a="1"/>
  <c r="R52" i="92" s="1"/>
  <c r="T52" i="92"/>
  <c r="F157" i="80"/>
  <c r="F179" i="80" s="1" a="1"/>
  <c r="F179" i="80" s="1"/>
  <c r="G179" i="80" a="1"/>
  <c r="G179" i="80" s="1"/>
  <c r="I179" i="80" a="1"/>
  <c r="I179" i="80" s="1"/>
  <c r="J179" i="80" a="1"/>
  <c r="J179" i="80" s="1"/>
  <c r="H179" i="80" a="1"/>
  <c r="H179" i="80" s="1"/>
  <c r="Q35" i="104" a="1"/>
  <c r="Q35" i="104" s="1"/>
  <c r="P65" i="81" a="1"/>
  <c r="P65" i="81" s="1"/>
  <c r="P103" i="81" s="1" a="1"/>
  <c r="P103" i="81" s="1"/>
  <c r="P146" i="81" s="1" a="1"/>
  <c r="P146" i="81" s="1"/>
  <c r="P213" i="81" s="1" a="1"/>
  <c r="P213" i="81" s="1"/>
  <c r="R248" i="81" s="1" a="1"/>
  <c r="R248" i="81" s="1"/>
  <c r="F200" i="80"/>
  <c r="H206" i="80" a="1"/>
  <c r="H206" i="80" s="1"/>
  <c r="J206" i="80" a="1"/>
  <c r="J206" i="80" s="1"/>
  <c r="G206" i="80" a="1"/>
  <c r="G206" i="80" s="1"/>
  <c r="I206" i="80" a="1"/>
  <c r="I206" i="80" s="1"/>
  <c r="R50" i="81"/>
  <c r="R126" i="81" s="1" a="1"/>
  <c r="R126" i="81" s="1"/>
  <c r="I205" i="80" a="1"/>
  <c r="I205" i="80" s="1"/>
  <c r="H205" i="80" a="1"/>
  <c r="H205" i="80" s="1"/>
  <c r="F199" i="80"/>
  <c r="J205" i="80" a="1"/>
  <c r="J205" i="80" s="1"/>
  <c r="G205" i="80" a="1"/>
  <c r="G205" i="80" s="1"/>
  <c r="Q285" i="80"/>
  <c r="P208" i="81"/>
  <c r="F180" i="90" a="1"/>
  <c r="F180" i="90" s="1"/>
  <c r="E182" i="90" s="1"/>
  <c r="G184" i="90" s="1"/>
  <c r="N170" i="90"/>
  <c r="E170" i="90"/>
  <c r="P27" i="104" a="1"/>
  <c r="P27" i="104" s="1"/>
  <c r="G126" i="117" a="1"/>
  <c r="G126" i="117" s="1"/>
  <c r="O45" i="92" a="1"/>
  <c r="U173" i="80" a="1"/>
  <c r="U173" i="80" s="1"/>
  <c r="Q151" i="80"/>
  <c r="Q173" i="80" s="1" a="1"/>
  <c r="Q173" i="80" s="1"/>
  <c r="T173" i="80" a="1"/>
  <c r="T173" i="80" s="1"/>
  <c r="R173" i="80" a="1"/>
  <c r="R173" i="80" s="1"/>
  <c r="S173" i="80" a="1"/>
  <c r="S173" i="80" s="1"/>
  <c r="H114" i="80" a="1"/>
  <c r="H114" i="80" s="1"/>
  <c r="H50" i="81" s="1"/>
  <c r="F155" i="80"/>
  <c r="F177" i="80" s="1" a="1"/>
  <c r="F177" i="80" s="1"/>
  <c r="J177" i="80" a="1"/>
  <c r="J177" i="80" s="1"/>
  <c r="G177" i="80" a="1"/>
  <c r="G177" i="80" s="1"/>
  <c r="I177" i="80" a="1"/>
  <c r="I177" i="80" s="1"/>
  <c r="H177" i="80" a="1"/>
  <c r="H177" i="80" s="1"/>
  <c r="Q50" i="81"/>
  <c r="Q126" i="81" s="1" a="1"/>
  <c r="Q126" i="81" s="1"/>
  <c r="O27" i="104" a="1"/>
  <c r="O27" i="104" s="1"/>
  <c r="Q170" i="90"/>
  <c r="Q180" i="90" s="1" a="1"/>
  <c r="Q180" i="90" s="1"/>
  <c r="H170" i="90"/>
  <c r="H180" i="90" s="1" a="1"/>
  <c r="H180" i="90" s="1"/>
  <c r="H174" i="80" a="1"/>
  <c r="H174" i="80" s="1"/>
  <c r="F152" i="80"/>
  <c r="F174" i="80" s="1" a="1"/>
  <c r="F174" i="80" s="1"/>
  <c r="J174" i="80" a="1"/>
  <c r="J174" i="80" s="1"/>
  <c r="I174" i="80" a="1"/>
  <c r="I174" i="80" s="1"/>
  <c r="G174" i="80" a="1"/>
  <c r="G174" i="80" s="1"/>
  <c r="AC221" i="117"/>
  <c r="AE221" i="117" s="1" a="1"/>
  <c r="AE221" i="117" s="1"/>
  <c r="AE225" i="117" a="1"/>
  <c r="AE225" i="117" s="1"/>
  <c r="AE227" i="117" a="1"/>
  <c r="AE227" i="117" s="1"/>
  <c r="AE224" i="117" a="1"/>
  <c r="AE224" i="117" s="1"/>
  <c r="AE228" i="117" a="1"/>
  <c r="AE228" i="117" s="1"/>
  <c r="AE226" i="117" a="1"/>
  <c r="AE226" i="117" s="1"/>
  <c r="AE230" i="117" a="1"/>
  <c r="AE230" i="117" s="1"/>
  <c r="AE229" i="117" a="1"/>
  <c r="AE229" i="117" s="1"/>
  <c r="AE223" i="117" a="1"/>
  <c r="AE223" i="117" s="1"/>
  <c r="AE222" i="117" a="1"/>
  <c r="AE222" i="117" s="1"/>
  <c r="E114" i="80" a="1"/>
  <c r="E114" i="80" s="1"/>
  <c r="E133" i="80" s="1" a="1"/>
  <c r="E133" i="80" s="1"/>
  <c r="I139" i="117" a="1"/>
  <c r="I139" i="117" s="1"/>
  <c r="G139" i="117" a="1"/>
  <c r="G139" i="117" s="1"/>
  <c r="I60" i="107" a="1"/>
  <c r="I60" i="107" s="1"/>
  <c r="H158" i="107" s="1"/>
  <c r="I158" i="107" s="1"/>
  <c r="K158" i="107" s="1" a="1"/>
  <c r="K158" i="107" s="1"/>
  <c r="Q38" i="103" a="1"/>
  <c r="Q38" i="103" s="1"/>
  <c r="G178" i="80" a="1"/>
  <c r="G178" i="80" s="1"/>
  <c r="F156" i="80"/>
  <c r="F178" i="80" s="1" a="1"/>
  <c r="F178" i="80" s="1"/>
  <c r="I178" i="80" a="1"/>
  <c r="I178" i="80" s="1"/>
  <c r="H178" i="80" a="1"/>
  <c r="H178" i="80" s="1"/>
  <c r="J178" i="80" a="1"/>
  <c r="J178" i="80" s="1"/>
  <c r="N25" i="104" a="1"/>
  <c r="N25" i="104" s="1"/>
  <c r="E43" i="104" s="1"/>
  <c r="I118" i="107"/>
  <c r="K118" i="107" s="1" a="1"/>
  <c r="K118" i="107" s="1"/>
  <c r="E642" i="117"/>
  <c r="G279" i="117" a="1"/>
  <c r="G279" i="117" s="1"/>
  <c r="O170" i="90"/>
  <c r="O180" i="90" s="1" a="1"/>
  <c r="O180" i="90" s="1"/>
  <c r="N182" i="90" s="1"/>
  <c r="P184" i="90" s="1"/>
  <c r="F170" i="90"/>
  <c r="F270" i="117" a="1"/>
  <c r="F270" i="117" s="1"/>
  <c r="E270" i="117"/>
  <c r="G270" i="117" s="1" a="1"/>
  <c r="G270" i="117" s="1"/>
  <c r="E283" i="117" s="1"/>
  <c r="O25" i="104" a="1"/>
  <c r="O25" i="104" s="1"/>
  <c r="E44" i="104" s="1"/>
  <c r="F222" i="117" a="1"/>
  <c r="F222" i="117" s="1"/>
  <c r="I67" i="107" a="1"/>
  <c r="I67" i="107" s="1"/>
  <c r="H165" i="107" s="1"/>
  <c r="I165" i="107" s="1"/>
  <c r="K165" i="107" s="1" a="1"/>
  <c r="K165" i="107" s="1"/>
  <c r="E192" i="107" s="1"/>
  <c r="E588" i="117" s="1"/>
  <c r="U221" i="117"/>
  <c r="W221" i="117" s="1" a="1"/>
  <c r="W221" i="117" s="1"/>
  <c r="W230" i="117" a="1"/>
  <c r="W230" i="117" s="1"/>
  <c r="F230" i="117" s="1" a="1"/>
  <c r="F230" i="117" s="1"/>
  <c r="W223" i="117" a="1"/>
  <c r="W223" i="117" s="1"/>
  <c r="W225" i="117" a="1"/>
  <c r="W225" i="117" s="1"/>
  <c r="F225" i="117" s="1" a="1"/>
  <c r="F225" i="117" s="1"/>
  <c r="W229" i="117" a="1"/>
  <c r="W229" i="117" s="1"/>
  <c r="W222" i="117" a="1"/>
  <c r="W222" i="117" s="1"/>
  <c r="W228" i="117" a="1"/>
  <c r="W228" i="117" s="1"/>
  <c r="W227" i="117" a="1"/>
  <c r="W227" i="117" s="1"/>
  <c r="W226" i="117" a="1"/>
  <c r="W226" i="117" s="1"/>
  <c r="F226" i="117" s="1" a="1"/>
  <c r="F226" i="117" s="1"/>
  <c r="W224" i="117" a="1"/>
  <c r="W224" i="117" s="1"/>
  <c r="J173" i="80" a="1"/>
  <c r="J173" i="80" s="1"/>
  <c r="I173" i="80" a="1"/>
  <c r="I173" i="80" s="1"/>
  <c r="H173" i="80" a="1"/>
  <c r="H173" i="80" s="1"/>
  <c r="G173" i="80" a="1"/>
  <c r="G173" i="80" s="1"/>
  <c r="F151" i="80"/>
  <c r="F173" i="80" s="1" a="1"/>
  <c r="F173" i="80" s="1"/>
  <c r="I64" i="107" a="1"/>
  <c r="I64" i="107" s="1"/>
  <c r="H162" i="107" s="1"/>
  <c r="I162" i="107" s="1"/>
  <c r="K162" i="107" s="1" a="1"/>
  <c r="K162" i="107" s="1"/>
  <c r="I75" i="107" a="1"/>
  <c r="I75" i="107" s="1"/>
  <c r="H173" i="107" s="1"/>
  <c r="I173" i="107" s="1"/>
  <c r="K173" i="107" s="1" a="1"/>
  <c r="K173" i="107" s="1"/>
  <c r="AK221" i="117"/>
  <c r="AM221" i="117" s="1" a="1"/>
  <c r="AM221" i="117" s="1"/>
  <c r="AM227" i="117" a="1"/>
  <c r="AM227" i="117" s="1"/>
  <c r="AM229" i="117" a="1"/>
  <c r="AM229" i="117" s="1"/>
  <c r="AM222" i="117" a="1"/>
  <c r="AM222" i="117" s="1"/>
  <c r="AM226" i="117" a="1"/>
  <c r="AM226" i="117" s="1"/>
  <c r="AM225" i="117" a="1"/>
  <c r="AM225" i="117" s="1"/>
  <c r="AM224" i="117" a="1"/>
  <c r="AM224" i="117" s="1"/>
  <c r="AM230" i="117" a="1"/>
  <c r="AM230" i="117" s="1"/>
  <c r="AM223" i="117" a="1"/>
  <c r="AM223" i="117" s="1"/>
  <c r="AM228" i="117" a="1"/>
  <c r="AM228" i="117" s="1"/>
  <c r="P38" i="103" a="1"/>
  <c r="P38" i="103" s="1"/>
  <c r="E63" i="103" s="1"/>
  <c r="H176" i="80" a="1"/>
  <c r="H176" i="80" s="1"/>
  <c r="F154" i="80"/>
  <c r="F176" i="80" s="1" a="1"/>
  <c r="F176" i="80" s="1"/>
  <c r="J176" i="80" a="1"/>
  <c r="J176" i="80" s="1"/>
  <c r="I176" i="80" a="1"/>
  <c r="I176" i="80" s="1"/>
  <c r="G176" i="80" a="1"/>
  <c r="G176" i="80" s="1"/>
  <c r="Q38" i="104" a="1"/>
  <c r="Q38" i="104" s="1"/>
  <c r="I72" i="107" a="1"/>
  <c r="I72" i="107" s="1"/>
  <c r="H170" i="107" s="1"/>
  <c r="I168" i="107" s="1"/>
  <c r="K168" i="107" s="1" a="1"/>
  <c r="K168" i="107" s="1"/>
  <c r="I83" i="107" a="1"/>
  <c r="I83" i="107" s="1"/>
  <c r="H181" i="107" s="1"/>
  <c r="AG221" i="117"/>
  <c r="AI221" i="117" s="1" a="1"/>
  <c r="AI221" i="117" s="1"/>
  <c r="AI230" i="117" a="1"/>
  <c r="AI230" i="117" s="1"/>
  <c r="AI223" i="117" a="1"/>
  <c r="AI223" i="117" s="1"/>
  <c r="AI225" i="117" a="1"/>
  <c r="AI225" i="117" s="1"/>
  <c r="AI227" i="117" a="1"/>
  <c r="AI227" i="117" s="1"/>
  <c r="AI229" i="117" a="1"/>
  <c r="AI229" i="117" s="1"/>
  <c r="AI222" i="117" a="1"/>
  <c r="AI222" i="117" s="1"/>
  <c r="AI226" i="117" a="1"/>
  <c r="AI226" i="117" s="1"/>
  <c r="AI228" i="117" a="1"/>
  <c r="AI228" i="117" s="1"/>
  <c r="AI224" i="117" a="1"/>
  <c r="AI224" i="117" s="1"/>
  <c r="N31" i="104" a="1"/>
  <c r="N31" i="104" s="1"/>
  <c r="T178" i="80" a="1"/>
  <c r="T178" i="80" s="1"/>
  <c r="Q156" i="80"/>
  <c r="Q178" i="80" s="1" a="1"/>
  <c r="Q178" i="80" s="1"/>
  <c r="U178" i="80" a="1"/>
  <c r="U178" i="80" s="1"/>
  <c r="S178" i="80" a="1"/>
  <c r="S178" i="80" s="1"/>
  <c r="R178" i="80" a="1"/>
  <c r="R178" i="80" s="1"/>
  <c r="N37" i="104" a="1"/>
  <c r="N37" i="104" s="1"/>
  <c r="O37" i="104" a="1"/>
  <c r="O37" i="104" s="1"/>
  <c r="U177" i="80" a="1"/>
  <c r="U177" i="80" s="1"/>
  <c r="T177" i="80" a="1"/>
  <c r="T177" i="80" s="1"/>
  <c r="R177" i="80" a="1"/>
  <c r="R177" i="80" s="1"/>
  <c r="Q155" i="80"/>
  <c r="Q177" i="80" s="1" a="1"/>
  <c r="Q177" i="80" s="1"/>
  <c r="S177" i="80" a="1"/>
  <c r="S177" i="80" s="1"/>
  <c r="Q199" i="80"/>
  <c r="T205" i="80" a="1"/>
  <c r="T205" i="80" s="1"/>
  <c r="R205" i="80" a="1"/>
  <c r="R205" i="80" s="1"/>
  <c r="S205" i="80" a="1"/>
  <c r="S205" i="80" s="1"/>
  <c r="U205" i="80" a="1"/>
  <c r="U205" i="80" s="1"/>
  <c r="Y221" i="117"/>
  <c r="AA221" i="117" s="1" a="1"/>
  <c r="AA221" i="117" s="1"/>
  <c r="AA228" i="117" a="1"/>
  <c r="AA228" i="117" s="1"/>
  <c r="AA230" i="117" a="1"/>
  <c r="AA230" i="117" s="1"/>
  <c r="AA223" i="117" a="1"/>
  <c r="AA223" i="117" s="1"/>
  <c r="F223" i="117" s="1" a="1"/>
  <c r="F223" i="117" s="1"/>
  <c r="AA225" i="117" a="1"/>
  <c r="AA225" i="117" s="1"/>
  <c r="AA227" i="117" a="1"/>
  <c r="AA227" i="117" s="1"/>
  <c r="AA224" i="117" a="1"/>
  <c r="AA224" i="117" s="1"/>
  <c r="AA226" i="117" a="1"/>
  <c r="AA226" i="117" s="1"/>
  <c r="AA229" i="117" a="1"/>
  <c r="AA229" i="117" s="1"/>
  <c r="AA222" i="117" a="1"/>
  <c r="AA222" i="117" s="1"/>
  <c r="S176" i="80" a="1"/>
  <c r="S176" i="80" s="1"/>
  <c r="U176" i="80" a="1"/>
  <c r="U176" i="80" s="1"/>
  <c r="T176" i="80" a="1"/>
  <c r="T176" i="80" s="1"/>
  <c r="Q154" i="80"/>
  <c r="Q176" i="80" s="1" a="1"/>
  <c r="Q176" i="80" s="1"/>
  <c r="R176" i="80" a="1"/>
  <c r="R176" i="80" s="1"/>
  <c r="U179" i="80" a="1"/>
  <c r="U179" i="80" s="1"/>
  <c r="R179" i="80" a="1"/>
  <c r="R179" i="80" s="1"/>
  <c r="Q157" i="80"/>
  <c r="Q179" i="80" s="1" a="1"/>
  <c r="Q179" i="80" s="1"/>
  <c r="S179" i="80" a="1"/>
  <c r="S179" i="80" s="1"/>
  <c r="T179" i="80" a="1"/>
  <c r="T179" i="80" s="1"/>
  <c r="I51" i="107" a="1"/>
  <c r="I51" i="107" s="1"/>
  <c r="H146" i="107" s="1"/>
  <c r="I276" i="117" a="1"/>
  <c r="I276" i="117" s="1"/>
  <c r="G276" i="117" a="1"/>
  <c r="G276" i="117" s="1"/>
  <c r="Q152" i="80"/>
  <c r="Q174" i="80" s="1" a="1"/>
  <c r="Q174" i="80" s="1"/>
  <c r="T174" i="80" a="1"/>
  <c r="T174" i="80" s="1"/>
  <c r="R174" i="80" a="1"/>
  <c r="R174" i="80" s="1"/>
  <c r="S174" i="80" a="1"/>
  <c r="S174" i="80" s="1"/>
  <c r="U174" i="80" a="1"/>
  <c r="U174" i="80" s="1"/>
  <c r="P37" i="104" a="1"/>
  <c r="P37" i="104" s="1"/>
  <c r="Q153" i="80"/>
  <c r="Q175" i="80" s="1" a="1"/>
  <c r="Q175" i="80" s="1"/>
  <c r="R175" i="80" a="1"/>
  <c r="R175" i="80" s="1"/>
  <c r="U175" i="80" a="1"/>
  <c r="U175" i="80" s="1"/>
  <c r="S175" i="80" a="1"/>
  <c r="S175" i="80" s="1"/>
  <c r="T175" i="80" a="1"/>
  <c r="T175" i="80" s="1"/>
  <c r="K136" i="107" a="1"/>
  <c r="K136" i="107" s="1"/>
  <c r="P180" i="90" a="1"/>
  <c r="P180" i="90" s="1"/>
  <c r="I138" i="117" a="1"/>
  <c r="I138" i="117" s="1"/>
  <c r="G138" i="117" a="1"/>
  <c r="G138" i="117" s="1"/>
  <c r="Q36" i="104" a="1"/>
  <c r="Q36" i="104" s="1"/>
  <c r="G116" i="107" a="1"/>
  <c r="G116" i="107" s="1"/>
  <c r="G21" i="107" a="1"/>
  <c r="G21" i="107" s="1"/>
  <c r="I21" i="107" s="1" a="1"/>
  <c r="I21" i="107" s="1"/>
  <c r="H116" i="107" s="1"/>
  <c r="G157" i="107" a="1"/>
  <c r="G157" i="107" s="1"/>
  <c r="I157" i="107" s="1"/>
  <c r="K157" i="107" s="1" a="1"/>
  <c r="K157" i="107" s="1"/>
  <c r="Q65" i="81" a="1"/>
  <c r="Q65" i="81" s="1"/>
  <c r="Q103" i="81" s="1" a="1"/>
  <c r="Q103" i="81" s="1"/>
  <c r="Q146" i="81" s="1" a="1"/>
  <c r="Q146" i="81" s="1"/>
  <c r="Q213" i="81" s="1" a="1"/>
  <c r="Q213" i="81" s="1"/>
  <c r="G133" i="80" a="1"/>
  <c r="G133" i="80" s="1"/>
  <c r="G50" i="81"/>
  <c r="F133" i="80" a="1"/>
  <c r="F133" i="80" s="1"/>
  <c r="F50" i="81"/>
  <c r="E50" i="81"/>
  <c r="J33" i="110"/>
  <c r="E25" i="111"/>
  <c r="T33" i="110"/>
  <c r="O25" i="111"/>
  <c r="D133" i="80" a="1"/>
  <c r="D133" i="80" s="1"/>
  <c r="D50" i="81"/>
  <c r="N65" i="81" a="1"/>
  <c r="N65" i="81" s="1"/>
  <c r="N103" i="81" s="1" a="1"/>
  <c r="N103" i="81" s="1"/>
  <c r="N126" i="81" a="1"/>
  <c r="N126" i="81" s="1"/>
  <c r="R247" i="81" a="1"/>
  <c r="R247" i="81" s="1"/>
  <c r="Q19" i="85"/>
  <c r="S31" i="85" s="1" a="1"/>
  <c r="S31" i="85" s="1"/>
  <c r="I128" i="117" a="1"/>
  <c r="I128" i="117" s="1"/>
  <c r="G127" i="117" a="1"/>
  <c r="G127" i="117" s="1"/>
  <c r="I123" i="117" a="1"/>
  <c r="I123" i="117" s="1"/>
  <c r="E35" i="117"/>
  <c r="E94" i="117" s="1"/>
  <c r="E64" i="103"/>
  <c r="E61" i="103"/>
  <c r="E62" i="103"/>
  <c r="E442" i="117"/>
  <c r="E34" i="117"/>
  <c r="E93" i="117" s="1"/>
  <c r="E441" i="117"/>
  <c r="G124" i="117" a="1"/>
  <c r="G124" i="117" s="1"/>
  <c r="E459" i="117"/>
  <c r="E460" i="117"/>
  <c r="G122" i="117" a="1"/>
  <c r="G122" i="117" s="1"/>
  <c r="I125" i="117" a="1"/>
  <c r="I125" i="117" s="1"/>
  <c r="E378" i="117"/>
  <c r="E379" i="117"/>
  <c r="I127" i="107"/>
  <c r="K127" i="107" s="1" a="1"/>
  <c r="K127" i="107" s="1"/>
  <c r="I138" i="107"/>
  <c r="K138" i="107" s="1" a="1"/>
  <c r="K138" i="107" s="1"/>
  <c r="I144" i="107"/>
  <c r="K144" i="107" s="1" a="1"/>
  <c r="K144" i="107" s="1"/>
  <c r="I116" i="107"/>
  <c r="K116" i="107" s="1" a="1"/>
  <c r="K116" i="107" s="1"/>
  <c r="E52" i="104"/>
  <c r="E46" i="104"/>
  <c r="E56" i="103"/>
  <c r="E55" i="103"/>
  <c r="E46" i="103"/>
  <c r="E45" i="104"/>
  <c r="E43" i="103"/>
  <c r="E45" i="103"/>
  <c r="E57" i="103"/>
  <c r="E58" i="103"/>
  <c r="E44" i="103"/>
  <c r="R243" i="81" a="1"/>
  <c r="R243" i="81" s="1"/>
  <c r="R245" i="81" a="1"/>
  <c r="R245" i="81" s="1"/>
  <c r="R244" i="81" a="1"/>
  <c r="R244" i="81" s="1"/>
  <c r="I16" i="77"/>
  <c r="I15" i="77"/>
  <c r="I14" i="77"/>
  <c r="I13" i="77"/>
  <c r="I12" i="77"/>
  <c r="I11" i="77"/>
  <c r="I10" i="77"/>
  <c r="I9" i="77"/>
  <c r="I8" i="77"/>
  <c r="I7" i="77"/>
  <c r="R146" i="81" l="1" a="1"/>
  <c r="R146" i="81" s="1"/>
  <c r="R176" i="81" s="1" a="1"/>
  <c r="R176" i="81" s="1"/>
  <c r="R65" i="81" a="1"/>
  <c r="R65" i="81" s="1"/>
  <c r="R103" i="81" s="1" a="1"/>
  <c r="R103" i="81" s="1"/>
  <c r="F224" i="117" a="1"/>
  <c r="F224" i="117" s="1"/>
  <c r="F206" i="80" a="1"/>
  <c r="F206" i="80" s="1"/>
  <c r="S50" i="92" a="1"/>
  <c r="S50" i="92" s="1"/>
  <c r="T50" i="92"/>
  <c r="R50" i="92" a="1"/>
  <c r="R50" i="92" s="1"/>
  <c r="H133" i="80" a="1"/>
  <c r="H133" i="80" s="1"/>
  <c r="Q206" i="80" a="1"/>
  <c r="Q206" i="80" s="1"/>
  <c r="I270" i="117" a="1"/>
  <c r="I270" i="117" s="1"/>
  <c r="E284" i="117" s="1"/>
  <c r="F205" i="80" a="1"/>
  <c r="F205" i="80" s="1"/>
  <c r="F227" i="117" a="1"/>
  <c r="F227" i="117" s="1"/>
  <c r="O45" i="92"/>
  <c r="W46" i="92"/>
  <c r="T47" i="92"/>
  <c r="W47" i="92"/>
  <c r="S47" i="92" a="1"/>
  <c r="S47" i="92" s="1"/>
  <c r="S46" i="92" a="1"/>
  <c r="S46" i="92" s="1"/>
  <c r="R46" i="92" a="1"/>
  <c r="R46" i="92" s="1"/>
  <c r="R49" i="92" a="1"/>
  <c r="R49" i="92" s="1"/>
  <c r="S49" i="92" a="1"/>
  <c r="S49" i="92" s="1"/>
  <c r="T49" i="92"/>
  <c r="V49" i="92" s="1" a="1"/>
  <c r="V49" i="92" s="1"/>
  <c r="S48" i="92" a="1"/>
  <c r="S48" i="92" s="1"/>
  <c r="T46" i="92"/>
  <c r="R48" i="92" a="1"/>
  <c r="R48" i="92" s="1"/>
  <c r="V47" i="92" a="1"/>
  <c r="V47" i="92" s="1"/>
  <c r="R47" i="92" a="1"/>
  <c r="R47" i="92" s="1"/>
  <c r="V46" i="92" a="1"/>
  <c r="V46" i="92" s="1"/>
  <c r="T48" i="92"/>
  <c r="V48" i="92" s="1" a="1"/>
  <c r="V48" i="92" s="1"/>
  <c r="V52" i="92" a="1"/>
  <c r="V52" i="92" s="1"/>
  <c r="F228" i="117" a="1"/>
  <c r="F228" i="117" s="1"/>
  <c r="E22" i="72"/>
  <c r="R246" i="81" a="1"/>
  <c r="R246" i="81" s="1"/>
  <c r="R249" i="81" a="1"/>
  <c r="R249" i="81" s="1"/>
  <c r="R250" i="81" a="1"/>
  <c r="R250" i="81" s="1"/>
  <c r="S26" i="82" s="1"/>
  <c r="S47" i="82" s="1" a="1"/>
  <c r="S47" i="82" s="1"/>
  <c r="O213" i="81" a="1"/>
  <c r="O213" i="81" s="1"/>
  <c r="E142" i="117"/>
  <c r="F221" i="117" a="1"/>
  <c r="F221" i="117" s="1"/>
  <c r="Q205" i="80" a="1"/>
  <c r="Q205" i="80" s="1"/>
  <c r="P176" i="81" a="1"/>
  <c r="P176" i="81" s="1"/>
  <c r="R213" i="81" a="1"/>
  <c r="R213" i="81" s="1"/>
  <c r="S19" i="85" s="1"/>
  <c r="U31" i="85" s="1" a="1"/>
  <c r="U31" i="85" s="1"/>
  <c r="U19" i="86" s="1"/>
  <c r="U24" i="86" s="1" a="1"/>
  <c r="U24" i="86" s="1"/>
  <c r="Q176" i="81" a="1"/>
  <c r="Q176" i="81" s="1"/>
  <c r="S247" i="81" s="1" a="1"/>
  <c r="S247" i="81" s="1"/>
  <c r="E65" i="81" a="1"/>
  <c r="E65" i="81" s="1"/>
  <c r="E103" i="81" s="1" a="1"/>
  <c r="E103" i="81" s="1"/>
  <c r="E146" i="81" s="1" a="1"/>
  <c r="E146" i="81" s="1"/>
  <c r="E126" i="81" a="1"/>
  <c r="E126" i="81" s="1"/>
  <c r="H126" i="81" a="1"/>
  <c r="H126" i="81" s="1"/>
  <c r="H65" i="81" a="1"/>
  <c r="H65" i="81" s="1"/>
  <c r="H103" i="81" s="1" a="1"/>
  <c r="H103" i="81" s="1"/>
  <c r="F126" i="81" a="1"/>
  <c r="F126" i="81" s="1"/>
  <c r="F65" i="81" a="1"/>
  <c r="F65" i="81" s="1"/>
  <c r="F103" i="81" s="1" a="1"/>
  <c r="F103" i="81" s="1"/>
  <c r="G126" i="81" a="1"/>
  <c r="G126" i="81" s="1"/>
  <c r="G65" i="81" a="1"/>
  <c r="G65" i="81" s="1"/>
  <c r="G103" i="81" s="1" a="1"/>
  <c r="G103" i="81" s="1"/>
  <c r="N146" i="81" a="1"/>
  <c r="N146" i="81" s="1"/>
  <c r="N213" i="81" s="1" a="1"/>
  <c r="N213" i="81" s="1"/>
  <c r="S41" i="84"/>
  <c r="S20" i="82"/>
  <c r="S41" i="82" s="1" a="1"/>
  <c r="S41" i="82" s="1"/>
  <c r="S21" i="82"/>
  <c r="S42" i="82" s="1" a="1"/>
  <c r="S42" i="82" s="1"/>
  <c r="S42" i="84"/>
  <c r="S46" i="84"/>
  <c r="S25" i="82"/>
  <c r="S46" i="82" s="1" a="1"/>
  <c r="S46" i="82" s="1"/>
  <c r="S24" i="82"/>
  <c r="S45" i="82" s="1" a="1"/>
  <c r="S45" i="82" s="1"/>
  <c r="S45" i="84"/>
  <c r="D65" i="81" a="1"/>
  <c r="D65" i="81" s="1"/>
  <c r="D103" i="81" s="1" a="1"/>
  <c r="D103" i="81" s="1"/>
  <c r="D126" i="81" a="1"/>
  <c r="D126" i="81" s="1"/>
  <c r="S40" i="84"/>
  <c r="S19" i="82"/>
  <c r="S40" i="82" s="1" a="1"/>
  <c r="S40" i="82" s="1"/>
  <c r="S43" i="84"/>
  <c r="S22" i="82"/>
  <c r="S43" i="82" s="1" a="1"/>
  <c r="S43" i="82" s="1"/>
  <c r="S23" i="83"/>
  <c r="S47" i="84"/>
  <c r="S24" i="83"/>
  <c r="S23" i="82"/>
  <c r="S44" i="82" s="1" a="1"/>
  <c r="S44" i="82" s="1"/>
  <c r="S44" i="84"/>
  <c r="S19" i="86"/>
  <c r="S24" i="86" s="1" a="1"/>
  <c r="S24" i="86" s="1"/>
  <c r="S23" i="87"/>
  <c r="R23" i="87"/>
  <c r="R19" i="86"/>
  <c r="R24" i="86" s="1" a="1"/>
  <c r="R24" i="86" s="1"/>
  <c r="R19" i="85"/>
  <c r="T31" i="85" s="1" a="1"/>
  <c r="T31" i="85" s="1"/>
  <c r="E131" i="117"/>
  <c r="E145" i="117" s="1"/>
  <c r="E68" i="103"/>
  <c r="E130" i="117"/>
  <c r="E144" i="117" s="1"/>
  <c r="E58" i="104"/>
  <c r="I516" i="117" s="1"/>
  <c r="E151" i="107"/>
  <c r="E70" i="103"/>
  <c r="I515" i="117" s="1"/>
  <c r="E67" i="103"/>
  <c r="E56" i="104"/>
  <c r="E57" i="104"/>
  <c r="E55" i="104"/>
  <c r="E69" i="103"/>
  <c r="S243" i="81" a="1"/>
  <c r="S243" i="81" s="1"/>
  <c r="S249" i="81" a="1"/>
  <c r="S249" i="81" s="1"/>
  <c r="S246" i="81" a="1"/>
  <c r="S246" i="81" s="1"/>
  <c r="S245" i="81" a="1"/>
  <c r="S245" i="81" s="1"/>
  <c r="S248" i="81" a="1"/>
  <c r="S248" i="81" s="1"/>
  <c r="S244" i="81" a="1"/>
  <c r="S244" i="81" s="1"/>
  <c r="T249" i="81" a="1"/>
  <c r="T249" i="81" s="1"/>
  <c r="T246" i="81" a="1"/>
  <c r="T246" i="81" s="1"/>
  <c r="T245" i="81" a="1"/>
  <c r="T245" i="81" s="1"/>
  <c r="Q250" i="81" a="1"/>
  <c r="Q250" i="81" s="1"/>
  <c r="Q247" i="81" a="1"/>
  <c r="Q247" i="81" s="1"/>
  <c r="Q244" i="81" a="1"/>
  <c r="Q244" i="81" s="1"/>
  <c r="Q248" i="81" a="1"/>
  <c r="Q248" i="81" s="1"/>
  <c r="Q245" i="81" a="1"/>
  <c r="Q245" i="81" s="1"/>
  <c r="Q249" i="81" a="1"/>
  <c r="Q249" i="81" s="1"/>
  <c r="Q246" i="81" a="1"/>
  <c r="Q246" i="81" s="1"/>
  <c r="Q243" i="81" a="1"/>
  <c r="Q243" i="81" s="1"/>
  <c r="S250" i="81" l="1" a="1"/>
  <c r="S250" i="81" s="1"/>
  <c r="T24" i="83" s="1"/>
  <c r="T248" i="81" a="1"/>
  <c r="T248" i="81" s="1"/>
  <c r="T247" i="81" a="1"/>
  <c r="T247" i="81" s="1"/>
  <c r="U44" i="84" s="1"/>
  <c r="U23" i="87"/>
  <c r="T250" i="81" a="1"/>
  <c r="T250" i="81" s="1"/>
  <c r="T45" i="92"/>
  <c r="S45" i="92" a="1"/>
  <c r="S45" i="92" s="1"/>
  <c r="R45" i="92" a="1"/>
  <c r="R45" i="92" s="1"/>
  <c r="V45" i="92" a="1"/>
  <c r="V45" i="92" s="1"/>
  <c r="T244" i="81" a="1"/>
  <c r="T244" i="81" s="1"/>
  <c r="T243" i="81" a="1"/>
  <c r="T243" i="81" s="1"/>
  <c r="U19" i="82" s="1"/>
  <c r="U40" i="82" s="1" a="1"/>
  <c r="U40" i="82" s="1"/>
  <c r="V50" i="92" a="1"/>
  <c r="V50" i="92" s="1"/>
  <c r="N176" i="81" a="1"/>
  <c r="N176" i="81" s="1"/>
  <c r="O19" i="85" s="1"/>
  <c r="Q31" i="85" s="1" a="1"/>
  <c r="Q31" i="85" s="1"/>
  <c r="G146" i="81" a="1"/>
  <c r="G146" i="81" s="1"/>
  <c r="G176" i="81" s="1" a="1"/>
  <c r="G176" i="81" s="1"/>
  <c r="H146" i="81" a="1"/>
  <c r="H146" i="81" s="1"/>
  <c r="F146" i="81" a="1"/>
  <c r="F146" i="81" s="1"/>
  <c r="E213" i="81" a="1"/>
  <c r="E213" i="81" s="1"/>
  <c r="E176" i="81" a="1"/>
  <c r="E176" i="81" s="1"/>
  <c r="S80" i="84" a="1"/>
  <c r="S80" i="84" s="1"/>
  <c r="S143" i="84" a="1"/>
  <c r="S143" i="84" s="1"/>
  <c r="S110" i="84" a="1"/>
  <c r="S110" i="84" s="1"/>
  <c r="T42" i="84"/>
  <c r="T21" i="82"/>
  <c r="T42" i="82" s="1" a="1"/>
  <c r="T42" i="82" s="1"/>
  <c r="T44" i="84"/>
  <c r="T23" i="82"/>
  <c r="T44" i="82" s="1" a="1"/>
  <c r="T44" i="82" s="1"/>
  <c r="T22" i="82"/>
  <c r="T43" i="82" s="1" a="1"/>
  <c r="T43" i="82" s="1"/>
  <c r="T23" i="83"/>
  <c r="T43" i="84"/>
  <c r="U25" i="82"/>
  <c r="U46" i="82" s="1" a="1"/>
  <c r="U46" i="82" s="1"/>
  <c r="U46" i="84"/>
  <c r="R46" i="84"/>
  <c r="R25" i="82"/>
  <c r="R46" i="82" s="1" a="1"/>
  <c r="R46" i="82" s="1"/>
  <c r="R21" i="82"/>
  <c r="R42" i="82" s="1" a="1"/>
  <c r="R42" i="82" s="1"/>
  <c r="R42" i="84"/>
  <c r="R24" i="82"/>
  <c r="R45" i="82" s="1" a="1"/>
  <c r="R45" i="82" s="1"/>
  <c r="R45" i="84"/>
  <c r="T25" i="82"/>
  <c r="T46" i="82" s="1" a="1"/>
  <c r="T46" i="82" s="1"/>
  <c r="T46" i="84"/>
  <c r="S78" i="84" a="1"/>
  <c r="S78" i="84" s="1"/>
  <c r="S108" i="84" a="1"/>
  <c r="S108" i="84" s="1"/>
  <c r="S141" i="84" a="1"/>
  <c r="S141" i="84" s="1"/>
  <c r="S76" i="84" a="1"/>
  <c r="S76" i="84" s="1"/>
  <c r="S139" i="84" a="1"/>
  <c r="S139" i="84" s="1"/>
  <c r="S106" i="84" a="1"/>
  <c r="S106" i="84" s="1"/>
  <c r="S112" i="84" a="1"/>
  <c r="S112" i="84" s="1"/>
  <c r="S82" i="84" a="1"/>
  <c r="S82" i="84" s="1"/>
  <c r="S145" i="84" a="1"/>
  <c r="S145" i="84" s="1"/>
  <c r="R24" i="83"/>
  <c r="R47" i="84"/>
  <c r="R26" i="82"/>
  <c r="R47" i="82" s="1" a="1"/>
  <c r="R47" i="82" s="1"/>
  <c r="U42" i="84"/>
  <c r="U21" i="82"/>
  <c r="U42" i="82" s="1" a="1"/>
  <c r="U42" i="82" s="1"/>
  <c r="D146" i="81" a="1"/>
  <c r="D146" i="81" s="1"/>
  <c r="U24" i="82"/>
  <c r="U45" i="82" s="1" a="1"/>
  <c r="U45" i="82" s="1"/>
  <c r="U22" i="82"/>
  <c r="U43" i="82" s="1" a="1"/>
  <c r="U43" i="82" s="1"/>
  <c r="U23" i="83"/>
  <c r="U43" i="84"/>
  <c r="T19" i="82"/>
  <c r="T40" i="82" s="1" a="1"/>
  <c r="T40" i="82" s="1"/>
  <c r="T40" i="84"/>
  <c r="R40" i="84"/>
  <c r="R19" i="82"/>
  <c r="R40" i="82" s="1" a="1"/>
  <c r="R40" i="82" s="1"/>
  <c r="R43" i="84"/>
  <c r="R22" i="82"/>
  <c r="R43" i="82" s="1" a="1"/>
  <c r="R43" i="82" s="1"/>
  <c r="R23" i="83"/>
  <c r="R23" i="82"/>
  <c r="R44" i="82" s="1" a="1"/>
  <c r="R44" i="82" s="1"/>
  <c r="R44" i="84"/>
  <c r="S140" i="84" a="1"/>
  <c r="S140" i="84" s="1"/>
  <c r="S77" i="84" a="1"/>
  <c r="S77" i="84" s="1"/>
  <c r="S107" i="84" a="1"/>
  <c r="S107" i="84" s="1"/>
  <c r="U40" i="84"/>
  <c r="T24" i="82"/>
  <c r="T45" i="82" s="1" a="1"/>
  <c r="T45" i="82" s="1"/>
  <c r="T45" i="84"/>
  <c r="R20" i="82"/>
  <c r="R41" i="82" s="1" a="1"/>
  <c r="R41" i="82" s="1"/>
  <c r="R41" i="84"/>
  <c r="U47" i="84"/>
  <c r="U26" i="82"/>
  <c r="U47" i="82" s="1" a="1"/>
  <c r="U47" i="82" s="1"/>
  <c r="U24" i="83"/>
  <c r="T41" i="84"/>
  <c r="T20" i="82"/>
  <c r="T41" i="82" s="1" a="1"/>
  <c r="T41" i="82" s="1"/>
  <c r="S144" i="84" a="1"/>
  <c r="S144" i="84" s="1"/>
  <c r="S81" i="84" a="1"/>
  <c r="S81" i="84" s="1"/>
  <c r="S111" i="84" a="1"/>
  <c r="S111" i="84" s="1"/>
  <c r="T19" i="86"/>
  <c r="T24" i="86" s="1" a="1"/>
  <c r="T24" i="86" s="1"/>
  <c r="T23" i="87"/>
  <c r="E518" i="117" a="1"/>
  <c r="E518" i="117" s="1"/>
  <c r="F7" i="13" a="1"/>
  <c r="F7" i="13" s="1"/>
  <c r="E7" i="13" a="1"/>
  <c r="E7" i="13" s="1"/>
  <c r="U45" i="84" l="1"/>
  <c r="U144" i="84" s="1" a="1"/>
  <c r="U144" i="84" s="1"/>
  <c r="P247" i="81" a="1"/>
  <c r="P247" i="81" s="1"/>
  <c r="Q23" i="82" s="1"/>
  <c r="Q44" i="82" s="1" a="1"/>
  <c r="Q44" i="82" s="1"/>
  <c r="P244" i="81" a="1"/>
  <c r="P244" i="81" s="1"/>
  <c r="Q41" i="84" s="1"/>
  <c r="Q140" i="84" s="1" a="1"/>
  <c r="Q140" i="84" s="1"/>
  <c r="T26" i="82"/>
  <c r="T47" i="82" s="1" a="1"/>
  <c r="T47" i="82" s="1"/>
  <c r="U20" i="82"/>
  <c r="U41" i="82" s="1" a="1"/>
  <c r="U41" i="82" s="1"/>
  <c r="T47" i="84"/>
  <c r="P246" i="81" a="1"/>
  <c r="P246" i="81" s="1"/>
  <c r="Q23" i="83" s="1"/>
  <c r="U23" i="82"/>
  <c r="U44" i="82" s="1" a="1"/>
  <c r="U44" i="82" s="1"/>
  <c r="U41" i="84"/>
  <c r="G213" i="81" a="1"/>
  <c r="G213" i="81" s="1"/>
  <c r="P249" i="81" a="1"/>
  <c r="P249" i="81" s="1"/>
  <c r="Q25" i="82" s="1"/>
  <c r="Q46" i="82" s="1" a="1"/>
  <c r="Q46" i="82" s="1"/>
  <c r="P248" i="81" a="1"/>
  <c r="P248" i="81" s="1"/>
  <c r="Q23" i="87"/>
  <c r="Q19" i="86"/>
  <c r="Q24" i="86" s="1" a="1"/>
  <c r="Q24" i="86" s="1"/>
  <c r="P26" i="86" s="1"/>
  <c r="S38" i="86" s="1"/>
  <c r="P243" i="81" a="1"/>
  <c r="P243" i="81" s="1"/>
  <c r="P250" i="81" a="1"/>
  <c r="P250" i="81" s="1"/>
  <c r="P245" i="81" a="1"/>
  <c r="P245" i="81" s="1"/>
  <c r="E19" i="85"/>
  <c r="G31" i="85" s="1" a="1"/>
  <c r="G31" i="85" s="1"/>
  <c r="G243" i="81" a="1"/>
  <c r="G243" i="81" s="1"/>
  <c r="G250" i="81" a="1"/>
  <c r="G250" i="81" s="1"/>
  <c r="G247" i="81" a="1"/>
  <c r="G247" i="81" s="1"/>
  <c r="G249" i="81" a="1"/>
  <c r="G249" i="81" s="1"/>
  <c r="G245" i="81" a="1"/>
  <c r="G245" i="81" s="1"/>
  <c r="G248" i="81" a="1"/>
  <c r="G248" i="81" s="1"/>
  <c r="G244" i="81" a="1"/>
  <c r="G244" i="81" s="1"/>
  <c r="G246" i="81" a="1"/>
  <c r="G246" i="81" s="1"/>
  <c r="G19" i="85"/>
  <c r="I31" i="85" s="1" a="1"/>
  <c r="I31" i="85" s="1"/>
  <c r="I243" i="81" a="1"/>
  <c r="I243" i="81" s="1"/>
  <c r="I246" i="81" a="1"/>
  <c r="I246" i="81" s="1"/>
  <c r="I250" i="81" a="1"/>
  <c r="I250" i="81" s="1"/>
  <c r="I247" i="81" a="1"/>
  <c r="I247" i="81" s="1"/>
  <c r="I245" i="81" a="1"/>
  <c r="I245" i="81" s="1"/>
  <c r="I244" i="81" a="1"/>
  <c r="I244" i="81" s="1"/>
  <c r="I249" i="81" a="1"/>
  <c r="I249" i="81" s="1"/>
  <c r="I248" i="81" a="1"/>
  <c r="I248" i="81" s="1"/>
  <c r="F213" i="81" a="1"/>
  <c r="F213" i="81" s="1"/>
  <c r="F176" i="81" a="1"/>
  <c r="F176" i="81" s="1"/>
  <c r="H213" i="81" a="1"/>
  <c r="H213" i="81" s="1"/>
  <c r="H176" i="81" a="1"/>
  <c r="H176" i="81" s="1"/>
  <c r="Q22" i="82"/>
  <c r="Q43" i="82" s="1" a="1"/>
  <c r="Q43" i="82" s="1"/>
  <c r="R108" i="84" a="1"/>
  <c r="R108" i="84" s="1"/>
  <c r="R78" i="84" a="1"/>
  <c r="R78" i="84" s="1"/>
  <c r="R141" i="84" a="1"/>
  <c r="R141" i="84" s="1"/>
  <c r="R145" i="84" a="1"/>
  <c r="R145" i="84" s="1"/>
  <c r="R112" i="84" a="1"/>
  <c r="R112" i="84" s="1"/>
  <c r="R82" i="84" a="1"/>
  <c r="R82" i="84" s="1"/>
  <c r="D176" i="81" a="1"/>
  <c r="D176" i="81" s="1"/>
  <c r="D213" i="81" a="1"/>
  <c r="D213" i="81" s="1"/>
  <c r="U76" i="84" a="1"/>
  <c r="U76" i="84" s="1"/>
  <c r="U139" i="84" a="1"/>
  <c r="U139" i="84" s="1"/>
  <c r="U106" i="84" a="1"/>
  <c r="U106" i="84" s="1"/>
  <c r="U143" i="84" a="1"/>
  <c r="U143" i="84" s="1"/>
  <c r="U80" i="84" a="1"/>
  <c r="U80" i="84" s="1"/>
  <c r="U110" i="84" a="1"/>
  <c r="U110" i="84" s="1"/>
  <c r="U112" i="84" a="1"/>
  <c r="U112" i="84" s="1"/>
  <c r="U82" i="84" a="1"/>
  <c r="U82" i="84" s="1"/>
  <c r="U145" i="84" a="1"/>
  <c r="U145" i="84" s="1"/>
  <c r="R106" i="84" a="1"/>
  <c r="R106" i="84" s="1"/>
  <c r="R139" i="84" a="1"/>
  <c r="R139" i="84" s="1"/>
  <c r="R76" i="84" a="1"/>
  <c r="R76" i="84" s="1"/>
  <c r="U141" i="84" a="1"/>
  <c r="U141" i="84" s="1"/>
  <c r="U78" i="84" a="1"/>
  <c r="U78" i="84" s="1"/>
  <c r="U108" i="84" a="1"/>
  <c r="U108" i="84" s="1"/>
  <c r="T112" i="84" a="1"/>
  <c r="T112" i="84" s="1"/>
  <c r="T145" i="84" a="1"/>
  <c r="T145" i="84" s="1"/>
  <c r="T82" i="84" a="1"/>
  <c r="T82" i="84" s="1"/>
  <c r="R144" i="84" a="1"/>
  <c r="R144" i="84" s="1"/>
  <c r="R111" i="84" a="1"/>
  <c r="R111" i="84" s="1"/>
  <c r="R81" i="84" a="1"/>
  <c r="R81" i="84" s="1"/>
  <c r="U107" i="84" a="1"/>
  <c r="U107" i="84" s="1"/>
  <c r="U140" i="84" a="1"/>
  <c r="U140" i="84" s="1"/>
  <c r="U77" i="84" a="1"/>
  <c r="U77" i="84" s="1"/>
  <c r="T143" i="84" a="1"/>
  <c r="T143" i="84" s="1"/>
  <c r="T110" i="84" a="1"/>
  <c r="T110" i="84" s="1"/>
  <c r="T80" i="84" a="1"/>
  <c r="T80" i="84" s="1"/>
  <c r="R143" i="84" a="1"/>
  <c r="R143" i="84" s="1"/>
  <c r="R80" i="84" a="1"/>
  <c r="R80" i="84" s="1"/>
  <c r="R110" i="84" a="1"/>
  <c r="R110" i="84" s="1"/>
  <c r="U81" i="84" a="1"/>
  <c r="U81" i="84" s="1"/>
  <c r="U111" i="84" a="1"/>
  <c r="U111" i="84" s="1"/>
  <c r="T81" i="84" a="1"/>
  <c r="T81" i="84" s="1"/>
  <c r="T111" i="84" a="1"/>
  <c r="T111" i="84" s="1"/>
  <c r="T144" i="84" a="1"/>
  <c r="T144" i="84" s="1"/>
  <c r="T139" i="84" a="1"/>
  <c r="T139" i="84" s="1"/>
  <c r="T76" i="84" a="1"/>
  <c r="T76" i="84" s="1"/>
  <c r="T106" i="84" a="1"/>
  <c r="T106" i="84" s="1"/>
  <c r="R77" i="84" a="1"/>
  <c r="R77" i="84" s="1"/>
  <c r="R140" i="84" a="1"/>
  <c r="R140" i="84" s="1"/>
  <c r="R107" i="84" a="1"/>
  <c r="R107" i="84" s="1"/>
  <c r="T77" i="84" a="1"/>
  <c r="T77" i="84" s="1"/>
  <c r="T107" i="84" a="1"/>
  <c r="T107" i="84" s="1"/>
  <c r="T140" i="84" a="1"/>
  <c r="T140" i="84" s="1"/>
  <c r="T108" i="84" a="1"/>
  <c r="T108" i="84" s="1"/>
  <c r="T78" i="84" a="1"/>
  <c r="T78" i="84" s="1"/>
  <c r="T141" i="84" a="1"/>
  <c r="T141" i="84" s="1"/>
  <c r="E10" i="76" a="1"/>
  <c r="E10" i="76" s="1"/>
  <c r="E9" i="76" a="1"/>
  <c r="E9" i="76" s="1"/>
  <c r="Q44" i="84" l="1"/>
  <c r="Q110" i="84" s="1" a="1"/>
  <c r="Q110" i="84" s="1"/>
  <c r="H14" i="91"/>
  <c r="I14" i="91" s="1"/>
  <c r="H42" i="91"/>
  <c r="H13" i="91"/>
  <c r="I13" i="91" s="1"/>
  <c r="H12" i="91"/>
  <c r="F20" i="91"/>
  <c r="F32" i="91"/>
  <c r="G32" i="91" s="1"/>
  <c r="F21" i="91"/>
  <c r="G21" i="91" s="1"/>
  <c r="F31" i="91"/>
  <c r="G31" i="91" s="1"/>
  <c r="E305" i="117" s="1" a="1"/>
  <c r="E305" i="117" s="1"/>
  <c r="F22" i="91"/>
  <c r="G22" i="91" s="1"/>
  <c r="H15" i="91"/>
  <c r="I15" i="91" s="1"/>
  <c r="H43" i="91"/>
  <c r="H44" i="91"/>
  <c r="H16" i="91"/>
  <c r="I16" i="91" s="1"/>
  <c r="F33" i="91"/>
  <c r="G33" i="91" s="1"/>
  <c r="Q43" i="84"/>
  <c r="Q77" i="84" a="1"/>
  <c r="Q77" i="84" s="1"/>
  <c r="J53" i="96"/>
  <c r="I54" i="92"/>
  <c r="S73" i="92"/>
  <c r="I60" i="97"/>
  <c r="I128" i="96"/>
  <c r="I18" i="97"/>
  <c r="Q107" i="84" a="1"/>
  <c r="Q107" i="84" s="1"/>
  <c r="Q20" i="82"/>
  <c r="Q41" i="82" s="1" a="1"/>
  <c r="Q41" i="82" s="1"/>
  <c r="Q24" i="82"/>
  <c r="Q45" i="82" s="1" a="1"/>
  <c r="Q45" i="82" s="1"/>
  <c r="Q45" i="84"/>
  <c r="Q111" i="84" s="1" a="1"/>
  <c r="Q111" i="84" s="1"/>
  <c r="Q46" i="84"/>
  <c r="Q145" i="84" s="1" a="1"/>
  <c r="Q145" i="84" s="1"/>
  <c r="Q42" i="84"/>
  <c r="Q21" i="82"/>
  <c r="Q42" i="82" s="1" a="1"/>
  <c r="Q42" i="82" s="1"/>
  <c r="Q47" i="84"/>
  <c r="Q24" i="83"/>
  <c r="Q26" i="82"/>
  <c r="Q47" i="82" s="1" a="1"/>
  <c r="Q47" i="82" s="1"/>
  <c r="Q40" i="84"/>
  <c r="Q19" i="82"/>
  <c r="Q40" i="82" s="1" a="1"/>
  <c r="Q40" i="82" s="1"/>
  <c r="G22" i="82"/>
  <c r="G43" i="82" s="1" a="1"/>
  <c r="G43" i="82" s="1"/>
  <c r="G23" i="83"/>
  <c r="G43" i="84"/>
  <c r="J250" i="81" a="1"/>
  <c r="J250" i="81" s="1"/>
  <c r="J243" i="81" a="1"/>
  <c r="J243" i="81" s="1"/>
  <c r="J245" i="81" a="1"/>
  <c r="J245" i="81" s="1"/>
  <c r="J248" i="81" a="1"/>
  <c r="J248" i="81" s="1"/>
  <c r="J249" i="81" a="1"/>
  <c r="J249" i="81" s="1"/>
  <c r="H19" i="85"/>
  <c r="J31" i="85" s="1" a="1"/>
  <c r="J31" i="85" s="1"/>
  <c r="J244" i="81" a="1"/>
  <c r="J244" i="81" s="1"/>
  <c r="J246" i="81" a="1"/>
  <c r="J246" i="81" s="1"/>
  <c r="J247" i="81" a="1"/>
  <c r="J247" i="81" s="1"/>
  <c r="G20" i="82"/>
  <c r="G41" i="82" s="1" a="1"/>
  <c r="G41" i="82" s="1"/>
  <c r="G41" i="84"/>
  <c r="G45" i="84"/>
  <c r="G24" i="82"/>
  <c r="G45" i="82" s="1" a="1"/>
  <c r="G45" i="82" s="1"/>
  <c r="I19" i="86"/>
  <c r="I24" i="86" s="1" a="1"/>
  <c r="I24" i="86" s="1"/>
  <c r="I23" i="87"/>
  <c r="G21" i="82"/>
  <c r="G42" i="82" s="1" a="1"/>
  <c r="G42" i="82" s="1"/>
  <c r="G42" i="84"/>
  <c r="F19" i="85"/>
  <c r="H31" i="85" s="1" a="1"/>
  <c r="H31" i="85" s="1"/>
  <c r="H245" i="81" a="1"/>
  <c r="H245" i="81" s="1"/>
  <c r="H249" i="81" a="1"/>
  <c r="H249" i="81" s="1"/>
  <c r="H246" i="81" a="1"/>
  <c r="H246" i="81" s="1"/>
  <c r="H243" i="81" a="1"/>
  <c r="H243" i="81" s="1"/>
  <c r="H248" i="81" a="1"/>
  <c r="H248" i="81" s="1"/>
  <c r="H250" i="81" a="1"/>
  <c r="H250" i="81" s="1"/>
  <c r="H244" i="81" a="1"/>
  <c r="H244" i="81" s="1"/>
  <c r="H247" i="81" a="1"/>
  <c r="H247" i="81" s="1"/>
  <c r="G25" i="82"/>
  <c r="G46" i="82" s="1" a="1"/>
  <c r="G46" i="82" s="1"/>
  <c r="G46" i="84"/>
  <c r="I45" i="84"/>
  <c r="I24" i="82"/>
  <c r="I45" i="82" s="1" a="1"/>
  <c r="I45" i="82" s="1"/>
  <c r="G44" i="84"/>
  <c r="G23" i="82"/>
  <c r="G44" i="82" s="1" a="1"/>
  <c r="G44" i="82" s="1"/>
  <c r="I25" i="82"/>
  <c r="I46" i="82" s="1" a="1"/>
  <c r="I46" i="82" s="1"/>
  <c r="I46" i="84"/>
  <c r="G47" i="84"/>
  <c r="G24" i="83"/>
  <c r="G26" i="82"/>
  <c r="G47" i="82" s="1" a="1"/>
  <c r="G47" i="82" s="1"/>
  <c r="I41" i="84"/>
  <c r="I20" i="82"/>
  <c r="I41" i="82" s="1" a="1"/>
  <c r="I41" i="82" s="1"/>
  <c r="G19" i="82"/>
  <c r="G40" i="82" s="1" a="1"/>
  <c r="G40" i="82" s="1"/>
  <c r="G40" i="84"/>
  <c r="I42" i="84"/>
  <c r="I21" i="82"/>
  <c r="I42" i="82" s="1" a="1"/>
  <c r="I42" i="82" s="1"/>
  <c r="G19" i="86"/>
  <c r="G24" i="86" s="1" a="1"/>
  <c r="G24" i="86" s="1"/>
  <c r="G23" i="87"/>
  <c r="I44" i="84"/>
  <c r="I23" i="82"/>
  <c r="I44" i="82" s="1" a="1"/>
  <c r="I44" i="82" s="1"/>
  <c r="I40" i="84"/>
  <c r="I19" i="82"/>
  <c r="I40" i="82" s="1" a="1"/>
  <c r="I40" i="82" s="1"/>
  <c r="I47" i="84"/>
  <c r="I26" i="82"/>
  <c r="I47" i="82" s="1" a="1"/>
  <c r="I47" i="82" s="1"/>
  <c r="I24" i="83"/>
  <c r="I22" i="82"/>
  <c r="I43" i="82" s="1" a="1"/>
  <c r="I43" i="82" s="1"/>
  <c r="I23" i="83"/>
  <c r="I43" i="84"/>
  <c r="D19" i="85"/>
  <c r="F31" i="85" s="1" a="1"/>
  <c r="F31" i="85" s="1"/>
  <c r="F243" i="81" a="1"/>
  <c r="F243" i="81" s="1"/>
  <c r="F250" i="81" a="1"/>
  <c r="F250" i="81" s="1"/>
  <c r="F245" i="81" a="1"/>
  <c r="F245" i="81" s="1"/>
  <c r="F247" i="81" a="1"/>
  <c r="F247" i="81" s="1"/>
  <c r="F244" i="81" a="1"/>
  <c r="F244" i="81" s="1"/>
  <c r="F248" i="81" a="1"/>
  <c r="F248" i="81" s="1"/>
  <c r="F246" i="81" a="1"/>
  <c r="F246" i="81" s="1"/>
  <c r="F249" i="81" a="1"/>
  <c r="F249" i="81" s="1"/>
  <c r="F69" i="13"/>
  <c r="G81" i="13"/>
  <c r="G82" i="13" s="1"/>
  <c r="G79" i="13"/>
  <c r="G80" i="13" s="1"/>
  <c r="G20" i="91" l="1"/>
  <c r="E237" i="117" s="1" a="1"/>
  <c r="P50" i="92" a="1"/>
  <c r="I43" i="91"/>
  <c r="J43" i="91"/>
  <c r="Q80" i="84" a="1"/>
  <c r="Q80" i="84" s="1"/>
  <c r="I44" i="91"/>
  <c r="J44" i="91"/>
  <c r="H305" i="117" a="1"/>
  <c r="H305" i="117" s="1"/>
  <c r="G305" i="117" a="1"/>
  <c r="G305" i="117" s="1"/>
  <c r="F305" i="117" a="1"/>
  <c r="I12" i="91"/>
  <c r="P45" i="92" a="1"/>
  <c r="Q143" i="84" a="1"/>
  <c r="Q143" i="84" s="1"/>
  <c r="I42" i="91"/>
  <c r="J42" i="91"/>
  <c r="F20" i="94" a="1"/>
  <c r="F20" i="94" s="1"/>
  <c r="G20" i="94" a="1"/>
  <c r="E25" i="95" a="1"/>
  <c r="Q112" i="84" a="1"/>
  <c r="Q112" i="84" s="1"/>
  <c r="Q82" i="84" a="1"/>
  <c r="Q82" i="84" s="1"/>
  <c r="Q144" i="84" a="1"/>
  <c r="Q144" i="84" s="1"/>
  <c r="Q81" i="84" a="1"/>
  <c r="Q81" i="84" s="1"/>
  <c r="P49" i="82"/>
  <c r="R61" i="82" s="1"/>
  <c r="Q106" i="84" a="1"/>
  <c r="Q106" i="84" s="1"/>
  <c r="Q76" i="84" a="1"/>
  <c r="Q76" i="84" s="1"/>
  <c r="Q139" i="84" a="1"/>
  <c r="Q139" i="84" s="1"/>
  <c r="Q108" i="84" a="1"/>
  <c r="Q108" i="84" s="1"/>
  <c r="Q78" i="84" a="1"/>
  <c r="Q78" i="84" s="1"/>
  <c r="Q141" i="84" a="1"/>
  <c r="Q141" i="84" s="1"/>
  <c r="G143" i="84" a="1"/>
  <c r="G143" i="84" s="1"/>
  <c r="G80" i="84" a="1"/>
  <c r="G80" i="84" s="1"/>
  <c r="G110" i="84" a="1"/>
  <c r="G110" i="84" s="1"/>
  <c r="J44" i="84"/>
  <c r="J23" i="82"/>
  <c r="J44" i="82" s="1" a="1"/>
  <c r="J44" i="82" s="1"/>
  <c r="I107" i="84" a="1"/>
  <c r="I107" i="84" s="1"/>
  <c r="I140" i="84" a="1"/>
  <c r="I140" i="84" s="1"/>
  <c r="I77" i="84" a="1"/>
  <c r="I77" i="84" s="1"/>
  <c r="I111" i="84" a="1"/>
  <c r="I111" i="84" s="1"/>
  <c r="I144" i="84" a="1"/>
  <c r="I144" i="84" s="1"/>
  <c r="I81" i="84" a="1"/>
  <c r="I81" i="84" s="1"/>
  <c r="H44" i="84"/>
  <c r="H23" i="82"/>
  <c r="H44" i="82" s="1" a="1"/>
  <c r="H44" i="82" s="1"/>
  <c r="J19" i="82"/>
  <c r="J40" i="82" s="1" a="1"/>
  <c r="J40" i="82" s="1"/>
  <c r="J40" i="84"/>
  <c r="J41" i="84"/>
  <c r="J20" i="82"/>
  <c r="J41" i="82" s="1" a="1"/>
  <c r="J41" i="82" s="1"/>
  <c r="J23" i="87"/>
  <c r="J19" i="86"/>
  <c r="J24" i="86" s="1" a="1"/>
  <c r="J24" i="86" s="1"/>
  <c r="I110" i="84" a="1"/>
  <c r="I110" i="84" s="1"/>
  <c r="I80" i="84" a="1"/>
  <c r="I80" i="84" s="1"/>
  <c r="I143" i="84" a="1"/>
  <c r="I143" i="84" s="1"/>
  <c r="G82" i="84" a="1"/>
  <c r="G82" i="84" s="1"/>
  <c r="G145" i="84" a="1"/>
  <c r="G145" i="84" s="1"/>
  <c r="G112" i="84" a="1"/>
  <c r="G112" i="84" s="1"/>
  <c r="J21" i="82"/>
  <c r="J42" i="82" s="1" a="1"/>
  <c r="J42" i="82" s="1"/>
  <c r="J42" i="84"/>
  <c r="H41" i="84"/>
  <c r="H20" i="82"/>
  <c r="H41" i="82" s="1" a="1"/>
  <c r="H41" i="82" s="1"/>
  <c r="J26" i="82"/>
  <c r="J47" i="82" s="1" a="1"/>
  <c r="J47" i="82" s="1"/>
  <c r="J47" i="84"/>
  <c r="J24" i="83"/>
  <c r="I82" i="84" a="1"/>
  <c r="I82" i="84" s="1"/>
  <c r="I112" i="84" a="1"/>
  <c r="I112" i="84" s="1"/>
  <c r="I145" i="84" a="1"/>
  <c r="I145" i="84" s="1"/>
  <c r="H26" i="82"/>
  <c r="H47" i="82" s="1" a="1"/>
  <c r="H47" i="82" s="1"/>
  <c r="H47" i="84"/>
  <c r="H24" i="83"/>
  <c r="H21" i="82"/>
  <c r="H42" i="82" s="1" a="1"/>
  <c r="H42" i="82" s="1"/>
  <c r="H42" i="84"/>
  <c r="J23" i="83"/>
  <c r="J22" i="82"/>
  <c r="J43" i="82" s="1" a="1"/>
  <c r="J43" i="82" s="1"/>
  <c r="J43" i="84"/>
  <c r="I141" i="84" a="1"/>
  <c r="I141" i="84" s="1"/>
  <c r="I108" i="84" a="1"/>
  <c r="I108" i="84" s="1"/>
  <c r="I78" i="84" a="1"/>
  <c r="I78" i="84" s="1"/>
  <c r="H24" i="82"/>
  <c r="H45" i="82" s="1" a="1"/>
  <c r="H45" i="82" s="1"/>
  <c r="H45" i="84"/>
  <c r="G81" i="84" a="1"/>
  <c r="G81" i="84" s="1"/>
  <c r="G111" i="84" a="1"/>
  <c r="G111" i="84" s="1"/>
  <c r="G144" i="84" a="1"/>
  <c r="G144" i="84" s="1"/>
  <c r="H19" i="82"/>
  <c r="H40" i="82" s="1" a="1"/>
  <c r="H40" i="82" s="1"/>
  <c r="H40" i="84"/>
  <c r="G77" i="84" a="1"/>
  <c r="G77" i="84" s="1"/>
  <c r="G140" i="84" a="1"/>
  <c r="G140" i="84" s="1"/>
  <c r="G107" i="84" a="1"/>
  <c r="G107" i="84" s="1"/>
  <c r="H19" i="86"/>
  <c r="H24" i="86" s="1" a="1"/>
  <c r="H24" i="86" s="1"/>
  <c r="H23" i="87"/>
  <c r="I76" i="84" a="1"/>
  <c r="I76" i="84" s="1"/>
  <c r="I106" i="84" a="1"/>
  <c r="I106" i="84" s="1"/>
  <c r="I139" i="84" a="1"/>
  <c r="I139" i="84" s="1"/>
  <c r="G108" i="84" a="1"/>
  <c r="G108" i="84" s="1"/>
  <c r="G141" i="84" a="1"/>
  <c r="G141" i="84" s="1"/>
  <c r="G78" i="84" a="1"/>
  <c r="G78" i="84" s="1"/>
  <c r="J46" i="84"/>
  <c r="J25" i="82"/>
  <c r="J46" i="82" s="1" a="1"/>
  <c r="J46" i="82" s="1"/>
  <c r="H23" i="83"/>
  <c r="H22" i="82"/>
  <c r="H43" i="82" s="1" a="1"/>
  <c r="H43" i="82" s="1"/>
  <c r="H43" i="84"/>
  <c r="J24" i="82"/>
  <c r="J45" i="82" s="1" a="1"/>
  <c r="J45" i="82" s="1"/>
  <c r="J45" i="84"/>
  <c r="G106" i="84" a="1"/>
  <c r="G106" i="84" s="1"/>
  <c r="G76" i="84" a="1"/>
  <c r="G76" i="84" s="1"/>
  <c r="G139" i="84" a="1"/>
  <c r="G139" i="84" s="1"/>
  <c r="H46" i="84"/>
  <c r="H25" i="82"/>
  <c r="H46" i="82" s="1" a="1"/>
  <c r="H46" i="82" s="1"/>
  <c r="F45" i="84"/>
  <c r="F24" i="82"/>
  <c r="F45" i="82" s="1" a="1"/>
  <c r="F45" i="82" s="1"/>
  <c r="F46" i="84"/>
  <c r="F25" i="82"/>
  <c r="F46" i="82" s="1" a="1"/>
  <c r="F46" i="82" s="1"/>
  <c r="F20" i="82"/>
  <c r="F41" i="82" s="1" a="1"/>
  <c r="F41" i="82" s="1"/>
  <c r="F41" i="84"/>
  <c r="F23" i="82"/>
  <c r="F44" i="82" s="1" a="1"/>
  <c r="F44" i="82" s="1"/>
  <c r="F44" i="84"/>
  <c r="F42" i="84"/>
  <c r="F21" i="82"/>
  <c r="F42" i="82" s="1" a="1"/>
  <c r="F42" i="82" s="1"/>
  <c r="F24" i="83"/>
  <c r="F47" i="84"/>
  <c r="F26" i="82"/>
  <c r="F47" i="82" s="1" a="1"/>
  <c r="F47" i="82" s="1"/>
  <c r="F43" i="84"/>
  <c r="F23" i="83"/>
  <c r="F22" i="82"/>
  <c r="F43" i="82" s="1" a="1"/>
  <c r="F43" i="82" s="1"/>
  <c r="F40" i="84"/>
  <c r="F19" i="82"/>
  <c r="F40" i="82" s="1" a="1"/>
  <c r="F40" i="82" s="1"/>
  <c r="F23" i="87"/>
  <c r="F19" i="86"/>
  <c r="F24" i="86" s="1" a="1"/>
  <c r="F24" i="86" s="1"/>
  <c r="F70" i="13"/>
  <c r="G69" i="13"/>
  <c r="G71" i="13"/>
  <c r="G67" i="13"/>
  <c r="F79" i="13"/>
  <c r="F80" i="13"/>
  <c r="E29" i="13" a="1"/>
  <c r="E29" i="13" s="1"/>
  <c r="H29" i="13" s="1"/>
  <c r="E28" i="13" a="1"/>
  <c r="E28" i="13" s="1"/>
  <c r="E27" i="13" a="1"/>
  <c r="E27" i="13" s="1"/>
  <c r="F27" i="13" s="1"/>
  <c r="E26" i="13" a="1"/>
  <c r="E26" i="13" s="1"/>
  <c r="H26" i="13" s="1"/>
  <c r="E25" i="13" a="1"/>
  <c r="E25" i="13" s="1"/>
  <c r="F25" i="13" s="1"/>
  <c r="E24" i="13" a="1"/>
  <c r="E24" i="13" s="1"/>
  <c r="E23" i="13" a="1"/>
  <c r="E23" i="13" s="1"/>
  <c r="H23" i="13" s="1"/>
  <c r="D40" i="13" a="1"/>
  <c r="D40" i="13" s="1"/>
  <c r="D51" i="13" a="1"/>
  <c r="F81" i="13"/>
  <c r="D36" i="13" a="1"/>
  <c r="D36" i="13" s="1"/>
  <c r="E13" i="72"/>
  <c r="E18" i="75"/>
  <c r="E259" i="74" a="1"/>
  <c r="E259" i="74" s="1"/>
  <c r="D259" i="74" a="1"/>
  <c r="D259" i="74" s="1"/>
  <c r="E258" i="74" a="1"/>
  <c r="E258" i="74" s="1"/>
  <c r="D258" i="74" a="1"/>
  <c r="D258" i="74" s="1"/>
  <c r="D256" i="74" a="1"/>
  <c r="D256" i="74" s="1"/>
  <c r="D255" i="74" a="1"/>
  <c r="D255" i="74" s="1"/>
  <c r="D254" i="74" a="1"/>
  <c r="D254" i="74" s="1"/>
  <c r="D253" i="74" a="1"/>
  <c r="D253" i="74" s="1"/>
  <c r="S250" i="74" a="1"/>
  <c r="S250" i="74" s="1"/>
  <c r="R250" i="74" a="1"/>
  <c r="R250" i="74" s="1"/>
  <c r="Q250" i="74" a="1"/>
  <c r="Q250" i="74" s="1"/>
  <c r="P250" i="74" a="1"/>
  <c r="P250" i="74" s="1"/>
  <c r="O250" i="74" a="1"/>
  <c r="O250" i="74" s="1"/>
  <c r="N250" i="74" a="1"/>
  <c r="N250" i="74" s="1"/>
  <c r="M250" i="74" a="1"/>
  <c r="M250" i="74" s="1"/>
  <c r="L250" i="74" a="1"/>
  <c r="L250" i="74" s="1"/>
  <c r="K250" i="74" a="1"/>
  <c r="K250" i="74" s="1"/>
  <c r="J250" i="74" a="1"/>
  <c r="J250" i="74" s="1"/>
  <c r="I250" i="74" a="1"/>
  <c r="I250" i="74" s="1"/>
  <c r="H250" i="74" a="1"/>
  <c r="H250" i="74" s="1"/>
  <c r="G250" i="74" a="1"/>
  <c r="G250" i="74" s="1"/>
  <c r="F250" i="74" a="1"/>
  <c r="F250" i="74" s="1"/>
  <c r="E250" i="74" a="1"/>
  <c r="E250" i="74" s="1"/>
  <c r="D250" i="74" a="1"/>
  <c r="D250" i="74" s="1"/>
  <c r="S249" i="74" a="1"/>
  <c r="S249" i="74" s="1"/>
  <c r="R249" i="74" a="1"/>
  <c r="R249" i="74" s="1"/>
  <c r="Q249" i="74" a="1"/>
  <c r="Q249" i="74" s="1"/>
  <c r="P249" i="74" a="1"/>
  <c r="P249" i="74" s="1"/>
  <c r="O249" i="74" a="1"/>
  <c r="O249" i="74" s="1"/>
  <c r="N249" i="74" a="1"/>
  <c r="N249" i="74" s="1"/>
  <c r="M249" i="74" a="1"/>
  <c r="M249" i="74" s="1"/>
  <c r="L249" i="74" a="1"/>
  <c r="L249" i="74" s="1"/>
  <c r="K249" i="74" a="1"/>
  <c r="K249" i="74" s="1"/>
  <c r="J249" i="74" a="1"/>
  <c r="J249" i="74" s="1"/>
  <c r="I249" i="74" a="1"/>
  <c r="I249" i="74" s="1"/>
  <c r="H249" i="74" a="1"/>
  <c r="H249" i="74" s="1"/>
  <c r="G249" i="74" a="1"/>
  <c r="G249" i="74" s="1"/>
  <c r="F249" i="74" a="1"/>
  <c r="F249" i="74" s="1"/>
  <c r="E249" i="74" a="1"/>
  <c r="E249" i="74" s="1"/>
  <c r="D249" i="74" a="1"/>
  <c r="D249" i="74" s="1"/>
  <c r="S248" i="74" a="1"/>
  <c r="S248" i="74" s="1"/>
  <c r="R248" i="74" a="1"/>
  <c r="R248" i="74" s="1"/>
  <c r="Q248" i="74" a="1"/>
  <c r="Q248" i="74" s="1"/>
  <c r="P248" i="74" a="1"/>
  <c r="P248" i="74" s="1"/>
  <c r="O248" i="74" a="1"/>
  <c r="O248" i="74" s="1"/>
  <c r="N248" i="74" a="1"/>
  <c r="N248" i="74" s="1"/>
  <c r="M248" i="74" a="1"/>
  <c r="M248" i="74" s="1"/>
  <c r="L248" i="74" a="1"/>
  <c r="L248" i="74" s="1"/>
  <c r="K248" i="74" a="1"/>
  <c r="K248" i="74" s="1"/>
  <c r="J248" i="74" a="1"/>
  <c r="J248" i="74" s="1"/>
  <c r="I248" i="74" a="1"/>
  <c r="I248" i="74" s="1"/>
  <c r="H248" i="74" a="1"/>
  <c r="H248" i="74" s="1"/>
  <c r="G248" i="74" a="1"/>
  <c r="G248" i="74" s="1"/>
  <c r="F248" i="74" a="1"/>
  <c r="F248" i="74" s="1"/>
  <c r="E248" i="74" a="1"/>
  <c r="E248" i="74" s="1"/>
  <c r="D248" i="74" a="1"/>
  <c r="D248" i="74" s="1"/>
  <c r="S247" i="74" a="1"/>
  <c r="S247" i="74" s="1"/>
  <c r="R247" i="74" a="1"/>
  <c r="R247" i="74" s="1"/>
  <c r="Q247" i="74" a="1"/>
  <c r="Q247" i="74" s="1"/>
  <c r="P247" i="74" a="1"/>
  <c r="P247" i="74" s="1"/>
  <c r="O247" i="74" a="1"/>
  <c r="O247" i="74" s="1"/>
  <c r="N247" i="74" a="1"/>
  <c r="N247" i="74" s="1"/>
  <c r="M247" i="74" a="1"/>
  <c r="M247" i="74" s="1"/>
  <c r="L247" i="74" a="1"/>
  <c r="L247" i="74" s="1"/>
  <c r="K247" i="74" a="1"/>
  <c r="K247" i="74" s="1"/>
  <c r="J247" i="74" a="1"/>
  <c r="J247" i="74" s="1"/>
  <c r="I247" i="74" a="1"/>
  <c r="I247" i="74" s="1"/>
  <c r="H247" i="74" a="1"/>
  <c r="H247" i="74" s="1"/>
  <c r="G247" i="74" a="1"/>
  <c r="G247" i="74" s="1"/>
  <c r="F247" i="74" a="1"/>
  <c r="F247" i="74" s="1"/>
  <c r="E247" i="74" a="1"/>
  <c r="E247" i="74" s="1"/>
  <c r="D247" i="74" a="1"/>
  <c r="D247" i="74" s="1"/>
  <c r="S246" i="74" a="1"/>
  <c r="S246" i="74" s="1"/>
  <c r="R246" i="74" a="1"/>
  <c r="R246" i="74" s="1"/>
  <c r="Q246" i="74" a="1"/>
  <c r="Q246" i="74" s="1"/>
  <c r="P246" i="74" a="1"/>
  <c r="P246" i="74" s="1"/>
  <c r="O246" i="74" a="1"/>
  <c r="O246" i="74" s="1"/>
  <c r="N246" i="74" a="1"/>
  <c r="N246" i="74" s="1"/>
  <c r="M246" i="74" a="1"/>
  <c r="M246" i="74" s="1"/>
  <c r="L246" i="74" a="1"/>
  <c r="L246" i="74" s="1"/>
  <c r="K246" i="74" a="1"/>
  <c r="K246" i="74" s="1"/>
  <c r="J246" i="74" a="1"/>
  <c r="J246" i="74" s="1"/>
  <c r="I246" i="74" a="1"/>
  <c r="I246" i="74" s="1"/>
  <c r="H246" i="74" a="1"/>
  <c r="H246" i="74" s="1"/>
  <c r="G246" i="74" a="1"/>
  <c r="G246" i="74" s="1"/>
  <c r="F246" i="74" a="1"/>
  <c r="F246" i="74" s="1"/>
  <c r="E246" i="74" a="1"/>
  <c r="E246" i="74" s="1"/>
  <c r="D246" i="74" a="1"/>
  <c r="D246" i="74" s="1"/>
  <c r="S245" i="74" a="1"/>
  <c r="S245" i="74" s="1"/>
  <c r="R245" i="74" a="1"/>
  <c r="R245" i="74" s="1"/>
  <c r="Q245" i="74" a="1"/>
  <c r="Q245" i="74" s="1"/>
  <c r="P245" i="74" a="1"/>
  <c r="P245" i="74" s="1"/>
  <c r="O245" i="74" a="1"/>
  <c r="O245" i="74" s="1"/>
  <c r="N245" i="74" a="1"/>
  <c r="N245" i="74" s="1"/>
  <c r="M245" i="74" a="1"/>
  <c r="M245" i="74" s="1"/>
  <c r="L245" i="74" a="1"/>
  <c r="L245" i="74" s="1"/>
  <c r="K245" i="74" a="1"/>
  <c r="K245" i="74" s="1"/>
  <c r="J245" i="74" a="1"/>
  <c r="J245" i="74" s="1"/>
  <c r="I245" i="74" a="1"/>
  <c r="I245" i="74" s="1"/>
  <c r="H245" i="74" a="1"/>
  <c r="H245" i="74" s="1"/>
  <c r="G245" i="74" a="1"/>
  <c r="G245" i="74" s="1"/>
  <c r="F245" i="74" a="1"/>
  <c r="F245" i="74" s="1"/>
  <c r="E245" i="74" a="1"/>
  <c r="E245" i="74" s="1"/>
  <c r="D245" i="74" a="1"/>
  <c r="D245" i="74" s="1"/>
  <c r="S244" i="74" a="1"/>
  <c r="S244" i="74" s="1"/>
  <c r="R244" i="74" a="1"/>
  <c r="R244" i="74" s="1"/>
  <c r="Q244" i="74" a="1"/>
  <c r="Q244" i="74" s="1"/>
  <c r="P244" i="74" a="1"/>
  <c r="P244" i="74" s="1"/>
  <c r="O244" i="74" a="1"/>
  <c r="O244" i="74" s="1"/>
  <c r="N244" i="74" a="1"/>
  <c r="N244" i="74" s="1"/>
  <c r="M244" i="74" a="1"/>
  <c r="M244" i="74" s="1"/>
  <c r="L244" i="74" a="1"/>
  <c r="L244" i="74" s="1"/>
  <c r="K244" i="74" a="1"/>
  <c r="K244" i="74" s="1"/>
  <c r="J244" i="74" a="1"/>
  <c r="J244" i="74" s="1"/>
  <c r="I244" i="74" a="1"/>
  <c r="I244" i="74" s="1"/>
  <c r="H244" i="74" a="1"/>
  <c r="H244" i="74" s="1"/>
  <c r="G244" i="74" a="1"/>
  <c r="G244" i="74" s="1"/>
  <c r="F244" i="74" a="1"/>
  <c r="F244" i="74" s="1"/>
  <c r="E244" i="74" a="1"/>
  <c r="E244" i="74" s="1"/>
  <c r="D244" i="74" a="1"/>
  <c r="D244" i="74" s="1"/>
  <c r="S243" i="74" a="1"/>
  <c r="S243" i="74" s="1"/>
  <c r="R243" i="74" a="1"/>
  <c r="R243" i="74" s="1"/>
  <c r="Q243" i="74" a="1"/>
  <c r="Q243" i="74" s="1"/>
  <c r="P243" i="74" a="1"/>
  <c r="P243" i="74" s="1"/>
  <c r="O243" i="74" a="1"/>
  <c r="O243" i="74" s="1"/>
  <c r="N243" i="74" a="1"/>
  <c r="N243" i="74" s="1"/>
  <c r="M243" i="74" a="1"/>
  <c r="M243" i="74" s="1"/>
  <c r="L243" i="74" a="1"/>
  <c r="L243" i="74" s="1"/>
  <c r="K243" i="74" a="1"/>
  <c r="K243" i="74" s="1"/>
  <c r="J243" i="74" a="1"/>
  <c r="J243" i="74" s="1"/>
  <c r="I243" i="74" a="1"/>
  <c r="I243" i="74" s="1"/>
  <c r="H243" i="74" a="1"/>
  <c r="H243" i="74" s="1"/>
  <c r="G243" i="74" a="1"/>
  <c r="G243" i="74" s="1"/>
  <c r="F243" i="74" a="1"/>
  <c r="F243" i="74" s="1"/>
  <c r="E243" i="74" a="1"/>
  <c r="E243" i="74" s="1"/>
  <c r="D243" i="74" a="1"/>
  <c r="D243" i="74" s="1"/>
  <c r="S242" i="74" a="1"/>
  <c r="S242" i="74" s="1"/>
  <c r="R242" i="74" a="1"/>
  <c r="R242" i="74" s="1"/>
  <c r="Q242" i="74" a="1"/>
  <c r="Q242" i="74" s="1"/>
  <c r="P242" i="74" a="1"/>
  <c r="P242" i="74" s="1"/>
  <c r="O242" i="74" a="1"/>
  <c r="O242" i="74" s="1"/>
  <c r="N242" i="74" a="1"/>
  <c r="N242" i="74" s="1"/>
  <c r="M242" i="74" a="1"/>
  <c r="M242" i="74" s="1"/>
  <c r="L242" i="74" a="1"/>
  <c r="L242" i="74" s="1"/>
  <c r="K242" i="74" a="1"/>
  <c r="K242" i="74" s="1"/>
  <c r="J242" i="74" a="1"/>
  <c r="J242" i="74" s="1"/>
  <c r="I242" i="74" a="1"/>
  <c r="I242" i="74" s="1"/>
  <c r="H242" i="74" a="1"/>
  <c r="H242" i="74" s="1"/>
  <c r="G242" i="74" a="1"/>
  <c r="G242" i="74" s="1"/>
  <c r="F242" i="74" a="1"/>
  <c r="F242" i="74" s="1"/>
  <c r="E242" i="74" a="1"/>
  <c r="E242" i="74" s="1"/>
  <c r="D242" i="74" a="1"/>
  <c r="D242" i="74" s="1"/>
  <c r="S241" i="74" a="1"/>
  <c r="S241" i="74" s="1"/>
  <c r="R241" i="74" a="1"/>
  <c r="R241" i="74" s="1"/>
  <c r="Q241" i="74" a="1"/>
  <c r="Q241" i="74" s="1"/>
  <c r="P241" i="74" a="1"/>
  <c r="P241" i="74" s="1"/>
  <c r="O241" i="74" a="1"/>
  <c r="O241" i="74" s="1"/>
  <c r="N241" i="74" a="1"/>
  <c r="N241" i="74" s="1"/>
  <c r="M241" i="74" a="1"/>
  <c r="M241" i="74" s="1"/>
  <c r="L241" i="74" a="1"/>
  <c r="L241" i="74" s="1"/>
  <c r="K241" i="74" a="1"/>
  <c r="K241" i="74" s="1"/>
  <c r="J241" i="74" a="1"/>
  <c r="J241" i="74" s="1"/>
  <c r="I241" i="74" a="1"/>
  <c r="I241" i="74" s="1"/>
  <c r="H241" i="74" a="1"/>
  <c r="H241" i="74" s="1"/>
  <c r="G241" i="74" a="1"/>
  <c r="G241" i="74" s="1"/>
  <c r="F241" i="74" a="1"/>
  <c r="F241" i="74" s="1"/>
  <c r="E241" i="74" a="1"/>
  <c r="E241" i="74" s="1"/>
  <c r="D241" i="74" a="1"/>
  <c r="D241" i="74" s="1"/>
  <c r="S240" i="74" a="1"/>
  <c r="S240" i="74" s="1"/>
  <c r="R240" i="74" a="1"/>
  <c r="R240" i="74" s="1"/>
  <c r="Q240" i="74" a="1"/>
  <c r="Q240" i="74" s="1"/>
  <c r="P240" i="74" a="1"/>
  <c r="P240" i="74" s="1"/>
  <c r="O240" i="74" a="1"/>
  <c r="O240" i="74" s="1"/>
  <c r="N240" i="74" a="1"/>
  <c r="N240" i="74" s="1"/>
  <c r="M240" i="74" a="1"/>
  <c r="M240" i="74" s="1"/>
  <c r="L240" i="74" a="1"/>
  <c r="L240" i="74" s="1"/>
  <c r="K240" i="74" a="1"/>
  <c r="K240" i="74" s="1"/>
  <c r="J240" i="74" a="1"/>
  <c r="J240" i="74" s="1"/>
  <c r="I240" i="74" a="1"/>
  <c r="I240" i="74" s="1"/>
  <c r="H240" i="74" a="1"/>
  <c r="H240" i="74" s="1"/>
  <c r="G240" i="74" a="1"/>
  <c r="G240" i="74" s="1"/>
  <c r="F240" i="74" a="1"/>
  <c r="F240" i="74" s="1"/>
  <c r="E240" i="74" a="1"/>
  <c r="E240" i="74" s="1"/>
  <c r="D240" i="74" a="1"/>
  <c r="D240" i="74" s="1"/>
  <c r="S239" i="74" a="1"/>
  <c r="S239" i="74" s="1"/>
  <c r="R239" i="74" a="1"/>
  <c r="R239" i="74" s="1"/>
  <c r="Q239" i="74" a="1"/>
  <c r="Q239" i="74" s="1"/>
  <c r="P239" i="74" a="1"/>
  <c r="P239" i="74" s="1"/>
  <c r="O239" i="74" a="1"/>
  <c r="O239" i="74" s="1"/>
  <c r="N239" i="74" a="1"/>
  <c r="N239" i="74" s="1"/>
  <c r="M239" i="74" a="1"/>
  <c r="M239" i="74" s="1"/>
  <c r="L239" i="74" a="1"/>
  <c r="L239" i="74" s="1"/>
  <c r="K239" i="74" a="1"/>
  <c r="K239" i="74" s="1"/>
  <c r="J239" i="74" a="1"/>
  <c r="J239" i="74" s="1"/>
  <c r="I239" i="74" a="1"/>
  <c r="I239" i="74" s="1"/>
  <c r="H239" i="74" a="1"/>
  <c r="H239" i="74" s="1"/>
  <c r="G239" i="74" a="1"/>
  <c r="G239" i="74" s="1"/>
  <c r="F239" i="74" a="1"/>
  <c r="F239" i="74" s="1"/>
  <c r="E239" i="74" a="1"/>
  <c r="E239" i="74" s="1"/>
  <c r="D239" i="74" a="1"/>
  <c r="D239" i="74" s="1"/>
  <c r="S238" i="74" a="1"/>
  <c r="S238" i="74" s="1"/>
  <c r="R238" i="74" a="1"/>
  <c r="R238" i="74" s="1"/>
  <c r="Q238" i="74" a="1"/>
  <c r="Q238" i="74" s="1"/>
  <c r="P238" i="74" a="1"/>
  <c r="P238" i="74" s="1"/>
  <c r="O238" i="74" a="1"/>
  <c r="O238" i="74" s="1"/>
  <c r="N238" i="74" a="1"/>
  <c r="N238" i="74" s="1"/>
  <c r="M238" i="74" a="1"/>
  <c r="M238" i="74" s="1"/>
  <c r="L238" i="74" a="1"/>
  <c r="L238" i="74" s="1"/>
  <c r="K238" i="74" a="1"/>
  <c r="K238" i="74" s="1"/>
  <c r="J238" i="74" a="1"/>
  <c r="J238" i="74" s="1"/>
  <c r="I238" i="74" a="1"/>
  <c r="I238" i="74" s="1"/>
  <c r="H238" i="74" a="1"/>
  <c r="H238" i="74" s="1"/>
  <c r="G238" i="74" a="1"/>
  <c r="G238" i="74" s="1"/>
  <c r="F238" i="74" a="1"/>
  <c r="F238" i="74" s="1"/>
  <c r="E238" i="74" a="1"/>
  <c r="E238" i="74" s="1"/>
  <c r="D238" i="74" a="1"/>
  <c r="D238" i="74" s="1"/>
  <c r="S237" i="74" a="1"/>
  <c r="S237" i="74" s="1"/>
  <c r="R237" i="74" a="1"/>
  <c r="R237" i="74" s="1"/>
  <c r="Q237" i="74" a="1"/>
  <c r="Q237" i="74" s="1"/>
  <c r="P237" i="74" a="1"/>
  <c r="P237" i="74" s="1"/>
  <c r="O237" i="74" a="1"/>
  <c r="O237" i="74" s="1"/>
  <c r="N237" i="74" a="1"/>
  <c r="N237" i="74" s="1"/>
  <c r="M237" i="74" a="1"/>
  <c r="M237" i="74" s="1"/>
  <c r="L237" i="74" a="1"/>
  <c r="L237" i="74" s="1"/>
  <c r="K237" i="74" a="1"/>
  <c r="K237" i="74" s="1"/>
  <c r="J237" i="74" a="1"/>
  <c r="J237" i="74" s="1"/>
  <c r="I237" i="74" a="1"/>
  <c r="I237" i="74" s="1"/>
  <c r="H237" i="74" a="1"/>
  <c r="H237" i="74" s="1"/>
  <c r="G237" i="74" a="1"/>
  <c r="G237" i="74" s="1"/>
  <c r="F237" i="74" a="1"/>
  <c r="F237" i="74" s="1"/>
  <c r="E237" i="74" a="1"/>
  <c r="E237" i="74" s="1"/>
  <c r="D237" i="74" a="1"/>
  <c r="D237" i="74" s="1"/>
  <c r="S236" i="74" a="1"/>
  <c r="S236" i="74" s="1"/>
  <c r="R236" i="74" a="1"/>
  <c r="R236" i="74" s="1"/>
  <c r="Q236" i="74" a="1"/>
  <c r="Q236" i="74" s="1"/>
  <c r="P236" i="74" a="1"/>
  <c r="P236" i="74" s="1"/>
  <c r="O236" i="74" a="1"/>
  <c r="O236" i="74" s="1"/>
  <c r="N236" i="74" a="1"/>
  <c r="N236" i="74" s="1"/>
  <c r="M236" i="74" a="1"/>
  <c r="M236" i="74" s="1"/>
  <c r="L236" i="74" a="1"/>
  <c r="L236" i="74" s="1"/>
  <c r="K236" i="74" a="1"/>
  <c r="K236" i="74" s="1"/>
  <c r="J236" i="74" a="1"/>
  <c r="J236" i="74" s="1"/>
  <c r="I236" i="74" a="1"/>
  <c r="I236" i="74" s="1"/>
  <c r="H236" i="74" a="1"/>
  <c r="H236" i="74" s="1"/>
  <c r="G236" i="74" a="1"/>
  <c r="G236" i="74" s="1"/>
  <c r="F236" i="74" a="1"/>
  <c r="F236" i="74" s="1"/>
  <c r="E236" i="74" a="1"/>
  <c r="E236" i="74" s="1"/>
  <c r="D236" i="74" a="1"/>
  <c r="D236" i="74" s="1"/>
  <c r="S235" i="74" a="1"/>
  <c r="S235" i="74" s="1"/>
  <c r="R235" i="74" a="1"/>
  <c r="R235" i="74" s="1"/>
  <c r="Q235" i="74" a="1"/>
  <c r="Q235" i="74" s="1"/>
  <c r="P235" i="74" a="1"/>
  <c r="P235" i="74" s="1"/>
  <c r="O235" i="74" a="1"/>
  <c r="O235" i="74" s="1"/>
  <c r="N235" i="74" a="1"/>
  <c r="N235" i="74" s="1"/>
  <c r="M235" i="74" a="1"/>
  <c r="M235" i="74" s="1"/>
  <c r="L235" i="74" a="1"/>
  <c r="L235" i="74" s="1"/>
  <c r="K235" i="74" a="1"/>
  <c r="K235" i="74" s="1"/>
  <c r="J235" i="74" a="1"/>
  <c r="J235" i="74" s="1"/>
  <c r="I235" i="74" a="1"/>
  <c r="I235" i="74" s="1"/>
  <c r="H235" i="74" a="1"/>
  <c r="H235" i="74" s="1"/>
  <c r="G235" i="74" a="1"/>
  <c r="G235" i="74" s="1"/>
  <c r="F235" i="74" a="1"/>
  <c r="F235" i="74" s="1"/>
  <c r="E235" i="74" a="1"/>
  <c r="E235" i="74" s="1"/>
  <c r="D235" i="74" a="1"/>
  <c r="D235" i="74" s="1"/>
  <c r="S234" i="74" a="1"/>
  <c r="S234" i="74" s="1"/>
  <c r="R234" i="74" a="1"/>
  <c r="R234" i="74" s="1"/>
  <c r="Q234" i="74" a="1"/>
  <c r="Q234" i="74" s="1"/>
  <c r="P234" i="74" a="1"/>
  <c r="P234" i="74" s="1"/>
  <c r="O234" i="74" a="1"/>
  <c r="O234" i="74" s="1"/>
  <c r="N234" i="74" a="1"/>
  <c r="N234" i="74" s="1"/>
  <c r="M234" i="74" a="1"/>
  <c r="M234" i="74" s="1"/>
  <c r="L234" i="74" a="1"/>
  <c r="L234" i="74" s="1"/>
  <c r="K234" i="74" a="1"/>
  <c r="K234" i="74" s="1"/>
  <c r="J234" i="74" a="1"/>
  <c r="J234" i="74" s="1"/>
  <c r="I234" i="74" a="1"/>
  <c r="I234" i="74" s="1"/>
  <c r="H234" i="74" a="1"/>
  <c r="H234" i="74" s="1"/>
  <c r="G234" i="74" a="1"/>
  <c r="G234" i="74" s="1"/>
  <c r="F234" i="74" a="1"/>
  <c r="F234" i="74" s="1"/>
  <c r="E234" i="74" a="1"/>
  <c r="E234" i="74" s="1"/>
  <c r="D234" i="74" a="1"/>
  <c r="D234" i="74" s="1"/>
  <c r="S233" i="74" a="1"/>
  <c r="S233" i="74" s="1"/>
  <c r="R233" i="74" a="1"/>
  <c r="R233" i="74" s="1"/>
  <c r="Q233" i="74" a="1"/>
  <c r="Q233" i="74" s="1"/>
  <c r="P233" i="74" a="1"/>
  <c r="P233" i="74" s="1"/>
  <c r="O233" i="74" a="1"/>
  <c r="O233" i="74" s="1"/>
  <c r="N233" i="74" a="1"/>
  <c r="N233" i="74" s="1"/>
  <c r="M233" i="74" a="1"/>
  <c r="M233" i="74" s="1"/>
  <c r="L233" i="74" a="1"/>
  <c r="L233" i="74" s="1"/>
  <c r="K233" i="74" a="1"/>
  <c r="K233" i="74" s="1"/>
  <c r="J233" i="74" a="1"/>
  <c r="J233" i="74" s="1"/>
  <c r="I233" i="74" a="1"/>
  <c r="I233" i="74" s="1"/>
  <c r="H233" i="74" a="1"/>
  <c r="H233" i="74" s="1"/>
  <c r="G233" i="74" a="1"/>
  <c r="G233" i="74" s="1"/>
  <c r="F233" i="74" a="1"/>
  <c r="F233" i="74" s="1"/>
  <c r="E233" i="74" a="1"/>
  <c r="E233" i="74" s="1"/>
  <c r="D233" i="74" a="1"/>
  <c r="D233" i="74" s="1"/>
  <c r="S232" i="74" a="1"/>
  <c r="S232" i="74" s="1"/>
  <c r="R232" i="74" a="1"/>
  <c r="R232" i="74" s="1"/>
  <c r="Q232" i="74" a="1"/>
  <c r="Q232" i="74" s="1"/>
  <c r="P232" i="74" a="1"/>
  <c r="P232" i="74" s="1"/>
  <c r="O232" i="74" a="1"/>
  <c r="O232" i="74" s="1"/>
  <c r="N232" i="74" a="1"/>
  <c r="N232" i="74" s="1"/>
  <c r="M232" i="74" a="1"/>
  <c r="M232" i="74" s="1"/>
  <c r="L232" i="74" a="1"/>
  <c r="L232" i="74" s="1"/>
  <c r="K232" i="74" a="1"/>
  <c r="K232" i="74" s="1"/>
  <c r="J232" i="74" a="1"/>
  <c r="J232" i="74" s="1"/>
  <c r="I232" i="74" a="1"/>
  <c r="I232" i="74" s="1"/>
  <c r="H232" i="74" a="1"/>
  <c r="H232" i="74" s="1"/>
  <c r="G232" i="74" a="1"/>
  <c r="G232" i="74" s="1"/>
  <c r="F232" i="74" a="1"/>
  <c r="F232" i="74" s="1"/>
  <c r="E232" i="74" a="1"/>
  <c r="E232" i="74" s="1"/>
  <c r="D232" i="74" a="1"/>
  <c r="D232" i="74" s="1"/>
  <c r="D229" i="74" a="1"/>
  <c r="D229" i="74" s="1"/>
  <c r="D228" i="74" a="1"/>
  <c r="D228" i="74" s="1"/>
  <c r="D227" i="74" a="1"/>
  <c r="D227" i="74" s="1"/>
  <c r="E224" i="74" a="1"/>
  <c r="E224" i="74" s="1"/>
  <c r="D224" i="74" a="1"/>
  <c r="D224" i="74" s="1"/>
  <c r="E223" i="74" a="1"/>
  <c r="E223" i="74" s="1"/>
  <c r="D223" i="74" a="1"/>
  <c r="D223" i="74" s="1"/>
  <c r="E222" i="74" a="1"/>
  <c r="E222" i="74" s="1"/>
  <c r="D222" i="74" a="1"/>
  <c r="D222" i="74" s="1"/>
  <c r="E221" i="74" a="1"/>
  <c r="E221" i="74" s="1"/>
  <c r="D221" i="74" a="1"/>
  <c r="D221" i="74" s="1"/>
  <c r="E220" i="74" a="1"/>
  <c r="E220" i="74" s="1"/>
  <c r="D220" i="74" a="1"/>
  <c r="D220" i="74" s="1"/>
  <c r="E219" i="74" a="1"/>
  <c r="E219" i="74" s="1"/>
  <c r="D219" i="74" a="1"/>
  <c r="D219" i="74" s="1"/>
  <c r="E218" i="74" a="1"/>
  <c r="E218" i="74" s="1"/>
  <c r="D218" i="74" a="1"/>
  <c r="D218" i="74" s="1"/>
  <c r="E217" i="74" a="1"/>
  <c r="E217" i="74" s="1"/>
  <c r="D217" i="74" a="1"/>
  <c r="D217" i="74" s="1"/>
  <c r="E216" i="74" a="1"/>
  <c r="E216" i="74" s="1"/>
  <c r="D216" i="74" a="1"/>
  <c r="D216" i="74" s="1"/>
  <c r="E215" i="74" a="1"/>
  <c r="E215" i="74" s="1"/>
  <c r="D215" i="74" a="1"/>
  <c r="D215" i="74" s="1"/>
  <c r="E214" i="74" a="1"/>
  <c r="E214" i="74" s="1"/>
  <c r="D214" i="74" a="1"/>
  <c r="D214" i="74" s="1"/>
  <c r="E213" i="74" a="1"/>
  <c r="E213" i="74" s="1"/>
  <c r="D213" i="74" a="1"/>
  <c r="D213" i="74" s="1"/>
  <c r="D211" i="74" a="1"/>
  <c r="D211" i="74" s="1"/>
  <c r="E208" i="74" a="1"/>
  <c r="E208" i="74" s="1"/>
  <c r="D208" i="74" a="1"/>
  <c r="D208" i="74" s="1"/>
  <c r="E207" i="74" a="1"/>
  <c r="E207" i="74" s="1"/>
  <c r="D207" i="74" a="1"/>
  <c r="D207" i="74" s="1"/>
  <c r="D205" i="74" a="1"/>
  <c r="D205" i="74" s="1"/>
  <c r="D204" i="74" a="1"/>
  <c r="D204" i="74" s="1"/>
  <c r="D203" i="74" a="1"/>
  <c r="D203" i="74" s="1"/>
  <c r="D202" i="74" a="1"/>
  <c r="D202" i="74" s="1"/>
  <c r="H199" i="74" a="1"/>
  <c r="H199" i="74" s="1"/>
  <c r="G199" i="74" a="1"/>
  <c r="G199" i="74" s="1"/>
  <c r="F199" i="74" a="1"/>
  <c r="F199" i="74" s="1"/>
  <c r="E199" i="74" a="1"/>
  <c r="E199" i="74" s="1"/>
  <c r="D199" i="74" a="1"/>
  <c r="D199" i="74" s="1"/>
  <c r="H198" i="74" a="1"/>
  <c r="H198" i="74" s="1"/>
  <c r="G198" i="74" a="1"/>
  <c r="G198" i="74" s="1"/>
  <c r="F198" i="74" a="1"/>
  <c r="F198" i="74" s="1"/>
  <c r="E198" i="74" a="1"/>
  <c r="E198" i="74" s="1"/>
  <c r="D198" i="74" a="1"/>
  <c r="D198" i="74" s="1"/>
  <c r="H197" i="74" a="1"/>
  <c r="H197" i="74" s="1"/>
  <c r="G197" i="74" a="1"/>
  <c r="G197" i="74" s="1"/>
  <c r="F197" i="74" a="1"/>
  <c r="F197" i="74" s="1"/>
  <c r="E197" i="74" a="1"/>
  <c r="E197" i="74" s="1"/>
  <c r="D197" i="74" a="1"/>
  <c r="D197" i="74" s="1"/>
  <c r="H196" i="74" a="1"/>
  <c r="H196" i="74" s="1"/>
  <c r="G196" i="74" a="1"/>
  <c r="G196" i="74" s="1"/>
  <c r="F196" i="74" a="1"/>
  <c r="F196" i="74" s="1"/>
  <c r="E196" i="74" a="1"/>
  <c r="E196" i="74" s="1"/>
  <c r="D196" i="74" a="1"/>
  <c r="D196" i="74" s="1"/>
  <c r="H195" i="74" a="1"/>
  <c r="H195" i="74" s="1"/>
  <c r="G195" i="74" a="1"/>
  <c r="G195" i="74" s="1"/>
  <c r="F195" i="74" a="1"/>
  <c r="F195" i="74" s="1"/>
  <c r="E195" i="74" a="1"/>
  <c r="E195" i="74" s="1"/>
  <c r="D195" i="74" a="1"/>
  <c r="D195" i="74" s="1"/>
  <c r="H194" i="74" a="1"/>
  <c r="H194" i="74" s="1"/>
  <c r="G194" i="74" a="1"/>
  <c r="G194" i="74" s="1"/>
  <c r="F194" i="74" a="1"/>
  <c r="F194" i="74" s="1"/>
  <c r="E194" i="74" a="1"/>
  <c r="E194" i="74" s="1"/>
  <c r="D194" i="74" a="1"/>
  <c r="D194" i="74" s="1"/>
  <c r="H193" i="74" a="1"/>
  <c r="H193" i="74" s="1"/>
  <c r="G193" i="74" a="1"/>
  <c r="G193" i="74" s="1"/>
  <c r="F193" i="74" a="1"/>
  <c r="F193" i="74" s="1"/>
  <c r="E193" i="74" a="1"/>
  <c r="E193" i="74" s="1"/>
  <c r="D193" i="74" a="1"/>
  <c r="D193" i="74" s="1"/>
  <c r="H192" i="74" a="1"/>
  <c r="H192" i="74" s="1"/>
  <c r="G192" i="74" a="1"/>
  <c r="G192" i="74" s="1"/>
  <c r="F192" i="74" a="1"/>
  <c r="F192" i="74" s="1"/>
  <c r="E192" i="74" a="1"/>
  <c r="E192" i="74" s="1"/>
  <c r="D192" i="74" a="1"/>
  <c r="D192" i="74" s="1"/>
  <c r="H191" i="74" a="1"/>
  <c r="H191" i="74" s="1"/>
  <c r="G191" i="74" a="1"/>
  <c r="G191" i="74" s="1"/>
  <c r="F191" i="74" a="1"/>
  <c r="F191" i="74" s="1"/>
  <c r="E191" i="74" a="1"/>
  <c r="E191" i="74" s="1"/>
  <c r="D191" i="74" a="1"/>
  <c r="D191" i="74" s="1"/>
  <c r="H190" i="74" a="1"/>
  <c r="H190" i="74" s="1"/>
  <c r="G190" i="74" a="1"/>
  <c r="G190" i="74" s="1"/>
  <c r="F190" i="74" a="1"/>
  <c r="F190" i="74" s="1"/>
  <c r="E190" i="74" a="1"/>
  <c r="E190" i="74" s="1"/>
  <c r="D190" i="74" a="1"/>
  <c r="D190" i="74" s="1"/>
  <c r="H189" i="74" a="1"/>
  <c r="H189" i="74" s="1"/>
  <c r="G189" i="74" a="1"/>
  <c r="G189" i="74" s="1"/>
  <c r="F189" i="74" a="1"/>
  <c r="F189" i="74" s="1"/>
  <c r="E189" i="74" a="1"/>
  <c r="E189" i="74" s="1"/>
  <c r="D189" i="74" a="1"/>
  <c r="D189" i="74" s="1"/>
  <c r="H188" i="74" a="1"/>
  <c r="H188" i="74" s="1"/>
  <c r="G188" i="74" a="1"/>
  <c r="G188" i="74" s="1"/>
  <c r="F188" i="74" a="1"/>
  <c r="F188" i="74" s="1"/>
  <c r="G9" i="88" s="1"/>
  <c r="E188" i="74" a="1"/>
  <c r="E188" i="74" s="1"/>
  <c r="D188" i="74" a="1"/>
  <c r="D188" i="74" s="1"/>
  <c r="H187" i="74" a="1"/>
  <c r="H187" i="74" s="1"/>
  <c r="G187" i="74" a="1"/>
  <c r="G187" i="74" s="1"/>
  <c r="F187" i="74" a="1"/>
  <c r="F187" i="74" s="1"/>
  <c r="W52" i="92" s="1"/>
  <c r="E187" i="74" a="1"/>
  <c r="E187" i="74" s="1"/>
  <c r="D187" i="74" a="1"/>
  <c r="D187" i="74" s="1"/>
  <c r="D181" i="74" a="1"/>
  <c r="D181" i="74" s="1"/>
  <c r="D180" i="74" a="1"/>
  <c r="D180" i="74" s="1"/>
  <c r="D179" i="74" a="1"/>
  <c r="D179" i="74" s="1"/>
  <c r="D178" i="74" a="1"/>
  <c r="D178" i="74" s="1"/>
  <c r="E175" i="74" a="1"/>
  <c r="E175" i="74" s="1"/>
  <c r="D175" i="74" a="1"/>
  <c r="D175" i="74" s="1"/>
  <c r="I222" i="80" s="1"/>
  <c r="D174" i="74" a="1"/>
  <c r="D174" i="74" s="1"/>
  <c r="D173" i="74" a="1"/>
  <c r="D173" i="74" s="1"/>
  <c r="D170" i="74" a="1"/>
  <c r="D169" i="74" a="1"/>
  <c r="D169" i="74" s="1"/>
  <c r="D168" i="74" a="1"/>
  <c r="D168" i="74" s="1"/>
  <c r="D167" i="74" a="1"/>
  <c r="D167" i="74" s="1"/>
  <c r="D164" i="74" a="1"/>
  <c r="D163" i="74" a="1"/>
  <c r="D163" i="74" s="1"/>
  <c r="D162" i="74" a="1"/>
  <c r="D162" i="74" s="1"/>
  <c r="D161" i="74" a="1"/>
  <c r="D161" i="74" s="1"/>
  <c r="E158" i="74" a="1"/>
  <c r="E158" i="74" s="1"/>
  <c r="D158" i="74" a="1"/>
  <c r="D158" i="74" s="1"/>
  <c r="E157" i="74" a="1"/>
  <c r="E157" i="74" s="1"/>
  <c r="D157" i="74" a="1"/>
  <c r="D157" i="74" s="1"/>
  <c r="E156" i="74" a="1"/>
  <c r="E156" i="74" s="1"/>
  <c r="D156" i="74" a="1"/>
  <c r="D156" i="74" s="1"/>
  <c r="E155" i="74" a="1"/>
  <c r="E155" i="74" s="1"/>
  <c r="D155" i="74" a="1"/>
  <c r="D155" i="74" s="1"/>
  <c r="E154" i="74" a="1"/>
  <c r="E154" i="74" s="1"/>
  <c r="D154" i="74" a="1"/>
  <c r="D154" i="74" s="1"/>
  <c r="D151" i="74" a="1"/>
  <c r="D151" i="74" s="1"/>
  <c r="D150" i="74" a="1"/>
  <c r="D150" i="74" s="1"/>
  <c r="E147" i="74" a="1"/>
  <c r="E147" i="74" s="1"/>
  <c r="D147" i="74" a="1"/>
  <c r="D147" i="74" s="1"/>
  <c r="E146" i="74" a="1"/>
  <c r="E146" i="74" s="1"/>
  <c r="D146" i="74" a="1"/>
  <c r="D146" i="74" s="1"/>
  <c r="E145" i="74" a="1"/>
  <c r="E145" i="74" s="1"/>
  <c r="D145" i="74" a="1"/>
  <c r="D145" i="74" s="1"/>
  <c r="E144" i="74" a="1"/>
  <c r="E144" i="74" s="1"/>
  <c r="D144" i="74" a="1"/>
  <c r="D144" i="74" s="1"/>
  <c r="E143" i="74" a="1"/>
  <c r="E143" i="74" s="1"/>
  <c r="D143" i="74" a="1"/>
  <c r="D143" i="74" s="1"/>
  <c r="D141" i="74" a="1"/>
  <c r="D141" i="74" s="1"/>
  <c r="D140" i="74" a="1"/>
  <c r="D140" i="74" s="1"/>
  <c r="D139" i="74" a="1"/>
  <c r="D139" i="74" s="1"/>
  <c r="E136" i="74" a="1"/>
  <c r="E136" i="74" s="1"/>
  <c r="D136" i="74" a="1"/>
  <c r="D136" i="74" s="1"/>
  <c r="E135" i="74" a="1"/>
  <c r="E135" i="74" s="1"/>
  <c r="D135" i="74" a="1"/>
  <c r="D135" i="74" s="1"/>
  <c r="D133" i="74" a="1"/>
  <c r="D133" i="74" s="1"/>
  <c r="D132" i="74" a="1"/>
  <c r="D132" i="74" s="1"/>
  <c r="E129" i="74" a="1"/>
  <c r="E129" i="74" s="1"/>
  <c r="D129" i="74" a="1"/>
  <c r="D129" i="74" s="1"/>
  <c r="E128" i="74" a="1"/>
  <c r="E128" i="74" s="1"/>
  <c r="D128" i="74" a="1"/>
  <c r="D128" i="74" s="1"/>
  <c r="D125" i="74" a="1"/>
  <c r="D125" i="74" s="1"/>
  <c r="D124" i="74" a="1"/>
  <c r="D124" i="74" s="1"/>
  <c r="G121" i="74" a="1"/>
  <c r="G121" i="74" s="1"/>
  <c r="F121" i="74" a="1"/>
  <c r="F121" i="74" s="1"/>
  <c r="E121" i="74" a="1"/>
  <c r="E121" i="74" s="1"/>
  <c r="D121" i="74" a="1"/>
  <c r="D121" i="74" s="1"/>
  <c r="G120" i="74" a="1"/>
  <c r="G120" i="74" s="1"/>
  <c r="F120" i="74" a="1"/>
  <c r="F120" i="74" s="1"/>
  <c r="E120" i="74" a="1"/>
  <c r="E120" i="74" s="1"/>
  <c r="D120" i="74" a="1"/>
  <c r="D120" i="74" s="1"/>
  <c r="D117" i="74" a="1"/>
  <c r="D117" i="74" s="1"/>
  <c r="D116" i="74" a="1"/>
  <c r="D116" i="74" s="1"/>
  <c r="D115" i="74" a="1"/>
  <c r="D115" i="74" s="1"/>
  <c r="G112" i="74" a="1"/>
  <c r="G112" i="74" s="1"/>
  <c r="F112" i="74" a="1"/>
  <c r="F112" i="74" s="1"/>
  <c r="E112" i="74" a="1"/>
  <c r="E112" i="74" s="1"/>
  <c r="D112" i="74" a="1"/>
  <c r="D112" i="74" s="1"/>
  <c r="G111" i="74" a="1"/>
  <c r="G111" i="74" s="1"/>
  <c r="F111" i="74" a="1"/>
  <c r="F111" i="74" s="1"/>
  <c r="E111" i="74" a="1"/>
  <c r="E111" i="74" s="1"/>
  <c r="D111" i="74" a="1"/>
  <c r="D111" i="74" s="1"/>
  <c r="G110" i="74" a="1"/>
  <c r="G110" i="74" s="1"/>
  <c r="F110" i="74" a="1"/>
  <c r="F110" i="74" s="1"/>
  <c r="E110" i="74" a="1"/>
  <c r="E110" i="74" s="1"/>
  <c r="D110" i="74" a="1"/>
  <c r="D110" i="74" s="1"/>
  <c r="D107" i="74" a="1"/>
  <c r="D107" i="74" s="1"/>
  <c r="D106" i="74" a="1"/>
  <c r="D106" i="74" s="1"/>
  <c r="D105" i="74" a="1"/>
  <c r="D105" i="74" s="1"/>
  <c r="D99" i="74" a="1"/>
  <c r="D99" i="74" s="1"/>
  <c r="S97" i="74" a="1"/>
  <c r="S97" i="74" s="1"/>
  <c r="R97" i="74" a="1"/>
  <c r="R97" i="74" s="1"/>
  <c r="Q97" i="74" a="1"/>
  <c r="Q97" i="74" s="1"/>
  <c r="P97" i="74" a="1"/>
  <c r="P97" i="74" s="1"/>
  <c r="O97" i="74" a="1"/>
  <c r="O97" i="74" s="1"/>
  <c r="N97" i="74" a="1"/>
  <c r="N97" i="74" s="1"/>
  <c r="M97" i="74" a="1"/>
  <c r="M97" i="74" s="1"/>
  <c r="L97" i="74" a="1"/>
  <c r="L97" i="74" s="1"/>
  <c r="K97" i="74" a="1"/>
  <c r="K97" i="74" s="1"/>
  <c r="J97" i="74" a="1"/>
  <c r="J97" i="74" s="1"/>
  <c r="I97" i="74" a="1"/>
  <c r="I97" i="74" s="1"/>
  <c r="H97" i="74" a="1"/>
  <c r="H97" i="74" s="1"/>
  <c r="G97" i="74" a="1"/>
  <c r="G97" i="74" s="1"/>
  <c r="F97" i="74" a="1"/>
  <c r="F97" i="74" s="1"/>
  <c r="E97" i="74" a="1"/>
  <c r="E97" i="74" s="1"/>
  <c r="D97" i="74" a="1"/>
  <c r="D97" i="74" s="1"/>
  <c r="S96" i="74" a="1"/>
  <c r="S96" i="74" s="1"/>
  <c r="R96" i="74" a="1"/>
  <c r="R96" i="74" s="1"/>
  <c r="Q96" i="74" a="1"/>
  <c r="Q96" i="74" s="1"/>
  <c r="P96" i="74" a="1"/>
  <c r="P96" i="74" s="1"/>
  <c r="O96" i="74" a="1"/>
  <c r="O96" i="74" s="1"/>
  <c r="N96" i="74" a="1"/>
  <c r="N96" i="74" s="1"/>
  <c r="M96" i="74" a="1"/>
  <c r="M96" i="74" s="1"/>
  <c r="L96" i="74" a="1"/>
  <c r="L96" i="74" s="1"/>
  <c r="K96" i="74" a="1"/>
  <c r="K96" i="74" s="1"/>
  <c r="J96" i="74" a="1"/>
  <c r="J96" i="74" s="1"/>
  <c r="I96" i="74" a="1"/>
  <c r="I96" i="74" s="1"/>
  <c r="H96" i="74" a="1"/>
  <c r="H96" i="74" s="1"/>
  <c r="G96" i="74" a="1"/>
  <c r="G96" i="74" s="1"/>
  <c r="F96" i="74" a="1"/>
  <c r="F96" i="74" s="1"/>
  <c r="E96" i="74" a="1"/>
  <c r="E96" i="74" s="1"/>
  <c r="D96" i="74" a="1"/>
  <c r="D96" i="74" s="1"/>
  <c r="S95" i="74" a="1"/>
  <c r="S95" i="74" s="1"/>
  <c r="R95" i="74" a="1"/>
  <c r="R95" i="74" s="1"/>
  <c r="Q95" i="74" a="1"/>
  <c r="Q95" i="74" s="1"/>
  <c r="P95" i="74" a="1"/>
  <c r="P95" i="74" s="1"/>
  <c r="O95" i="74" a="1"/>
  <c r="O95" i="74" s="1"/>
  <c r="N95" i="74" a="1"/>
  <c r="N95" i="74" s="1"/>
  <c r="M95" i="74" a="1"/>
  <c r="M95" i="74" s="1"/>
  <c r="L95" i="74" a="1"/>
  <c r="L95" i="74" s="1"/>
  <c r="K95" i="74" a="1"/>
  <c r="K95" i="74" s="1"/>
  <c r="J95" i="74" a="1"/>
  <c r="J95" i="74" s="1"/>
  <c r="I95" i="74" a="1"/>
  <c r="I95" i="74" s="1"/>
  <c r="H95" i="74" a="1"/>
  <c r="H95" i="74" s="1"/>
  <c r="G95" i="74" a="1"/>
  <c r="G95" i="74" s="1"/>
  <c r="F95" i="74" a="1"/>
  <c r="F95" i="74" s="1"/>
  <c r="E95" i="74" a="1"/>
  <c r="E95" i="74" s="1"/>
  <c r="D95" i="74" a="1"/>
  <c r="D95" i="74" s="1"/>
  <c r="S94" i="74" a="1"/>
  <c r="S94" i="74" s="1"/>
  <c r="R94" i="74" a="1"/>
  <c r="R94" i="74" s="1"/>
  <c r="Q94" i="74" a="1"/>
  <c r="Q94" i="74" s="1"/>
  <c r="P94" i="74" a="1"/>
  <c r="P94" i="74" s="1"/>
  <c r="O94" i="74" a="1"/>
  <c r="O94" i="74" s="1"/>
  <c r="N94" i="74" a="1"/>
  <c r="N94" i="74" s="1"/>
  <c r="M94" i="74" a="1"/>
  <c r="M94" i="74" s="1"/>
  <c r="L94" i="74" a="1"/>
  <c r="L94" i="74" s="1"/>
  <c r="K94" i="74" a="1"/>
  <c r="K94" i="74" s="1"/>
  <c r="J94" i="74" a="1"/>
  <c r="J94" i="74" s="1"/>
  <c r="I94" i="74" a="1"/>
  <c r="I94" i="74" s="1"/>
  <c r="H94" i="74" a="1"/>
  <c r="H94" i="74" s="1"/>
  <c r="G94" i="74" a="1"/>
  <c r="G94" i="74" s="1"/>
  <c r="F94" i="74" a="1"/>
  <c r="F94" i="74" s="1"/>
  <c r="E94" i="74" a="1"/>
  <c r="E94" i="74" s="1"/>
  <c r="D94" i="74" a="1"/>
  <c r="D94" i="74" s="1"/>
  <c r="S93" i="74" a="1"/>
  <c r="S93" i="74" s="1"/>
  <c r="R93" i="74" a="1"/>
  <c r="R93" i="74" s="1"/>
  <c r="Q93" i="74" a="1"/>
  <c r="Q93" i="74" s="1"/>
  <c r="P93" i="74" a="1"/>
  <c r="P93" i="74" s="1"/>
  <c r="O93" i="74" a="1"/>
  <c r="O93" i="74" s="1"/>
  <c r="N93" i="74" a="1"/>
  <c r="N93" i="74" s="1"/>
  <c r="M93" i="74" a="1"/>
  <c r="M93" i="74" s="1"/>
  <c r="L93" i="74" a="1"/>
  <c r="L93" i="74" s="1"/>
  <c r="K93" i="74" a="1"/>
  <c r="K93" i="74" s="1"/>
  <c r="J93" i="74" a="1"/>
  <c r="J93" i="74" s="1"/>
  <c r="I93" i="74" a="1"/>
  <c r="I93" i="74" s="1"/>
  <c r="H93" i="74" a="1"/>
  <c r="H93" i="74" s="1"/>
  <c r="G93" i="74" a="1"/>
  <c r="G93" i="74" s="1"/>
  <c r="F93" i="74" a="1"/>
  <c r="F93" i="74" s="1"/>
  <c r="E93" i="74" a="1"/>
  <c r="E93" i="74" s="1"/>
  <c r="D93" i="74" a="1"/>
  <c r="D93" i="74" s="1"/>
  <c r="S92" i="74" a="1"/>
  <c r="S92" i="74" s="1"/>
  <c r="R92" i="74" a="1"/>
  <c r="R92" i="74" s="1"/>
  <c r="Q92" i="74" a="1"/>
  <c r="Q92" i="74" s="1"/>
  <c r="P92" i="74" a="1"/>
  <c r="P92" i="74" s="1"/>
  <c r="O92" i="74" a="1"/>
  <c r="O92" i="74" s="1"/>
  <c r="N92" i="74" a="1"/>
  <c r="N92" i="74" s="1"/>
  <c r="M92" i="74" a="1"/>
  <c r="M92" i="74" s="1"/>
  <c r="L92" i="74" a="1"/>
  <c r="L92" i="74" s="1"/>
  <c r="K92" i="74" a="1"/>
  <c r="K92" i="74" s="1"/>
  <c r="J92" i="74" a="1"/>
  <c r="J92" i="74" s="1"/>
  <c r="I92" i="74" a="1"/>
  <c r="I92" i="74" s="1"/>
  <c r="H92" i="74" a="1"/>
  <c r="H92" i="74" s="1"/>
  <c r="G92" i="74" a="1"/>
  <c r="G92" i="74" s="1"/>
  <c r="F92" i="74" a="1"/>
  <c r="F92" i="74" s="1"/>
  <c r="E92" i="74" a="1"/>
  <c r="E92" i="74" s="1"/>
  <c r="D92" i="74" a="1"/>
  <c r="D92" i="74" s="1"/>
  <c r="S91" i="74" a="1"/>
  <c r="S91" i="74" s="1"/>
  <c r="R91" i="74" a="1"/>
  <c r="R91" i="74" s="1"/>
  <c r="Q91" i="74" a="1"/>
  <c r="Q91" i="74" s="1"/>
  <c r="P91" i="74" a="1"/>
  <c r="P91" i="74" s="1"/>
  <c r="O91" i="74" a="1"/>
  <c r="O91" i="74" s="1"/>
  <c r="N91" i="74" a="1"/>
  <c r="N91" i="74" s="1"/>
  <c r="M91" i="74" a="1"/>
  <c r="M91" i="74" s="1"/>
  <c r="L91" i="74" a="1"/>
  <c r="L91" i="74" s="1"/>
  <c r="K91" i="74" a="1"/>
  <c r="K91" i="74" s="1"/>
  <c r="J91" i="74" a="1"/>
  <c r="J91" i="74" s="1"/>
  <c r="I91" i="74" a="1"/>
  <c r="I91" i="74" s="1"/>
  <c r="H91" i="74" a="1"/>
  <c r="H91" i="74" s="1"/>
  <c r="G91" i="74" a="1"/>
  <c r="G91" i="74" s="1"/>
  <c r="F91" i="74" a="1"/>
  <c r="F91" i="74" s="1"/>
  <c r="E91" i="74" a="1"/>
  <c r="E91" i="74" s="1"/>
  <c r="D91" i="74" a="1"/>
  <c r="D91" i="74" s="1"/>
  <c r="S90" i="74" a="1"/>
  <c r="S90" i="74" s="1"/>
  <c r="R90" i="74" a="1"/>
  <c r="R90" i="74" s="1"/>
  <c r="Q90" i="74" a="1"/>
  <c r="Q90" i="74" s="1"/>
  <c r="P90" i="74" a="1"/>
  <c r="P90" i="74" s="1"/>
  <c r="O90" i="74" a="1"/>
  <c r="O90" i="74" s="1"/>
  <c r="N90" i="74" a="1"/>
  <c r="N90" i="74" s="1"/>
  <c r="M90" i="74" a="1"/>
  <c r="M90" i="74" s="1"/>
  <c r="L90" i="74" a="1"/>
  <c r="L90" i="74" s="1"/>
  <c r="K90" i="74" a="1"/>
  <c r="K90" i="74" s="1"/>
  <c r="J90" i="74" a="1"/>
  <c r="J90" i="74" s="1"/>
  <c r="I90" i="74" a="1"/>
  <c r="I90" i="74" s="1"/>
  <c r="H90" i="74" a="1"/>
  <c r="H90" i="74" s="1"/>
  <c r="G90" i="74" a="1"/>
  <c r="G90" i="74" s="1"/>
  <c r="F90" i="74" a="1"/>
  <c r="F90" i="74" s="1"/>
  <c r="E90" i="74" a="1"/>
  <c r="E90" i="74" s="1"/>
  <c r="D90" i="74" a="1"/>
  <c r="D90" i="74" s="1"/>
  <c r="D83" i="74" a="1"/>
  <c r="D83" i="74" s="1"/>
  <c r="D82" i="74" a="1"/>
  <c r="D82" i="74" s="1"/>
  <c r="D81" i="74" a="1"/>
  <c r="D81" i="74" s="1"/>
  <c r="E77" i="74" a="1"/>
  <c r="E77" i="74" s="1"/>
  <c r="D77" i="74" a="1"/>
  <c r="D77" i="74" s="1"/>
  <c r="E76" i="74" a="1"/>
  <c r="E76" i="74" s="1"/>
  <c r="D76" i="74" a="1"/>
  <c r="D76" i="74" s="1"/>
  <c r="E75" i="74" a="1"/>
  <c r="E75" i="74" s="1"/>
  <c r="D75" i="74" a="1"/>
  <c r="D75" i="74" s="1"/>
  <c r="E74" i="74" a="1"/>
  <c r="E74" i="74" s="1"/>
  <c r="D74" i="74" a="1"/>
  <c r="D74" i="74" s="1"/>
  <c r="E73" i="74" a="1"/>
  <c r="E73" i="74" s="1"/>
  <c r="D73" i="74" a="1"/>
  <c r="D73" i="74" s="1"/>
  <c r="E72" i="74" a="1"/>
  <c r="E72" i="74" s="1"/>
  <c r="D72" i="74" a="1"/>
  <c r="D72" i="74" s="1"/>
  <c r="E71" i="74" a="1"/>
  <c r="E71" i="74" s="1"/>
  <c r="D71" i="74" a="1"/>
  <c r="D71" i="74" s="1"/>
  <c r="E70" i="74" a="1"/>
  <c r="E70" i="74" s="1"/>
  <c r="D70" i="74" a="1"/>
  <c r="D70" i="74" s="1"/>
  <c r="E69" i="74" a="1"/>
  <c r="E69" i="74" s="1"/>
  <c r="D69" i="74" a="1"/>
  <c r="D69" i="74" s="1"/>
  <c r="E68" i="74" a="1"/>
  <c r="E68" i="74" s="1"/>
  <c r="D68" i="74" a="1"/>
  <c r="D68" i="74" s="1"/>
  <c r="E67" i="74" a="1"/>
  <c r="E67" i="74" s="1"/>
  <c r="D67" i="74" a="1"/>
  <c r="D67" i="74" s="1"/>
  <c r="E66" i="74" a="1"/>
  <c r="E66" i="74" s="1"/>
  <c r="D66" i="74" a="1"/>
  <c r="D66" i="74" s="1"/>
  <c r="E65" i="74" a="1"/>
  <c r="E65" i="74" s="1"/>
  <c r="D65" i="74" a="1"/>
  <c r="D65" i="74" s="1"/>
  <c r="E64" i="74" a="1"/>
  <c r="E64" i="74" s="1"/>
  <c r="D64" i="74" a="1"/>
  <c r="D64" i="74" s="1"/>
  <c r="D59" i="74" a="1"/>
  <c r="D59" i="74" s="1"/>
  <c r="D58" i="74" a="1"/>
  <c r="D58" i="74" s="1"/>
  <c r="D57" i="74" a="1"/>
  <c r="D57" i="74" s="1"/>
  <c r="G54" i="74" a="1"/>
  <c r="G54" i="74" s="1"/>
  <c r="F54" i="74" a="1"/>
  <c r="F54" i="74" s="1"/>
  <c r="E54" i="74" a="1"/>
  <c r="E54" i="74" s="1"/>
  <c r="D54" i="74" a="1"/>
  <c r="D54" i="74" s="1"/>
  <c r="G53" i="74" a="1"/>
  <c r="G53" i="74" s="1"/>
  <c r="F53" i="74" a="1"/>
  <c r="F53" i="74" s="1"/>
  <c r="E53" i="74" a="1"/>
  <c r="E53" i="74" s="1"/>
  <c r="D53" i="74" a="1"/>
  <c r="D53" i="74" s="1"/>
  <c r="G52" i="74" a="1"/>
  <c r="G52" i="74" s="1"/>
  <c r="F52" i="74" a="1"/>
  <c r="F52" i="74" s="1"/>
  <c r="E52" i="74" a="1"/>
  <c r="E52" i="74" s="1"/>
  <c r="D52" i="74" a="1"/>
  <c r="D52" i="74" s="1"/>
  <c r="G51" i="74" a="1"/>
  <c r="G51" i="74" s="1"/>
  <c r="F51" i="74" a="1"/>
  <c r="F51" i="74" s="1"/>
  <c r="E51" i="74" a="1"/>
  <c r="E51" i="74" s="1"/>
  <c r="D51" i="74" a="1"/>
  <c r="D51" i="74" s="1"/>
  <c r="G50" i="74" a="1"/>
  <c r="G50" i="74" s="1"/>
  <c r="F50" i="74" a="1"/>
  <c r="F50" i="74" s="1"/>
  <c r="E50" i="74" a="1"/>
  <c r="E50" i="74" s="1"/>
  <c r="D50" i="74" a="1"/>
  <c r="D50" i="74" s="1"/>
  <c r="G49" i="74" a="1"/>
  <c r="G49" i="74" s="1"/>
  <c r="F49" i="74" a="1"/>
  <c r="F49" i="74" s="1"/>
  <c r="E49" i="74" a="1"/>
  <c r="E49" i="74" s="1"/>
  <c r="D49" i="74" a="1"/>
  <c r="D49" i="74" s="1"/>
  <c r="G48" i="74" a="1"/>
  <c r="G48" i="74" s="1"/>
  <c r="F48" i="74" a="1"/>
  <c r="F48" i="74" s="1"/>
  <c r="E48" i="74" a="1"/>
  <c r="E48" i="74" s="1"/>
  <c r="D48" i="74" a="1"/>
  <c r="D48" i="74" s="1"/>
  <c r="D46" i="74" a="1"/>
  <c r="D46" i="74" s="1"/>
  <c r="D45" i="74" a="1"/>
  <c r="D45" i="74" s="1"/>
  <c r="E43" i="74" a="1"/>
  <c r="E43" i="74" s="1"/>
  <c r="D43" i="74" a="1"/>
  <c r="D43" i="74" s="1"/>
  <c r="E42" i="74" a="1"/>
  <c r="E42" i="74" s="1"/>
  <c r="D42" i="74" a="1"/>
  <c r="D42" i="74" s="1"/>
  <c r="E41" i="74" a="1"/>
  <c r="E41" i="74" s="1"/>
  <c r="D41" i="74" a="1"/>
  <c r="D41" i="74" s="1"/>
  <c r="E40" i="74" a="1"/>
  <c r="E40" i="74" s="1"/>
  <c r="D40" i="74" a="1"/>
  <c r="D40" i="74" s="1"/>
  <c r="E39" i="74" a="1"/>
  <c r="E39" i="74" s="1"/>
  <c r="D39" i="74" a="1"/>
  <c r="D39" i="74" s="1"/>
  <c r="E38" i="74" a="1"/>
  <c r="E38" i="74" s="1"/>
  <c r="D38" i="74" a="1"/>
  <c r="D38" i="74" s="1"/>
  <c r="E37" i="74" a="1"/>
  <c r="E37" i="74" s="1"/>
  <c r="D37" i="74" a="1"/>
  <c r="D37" i="74" s="1"/>
  <c r="D35" i="74" a="1"/>
  <c r="D35" i="74" s="1"/>
  <c r="D34" i="74" a="1"/>
  <c r="D34" i="74" s="1"/>
  <c r="D30" i="74" a="1"/>
  <c r="D30" i="74" s="1"/>
  <c r="D29" i="74" a="1"/>
  <c r="D29" i="74" s="1"/>
  <c r="D28" i="74" a="1"/>
  <c r="D28" i="74" s="1"/>
  <c r="D27" i="74" a="1"/>
  <c r="D27" i="74" s="1"/>
  <c r="D26" i="74" a="1"/>
  <c r="D26" i="74" s="1"/>
  <c r="D25" i="74" a="1"/>
  <c r="D25" i="74" s="1"/>
  <c r="D24" i="74" a="1"/>
  <c r="D24" i="74" s="1"/>
  <c r="D23" i="74" a="1"/>
  <c r="D23" i="74" s="1"/>
  <c r="D22" i="74" a="1"/>
  <c r="D22" i="74" s="1"/>
  <c r="D21" i="74" a="1"/>
  <c r="D21" i="74" s="1"/>
  <c r="D19" i="74" a="1"/>
  <c r="D19" i="74" s="1"/>
  <c r="D18" i="74" a="1"/>
  <c r="D18" i="74" s="1"/>
  <c r="F14" i="74" a="1"/>
  <c r="F14" i="74" s="1"/>
  <c r="E14" i="74" a="1"/>
  <c r="E14" i="74" s="1"/>
  <c r="D14" i="74" a="1"/>
  <c r="D14" i="74" s="1"/>
  <c r="F13" i="74" a="1"/>
  <c r="F13" i="74" s="1"/>
  <c r="E13" i="74" a="1"/>
  <c r="E13" i="74" s="1"/>
  <c r="D13" i="74" a="1"/>
  <c r="D13" i="74" s="1"/>
  <c r="F12" i="74" a="1"/>
  <c r="F12" i="74" s="1"/>
  <c r="E12" i="74" a="1"/>
  <c r="E12" i="74" s="1"/>
  <c r="D12" i="74" a="1"/>
  <c r="D12" i="74" s="1"/>
  <c r="F11" i="74" a="1"/>
  <c r="F11" i="74" s="1"/>
  <c r="E11" i="74" a="1"/>
  <c r="E11" i="74" s="1"/>
  <c r="D11" i="74" a="1"/>
  <c r="D11" i="74" s="1"/>
  <c r="F10" i="74" a="1"/>
  <c r="F10" i="74" s="1"/>
  <c r="E10" i="74" a="1"/>
  <c r="E10" i="74" s="1"/>
  <c r="D10" i="74" a="1"/>
  <c r="D10" i="74" s="1"/>
  <c r="F9" i="74" a="1"/>
  <c r="F9" i="74" s="1"/>
  <c r="E9" i="74" a="1"/>
  <c r="E9" i="74" s="1"/>
  <c r="D9" i="74" a="1"/>
  <c r="D9" i="74" s="1"/>
  <c r="F8" i="74" a="1"/>
  <c r="F8" i="74" s="1"/>
  <c r="E8" i="74" a="1"/>
  <c r="E8" i="74" s="1"/>
  <c r="D8" i="74" a="1"/>
  <c r="D8" i="74" s="1"/>
  <c r="F7" i="74" a="1"/>
  <c r="F7" i="74" s="1"/>
  <c r="E7" i="74" a="1"/>
  <c r="E7" i="74" s="1"/>
  <c r="D7" i="74" a="1"/>
  <c r="D7" i="74" s="1"/>
  <c r="D5" i="74" a="1"/>
  <c r="D5" i="74" s="1"/>
  <c r="E20" i="72"/>
  <c r="W48" i="92" l="1"/>
  <c r="U49" i="92"/>
  <c r="U46" i="92"/>
  <c r="U47" i="92"/>
  <c r="P45" i="92"/>
  <c r="U48" i="92"/>
  <c r="Q46" i="92"/>
  <c r="Q47" i="92"/>
  <c r="Q48" i="92"/>
  <c r="Q49" i="92"/>
  <c r="W51" i="92"/>
  <c r="E21" i="93" a="1"/>
  <c r="E21" i="93" s="1"/>
  <c r="G21" i="93" s="1" a="1"/>
  <c r="G21" i="93" s="1"/>
  <c r="E28" i="93" a="1"/>
  <c r="E28" i="93" s="1"/>
  <c r="G28" i="93" s="1" a="1"/>
  <c r="G28" i="93" s="1"/>
  <c r="E19" i="93" a="1"/>
  <c r="E19" i="93" s="1"/>
  <c r="G19" i="93" s="1" a="1"/>
  <c r="G19" i="93" s="1"/>
  <c r="E33" i="93" a="1"/>
  <c r="E33" i="93" s="1"/>
  <c r="G33" i="93" s="1" a="1"/>
  <c r="G33" i="93" s="1"/>
  <c r="E37" i="92" a="1"/>
  <c r="E37" i="92" s="1"/>
  <c r="G37" i="92" s="1" a="1"/>
  <c r="G37" i="92" s="1"/>
  <c r="E21" i="92" a="1"/>
  <c r="E21" i="92" s="1"/>
  <c r="G21" i="92" s="1" a="1"/>
  <c r="G21" i="92" s="1"/>
  <c r="E32" i="93" a="1"/>
  <c r="E32" i="93" s="1"/>
  <c r="G32" i="93" s="1" a="1"/>
  <c r="G32" i="93" s="1"/>
  <c r="E31" i="93" a="1"/>
  <c r="E31" i="93" s="1"/>
  <c r="G31" i="93" s="1" a="1"/>
  <c r="G31" i="93" s="1"/>
  <c r="E23" i="93" a="1"/>
  <c r="E23" i="93" s="1"/>
  <c r="G23" i="93" s="1" a="1"/>
  <c r="G23" i="93" s="1"/>
  <c r="E25" i="92" a="1"/>
  <c r="E25" i="92" s="1"/>
  <c r="G25" i="92" s="1" a="1"/>
  <c r="G25" i="92" s="1"/>
  <c r="E24" i="93" a="1"/>
  <c r="E24" i="93" s="1"/>
  <c r="G24" i="93" s="1" a="1"/>
  <c r="G24" i="93" s="1"/>
  <c r="E27" i="92" a="1"/>
  <c r="E27" i="92" s="1"/>
  <c r="G27" i="92" s="1" a="1"/>
  <c r="G27" i="92" s="1"/>
  <c r="E35" i="92" a="1"/>
  <c r="E35" i="92" s="1"/>
  <c r="G35" i="92" s="1" a="1"/>
  <c r="G35" i="92" s="1"/>
  <c r="E22" i="93" a="1"/>
  <c r="E22" i="93" s="1"/>
  <c r="G22" i="93" s="1" a="1"/>
  <c r="G22" i="93" s="1"/>
  <c r="E20" i="92" a="1"/>
  <c r="E20" i="92" s="1"/>
  <c r="G20" i="92" s="1" a="1"/>
  <c r="G20" i="92" s="1"/>
  <c r="E36" i="93" a="1"/>
  <c r="E36" i="93" s="1"/>
  <c r="G36" i="93" s="1" a="1"/>
  <c r="G36" i="93" s="1"/>
  <c r="E34" i="92" a="1"/>
  <c r="E34" i="92" s="1"/>
  <c r="G34" i="92" s="1" a="1"/>
  <c r="G34" i="92" s="1"/>
  <c r="E33" i="92" a="1"/>
  <c r="E33" i="92" s="1"/>
  <c r="G33" i="92" s="1" a="1"/>
  <c r="G33" i="92" s="1"/>
  <c r="E31" i="92" a="1"/>
  <c r="E31" i="92" s="1"/>
  <c r="G31" i="92" s="1" a="1"/>
  <c r="G31" i="92" s="1"/>
  <c r="E29" i="93" a="1"/>
  <c r="E29" i="93" s="1"/>
  <c r="G29" i="93" s="1" a="1"/>
  <c r="G29" i="93" s="1"/>
  <c r="E22" i="92" a="1"/>
  <c r="E22" i="92" s="1"/>
  <c r="G22" i="92" s="1" a="1"/>
  <c r="G22" i="92" s="1"/>
  <c r="E29" i="92" a="1"/>
  <c r="E29" i="92" s="1"/>
  <c r="G29" i="92" s="1" a="1"/>
  <c r="G29" i="92" s="1"/>
  <c r="E19" i="92" a="1"/>
  <c r="E19" i="92" s="1"/>
  <c r="G19" i="92" s="1" a="1"/>
  <c r="G19" i="92" s="1"/>
  <c r="E24" i="92" a="1"/>
  <c r="E24" i="92" s="1"/>
  <c r="G24" i="92" s="1" a="1"/>
  <c r="G24" i="92" s="1"/>
  <c r="E28" i="92" a="1"/>
  <c r="E28" i="92" s="1"/>
  <c r="G28" i="92" s="1" a="1"/>
  <c r="G28" i="92" s="1"/>
  <c r="E30" i="92" a="1"/>
  <c r="E30" i="92" s="1"/>
  <c r="G30" i="92" s="1" a="1"/>
  <c r="G30" i="92" s="1"/>
  <c r="E221" i="117" a="1"/>
  <c r="E26" i="92" a="1"/>
  <c r="E26" i="92" s="1"/>
  <c r="G26" i="92" s="1" a="1"/>
  <c r="G26" i="92" s="1"/>
  <c r="E35" i="93" a="1"/>
  <c r="E35" i="93" s="1"/>
  <c r="G35" i="93" s="1" a="1"/>
  <c r="G35" i="93" s="1"/>
  <c r="E27" i="93" a="1"/>
  <c r="E27" i="93" s="1"/>
  <c r="G27" i="93" s="1" a="1"/>
  <c r="G27" i="93" s="1"/>
  <c r="E26" i="93" a="1"/>
  <c r="E26" i="93" s="1"/>
  <c r="G26" i="93" s="1" a="1"/>
  <c r="G26" i="93" s="1"/>
  <c r="E23" i="92" a="1"/>
  <c r="E23" i="92" s="1"/>
  <c r="G23" i="92" s="1" a="1"/>
  <c r="G23" i="92" s="1"/>
  <c r="E20" i="93" a="1"/>
  <c r="E20" i="93" s="1"/>
  <c r="G20" i="93" s="1" a="1"/>
  <c r="G20" i="93" s="1"/>
  <c r="E32" i="92" a="1"/>
  <c r="E32" i="92" s="1"/>
  <c r="G32" i="92" s="1" a="1"/>
  <c r="G32" i="92" s="1"/>
  <c r="E34" i="93" a="1"/>
  <c r="E34" i="93" s="1"/>
  <c r="G34" i="93" s="1" a="1"/>
  <c r="G34" i="93" s="1"/>
  <c r="E37" i="93" a="1"/>
  <c r="E37" i="93" s="1"/>
  <c r="G37" i="93" s="1" a="1"/>
  <c r="G37" i="93" s="1"/>
  <c r="E25" i="93" a="1"/>
  <c r="E25" i="93" s="1"/>
  <c r="G25" i="93" s="1" a="1"/>
  <c r="G25" i="93" s="1"/>
  <c r="E30" i="93" a="1"/>
  <c r="E30" i="93" s="1"/>
  <c r="G30" i="93" s="1" a="1"/>
  <c r="G30" i="93" s="1"/>
  <c r="E36" i="92" a="1"/>
  <c r="E36" i="92" s="1"/>
  <c r="G36" i="92" s="1" a="1"/>
  <c r="G36" i="92" s="1"/>
  <c r="F305" i="117"/>
  <c r="J308" i="117" a="1"/>
  <c r="J308" i="117" s="1"/>
  <c r="J307" i="117" a="1"/>
  <c r="J307" i="117" s="1"/>
  <c r="I307" i="117" a="1"/>
  <c r="I307" i="117" s="1"/>
  <c r="I309" i="117" a="1"/>
  <c r="I309" i="117" s="1"/>
  <c r="J310" i="117" a="1"/>
  <c r="J310" i="117" s="1"/>
  <c r="I311" i="117" a="1"/>
  <c r="I311" i="117" s="1"/>
  <c r="I313" i="117" a="1"/>
  <c r="I313" i="117" s="1"/>
  <c r="J311" i="117" a="1"/>
  <c r="J311" i="117" s="1"/>
  <c r="I314" i="117" a="1"/>
  <c r="I314" i="117" s="1"/>
  <c r="J306" i="117" a="1"/>
  <c r="J306" i="117" s="1"/>
  <c r="I308" i="117" a="1"/>
  <c r="I308" i="117" s="1"/>
  <c r="J312" i="117" a="1"/>
  <c r="J312" i="117" s="1"/>
  <c r="I312" i="117" a="1"/>
  <c r="I312" i="117" s="1"/>
  <c r="I310" i="117" a="1"/>
  <c r="I310" i="117" s="1"/>
  <c r="I306" i="117" a="1"/>
  <c r="I306" i="117" s="1"/>
  <c r="J309" i="117" a="1"/>
  <c r="J309" i="117" s="1"/>
  <c r="J313" i="117" a="1"/>
  <c r="J313" i="117" s="1"/>
  <c r="J314" i="117" a="1"/>
  <c r="J314" i="117" s="1"/>
  <c r="F28" i="87" a="1"/>
  <c r="F28" i="87" s="1"/>
  <c r="G8" i="88"/>
  <c r="I62" i="82"/>
  <c r="I49" i="118"/>
  <c r="I39" i="86"/>
  <c r="E25" i="95"/>
  <c r="I125" i="96"/>
  <c r="I40" i="86"/>
  <c r="J15" i="118"/>
  <c r="J35" i="110"/>
  <c r="I51" i="92"/>
  <c r="I126" i="96"/>
  <c r="K46" i="94"/>
  <c r="S69" i="92"/>
  <c r="D164" i="74"/>
  <c r="J15" i="111"/>
  <c r="P230" i="80"/>
  <c r="P229" i="80"/>
  <c r="P232" i="80"/>
  <c r="P231" i="80"/>
  <c r="J14" i="83"/>
  <c r="J29" i="83" s="1" a="1"/>
  <c r="J29" i="83" s="1"/>
  <c r="H25" i="111"/>
  <c r="I14" i="97"/>
  <c r="I56" i="97"/>
  <c r="I14" i="87"/>
  <c r="H28" i="87" s="1" a="1"/>
  <c r="H28" i="87" s="1"/>
  <c r="I68" i="118"/>
  <c r="D170" i="74"/>
  <c r="J37" i="111"/>
  <c r="R303" i="80"/>
  <c r="P185" i="90"/>
  <c r="N187" i="90" s="1" a="1"/>
  <c r="N187" i="90" s="1"/>
  <c r="R55" i="83"/>
  <c r="G303" i="80"/>
  <c r="G185" i="90"/>
  <c r="E187" i="90" s="1" a="1"/>
  <c r="E187" i="90" s="1"/>
  <c r="G55" i="83"/>
  <c r="G43" i="110"/>
  <c r="R48" i="86"/>
  <c r="G48" i="86"/>
  <c r="R71" i="82"/>
  <c r="O576" i="117"/>
  <c r="G71" i="82"/>
  <c r="G576" i="117"/>
  <c r="Q290" i="81"/>
  <c r="R50" i="87"/>
  <c r="R56" i="85"/>
  <c r="G290" i="81"/>
  <c r="Q51" i="111"/>
  <c r="G97" i="97"/>
  <c r="G50" i="87"/>
  <c r="G56" i="85"/>
  <c r="G149" i="96"/>
  <c r="G53" i="94"/>
  <c r="G82" i="96"/>
  <c r="P91" i="92"/>
  <c r="G83" i="92"/>
  <c r="G51" i="111"/>
  <c r="Q43" i="110"/>
  <c r="D4" i="13"/>
  <c r="D29" i="79"/>
  <c r="D29" i="89"/>
  <c r="D28" i="89"/>
  <c r="D25" i="79"/>
  <c r="E30" i="99"/>
  <c r="D24" i="89"/>
  <c r="D28" i="79"/>
  <c r="D24" i="79"/>
  <c r="D10" i="79"/>
  <c r="D25" i="89"/>
  <c r="D10" i="89"/>
  <c r="G20" i="94"/>
  <c r="I20" i="94" s="1" a="1"/>
  <c r="I20" i="94" s="1"/>
  <c r="I22" i="94" a="1"/>
  <c r="I22" i="94" s="1"/>
  <c r="I21" i="94" a="1"/>
  <c r="I21" i="94" s="1"/>
  <c r="I50" i="92"/>
  <c r="P50" i="92"/>
  <c r="Q52" i="92"/>
  <c r="U51" i="92"/>
  <c r="Q51" i="92"/>
  <c r="U52" i="92"/>
  <c r="I223" i="80"/>
  <c r="W45" i="92"/>
  <c r="E237" i="117"/>
  <c r="J245" i="117" a="1"/>
  <c r="J245" i="117" s="1"/>
  <c r="J238" i="117" a="1"/>
  <c r="J238" i="117" s="1"/>
  <c r="J241" i="117" a="1"/>
  <c r="J241" i="117" s="1"/>
  <c r="K239" i="117" a="1"/>
  <c r="K239" i="117" s="1"/>
  <c r="J244" i="117" a="1"/>
  <c r="J244" i="117" s="1"/>
  <c r="H245" i="117" a="1"/>
  <c r="H245" i="117" s="1"/>
  <c r="J246" i="117" a="1"/>
  <c r="J246" i="117" s="1"/>
  <c r="H244" i="117" a="1"/>
  <c r="H244" i="117" s="1"/>
  <c r="J243" i="117" a="1"/>
  <c r="J243" i="117" s="1"/>
  <c r="J242" i="117" a="1"/>
  <c r="J242" i="117" s="1"/>
  <c r="J239" i="117" a="1"/>
  <c r="J239" i="117" s="1"/>
  <c r="J240" i="117" a="1"/>
  <c r="J240" i="117" s="1"/>
  <c r="K241" i="117" a="1"/>
  <c r="K241" i="117" s="1"/>
  <c r="K246" i="117" a="1"/>
  <c r="K246" i="117" s="1"/>
  <c r="K238" i="117" a="1"/>
  <c r="K238" i="117" s="1"/>
  <c r="K242" i="117" a="1"/>
  <c r="K242" i="117" s="1"/>
  <c r="K243" i="117" a="1"/>
  <c r="K243" i="117" s="1"/>
  <c r="K245" i="117" a="1"/>
  <c r="K245" i="117" s="1"/>
  <c r="H239" i="117" a="1"/>
  <c r="H239" i="117" s="1"/>
  <c r="K240" i="117" a="1"/>
  <c r="K240" i="117" s="1"/>
  <c r="H246" i="117" a="1"/>
  <c r="H246" i="117" s="1"/>
  <c r="H241" i="117" a="1"/>
  <c r="H241" i="117" s="1"/>
  <c r="H243" i="117" a="1"/>
  <c r="H243" i="117" s="1"/>
  <c r="H240" i="117" a="1"/>
  <c r="H240" i="117" s="1"/>
  <c r="H238" i="117" a="1"/>
  <c r="H238" i="117" s="1"/>
  <c r="H242" i="117" a="1"/>
  <c r="H242" i="117" s="1"/>
  <c r="K244" i="117" a="1"/>
  <c r="K244" i="117" s="1"/>
  <c r="G246" i="117" a="1"/>
  <c r="G246" i="117" s="1"/>
  <c r="G240" i="117" a="1"/>
  <c r="G240" i="117" s="1"/>
  <c r="G238" i="117" a="1"/>
  <c r="G238" i="117" s="1"/>
  <c r="G242" i="117" a="1"/>
  <c r="G242" i="117" s="1"/>
  <c r="G245" i="117" a="1"/>
  <c r="G245" i="117" s="1"/>
  <c r="G243" i="117" a="1"/>
  <c r="G243" i="117" s="1"/>
  <c r="G239" i="117" a="1"/>
  <c r="G239" i="117" s="1"/>
  <c r="G241" i="117" a="1"/>
  <c r="G241" i="117" s="1"/>
  <c r="G244" i="117" a="1"/>
  <c r="G244" i="117" s="1"/>
  <c r="J28" i="87" a="1"/>
  <c r="J28" i="87" s="1"/>
  <c r="W50" i="92"/>
  <c r="W49" i="92"/>
  <c r="J50" i="96"/>
  <c r="E26" i="86"/>
  <c r="I38" i="86" s="1"/>
  <c r="E45" i="86" s="1" a="1"/>
  <c r="E45" i="86" s="1"/>
  <c r="E13" i="13" s="1" a="1"/>
  <c r="E13" i="13" s="1"/>
  <c r="H13" i="13" s="1" a="1"/>
  <c r="H13" i="13" s="1"/>
  <c r="H80" i="84" a="1"/>
  <c r="H80" i="84" s="1"/>
  <c r="H143" i="84" a="1"/>
  <c r="H143" i="84" s="1"/>
  <c r="H110" i="84" a="1"/>
  <c r="H110" i="84" s="1"/>
  <c r="H82" i="84" a="1"/>
  <c r="H82" i="84" s="1"/>
  <c r="H145" i="84" a="1"/>
  <c r="H145" i="84" s="1"/>
  <c r="H112" i="84" a="1"/>
  <c r="H112" i="84" s="1"/>
  <c r="H107" i="84" a="1"/>
  <c r="H107" i="84" s="1"/>
  <c r="H140" i="84" a="1"/>
  <c r="H140" i="84" s="1"/>
  <c r="H77" i="84" a="1"/>
  <c r="H77" i="84" s="1"/>
  <c r="H78" i="84" a="1"/>
  <c r="H78" i="84" s="1"/>
  <c r="H108" i="84" a="1"/>
  <c r="H108" i="84" s="1"/>
  <c r="H141" i="84" a="1"/>
  <c r="H141" i="84" s="1"/>
  <c r="J82" i="84" a="1"/>
  <c r="J82" i="84" s="1"/>
  <c r="J145" i="84" a="1"/>
  <c r="J145" i="84" s="1"/>
  <c r="J112" i="84" a="1"/>
  <c r="J112" i="84" s="1"/>
  <c r="J108" i="84" a="1"/>
  <c r="J108" i="84" s="1"/>
  <c r="J78" i="84" a="1"/>
  <c r="J78" i="84" s="1"/>
  <c r="J141" i="84" a="1"/>
  <c r="J141" i="84" s="1"/>
  <c r="J140" i="84" a="1"/>
  <c r="J140" i="84" s="1"/>
  <c r="J77" i="84" a="1"/>
  <c r="J77" i="84" s="1"/>
  <c r="J107" i="84" a="1"/>
  <c r="J107" i="84" s="1"/>
  <c r="H139" i="84" a="1"/>
  <c r="H139" i="84" s="1"/>
  <c r="H106" i="84" a="1"/>
  <c r="H106" i="84" s="1"/>
  <c r="H76" i="84" a="1"/>
  <c r="H76" i="84" s="1"/>
  <c r="J139" i="84" a="1"/>
  <c r="J139" i="84" s="1"/>
  <c r="J76" i="84" a="1"/>
  <c r="J76" i="84" s="1"/>
  <c r="J106" i="84" a="1"/>
  <c r="J106" i="84" s="1"/>
  <c r="J110" i="84" a="1"/>
  <c r="J110" i="84" s="1"/>
  <c r="J143" i="84" a="1"/>
  <c r="J143" i="84" s="1"/>
  <c r="J80" i="84" a="1"/>
  <c r="J80" i="84" s="1"/>
  <c r="H111" i="84" a="1"/>
  <c r="H111" i="84" s="1"/>
  <c r="H81" i="84" a="1"/>
  <c r="H81" i="84" s="1"/>
  <c r="H144" i="84" a="1"/>
  <c r="H144" i="84" s="1"/>
  <c r="J111" i="84" a="1"/>
  <c r="J111" i="84" s="1"/>
  <c r="J144" i="84" a="1"/>
  <c r="J144" i="84" s="1"/>
  <c r="J81" i="84" a="1"/>
  <c r="J81" i="84" s="1"/>
  <c r="E49" i="82"/>
  <c r="I61" i="82" s="1"/>
  <c r="F77" i="84" a="1"/>
  <c r="F77" i="84" s="1"/>
  <c r="F140" i="84" a="1"/>
  <c r="F140" i="84" s="1"/>
  <c r="F107" i="84" a="1"/>
  <c r="F107" i="84" s="1"/>
  <c r="F143" i="84" a="1"/>
  <c r="F143" i="84" s="1"/>
  <c r="F110" i="84" a="1"/>
  <c r="F110" i="84" s="1"/>
  <c r="F80" i="84" a="1"/>
  <c r="F80" i="84" s="1"/>
  <c r="F145" i="84" a="1"/>
  <c r="F145" i="84" s="1"/>
  <c r="F112" i="84" a="1"/>
  <c r="F112" i="84" s="1"/>
  <c r="F82" i="84" a="1"/>
  <c r="F82" i="84" s="1"/>
  <c r="F78" i="84" a="1"/>
  <c r="F78" i="84" s="1"/>
  <c r="F141" i="84" a="1"/>
  <c r="F141" i="84" s="1"/>
  <c r="F108" i="84" a="1"/>
  <c r="F108" i="84" s="1"/>
  <c r="F106" i="84" a="1"/>
  <c r="F106" i="84" s="1"/>
  <c r="F76" i="84" a="1"/>
  <c r="F76" i="84" s="1"/>
  <c r="F139" i="84" a="1"/>
  <c r="F139" i="84" s="1"/>
  <c r="F111" i="84" a="1"/>
  <c r="F111" i="84" s="1"/>
  <c r="F81" i="84" a="1"/>
  <c r="F81" i="84" s="1"/>
  <c r="F144" i="84" a="1"/>
  <c r="F144" i="84" s="1"/>
  <c r="H7" i="13" a="1"/>
  <c r="H7" i="13" s="1"/>
  <c r="G68" i="13"/>
  <c r="H28" i="13" a="1"/>
  <c r="H28" i="13" s="1"/>
  <c r="E22" i="75"/>
  <c r="H24" i="13" a="1"/>
  <c r="H24" i="13" s="1"/>
  <c r="I7" i="13" a="1"/>
  <c r="I7" i="13" s="1"/>
  <c r="I25" i="13" a="1"/>
  <c r="I25" i="13" s="1"/>
  <c r="F23" i="13"/>
  <c r="I23" i="13" s="1"/>
  <c r="I27" i="13" a="1"/>
  <c r="I27" i="13" s="1"/>
  <c r="F29" i="13"/>
  <c r="I29" i="13" s="1"/>
  <c r="D51" i="13"/>
  <c r="F24" i="13"/>
  <c r="I24" i="13" s="1" a="1"/>
  <c r="I24" i="13" s="1"/>
  <c r="G70" i="13"/>
  <c r="F72" i="13"/>
  <c r="F82" i="13" s="1"/>
  <c r="H27" i="13" a="1"/>
  <c r="H27" i="13" s="1"/>
  <c r="F26" i="13"/>
  <c r="I26" i="13" s="1"/>
  <c r="F28" i="13"/>
  <c r="I28" i="13" s="1" a="1"/>
  <c r="I28" i="13" s="1"/>
  <c r="H25" i="13" a="1"/>
  <c r="H25" i="13" s="1"/>
  <c r="E19" i="75"/>
  <c r="E20" i="75"/>
  <c r="E21" i="75" s="1"/>
  <c r="H54" i="74"/>
  <c r="H51" i="74"/>
  <c r="H49" i="74"/>
  <c r="G72" i="13"/>
  <c r="H53" i="74"/>
  <c r="H48" i="74"/>
  <c r="I51" i="93" s="1"/>
  <c r="H52" i="74"/>
  <c r="H50" i="74"/>
  <c r="J92" i="97" s="1"/>
  <c r="J55" i="84" l="1"/>
  <c r="J109" i="84" s="1" a="1"/>
  <c r="J109" i="84" s="1"/>
  <c r="Q50" i="92"/>
  <c r="U50" i="92"/>
  <c r="I43" i="86"/>
  <c r="J54" i="96"/>
  <c r="I53" i="118"/>
  <c r="S74" i="92"/>
  <c r="S68" i="92" s="1" a="1"/>
  <c r="S68" i="92" s="1"/>
  <c r="I55" i="92"/>
  <c r="I66" i="82"/>
  <c r="I129" i="96"/>
  <c r="G47" i="86"/>
  <c r="E50" i="86" s="1" a="1"/>
  <c r="E50" i="86" s="1"/>
  <c r="I25" i="111" a="1"/>
  <c r="I25" i="111" s="1"/>
  <c r="D46" i="111" s="1"/>
  <c r="S25" i="111" a="1"/>
  <c r="S25" i="111" s="1"/>
  <c r="N46" i="111" s="1"/>
  <c r="J45" i="85"/>
  <c r="H227" i="117" a="1"/>
  <c r="H227" i="117" s="1"/>
  <c r="K222" i="117" a="1"/>
  <c r="K222" i="117" s="1"/>
  <c r="H229" i="117" a="1"/>
  <c r="H229" i="117" s="1"/>
  <c r="K225" i="117" a="1"/>
  <c r="K225" i="117" s="1"/>
  <c r="K229" i="117" a="1"/>
  <c r="K229" i="117" s="1"/>
  <c r="K230" i="117" a="1"/>
  <c r="K230" i="117" s="1"/>
  <c r="K227" i="117" a="1"/>
  <c r="K227" i="117" s="1"/>
  <c r="K228" i="117" a="1"/>
  <c r="K228" i="117" s="1"/>
  <c r="H228" i="117" a="1"/>
  <c r="H228" i="117" s="1"/>
  <c r="H222" i="117" a="1"/>
  <c r="H222" i="117" s="1"/>
  <c r="J224" i="117" a="1"/>
  <c r="J224" i="117" s="1"/>
  <c r="J222" i="117" a="1"/>
  <c r="J222" i="117" s="1"/>
  <c r="J226" i="117" a="1"/>
  <c r="J226" i="117" s="1"/>
  <c r="J228" i="117" a="1"/>
  <c r="J228" i="117" s="1"/>
  <c r="H225" i="117" a="1"/>
  <c r="H225" i="117" s="1"/>
  <c r="G229" i="117" a="1"/>
  <c r="G229" i="117" s="1"/>
  <c r="H226" i="117" a="1"/>
  <c r="H226" i="117" s="1"/>
  <c r="K223" i="117" a="1"/>
  <c r="K223" i="117" s="1"/>
  <c r="J229" i="117" a="1"/>
  <c r="J229" i="117" s="1"/>
  <c r="J223" i="117" a="1"/>
  <c r="J223" i="117" s="1"/>
  <c r="H230" i="117" a="1"/>
  <c r="H230" i="117" s="1"/>
  <c r="K224" i="117" a="1"/>
  <c r="K224" i="117" s="1"/>
  <c r="J225" i="117" a="1"/>
  <c r="J225" i="117" s="1"/>
  <c r="G223" i="117" a="1"/>
  <c r="G223" i="117" s="1"/>
  <c r="H224" i="117" a="1"/>
  <c r="H224" i="117" s="1"/>
  <c r="K226" i="117" a="1"/>
  <c r="K226" i="117" s="1"/>
  <c r="H223" i="117" a="1"/>
  <c r="H223" i="117" s="1"/>
  <c r="E221" i="117"/>
  <c r="J227" i="117" a="1"/>
  <c r="J227" i="117" s="1"/>
  <c r="G227" i="117" a="1"/>
  <c r="G227" i="117" s="1"/>
  <c r="J230" i="117" a="1"/>
  <c r="J230" i="117" s="1"/>
  <c r="G230" i="117" a="1"/>
  <c r="G230" i="117" s="1"/>
  <c r="G225" i="117" a="1"/>
  <c r="G225" i="117" s="1"/>
  <c r="G222" i="117" a="1"/>
  <c r="G222" i="117" s="1"/>
  <c r="G226" i="117" a="1"/>
  <c r="G226" i="117" s="1"/>
  <c r="G224" i="117" a="1"/>
  <c r="G224" i="117" s="1"/>
  <c r="G228" i="117" a="1"/>
  <c r="G228" i="117" s="1"/>
  <c r="E76" i="92" a="1"/>
  <c r="E76" i="92" s="1"/>
  <c r="E35" i="96"/>
  <c r="H35" i="96" s="1" a="1"/>
  <c r="H35" i="96" s="1"/>
  <c r="E75" i="96" s="1"/>
  <c r="E39" i="97"/>
  <c r="F39" i="97" s="1" a="1"/>
  <c r="F39" i="97" s="1"/>
  <c r="F139" i="96" a="1"/>
  <c r="F139" i="96" s="1"/>
  <c r="F143" i="96" a="1"/>
  <c r="F143" i="96" s="1"/>
  <c r="F144" i="96" a="1"/>
  <c r="F144" i="96" s="1"/>
  <c r="F138" i="96" a="1"/>
  <c r="F138" i="96" s="1"/>
  <c r="F142" i="96" a="1"/>
  <c r="F142" i="96" s="1"/>
  <c r="F137" i="96" a="1"/>
  <c r="F137" i="96" s="1"/>
  <c r="F141" i="96" a="1"/>
  <c r="F141" i="96" s="1"/>
  <c r="F140" i="96" a="1"/>
  <c r="F140" i="96" s="1"/>
  <c r="I305" i="117" a="1"/>
  <c r="I305" i="117" s="1"/>
  <c r="E316" i="117" s="1"/>
  <c r="J305" i="117" a="1"/>
  <c r="J305" i="117" s="1"/>
  <c r="E317" i="117" s="1"/>
  <c r="E71" i="92" a="1"/>
  <c r="E71" i="92" s="1"/>
  <c r="E34" i="97"/>
  <c r="F34" i="97" s="1" a="1"/>
  <c r="F34" i="97" s="1"/>
  <c r="E30" i="96"/>
  <c r="H30" i="96" s="1" a="1"/>
  <c r="H30" i="96" s="1"/>
  <c r="E70" i="96" s="1"/>
  <c r="E27" i="96"/>
  <c r="H27" i="96" s="1" a="1"/>
  <c r="H27" i="96" s="1"/>
  <c r="E67" i="96" s="1"/>
  <c r="F67" i="96" s="1" a="1"/>
  <c r="F67" i="96" s="1"/>
  <c r="E31" i="97"/>
  <c r="F31" i="97" s="1" a="1"/>
  <c r="F31" i="97" s="1"/>
  <c r="E68" i="92" a="1"/>
  <c r="E68" i="92" s="1"/>
  <c r="I37" i="99"/>
  <c r="E41" i="99" s="1"/>
  <c r="I48" i="99"/>
  <c r="I46" i="99"/>
  <c r="E50" i="99" s="1"/>
  <c r="I38" i="99"/>
  <c r="I39" i="99"/>
  <c r="I47" i="99"/>
  <c r="J30" i="83" a="1"/>
  <c r="J30" i="83" s="1"/>
  <c r="E36" i="96"/>
  <c r="H36" i="96" s="1" a="1"/>
  <c r="H36" i="96" s="1"/>
  <c r="E76" i="96" s="1"/>
  <c r="E40" i="97"/>
  <c r="F40" i="97" s="1" a="1"/>
  <c r="F40" i="97" s="1"/>
  <c r="E77" i="92" a="1"/>
  <c r="E77" i="92" s="1"/>
  <c r="E28" i="96"/>
  <c r="H28" i="96" s="1" a="1"/>
  <c r="H28" i="96" s="1"/>
  <c r="E68" i="96" s="1"/>
  <c r="E69" i="92" a="1"/>
  <c r="E69" i="92" s="1"/>
  <c r="E32" i="97"/>
  <c r="F32" i="97" s="1" a="1"/>
  <c r="F32" i="97" s="1"/>
  <c r="E63" i="93" a="1"/>
  <c r="E63" i="93" s="1"/>
  <c r="I264" i="81"/>
  <c r="E69" i="93" a="1"/>
  <c r="E69" i="93" s="1"/>
  <c r="E65" i="92" a="1"/>
  <c r="E65" i="92" s="1"/>
  <c r="E28" i="97"/>
  <c r="F28" i="97" s="1" a="1"/>
  <c r="F28" i="97" s="1"/>
  <c r="E24" i="96"/>
  <c r="H24" i="96" s="1" a="1"/>
  <c r="H24" i="96" s="1"/>
  <c r="E64" i="96" s="1"/>
  <c r="F64" i="96" s="1" a="1"/>
  <c r="F64" i="96" s="1"/>
  <c r="E66" i="92" a="1"/>
  <c r="E66" i="92" s="1"/>
  <c r="E29" i="97"/>
  <c r="F29" i="97" s="1" a="1"/>
  <c r="F29" i="97" s="1"/>
  <c r="E25" i="96"/>
  <c r="H25" i="96" s="1" a="1"/>
  <c r="H25" i="96" s="1"/>
  <c r="E65" i="96" s="1"/>
  <c r="U244" i="80" a="1"/>
  <c r="U244" i="80" s="1"/>
  <c r="U297" i="80" s="1" a="1"/>
  <c r="U297" i="80" s="1"/>
  <c r="T244" i="80" a="1"/>
  <c r="T244" i="80" s="1"/>
  <c r="T297" i="80" s="1" a="1"/>
  <c r="T297" i="80" s="1"/>
  <c r="T240" i="80" a="1"/>
  <c r="T240" i="80" s="1"/>
  <c r="T293" i="80" s="1" a="1"/>
  <c r="T293" i="80" s="1"/>
  <c r="R244" i="80" a="1"/>
  <c r="R244" i="80" s="1"/>
  <c r="R297" i="80" s="1" a="1"/>
  <c r="R297" i="80" s="1"/>
  <c r="S244" i="80" a="1"/>
  <c r="S244" i="80" s="1"/>
  <c r="S297" i="80" s="1" a="1"/>
  <c r="S297" i="80" s="1"/>
  <c r="U240" i="80" a="1"/>
  <c r="U240" i="80" s="1"/>
  <c r="U293" i="80" s="1" a="1"/>
  <c r="U293" i="80" s="1"/>
  <c r="Q244" i="80" a="1"/>
  <c r="Q244" i="80" s="1"/>
  <c r="Q297" i="80" s="1" a="1"/>
  <c r="Q297" i="80" s="1"/>
  <c r="Q240" i="80" a="1"/>
  <c r="Q240" i="80" s="1"/>
  <c r="Q293" i="80" s="1" a="1"/>
  <c r="Q293" i="80" s="1"/>
  <c r="S240" i="80" a="1"/>
  <c r="S240" i="80" s="1"/>
  <c r="S293" i="80" s="1" a="1"/>
  <c r="S293" i="80" s="1"/>
  <c r="R240" i="80" a="1"/>
  <c r="R240" i="80" s="1"/>
  <c r="R293" i="80" s="1" a="1"/>
  <c r="R293" i="80" s="1"/>
  <c r="J38" i="111"/>
  <c r="H25" i="95" a="1"/>
  <c r="H25" i="95" s="1"/>
  <c r="E64" i="93" a="1"/>
  <c r="E64" i="93" s="1"/>
  <c r="E60" i="92" a="1"/>
  <c r="E60" i="92" s="1"/>
  <c r="E19" i="96"/>
  <c r="H19" i="96" s="1" a="1"/>
  <c r="H19" i="96" s="1"/>
  <c r="E59" i="96" s="1"/>
  <c r="F59" i="96" s="1" a="1"/>
  <c r="F59" i="96" s="1"/>
  <c r="E23" i="97"/>
  <c r="F23" i="97" s="1" a="1"/>
  <c r="F23" i="97" s="1"/>
  <c r="E62" i="93" a="1"/>
  <c r="E62" i="93" s="1"/>
  <c r="T241" i="80" a="1"/>
  <c r="T241" i="80" s="1"/>
  <c r="T294" i="80" s="1" a="1"/>
  <c r="T294" i="80" s="1"/>
  <c r="U245" i="80" a="1"/>
  <c r="U245" i="80" s="1"/>
  <c r="U298" i="80" s="1" a="1"/>
  <c r="U298" i="80" s="1"/>
  <c r="U241" i="80" a="1"/>
  <c r="U241" i="80" s="1"/>
  <c r="U294" i="80" s="1" a="1"/>
  <c r="U294" i="80" s="1"/>
  <c r="S241" i="80" a="1"/>
  <c r="S241" i="80" s="1"/>
  <c r="S294" i="80" s="1" a="1"/>
  <c r="S294" i="80" s="1"/>
  <c r="R245" i="80" a="1"/>
  <c r="R245" i="80" s="1"/>
  <c r="R298" i="80" s="1" a="1"/>
  <c r="R298" i="80" s="1"/>
  <c r="R241" i="80" a="1"/>
  <c r="R241" i="80" s="1"/>
  <c r="R294" i="80" s="1" a="1"/>
  <c r="R294" i="80" s="1"/>
  <c r="S245" i="80" a="1"/>
  <c r="S245" i="80" s="1"/>
  <c r="S298" i="80" s="1" a="1"/>
  <c r="S298" i="80" s="1"/>
  <c r="T245" i="80" a="1"/>
  <c r="T245" i="80" s="1"/>
  <c r="T298" i="80" s="1" a="1"/>
  <c r="T298" i="80" s="1"/>
  <c r="Q241" i="80" a="1"/>
  <c r="Q241" i="80" s="1"/>
  <c r="Q294" i="80" s="1" a="1"/>
  <c r="Q294" i="80" s="1"/>
  <c r="Q245" i="80" a="1"/>
  <c r="Q245" i="80" s="1"/>
  <c r="Q298" i="80" s="1" a="1"/>
  <c r="Q298" i="80" s="1"/>
  <c r="J45" i="87"/>
  <c r="P45" i="86" a="1"/>
  <c r="P45" i="86" s="1"/>
  <c r="E76" i="93" a="1"/>
  <c r="E76" i="93" s="1"/>
  <c r="E70" i="92" a="1"/>
  <c r="E70" i="92" s="1"/>
  <c r="E33" i="97"/>
  <c r="F33" i="97" s="1" a="1"/>
  <c r="F33" i="97" s="1"/>
  <c r="E29" i="96"/>
  <c r="H29" i="96" s="1" a="1"/>
  <c r="H29" i="96" s="1"/>
  <c r="E69" i="96" s="1"/>
  <c r="E70" i="93" a="1"/>
  <c r="E70" i="93" s="1"/>
  <c r="Q45" i="92"/>
  <c r="U45" i="92"/>
  <c r="E103" i="96"/>
  <c r="F103" i="96" s="1" a="1"/>
  <c r="F103" i="96" s="1"/>
  <c r="E135" i="96" s="1"/>
  <c r="F135" i="96" s="1" a="1"/>
  <c r="F135" i="96" s="1"/>
  <c r="E66" i="97"/>
  <c r="F66" i="97" s="1" a="1"/>
  <c r="F66" i="97" s="1"/>
  <c r="E73" i="93" a="1"/>
  <c r="E73" i="93" s="1"/>
  <c r="E63" i="92" a="1"/>
  <c r="E63" i="92" s="1"/>
  <c r="E26" i="97"/>
  <c r="F26" i="97" s="1" a="1"/>
  <c r="F26" i="97" s="1"/>
  <c r="E22" i="96"/>
  <c r="H22" i="96" s="1" a="1"/>
  <c r="H22" i="96" s="1"/>
  <c r="E62" i="96" s="1"/>
  <c r="F62" i="96" s="1" a="1"/>
  <c r="F62" i="96" s="1"/>
  <c r="E71" i="93" a="1"/>
  <c r="E71" i="93" s="1"/>
  <c r="U243" i="80" a="1"/>
  <c r="U243" i="80" s="1"/>
  <c r="U296" i="80" s="1" a="1"/>
  <c r="U296" i="80" s="1"/>
  <c r="T243" i="80" a="1"/>
  <c r="T243" i="80" s="1"/>
  <c r="T296" i="80" s="1" a="1"/>
  <c r="T296" i="80" s="1"/>
  <c r="Q239" i="80" a="1"/>
  <c r="Q239" i="80" s="1"/>
  <c r="Q292" i="80" s="1" a="1"/>
  <c r="Q292" i="80" s="1"/>
  <c r="Q243" i="80" a="1"/>
  <c r="Q243" i="80" s="1"/>
  <c r="Q296" i="80" s="1" a="1"/>
  <c r="Q296" i="80" s="1"/>
  <c r="S243" i="80" a="1"/>
  <c r="S243" i="80" s="1"/>
  <c r="S296" i="80" s="1" a="1"/>
  <c r="S296" i="80" s="1"/>
  <c r="S239" i="80" a="1"/>
  <c r="S239" i="80" s="1"/>
  <c r="S292" i="80" s="1" a="1"/>
  <c r="S292" i="80" s="1"/>
  <c r="R239" i="80" a="1"/>
  <c r="R239" i="80" s="1"/>
  <c r="R292" i="80" s="1" a="1"/>
  <c r="R292" i="80" s="1"/>
  <c r="U239" i="80" a="1"/>
  <c r="U239" i="80" s="1"/>
  <c r="U292" i="80" s="1" a="1"/>
  <c r="U292" i="80" s="1"/>
  <c r="T239" i="80" a="1"/>
  <c r="T239" i="80" s="1"/>
  <c r="T292" i="80" s="1" a="1"/>
  <c r="T292" i="80" s="1"/>
  <c r="R243" i="80" a="1"/>
  <c r="R243" i="80" s="1"/>
  <c r="R296" i="80" s="1" a="1"/>
  <c r="R296" i="80" s="1"/>
  <c r="I50" i="118"/>
  <c r="E73" i="92" a="1"/>
  <c r="E73" i="92" s="1"/>
  <c r="E32" i="96"/>
  <c r="H32" i="96" s="1" a="1"/>
  <c r="H32" i="96" s="1"/>
  <c r="E72" i="96" s="1"/>
  <c r="F72" i="96" s="1" a="1"/>
  <c r="F72" i="96" s="1"/>
  <c r="E36" i="97"/>
  <c r="F36" i="97" s="1" a="1"/>
  <c r="F36" i="97" s="1"/>
  <c r="E68" i="93" a="1"/>
  <c r="E68" i="93" s="1"/>
  <c r="E62" i="92" a="1"/>
  <c r="E62" i="92" s="1"/>
  <c r="E21" i="96"/>
  <c r="H21" i="96" s="1" a="1"/>
  <c r="H21" i="96" s="1"/>
  <c r="E61" i="96" s="1"/>
  <c r="F61" i="96" s="1" a="1"/>
  <c r="F61" i="96" s="1"/>
  <c r="E25" i="97"/>
  <c r="F25" i="97" s="1" a="1"/>
  <c r="F25" i="97" s="1"/>
  <c r="Q242" i="80" a="1"/>
  <c r="Q242" i="80" s="1"/>
  <c r="Q295" i="80" s="1" a="1"/>
  <c r="Q295" i="80" s="1"/>
  <c r="Q238" i="80" a="1"/>
  <c r="Q238" i="80" s="1"/>
  <c r="Q291" i="80" s="1" a="1"/>
  <c r="Q291" i="80" s="1"/>
  <c r="T242" i="80" a="1"/>
  <c r="T242" i="80" s="1"/>
  <c r="T295" i="80" s="1" a="1"/>
  <c r="T295" i="80" s="1"/>
  <c r="R242" i="80" a="1"/>
  <c r="R242" i="80" s="1"/>
  <c r="R295" i="80" s="1" a="1"/>
  <c r="R295" i="80" s="1"/>
  <c r="U242" i="80" a="1"/>
  <c r="U242" i="80" s="1"/>
  <c r="U295" i="80" s="1" a="1"/>
  <c r="U295" i="80" s="1"/>
  <c r="S242" i="80" a="1"/>
  <c r="S242" i="80" s="1"/>
  <c r="S295" i="80" s="1" a="1"/>
  <c r="S295" i="80" s="1"/>
  <c r="U238" i="80" a="1"/>
  <c r="U238" i="80" s="1"/>
  <c r="U291" i="80" s="1" a="1"/>
  <c r="U291" i="80" s="1"/>
  <c r="T238" i="80" a="1"/>
  <c r="T238" i="80" s="1"/>
  <c r="T291" i="80" s="1" a="1"/>
  <c r="T291" i="80" s="1"/>
  <c r="S238" i="80" a="1"/>
  <c r="S238" i="80" s="1"/>
  <c r="S291" i="80" s="1" a="1"/>
  <c r="S291" i="80" s="1"/>
  <c r="R238" i="80" a="1"/>
  <c r="R238" i="80" s="1"/>
  <c r="R291" i="80" s="1" a="1"/>
  <c r="R291" i="80" s="1"/>
  <c r="E59" i="93" a="1"/>
  <c r="E59" i="93" s="1"/>
  <c r="E72" i="92" a="1"/>
  <c r="E72" i="92" s="1"/>
  <c r="E31" i="96"/>
  <c r="H31" i="96" s="1" a="1"/>
  <c r="H31" i="96" s="1"/>
  <c r="E71" i="96" s="1"/>
  <c r="F71" i="96" s="1" a="1"/>
  <c r="F71" i="96" s="1"/>
  <c r="E35" i="97"/>
  <c r="F35" i="97" s="1" a="1"/>
  <c r="F35" i="97" s="1"/>
  <c r="E41" i="97"/>
  <c r="F41" i="97" s="1" a="1"/>
  <c r="F41" i="97" s="1"/>
  <c r="E78" i="92" a="1"/>
  <c r="E78" i="92" s="1"/>
  <c r="E37" i="96"/>
  <c r="H37" i="96" s="1" a="1"/>
  <c r="H37" i="96" s="1"/>
  <c r="E77" i="96" s="1"/>
  <c r="F77" i="96" s="1" a="1"/>
  <c r="F77" i="96" s="1"/>
  <c r="S30" i="83" a="1"/>
  <c r="S30" i="83" s="1"/>
  <c r="S29" i="83" a="1"/>
  <c r="S29" i="83" s="1"/>
  <c r="T30" i="83" a="1"/>
  <c r="T30" i="83" s="1"/>
  <c r="R29" i="83" a="1"/>
  <c r="R29" i="83" s="1"/>
  <c r="T29" i="83" a="1"/>
  <c r="T29" i="83" s="1"/>
  <c r="R30" i="83" a="1"/>
  <c r="R30" i="83" s="1"/>
  <c r="U30" i="83" a="1"/>
  <c r="U30" i="83" s="1"/>
  <c r="U29" i="83" a="1"/>
  <c r="U29" i="83" s="1"/>
  <c r="Q29" i="83" a="1"/>
  <c r="Q29" i="83" s="1"/>
  <c r="G29" i="83" a="1"/>
  <c r="G29" i="83" s="1"/>
  <c r="G30" i="83" a="1"/>
  <c r="G30" i="83" s="1"/>
  <c r="I30" i="83" a="1"/>
  <c r="I30" i="83" s="1"/>
  <c r="Q30" i="83" a="1"/>
  <c r="Q30" i="83" s="1"/>
  <c r="I29" i="83" a="1"/>
  <c r="I29" i="83" s="1"/>
  <c r="E67" i="97"/>
  <c r="F67" i="97" s="1" a="1"/>
  <c r="F67" i="97" s="1"/>
  <c r="E104" i="96"/>
  <c r="F104" i="96" s="1" a="1"/>
  <c r="F104" i="96" s="1"/>
  <c r="E136" i="96" s="1"/>
  <c r="F136" i="96" s="1" a="1"/>
  <c r="F136" i="96" s="1"/>
  <c r="E65" i="97"/>
  <c r="F65" i="97" s="1" a="1"/>
  <c r="F65" i="97" s="1"/>
  <c r="E32" i="94"/>
  <c r="K44" i="94" s="1"/>
  <c r="E102" i="96"/>
  <c r="F102" i="96" s="1" a="1"/>
  <c r="F102" i="96" s="1"/>
  <c r="E134" i="96" s="1"/>
  <c r="F134" i="96" s="1" a="1"/>
  <c r="F134" i="96" s="1"/>
  <c r="J88" i="118"/>
  <c r="F29" i="83" a="1"/>
  <c r="F29" i="83" s="1"/>
  <c r="I63" i="82"/>
  <c r="P68" i="82" s="1" a="1"/>
  <c r="P68" i="82" s="1"/>
  <c r="H29" i="83" a="1"/>
  <c r="H29" i="83" s="1"/>
  <c r="E64" i="92" a="1"/>
  <c r="E64" i="92" s="1"/>
  <c r="E23" i="96"/>
  <c r="H23" i="96" s="1" a="1"/>
  <c r="H23" i="96" s="1"/>
  <c r="E63" i="96" s="1"/>
  <c r="F63" i="96" s="1" a="1"/>
  <c r="F63" i="96" s="1"/>
  <c r="E27" i="97"/>
  <c r="F27" i="97" s="1" a="1"/>
  <c r="F27" i="97" s="1"/>
  <c r="E74" i="92" a="1"/>
  <c r="E74" i="92" s="1"/>
  <c r="E33" i="96"/>
  <c r="H33" i="96" s="1" a="1"/>
  <c r="H33" i="96" s="1"/>
  <c r="E73" i="96" s="1"/>
  <c r="F73" i="96" s="1" a="1"/>
  <c r="F73" i="96" s="1"/>
  <c r="E37" i="97"/>
  <c r="F37" i="97" s="1" a="1"/>
  <c r="F37" i="97" s="1"/>
  <c r="E72" i="93" a="1"/>
  <c r="E72" i="93" s="1"/>
  <c r="J17" i="118"/>
  <c r="J14" i="118" s="1"/>
  <c r="J37" i="110"/>
  <c r="J34" i="110" s="1" a="1"/>
  <c r="J34" i="110" s="1"/>
  <c r="K48" i="94"/>
  <c r="K45" i="94" s="1"/>
  <c r="J46" i="85"/>
  <c r="J44" i="85" s="1"/>
  <c r="E65" i="93" a="1"/>
  <c r="E65" i="93" s="1"/>
  <c r="E58" i="93" a="1"/>
  <c r="E58" i="93" s="1"/>
  <c r="E38" i="97"/>
  <c r="F38" i="97" s="1" a="1"/>
  <c r="F38" i="97" s="1"/>
  <c r="E75" i="92" a="1"/>
  <c r="E75" i="92" s="1"/>
  <c r="E34" i="96"/>
  <c r="H34" i="96" s="1" a="1"/>
  <c r="H34" i="96" s="1"/>
  <c r="E74" i="96" s="1"/>
  <c r="F74" i="96" s="1" a="1"/>
  <c r="F74" i="96" s="1"/>
  <c r="K237" i="117" a="1"/>
  <c r="K237" i="117" s="1"/>
  <c r="H237" i="117" a="1"/>
  <c r="H237" i="117" s="1"/>
  <c r="J237" i="117" a="1"/>
  <c r="J237" i="117" s="1"/>
  <c r="G237" i="117" a="1"/>
  <c r="G237" i="117" s="1"/>
  <c r="S28" i="87" a="1"/>
  <c r="S28" i="87" s="1"/>
  <c r="R28" i="87" a="1"/>
  <c r="R28" i="87" s="1"/>
  <c r="U28" i="87" a="1"/>
  <c r="U28" i="87" s="1"/>
  <c r="T28" i="87" a="1"/>
  <c r="T28" i="87" s="1"/>
  <c r="Q28" i="87" a="1"/>
  <c r="Q28" i="87" s="1"/>
  <c r="P30" i="87" s="1"/>
  <c r="U43" i="87" s="1"/>
  <c r="P47" i="87" s="1" a="1"/>
  <c r="P47" i="87" s="1"/>
  <c r="I28" i="87" a="1"/>
  <c r="I28" i="87" s="1"/>
  <c r="G28" i="87" a="1"/>
  <c r="G28" i="87" s="1"/>
  <c r="J51" i="96"/>
  <c r="I44" i="83"/>
  <c r="J49" i="83" s="1" a="1"/>
  <c r="J49" i="83" s="1"/>
  <c r="E66" i="93" a="1"/>
  <c r="E66" i="93" s="1"/>
  <c r="E75" i="93" a="1"/>
  <c r="E75" i="93" s="1"/>
  <c r="E67" i="93" a="1"/>
  <c r="E67" i="93" s="1"/>
  <c r="E74" i="93" a="1"/>
  <c r="E74" i="93" s="1"/>
  <c r="E20" i="96"/>
  <c r="H20" i="96" s="1" a="1"/>
  <c r="H20" i="96" s="1"/>
  <c r="E60" i="96" s="1"/>
  <c r="F60" i="96" s="1" a="1"/>
  <c r="F60" i="96" s="1"/>
  <c r="E61" i="92" a="1"/>
  <c r="E61" i="92" s="1"/>
  <c r="E24" i="97"/>
  <c r="F24" i="97" s="1" a="1"/>
  <c r="F24" i="97" s="1"/>
  <c r="E60" i="93" a="1"/>
  <c r="E60" i="93" s="1"/>
  <c r="H30" i="83" a="1"/>
  <c r="H30" i="83" s="1"/>
  <c r="F74" i="97" a="1"/>
  <c r="F74" i="97" s="1"/>
  <c r="F68" i="97" a="1"/>
  <c r="F68" i="97" s="1"/>
  <c r="F69" i="97" a="1"/>
  <c r="F69" i="97" s="1"/>
  <c r="F75" i="97" a="1"/>
  <c r="F75" i="97" s="1"/>
  <c r="F73" i="97" a="1"/>
  <c r="F73" i="97" s="1"/>
  <c r="F72" i="97" a="1"/>
  <c r="F72" i="97" s="1"/>
  <c r="F70" i="97" a="1"/>
  <c r="F70" i="97" s="1"/>
  <c r="F71" i="97" a="1"/>
  <c r="F71" i="97" s="1"/>
  <c r="I20" i="95"/>
  <c r="E230" i="80" a="1"/>
  <c r="E230" i="80" s="1"/>
  <c r="E229" i="80" a="1"/>
  <c r="E229" i="80" s="1"/>
  <c r="E228" i="80" a="1"/>
  <c r="E228" i="80" s="1"/>
  <c r="P228" i="80" a="1"/>
  <c r="P228" i="80" s="1"/>
  <c r="E231" i="80" a="1"/>
  <c r="E231" i="80" s="1"/>
  <c r="E232" i="80" a="1"/>
  <c r="E232" i="80" s="1"/>
  <c r="E26" i="96"/>
  <c r="H26" i="96" s="1" a="1"/>
  <c r="H26" i="96" s="1"/>
  <c r="E66" i="96" s="1"/>
  <c r="F66" i="96" s="1" a="1"/>
  <c r="F66" i="96" s="1"/>
  <c r="E30" i="97"/>
  <c r="F30" i="97" s="1" a="1"/>
  <c r="F30" i="97" s="1"/>
  <c r="E67" i="92" a="1"/>
  <c r="E67" i="92" s="1"/>
  <c r="E61" i="93" a="1"/>
  <c r="E61" i="93" s="1"/>
  <c r="F30" i="83" a="1"/>
  <c r="F30" i="83" s="1"/>
  <c r="R70" i="82" l="1"/>
  <c r="P73" i="82" s="1" a="1"/>
  <c r="P73" i="82" s="1"/>
  <c r="F10" i="13" a="1"/>
  <c r="F10" i="13" s="1"/>
  <c r="I10" i="13" s="1" a="1"/>
  <c r="I10" i="13" s="1"/>
  <c r="R49" i="87"/>
  <c r="P52" i="87" s="1" a="1"/>
  <c r="P52" i="87" s="1"/>
  <c r="F14" i="13" a="1"/>
  <c r="F14" i="13" s="1"/>
  <c r="I14" i="13" s="1" a="1"/>
  <c r="I14" i="13" s="1"/>
  <c r="E68" i="82" a="1"/>
  <c r="E68" i="82" s="1"/>
  <c r="F55" i="84"/>
  <c r="F49" i="83" a="1"/>
  <c r="F49" i="83" s="1"/>
  <c r="Q49" i="83" a="1"/>
  <c r="Q49" i="83" s="1"/>
  <c r="Q55" i="84"/>
  <c r="F68" i="96" a="1"/>
  <c r="F68" i="96" s="1"/>
  <c r="F70" i="96" a="1"/>
  <c r="F70" i="96" s="1"/>
  <c r="E46" i="111" a="1"/>
  <c r="E46" i="111" s="1"/>
  <c r="E48" i="111" s="1"/>
  <c r="F59" i="84"/>
  <c r="F50" i="83" a="1"/>
  <c r="F50" i="83" s="1"/>
  <c r="I49" i="83" a="1"/>
  <c r="I49" i="83" s="1"/>
  <c r="I55" i="84"/>
  <c r="G49" i="83" a="1"/>
  <c r="G49" i="83" s="1"/>
  <c r="G55" i="84"/>
  <c r="Q237" i="80" a="1"/>
  <c r="Q237" i="80" s="1"/>
  <c r="Q290" i="80" s="1" a="1"/>
  <c r="Q290" i="80" s="1"/>
  <c r="U237" i="80" a="1"/>
  <c r="U237" i="80" s="1"/>
  <c r="U290" i="80" s="1" a="1"/>
  <c r="U290" i="80" s="1"/>
  <c r="T237" i="80" a="1"/>
  <c r="T237" i="80" s="1"/>
  <c r="T290" i="80" s="1" a="1"/>
  <c r="T290" i="80" s="1"/>
  <c r="R237" i="80" a="1"/>
  <c r="R237" i="80" s="1"/>
  <c r="R290" i="80" s="1" a="1"/>
  <c r="R290" i="80" s="1"/>
  <c r="S237" i="80" a="1"/>
  <c r="S237" i="80" s="1"/>
  <c r="S290" i="80" s="1" a="1"/>
  <c r="S290" i="80" s="1"/>
  <c r="G237" i="80" a="1"/>
  <c r="G237" i="80" s="1"/>
  <c r="G290" i="80" s="1" a="1"/>
  <c r="G290" i="80" s="1"/>
  <c r="I237" i="80" a="1"/>
  <c r="I237" i="80" s="1"/>
  <c r="I290" i="80" s="1" a="1"/>
  <c r="I290" i="80" s="1"/>
  <c r="F237" i="80" a="1"/>
  <c r="F237" i="80" s="1"/>
  <c r="F290" i="80" s="1" a="1"/>
  <c r="F290" i="80" s="1"/>
  <c r="J237" i="80" a="1"/>
  <c r="J237" i="80" s="1"/>
  <c r="J290" i="80" s="1" a="1"/>
  <c r="J290" i="80" s="1"/>
  <c r="H237" i="80" a="1"/>
  <c r="H237" i="80" s="1"/>
  <c r="H290" i="80" s="1" a="1"/>
  <c r="H290" i="80" s="1"/>
  <c r="H50" i="83" a="1"/>
  <c r="H50" i="83" s="1"/>
  <c r="H59" i="84"/>
  <c r="R51" i="85" a="1"/>
  <c r="R51" i="85" s="1"/>
  <c r="S51" i="85" a="1"/>
  <c r="S51" i="85" s="1"/>
  <c r="U51" i="85" a="1"/>
  <c r="U51" i="85" s="1"/>
  <c r="T51" i="85" a="1"/>
  <c r="T51" i="85" s="1"/>
  <c r="Q51" i="85" a="1"/>
  <c r="Q51" i="85" s="1"/>
  <c r="P53" i="85" s="1"/>
  <c r="I51" i="85" a="1"/>
  <c r="I51" i="85" s="1"/>
  <c r="G51" i="85" a="1"/>
  <c r="G51" i="85" s="1"/>
  <c r="J51" i="85" a="1"/>
  <c r="J51" i="85" s="1"/>
  <c r="H51" i="85" a="1"/>
  <c r="H51" i="85" s="1"/>
  <c r="F51" i="85" a="1"/>
  <c r="F51" i="85" s="1"/>
  <c r="E53" i="85" s="1"/>
  <c r="U49" i="83" a="1"/>
  <c r="U49" i="83" s="1"/>
  <c r="U55" i="84"/>
  <c r="E43" i="97"/>
  <c r="J89" i="97" s="1"/>
  <c r="F75" i="96" a="1"/>
  <c r="F75" i="96" s="1"/>
  <c r="R55" i="84"/>
  <c r="R49" i="83" a="1"/>
  <c r="R49" i="83" s="1"/>
  <c r="O46" i="111" a="1"/>
  <c r="O46" i="111" s="1"/>
  <c r="O48" i="111" s="1"/>
  <c r="J242" i="80" a="1"/>
  <c r="J242" i="80" s="1"/>
  <c r="J295" i="80" s="1" a="1"/>
  <c r="J295" i="80" s="1"/>
  <c r="G238" i="80" a="1"/>
  <c r="G238" i="80" s="1"/>
  <c r="G291" i="80" s="1" a="1"/>
  <c r="G291" i="80" s="1"/>
  <c r="I238" i="80" a="1"/>
  <c r="I238" i="80" s="1"/>
  <c r="I291" i="80" s="1" a="1"/>
  <c r="I291" i="80" s="1"/>
  <c r="H242" i="80" a="1"/>
  <c r="H242" i="80" s="1"/>
  <c r="H295" i="80" s="1" a="1"/>
  <c r="H295" i="80" s="1"/>
  <c r="F242" i="80" a="1"/>
  <c r="F242" i="80" s="1"/>
  <c r="F295" i="80" s="1" a="1"/>
  <c r="F295" i="80" s="1"/>
  <c r="H238" i="80" a="1"/>
  <c r="H238" i="80" s="1"/>
  <c r="H291" i="80" s="1" a="1"/>
  <c r="H291" i="80" s="1"/>
  <c r="F238" i="80" a="1"/>
  <c r="F238" i="80" s="1"/>
  <c r="F291" i="80" s="1" a="1"/>
  <c r="F291" i="80" s="1"/>
  <c r="J238" i="80" a="1"/>
  <c r="J238" i="80" s="1"/>
  <c r="J291" i="80" s="1" a="1"/>
  <c r="J291" i="80" s="1"/>
  <c r="G242" i="80" a="1"/>
  <c r="G242" i="80" s="1"/>
  <c r="G295" i="80" s="1" a="1"/>
  <c r="G295" i="80" s="1"/>
  <c r="I242" i="80" a="1"/>
  <c r="I242" i="80" s="1"/>
  <c r="I295" i="80" s="1" a="1"/>
  <c r="I295" i="80" s="1"/>
  <c r="E146" i="96"/>
  <c r="U59" i="84"/>
  <c r="U50" i="83" a="1"/>
  <c r="U50" i="83" s="1"/>
  <c r="R47" i="86"/>
  <c r="P50" i="86" s="1" a="1"/>
  <c r="P50" i="86" s="1"/>
  <c r="F13" i="13" a="1"/>
  <c r="F13" i="13" s="1"/>
  <c r="I13" i="13" s="1" a="1"/>
  <c r="I13" i="13" s="1"/>
  <c r="J245" i="80" a="1"/>
  <c r="J245" i="80" s="1"/>
  <c r="J298" i="80" s="1" a="1"/>
  <c r="J298" i="80" s="1"/>
  <c r="I241" i="80" a="1"/>
  <c r="I241" i="80" s="1"/>
  <c r="I294" i="80" s="1" a="1"/>
  <c r="I294" i="80" s="1"/>
  <c r="I245" i="80" a="1"/>
  <c r="I245" i="80" s="1"/>
  <c r="I298" i="80" s="1" a="1"/>
  <c r="I298" i="80" s="1"/>
  <c r="G241" i="80" a="1"/>
  <c r="G241" i="80" s="1"/>
  <c r="G294" i="80" s="1" a="1"/>
  <c r="G294" i="80" s="1"/>
  <c r="G245" i="80" a="1"/>
  <c r="G245" i="80" s="1"/>
  <c r="G298" i="80" s="1" a="1"/>
  <c r="G298" i="80" s="1"/>
  <c r="H245" i="80" a="1"/>
  <c r="H245" i="80" s="1"/>
  <c r="H298" i="80" s="1" a="1"/>
  <c r="H298" i="80" s="1"/>
  <c r="F245" i="80" a="1"/>
  <c r="F245" i="80" s="1"/>
  <c r="F298" i="80" s="1" a="1"/>
  <c r="F298" i="80" s="1"/>
  <c r="H241" i="80" a="1"/>
  <c r="H241" i="80" s="1"/>
  <c r="H294" i="80" s="1" a="1"/>
  <c r="H294" i="80" s="1"/>
  <c r="J241" i="80" a="1"/>
  <c r="J241" i="80" s="1"/>
  <c r="J294" i="80" s="1" a="1"/>
  <c r="J294" i="80" s="1"/>
  <c r="F241" i="80" a="1"/>
  <c r="F241" i="80" s="1"/>
  <c r="F294" i="80" s="1" a="1"/>
  <c r="F294" i="80" s="1"/>
  <c r="J240" i="80" a="1"/>
  <c r="J240" i="80" s="1"/>
  <c r="J293" i="80" s="1" a="1"/>
  <c r="J293" i="80" s="1"/>
  <c r="F244" i="80" a="1"/>
  <c r="F244" i="80" s="1"/>
  <c r="F297" i="80" s="1" a="1"/>
  <c r="F297" i="80" s="1"/>
  <c r="H244" i="80" a="1"/>
  <c r="H244" i="80" s="1"/>
  <c r="H297" i="80" s="1" a="1"/>
  <c r="H297" i="80" s="1"/>
  <c r="I244" i="80" a="1"/>
  <c r="I244" i="80" s="1"/>
  <c r="I297" i="80" s="1" a="1"/>
  <c r="I297" i="80" s="1"/>
  <c r="H240" i="80" a="1"/>
  <c r="H240" i="80" s="1"/>
  <c r="H293" i="80" s="1" a="1"/>
  <c r="H293" i="80" s="1"/>
  <c r="G244" i="80" a="1"/>
  <c r="G244" i="80" s="1"/>
  <c r="G297" i="80" s="1" a="1"/>
  <c r="G297" i="80" s="1"/>
  <c r="I240" i="80" a="1"/>
  <c r="I240" i="80" s="1"/>
  <c r="I293" i="80" s="1" a="1"/>
  <c r="I293" i="80" s="1"/>
  <c r="J244" i="80" a="1"/>
  <c r="J244" i="80" s="1"/>
  <c r="J297" i="80" s="1" a="1"/>
  <c r="J297" i="80" s="1"/>
  <c r="G240" i="80" a="1"/>
  <c r="G240" i="80" s="1"/>
  <c r="G293" i="80" s="1" a="1"/>
  <c r="G293" i="80" s="1"/>
  <c r="F240" i="80" a="1"/>
  <c r="F240" i="80" s="1"/>
  <c r="F293" i="80" s="1" a="1"/>
  <c r="F293" i="80" s="1"/>
  <c r="J142" i="84" a="1"/>
  <c r="J142" i="84" s="1"/>
  <c r="G243" i="80" a="1"/>
  <c r="G243" i="80" s="1"/>
  <c r="G296" i="80" s="1" a="1"/>
  <c r="G296" i="80" s="1"/>
  <c r="H239" i="80" a="1"/>
  <c r="H239" i="80" s="1"/>
  <c r="H292" i="80" s="1" a="1"/>
  <c r="H292" i="80" s="1"/>
  <c r="I243" i="80" a="1"/>
  <c r="I243" i="80" s="1"/>
  <c r="I296" i="80" s="1" a="1"/>
  <c r="I296" i="80" s="1"/>
  <c r="F239" i="80" a="1"/>
  <c r="F239" i="80" s="1"/>
  <c r="F292" i="80" s="1" a="1"/>
  <c r="F292" i="80" s="1"/>
  <c r="H243" i="80" a="1"/>
  <c r="H243" i="80" s="1"/>
  <c r="H296" i="80" s="1" a="1"/>
  <c r="H296" i="80" s="1"/>
  <c r="J239" i="80" a="1"/>
  <c r="J239" i="80" s="1"/>
  <c r="J292" i="80" s="1" a="1"/>
  <c r="J292" i="80" s="1"/>
  <c r="G239" i="80" a="1"/>
  <c r="G239" i="80" s="1"/>
  <c r="G292" i="80" s="1" a="1"/>
  <c r="G292" i="80" s="1"/>
  <c r="I239" i="80" a="1"/>
  <c r="I239" i="80" s="1"/>
  <c r="I292" i="80" s="1" a="1"/>
  <c r="I292" i="80" s="1"/>
  <c r="F243" i="80" a="1"/>
  <c r="F243" i="80" s="1"/>
  <c r="F296" i="80" s="1" a="1"/>
  <c r="F296" i="80" s="1"/>
  <c r="J243" i="80" a="1"/>
  <c r="J243" i="80" s="1"/>
  <c r="J296" i="80" s="1" a="1"/>
  <c r="J296" i="80" s="1"/>
  <c r="O40" i="110" a="1"/>
  <c r="O40" i="110" s="1"/>
  <c r="E40" i="110" a="1"/>
  <c r="E40" i="110" s="1"/>
  <c r="E50" i="94" a="1"/>
  <c r="E50" i="94" s="1"/>
  <c r="R59" i="84"/>
  <c r="R50" i="83" a="1"/>
  <c r="R50" i="83" s="1"/>
  <c r="E80" i="92"/>
  <c r="F65" i="96" a="1"/>
  <c r="F65" i="96" s="1"/>
  <c r="E79" i="96" s="1"/>
  <c r="G81" i="96" s="1"/>
  <c r="E84" i="96" s="1" a="1"/>
  <c r="E84" i="96" s="1"/>
  <c r="F76" i="96" a="1"/>
  <c r="F76" i="96" s="1"/>
  <c r="J79" i="84" a="1"/>
  <c r="J79" i="84" s="1"/>
  <c r="H29" i="95" a="1"/>
  <c r="H29" i="95" s="1"/>
  <c r="H28" i="95" a="1"/>
  <c r="H28" i="95" s="1"/>
  <c r="H26" i="95" a="1"/>
  <c r="H26" i="95" s="1"/>
  <c r="E31" i="95" s="1"/>
  <c r="E18" i="13" s="1" a="1"/>
  <c r="E18" i="13" s="1"/>
  <c r="H27" i="95" a="1"/>
  <c r="H27" i="95" s="1"/>
  <c r="E77" i="97"/>
  <c r="J90" i="97" s="1"/>
  <c r="T55" i="84"/>
  <c r="T49" i="83" a="1"/>
  <c r="T49" i="83" s="1"/>
  <c r="J50" i="83" a="1"/>
  <c r="J50" i="83" s="1"/>
  <c r="J59" i="84"/>
  <c r="O81" i="92" a="1"/>
  <c r="O81" i="92" s="1"/>
  <c r="P81" i="92" s="1" a="1"/>
  <c r="P81" i="92" s="1"/>
  <c r="O80" i="92" a="1"/>
  <c r="O80" i="92" s="1"/>
  <c r="P80" i="92" s="1" a="1"/>
  <c r="P80" i="92" s="1"/>
  <c r="O84" i="92" a="1"/>
  <c r="O84" i="92" s="1"/>
  <c r="P84" i="92" s="1" a="1"/>
  <c r="P84" i="92" s="1"/>
  <c r="O79" i="92" a="1"/>
  <c r="O79" i="92" s="1"/>
  <c r="P79" i="92" s="1" a="1"/>
  <c r="P79" i="92" s="1"/>
  <c r="O85" i="92" a="1"/>
  <c r="O85" i="92" s="1"/>
  <c r="P85" i="92" s="1" a="1"/>
  <c r="P85" i="92" s="1"/>
  <c r="O78" i="92" a="1"/>
  <c r="O78" i="92" s="1"/>
  <c r="P78" i="92" s="1" a="1"/>
  <c r="P78" i="92" s="1"/>
  <c r="O77" i="92" a="1"/>
  <c r="O77" i="92" s="1"/>
  <c r="O86" i="92" a="1"/>
  <c r="O86" i="92" s="1"/>
  <c r="P86" i="92" s="1" a="1"/>
  <c r="P86" i="92" s="1"/>
  <c r="O83" i="92" a="1"/>
  <c r="O83" i="92" s="1"/>
  <c r="P83" i="92" s="1" a="1"/>
  <c r="P83" i="92" s="1"/>
  <c r="O82" i="92" a="1"/>
  <c r="O82" i="92" s="1"/>
  <c r="P82" i="92" s="1" a="1"/>
  <c r="P82" i="92" s="1"/>
  <c r="J35" i="100"/>
  <c r="I551" i="117"/>
  <c r="J34" i="100"/>
  <c r="I550" i="117"/>
  <c r="E555" i="117" s="1" a="1"/>
  <c r="E555" i="117" s="1"/>
  <c r="T59" i="84"/>
  <c r="T50" i="83" a="1"/>
  <c r="T50" i="83" s="1"/>
  <c r="S55" i="84"/>
  <c r="S49" i="83" a="1"/>
  <c r="S49" i="83" s="1"/>
  <c r="S50" i="83" a="1"/>
  <c r="S50" i="83" s="1"/>
  <c r="S59" i="84"/>
  <c r="Q59" i="84"/>
  <c r="Q50" i="83" a="1"/>
  <c r="Q50" i="83" s="1"/>
  <c r="P77" i="92" a="1"/>
  <c r="P77" i="92" s="1"/>
  <c r="R282" i="81" a="1"/>
  <c r="R282" i="81" s="1"/>
  <c r="R278" i="81" a="1"/>
  <c r="R278" i="81" s="1"/>
  <c r="R280" i="81" a="1"/>
  <c r="R280" i="81" s="1"/>
  <c r="R281" i="81" a="1"/>
  <c r="R281" i="81" s="1"/>
  <c r="R279" i="81" a="1"/>
  <c r="R279" i="81" s="1"/>
  <c r="R283" i="81" a="1"/>
  <c r="R283" i="81" s="1"/>
  <c r="R284" i="81" a="1"/>
  <c r="R284" i="81" s="1"/>
  <c r="S285" i="81" a="1"/>
  <c r="S285" i="81" s="1"/>
  <c r="Q280" i="81" a="1"/>
  <c r="Q280" i="81" s="1"/>
  <c r="T281" i="81" a="1"/>
  <c r="T281" i="81" s="1"/>
  <c r="S283" i="81" a="1"/>
  <c r="S283" i="81" s="1"/>
  <c r="Q284" i="81" a="1"/>
  <c r="Q284" i="81" s="1"/>
  <c r="T282" i="81" a="1"/>
  <c r="T282" i="81" s="1"/>
  <c r="Q279" i="81" a="1"/>
  <c r="Q279" i="81" s="1"/>
  <c r="S282" i="81" a="1"/>
  <c r="S282" i="81" s="1"/>
  <c r="T285" i="81" a="1"/>
  <c r="T285" i="81" s="1"/>
  <c r="R285" i="81" a="1"/>
  <c r="R285" i="81" s="1"/>
  <c r="Q278" i="81" a="1"/>
  <c r="Q278" i="81" s="1"/>
  <c r="S281" i="81" a="1"/>
  <c r="S281" i="81" s="1"/>
  <c r="Q281" i="81" a="1"/>
  <c r="Q281" i="81" s="1"/>
  <c r="S284" i="81" a="1"/>
  <c r="S284" i="81" s="1"/>
  <c r="S278" i="81" a="1"/>
  <c r="S278" i="81" s="1"/>
  <c r="S280" i="81" a="1"/>
  <c r="S280" i="81" s="1"/>
  <c r="Q283" i="81" a="1"/>
  <c r="Q283" i="81" s="1"/>
  <c r="Q285" i="81" a="1"/>
  <c r="Q285" i="81" s="1"/>
  <c r="S279" i="81" a="1"/>
  <c r="S279" i="81" s="1"/>
  <c r="T284" i="81" a="1"/>
  <c r="T284" i="81" s="1"/>
  <c r="T280" i="81" a="1"/>
  <c r="T280" i="81" s="1"/>
  <c r="Q282" i="81" a="1"/>
  <c r="Q282" i="81" s="1"/>
  <c r="P281" i="81" a="1"/>
  <c r="P281" i="81" s="1"/>
  <c r="T278" i="81" a="1"/>
  <c r="T278" i="81" s="1"/>
  <c r="T283" i="81" a="1"/>
  <c r="T283" i="81" s="1"/>
  <c r="P279" i="81" a="1"/>
  <c r="P279" i="81" s="1"/>
  <c r="T279" i="81" a="1"/>
  <c r="T279" i="81" s="1"/>
  <c r="P285" i="81" a="1"/>
  <c r="P285" i="81" s="1"/>
  <c r="G278" i="81" a="1"/>
  <c r="G278" i="81" s="1"/>
  <c r="I284" i="81" a="1"/>
  <c r="I284" i="81" s="1"/>
  <c r="P280" i="81" a="1"/>
  <c r="P280" i="81" s="1"/>
  <c r="I279" i="81" a="1"/>
  <c r="I279" i="81" s="1"/>
  <c r="I285" i="81" a="1"/>
  <c r="I285" i="81" s="1"/>
  <c r="G282" i="81" a="1"/>
  <c r="G282" i="81" s="1"/>
  <c r="P284" i="81" a="1"/>
  <c r="P284" i="81" s="1"/>
  <c r="I282" i="81" a="1"/>
  <c r="I282" i="81" s="1"/>
  <c r="P282" i="81" a="1"/>
  <c r="P282" i="81" s="1"/>
  <c r="P278" i="81" a="1"/>
  <c r="P278" i="81" s="1"/>
  <c r="G280" i="81" a="1"/>
  <c r="G280" i="81" s="1"/>
  <c r="I278" i="81" a="1"/>
  <c r="I278" i="81" s="1"/>
  <c r="I283" i="81" a="1"/>
  <c r="I283" i="81" s="1"/>
  <c r="G279" i="81" a="1"/>
  <c r="G279" i="81" s="1"/>
  <c r="I280" i="81" a="1"/>
  <c r="I280" i="81" s="1"/>
  <c r="G281" i="81" a="1"/>
  <c r="G281" i="81" s="1"/>
  <c r="I281" i="81" a="1"/>
  <c r="I281" i="81" s="1"/>
  <c r="G284" i="81" a="1"/>
  <c r="G284" i="81" s="1"/>
  <c r="G283" i="81" a="1"/>
  <c r="G283" i="81" s="1"/>
  <c r="G285" i="81" a="1"/>
  <c r="G285" i="81" s="1"/>
  <c r="P283" i="81" a="1"/>
  <c r="P283" i="81" s="1"/>
  <c r="F284" i="81" a="1"/>
  <c r="F284" i="81" s="1"/>
  <c r="J285" i="81" a="1"/>
  <c r="J285" i="81" s="1"/>
  <c r="H280" i="81" a="1"/>
  <c r="H280" i="81" s="1"/>
  <c r="J283" i="81" a="1"/>
  <c r="J283" i="81" s="1"/>
  <c r="J281" i="81" a="1"/>
  <c r="J281" i="81" s="1"/>
  <c r="F279" i="81" a="1"/>
  <c r="F279" i="81" s="1"/>
  <c r="F281" i="81" a="1"/>
  <c r="F281" i="81" s="1"/>
  <c r="H282" i="81" a="1"/>
  <c r="H282" i="81" s="1"/>
  <c r="J284" i="81" a="1"/>
  <c r="J284" i="81" s="1"/>
  <c r="H278" i="81" a="1"/>
  <c r="H278" i="81" s="1"/>
  <c r="F278" i="81" a="1"/>
  <c r="F278" i="81" s="1"/>
  <c r="F282" i="81" a="1"/>
  <c r="F282" i="81" s="1"/>
  <c r="J278" i="81" a="1"/>
  <c r="J278" i="81" s="1"/>
  <c r="H281" i="81" a="1"/>
  <c r="H281" i="81" s="1"/>
  <c r="J280" i="81" a="1"/>
  <c r="J280" i="81" s="1"/>
  <c r="F280" i="81" a="1"/>
  <c r="F280" i="81" s="1"/>
  <c r="H284" i="81" a="1"/>
  <c r="H284" i="81" s="1"/>
  <c r="J282" i="81" a="1"/>
  <c r="J282" i="81" s="1"/>
  <c r="J279" i="81" a="1"/>
  <c r="J279" i="81" s="1"/>
  <c r="H279" i="81" a="1"/>
  <c r="H279" i="81" s="1"/>
  <c r="H285" i="81" a="1"/>
  <c r="H285" i="81" s="1"/>
  <c r="F285" i="81" a="1"/>
  <c r="F285" i="81" s="1"/>
  <c r="H283" i="81" a="1"/>
  <c r="H283" i="81" s="1"/>
  <c r="F283" i="81" a="1"/>
  <c r="F283" i="81" s="1"/>
  <c r="I59" i="84"/>
  <c r="I50" i="83" a="1"/>
  <c r="I50" i="83" s="1"/>
  <c r="E30" i="87"/>
  <c r="J43" i="87" s="1"/>
  <c r="E47" i="87" s="1" a="1"/>
  <c r="E47" i="87" s="1"/>
  <c r="E78" i="93"/>
  <c r="E16" i="13" s="1" a="1"/>
  <c r="E16" i="13" s="1"/>
  <c r="H49" i="83" a="1"/>
  <c r="H49" i="83" s="1"/>
  <c r="H55" i="84"/>
  <c r="G59" i="84"/>
  <c r="G50" i="83" a="1"/>
  <c r="G50" i="83" s="1"/>
  <c r="F69" i="96" a="1"/>
  <c r="F69" i="96" s="1"/>
  <c r="K221" i="117" a="1"/>
  <c r="K221" i="117" s="1"/>
  <c r="E252" i="117" s="1"/>
  <c r="G221" i="117" a="1"/>
  <c r="G221" i="117" s="1"/>
  <c r="E248" i="117" s="1"/>
  <c r="J221" i="117" a="1"/>
  <c r="J221" i="117" s="1"/>
  <c r="E249" i="117" s="1"/>
  <c r="H221" i="117" a="1"/>
  <c r="H221" i="117" s="1"/>
  <c r="E251" i="117" s="1"/>
  <c r="F18" i="13" l="1"/>
  <c r="I18" i="13" s="1"/>
  <c r="H18" i="13"/>
  <c r="F146" i="84" a="1"/>
  <c r="F146" i="84" s="1"/>
  <c r="F83" i="84" a="1"/>
  <c r="F83" i="84" s="1"/>
  <c r="F113" i="84" a="1"/>
  <c r="F113" i="84" s="1"/>
  <c r="G50" i="111"/>
  <c r="E53" i="111" s="1" a="1"/>
  <c r="E53" i="111" s="1"/>
  <c r="E22" i="13" a="1"/>
  <c r="E22" i="13" s="1"/>
  <c r="H22" i="13" s="1" a="1"/>
  <c r="H22" i="13" s="1"/>
  <c r="N88" i="92"/>
  <c r="P52" i="83"/>
  <c r="E287" i="81"/>
  <c r="S146" i="84" a="1"/>
  <c r="S146" i="84" s="1"/>
  <c r="S113" i="84" a="1"/>
  <c r="S113" i="84" s="1"/>
  <c r="S83" i="84" a="1"/>
  <c r="S83" i="84" s="1"/>
  <c r="Q79" i="84" a="1"/>
  <c r="Q79" i="84" s="1"/>
  <c r="Q109" i="84" a="1"/>
  <c r="Q109" i="84" s="1"/>
  <c r="Q142" i="84" a="1"/>
  <c r="Q142" i="84" s="1"/>
  <c r="G52" i="94"/>
  <c r="E55" i="94" s="1" a="1"/>
  <c r="E55" i="94" s="1"/>
  <c r="E17" i="13" a="1"/>
  <c r="E17" i="13" s="1"/>
  <c r="E300" i="80"/>
  <c r="G302" i="80" s="1"/>
  <c r="E305" i="80" s="1" a="1"/>
  <c r="E305" i="80" s="1"/>
  <c r="Q113" i="84" a="1"/>
  <c r="Q113" i="84" s="1"/>
  <c r="Q146" i="84" a="1"/>
  <c r="Q146" i="84" s="1"/>
  <c r="Q83" i="84" a="1"/>
  <c r="Q83" i="84" s="1"/>
  <c r="I83" i="84" a="1"/>
  <c r="I83" i="84" s="1"/>
  <c r="I146" i="84" a="1"/>
  <c r="I146" i="84" s="1"/>
  <c r="I113" i="84" a="1"/>
  <c r="I113" i="84" s="1"/>
  <c r="T142" i="84" a="1"/>
  <c r="T142" i="84" s="1"/>
  <c r="T109" i="84" a="1"/>
  <c r="T109" i="84" s="1"/>
  <c r="T79" i="84" a="1"/>
  <c r="T79" i="84" s="1"/>
  <c r="G42" i="110"/>
  <c r="E45" i="110" s="1" a="1"/>
  <c r="E45" i="110" s="1"/>
  <c r="E21" i="13" a="1"/>
  <c r="E21" i="13" s="1"/>
  <c r="H21" i="13" s="1" a="1"/>
  <c r="H21" i="13" s="1"/>
  <c r="G49" i="87"/>
  <c r="E52" i="87" s="1" a="1"/>
  <c r="E52" i="87" s="1"/>
  <c r="E14" i="13" a="1"/>
  <c r="E14" i="13" s="1"/>
  <c r="H14" i="13" s="1" a="1"/>
  <c r="H14" i="13" s="1"/>
  <c r="G55" i="85"/>
  <c r="E58" i="85" s="1" a="1"/>
  <c r="E58" i="85" s="1"/>
  <c r="E12" i="13" a="1"/>
  <c r="E12" i="13" s="1"/>
  <c r="H12" i="13" s="1" a="1"/>
  <c r="H12" i="13" s="1"/>
  <c r="E52" i="83"/>
  <c r="F142" i="84" a="1"/>
  <c r="F142" i="84" s="1"/>
  <c r="F109" i="84" a="1"/>
  <c r="F109" i="84" s="1"/>
  <c r="F79" i="84" a="1"/>
  <c r="F79" i="84" s="1"/>
  <c r="T113" i="84" a="1"/>
  <c r="T113" i="84" s="1"/>
  <c r="T83" i="84" a="1"/>
  <c r="T83" i="84" s="1"/>
  <c r="T146" i="84" a="1"/>
  <c r="T146" i="84" s="1"/>
  <c r="U146" i="84" a="1"/>
  <c r="U146" i="84" s="1"/>
  <c r="U113" i="84" a="1"/>
  <c r="U113" i="84" s="1"/>
  <c r="U83" i="84" a="1"/>
  <c r="U83" i="84" s="1"/>
  <c r="G142" i="84" a="1"/>
  <c r="G142" i="84" s="1"/>
  <c r="G109" i="84" a="1"/>
  <c r="G109" i="84" s="1"/>
  <c r="G79" i="84" a="1"/>
  <c r="G79" i="84" s="1"/>
  <c r="G70" i="82"/>
  <c r="E73" i="82" s="1" a="1"/>
  <c r="E73" i="82" s="1"/>
  <c r="E10" i="13" a="1"/>
  <c r="E10" i="13" s="1"/>
  <c r="H10" i="13" s="1" a="1"/>
  <c r="H10" i="13" s="1"/>
  <c r="F16" i="13"/>
  <c r="I16" i="13" s="1"/>
  <c r="H16" i="13"/>
  <c r="Q42" i="110"/>
  <c r="O45" i="110" s="1" a="1"/>
  <c r="O45" i="110" s="1"/>
  <c r="F21" i="13" a="1"/>
  <c r="F21" i="13" s="1"/>
  <c r="I21" i="13" s="1" a="1"/>
  <c r="I21" i="13" s="1"/>
  <c r="R55" i="85"/>
  <c r="P58" i="85" s="1" a="1"/>
  <c r="P58" i="85" s="1"/>
  <c r="F12" i="13" a="1"/>
  <c r="F12" i="13" s="1"/>
  <c r="I12" i="13" s="1" a="1"/>
  <c r="I12" i="13" s="1"/>
  <c r="J83" i="84" a="1"/>
  <c r="J83" i="84" s="1"/>
  <c r="J113" i="84" a="1"/>
  <c r="J113" i="84" s="1"/>
  <c r="J146" i="84" a="1"/>
  <c r="J146" i="84" s="1"/>
  <c r="G82" i="92"/>
  <c r="E85" i="92" s="1" a="1"/>
  <c r="E85" i="92" s="1"/>
  <c r="E15" i="13" a="1"/>
  <c r="E15" i="13" s="1"/>
  <c r="H15" i="13" s="1" a="1"/>
  <c r="H15" i="13" s="1"/>
  <c r="G148" i="96"/>
  <c r="E151" i="96" s="1" a="1"/>
  <c r="E151" i="96" s="1"/>
  <c r="E19" i="13" a="1"/>
  <c r="E19" i="13" s="1"/>
  <c r="R109" i="84" a="1"/>
  <c r="R109" i="84" s="1"/>
  <c r="R142" i="84" a="1"/>
  <c r="R142" i="84" s="1"/>
  <c r="R79" i="84" a="1"/>
  <c r="R79" i="84" s="1"/>
  <c r="Q50" i="111"/>
  <c r="O53" i="111" s="1" a="1"/>
  <c r="O53" i="111" s="1"/>
  <c r="F22" i="13" a="1"/>
  <c r="F22" i="13" s="1"/>
  <c r="I22" i="13" s="1" a="1"/>
  <c r="I22" i="13" s="1"/>
  <c r="P300" i="80"/>
  <c r="R302" i="80" s="1"/>
  <c r="P305" i="80" s="1" a="1"/>
  <c r="P305" i="80" s="1"/>
  <c r="E39" i="100" a="1"/>
  <c r="E39" i="100" s="1"/>
  <c r="E30" i="13" s="1" a="1"/>
  <c r="E30" i="13" s="1"/>
  <c r="H83" i="84" a="1"/>
  <c r="H83" i="84" s="1"/>
  <c r="H146" i="84" a="1"/>
  <c r="H146" i="84" s="1"/>
  <c r="H113" i="84" a="1"/>
  <c r="H113" i="84" s="1"/>
  <c r="I109" i="84" a="1"/>
  <c r="I109" i="84" s="1"/>
  <c r="I79" i="84" a="1"/>
  <c r="I79" i="84" s="1"/>
  <c r="I142" i="84" a="1"/>
  <c r="I142" i="84" s="1"/>
  <c r="S142" i="84" a="1"/>
  <c r="S142" i="84" s="1"/>
  <c r="S79" i="84" a="1"/>
  <c r="S79" i="84" s="1"/>
  <c r="S109" i="84" a="1"/>
  <c r="S109" i="84" s="1"/>
  <c r="G113" i="84" a="1"/>
  <c r="G113" i="84" s="1"/>
  <c r="G146" i="84" a="1"/>
  <c r="G146" i="84" s="1"/>
  <c r="G83" i="84" a="1"/>
  <c r="G83" i="84" s="1"/>
  <c r="O287" i="81"/>
  <c r="H109" i="84" a="1"/>
  <c r="H109" i="84" s="1"/>
  <c r="H79" i="84" a="1"/>
  <c r="H79" i="84" s="1"/>
  <c r="H142" i="84" a="1"/>
  <c r="H142" i="84" s="1"/>
  <c r="R83" i="84" a="1"/>
  <c r="R83" i="84" s="1"/>
  <c r="R113" i="84" a="1"/>
  <c r="R113" i="84" s="1"/>
  <c r="R146" i="84" a="1"/>
  <c r="R146" i="84" s="1"/>
  <c r="E94" i="97" a="1"/>
  <c r="E94" i="97" s="1"/>
  <c r="U109" i="84" a="1"/>
  <c r="U109" i="84" s="1"/>
  <c r="U79" i="84" a="1"/>
  <c r="U79" i="84" s="1"/>
  <c r="U142" i="84" a="1"/>
  <c r="U142" i="84" s="1"/>
  <c r="G289" i="81" l="1"/>
  <c r="E292" i="81" s="1" a="1"/>
  <c r="E292" i="81" s="1"/>
  <c r="E9" i="13" a="1"/>
  <c r="E9" i="13" s="1"/>
  <c r="H9" i="13" s="1" a="1"/>
  <c r="H9" i="13" s="1"/>
  <c r="P85" i="84"/>
  <c r="P90" i="92"/>
  <c r="N93" i="92" s="1" a="1"/>
  <c r="N93" i="92" s="1"/>
  <c r="F15" i="13" a="1"/>
  <c r="F15" i="13" s="1"/>
  <c r="I15" i="13" s="1" a="1"/>
  <c r="I15" i="13" s="1"/>
  <c r="G96" i="97"/>
  <c r="E99" i="97" s="1" a="1"/>
  <c r="E99" i="97" s="1"/>
  <c r="E20" i="13" a="1"/>
  <c r="E20" i="13" s="1"/>
  <c r="R54" i="83"/>
  <c r="P57" i="83" s="1" a="1"/>
  <c r="P57" i="83" s="1"/>
  <c r="F11" i="13" a="1"/>
  <c r="F11" i="13" s="1"/>
  <c r="I11" i="13" s="1" a="1"/>
  <c r="I11" i="13" s="1"/>
  <c r="P148" i="84"/>
  <c r="F30" i="13"/>
  <c r="I30" i="13" s="1"/>
  <c r="H30" i="13"/>
  <c r="Q289" i="81"/>
  <c r="O292" i="81" s="1" a="1"/>
  <c r="O292" i="81" s="1"/>
  <c r="F9" i="13" a="1"/>
  <c r="F9" i="13" s="1"/>
  <c r="I9" i="13" s="1" a="1"/>
  <c r="I9" i="13" s="1"/>
  <c r="H19" i="13" a="1"/>
  <c r="H19" i="13" s="1"/>
  <c r="F19" i="13"/>
  <c r="I19" i="13" s="1" a="1"/>
  <c r="I19" i="13" s="1"/>
  <c r="P115" i="84"/>
  <c r="F11" i="116" s="1"/>
  <c r="H17" i="13" a="1"/>
  <c r="H17" i="13" s="1"/>
  <c r="F17" i="13"/>
  <c r="I17" i="13" s="1" a="1"/>
  <c r="I17" i="13" s="1"/>
  <c r="E115" i="84"/>
  <c r="E148" i="84"/>
  <c r="E85" i="84"/>
  <c r="E11" i="13" a="1"/>
  <c r="E11" i="13" s="1"/>
  <c r="H11" i="13" s="1" a="1"/>
  <c r="H11" i="13" s="1"/>
  <c r="G54" i="83"/>
  <c r="E57" i="83" s="1" a="1"/>
  <c r="E57" i="83" s="1"/>
  <c r="E8" i="13" a="1"/>
  <c r="E8" i="13" s="1"/>
  <c r="H8" i="13" s="1" a="1"/>
  <c r="H8" i="13" s="1"/>
  <c r="F8" i="13" a="1"/>
  <c r="F8" i="13" s="1"/>
  <c r="I8" i="13" s="1" a="1"/>
  <c r="I8" i="13" s="1"/>
  <c r="F10" i="116" l="1"/>
  <c r="I67" i="118"/>
  <c r="E74" i="118" s="1" a="1"/>
  <c r="E74" i="118" s="1"/>
  <c r="J86" i="118" s="1"/>
  <c r="E90" i="118" s="1" a="1"/>
  <c r="E90" i="118" s="1"/>
  <c r="J571" i="117" s="1"/>
  <c r="J13" i="118"/>
  <c r="E19" i="118" s="1" a="1"/>
  <c r="E19" i="118" s="1"/>
  <c r="J569" i="117" s="1"/>
  <c r="I32" i="118"/>
  <c r="E35" i="118" s="1" a="1"/>
  <c r="E35" i="118" s="1"/>
  <c r="I48" i="118" s="1"/>
  <c r="E55" i="118" s="1" a="1"/>
  <c r="E55" i="118" s="1"/>
  <c r="J570" i="117" s="1"/>
  <c r="F20" i="13"/>
  <c r="I20" i="13" s="1" a="1"/>
  <c r="I20" i="13" s="1"/>
  <c r="I31" i="13" s="1"/>
  <c r="H20" i="13" a="1"/>
  <c r="H20" i="13" s="1"/>
  <c r="H31" i="13" s="1"/>
  <c r="E41" i="13" l="1"/>
  <c r="E45" i="13" s="1"/>
  <c r="F41" i="13"/>
  <c r="F45" i="13" s="1"/>
  <c r="S32" i="118"/>
  <c r="O35" i="118" s="1" a="1"/>
  <c r="O35" i="118" s="1"/>
  <c r="S48" i="118" s="1"/>
  <c r="O55" i="118" s="1" a="1"/>
  <c r="O55" i="118" s="1"/>
  <c r="R570" i="117" s="1"/>
  <c r="S67" i="118"/>
  <c r="O74" i="118" s="1" a="1"/>
  <c r="O74" i="118" s="1"/>
  <c r="T86" i="118" s="1"/>
  <c r="O90" i="118" s="1" a="1"/>
  <c r="O90" i="118" s="1"/>
  <c r="R571" i="117" s="1"/>
  <c r="T13" i="118"/>
  <c r="O19" i="118" s="1" a="1"/>
  <c r="O19" i="118" s="1"/>
  <c r="R569" i="117" s="1"/>
  <c r="E573" i="117" a="1"/>
  <c r="E573" i="117" s="1"/>
  <c r="G575" i="117" s="1"/>
  <c r="E578" i="117" s="1" a="1"/>
  <c r="E578" i="117" s="1"/>
  <c r="I77" i="13" l="1"/>
  <c r="I79" i="13"/>
  <c r="I69" i="13"/>
  <c r="I67" i="13"/>
  <c r="I81" i="13"/>
  <c r="F62" i="13"/>
  <c r="I70" i="13" s="1"/>
  <c r="H71" i="13"/>
  <c r="H81" i="13"/>
  <c r="E62" i="13"/>
  <c r="H72" i="13" s="1"/>
  <c r="H67" i="13"/>
  <c r="H69" i="13"/>
  <c r="H77" i="13"/>
  <c r="H79" i="13"/>
  <c r="I71" i="13"/>
  <c r="M573" i="117" a="1"/>
  <c r="M573" i="117" s="1"/>
  <c r="O575" i="117" s="1"/>
  <c r="M578" i="117" s="1" a="1"/>
  <c r="M578" i="117" s="1"/>
  <c r="I68" i="13" l="1"/>
  <c r="I78" i="13"/>
  <c r="I82" i="13"/>
  <c r="I80" i="13"/>
  <c r="I72" i="13"/>
  <c r="H80" i="13"/>
  <c r="H82" i="13"/>
  <c r="H70" i="13"/>
  <c r="H78" i="13"/>
  <c r="H68"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<sst xmlns="http://schemas.openxmlformats.org/spreadsheetml/2006/main" count="4208" uniqueCount="1290">
  <si>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</si>
  <si>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</si>
  <si>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</si>
  <si>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</si>
  <si>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</si>
  <si>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</si>
  <si>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</si>
  <si>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</si>
  <si>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</si>
  <si>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</si>
  <si>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</si>
  <si>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</si>
  <si>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</si>
  <si>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</si>
  <si>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</si>
  <si>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</si>
  <si>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</si>
  <si>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</si>
  <si>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</si>
  <si>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Liveweight sold</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</si>
  <si>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</si>
  <si>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</si>
  <si>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</si>
  <si>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</si>
  <si>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</si>
  <si>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</si>
  <si>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</si>
  <si>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</si>
  <si>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</si>
  <si>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</si>
  <si>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</si>
  <si>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</si>
  <si>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</si>
  <si>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</si>
  <si>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</si>
  <si>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</si>
  <si>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</si>
  <si>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</si>
  <si>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</si>
  <si>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</si>
  <si>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</si>
  <si>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</si>
  <si>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</si>
  <si>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</si>
  <si>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</si>
  <si>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</si>
  <si>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</si>
  <si>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</si>
  <si>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</si>
  <si>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</si>
  <si>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</si>
  <si>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</si>
  <si>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</si>
  <si>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</si>
  <si>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</si>
  <si>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</si>
  <si>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</si>
  <si>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</si>
  <si>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</si>
  <si>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</si>
  <si>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</si>
  <si>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</si>
  <si>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</si>
  <si>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</si>
  <si>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</si>
  <si>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</si>
  <si>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</si>
  <si>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</si>
  <si>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</si>
  <si>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</si>
  <si>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</si>
  <si>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</si>
  <si>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</si>
  <si>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</si>
  <si>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</si>
  <si>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</si>
  <si>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</si>
  <si>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</si>
  <si>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</si>
  <si>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</si>
  <si>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</si>
  <si>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</si>
  <si>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</si>
  <si>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</si>
  <si>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</si>
  <si>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</si>
  <si>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</si>
  <si>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</si>
  <si>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</si>
  <si>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</si>
  <si>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</si>
  <si>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</si>
  <si>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</si>
  <si>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</si>
  <si>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</si>
  <si>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</si>
  <si>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</si>
  <si>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</si>
  <si>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</si>
  <si>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</si>
  <si>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</si>
  <si>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</si>
  <si>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</si>
  <si>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</si>
  <si>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</si>
  <si>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</si>
  <si>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</si>
  <si>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</si>
  <si>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</si>
  <si>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</si>
  <si>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</si>
  <si>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</si>
  <si>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</si>
  <si>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</si>
  <si>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</si>
  <si>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</si>
  <si>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for whole production cycle</t>
  </si>
  <si>
    <t>Emissions calculation cycle</t>
  </si>
  <si>
    <t>Enter the method 1 and 2 CO2e emissions from prevoius emissions calculation periods if applicable.</t>
  </si>
  <si>
    <t>Months</t>
  </si>
  <si>
    <t>Product emissions</t>
  </si>
  <si>
    <t>Amount (tonnnes)</t>
  </si>
  <si>
    <t>Unit</t>
  </si>
  <si>
    <t>t co2e/t liveweight sold</t>
  </si>
  <si>
    <t>t co2e/t manure</t>
  </si>
  <si>
    <t>Emissions intensity (Method 1)</t>
  </si>
  <si>
    <t>Emissions intensity (Method 2)</t>
  </si>
  <si>
    <t>Product type</t>
  </si>
  <si>
    <t>Main product</t>
  </si>
  <si>
    <t>Co-product</t>
  </si>
  <si>
    <t>Carbon removals from plantings</t>
  </si>
  <si>
    <t>CO2 removed attributed to this enterprise</t>
  </si>
  <si>
    <t>t CO2</t>
  </si>
  <si>
    <t>Total emissions for production cycle</t>
  </si>
  <si>
    <t>Total carbon removals for production cycle</t>
  </si>
  <si>
    <t>Net emissions</t>
  </si>
  <si>
    <t>Method 1</t>
  </si>
  <si>
    <t>Method 2</t>
  </si>
  <si>
    <t>Product</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</si>
  <si>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</si>
  <si>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</si>
  <si>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</si>
  <si>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</si>
  <si>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</si>
  <si>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</si>
  <si>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</si>
  <si>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</si>
  <si>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</si>
  <si>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</si>
  <si>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</si>
  <si>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</si>
  <si>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</si>
  <si>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</si>
  <si>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</si>
  <si>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</si>
  <si>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</si>
  <si>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</si>
  <si>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Percentage of income from liveweight sold</t>
  </si>
  <si>
    <t>Percentage of income from manure sold</t>
  </si>
  <si>
    <t>Product emissions - Mass</t>
  </si>
  <si>
    <t>Product emissions - Economic</t>
  </si>
  <si>
    <t>Mass emissions assignment</t>
  </si>
  <si>
    <t>Economic emissions assignment</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</si>
  <si>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</si>
  <si>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</si>
  <si>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</si>
  <si>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</si>
  <si>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</si>
  <si>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</si>
  <si>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</si>
  <si>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</si>
  <si>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</si>
  <si>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</si>
  <si>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Enterprise: Dairy: Results</t>
  </si>
  <si>
    <t>3.3.1.1-2 Enteric methane</t>
  </si>
  <si>
    <t>4.3.1.1-2 Manure methane</t>
  </si>
  <si>
    <t>4.3.1.3-4 Manure direct N2O</t>
  </si>
  <si>
    <t>4.3.1.5 Manure atmospheric deposition</t>
  </si>
  <si>
    <t>4.3.1.6-7 Manure leaching and runoff</t>
  </si>
  <si>
    <t>4.3.1.9 Soil direct N2O</t>
  </si>
  <si>
    <t>4.3.1.10-11 Soil atmospheric deposition</t>
  </si>
  <si>
    <t>4.3.1.12-13 Soil leaching and runoff</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</si>
  <si>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</si>
  <si>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</si>
  <si>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</si>
  <si>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</si>
  <si>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</si>
  <si>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</si>
  <si>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</si>
  <si>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</si>
  <si>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Milk produced</t>
  </si>
  <si>
    <t>Milk produced unit</t>
  </si>
  <si>
    <t>Percentage of income from milk sold</t>
  </si>
  <si>
    <t>Manure sold</t>
  </si>
  <si>
    <t>Milk sold - excluding removals</t>
  </si>
  <si>
    <t>Milk sold - net emissions</t>
  </si>
  <si>
    <t>t co2e/t milk solids</t>
  </si>
  <si>
    <t>Input - Data quality</t>
  </si>
  <si>
    <t>Input</t>
  </si>
  <si>
    <t>Temporal representativeness</t>
  </si>
  <si>
    <t>Spatial resolution</t>
  </si>
  <si>
    <t>Sample size</t>
  </si>
  <si>
    <t>Notes</t>
  </si>
  <si>
    <t>Evidence files</t>
  </si>
  <si>
    <t>Score</t>
  </si>
  <si>
    <t>Input name</t>
  </si>
  <si>
    <t>TR4</t>
  </si>
  <si>
    <t>SR5</t>
  </si>
  <si>
    <t>SS3</t>
  </si>
  <si>
    <t>Input -Dairy</t>
  </si>
  <si>
    <t>Herd movement</t>
  </si>
  <si>
    <t>Breed</t>
  </si>
  <si>
    <t>Medium Friesian</t>
  </si>
  <si>
    <t>Milking cows</t>
  </si>
  <si>
    <t>Heifers &gt; 1 year</t>
  </si>
  <si>
    <t>Heifers &lt; 1 year</t>
  </si>
  <si>
    <t>Bulls &gt; 1 year</t>
  </si>
  <si>
    <t>Bulls &lt; 1 year</t>
  </si>
  <si>
    <t>head</t>
  </si>
  <si>
    <t>Liveweight</t>
  </si>
  <si>
    <t>Method 1 default values (Do not edit)</t>
  </si>
  <si>
    <t>Average liveweight</t>
  </si>
  <si>
    <t>kg/head</t>
  </si>
  <si>
    <t>Average liveweight gain</t>
  </si>
  <si>
    <t>kg/head/day</t>
  </si>
  <si>
    <t>Method 2 custom values (Edit if known)</t>
  </si>
  <si>
    <t>Duration of stay</t>
  </si>
  <si>
    <t>Diet</t>
  </si>
  <si>
    <t>Dry matter digestibility</t>
  </si>
  <si>
    <t>Fraction</t>
  </si>
  <si>
    <t>Crude protein</t>
  </si>
  <si>
    <t>Milk production</t>
  </si>
  <si>
    <t>Milk production for the full 365 days of the year</t>
  </si>
  <si>
    <t>Milk production unit</t>
  </si>
  <si>
    <t>Litres of milk</t>
  </si>
  <si>
    <t>Average daily milk production</t>
  </si>
  <si>
    <t>For milk solids only:</t>
  </si>
  <si>
    <t>Method 1 (don't edit)</t>
  </si>
  <si>
    <t>Method 2 (edit if known)</t>
  </si>
  <si>
    <t>Fat content in fat and protein corrected milk</t>
  </si>
  <si>
    <t>Protein content in fat and protein corrected milk</t>
  </si>
  <si>
    <t>Production systems</t>
  </si>
  <si>
    <t>Time spent in production systems</t>
  </si>
  <si>
    <t>Production system template</t>
  </si>
  <si>
    <t>System 3: Pasture-grazed 3-9 months/year</t>
  </si>
  <si>
    <t>Percent</t>
  </si>
  <si>
    <t>Milking shed</t>
  </si>
  <si>
    <t>Feed pad</t>
  </si>
  <si>
    <t>Manure management systems</t>
  </si>
  <si>
    <t>Stage 1 MMS</t>
  </si>
  <si>
    <t>►</t>
  </si>
  <si>
    <t>Destination after stage 2 MMS (Percent)</t>
  </si>
  <si>
    <t>Sold</t>
  </si>
  <si>
    <t>Fert for own farm (eg crop)</t>
  </si>
  <si>
    <t>Direct application to soil</t>
  </si>
  <si>
    <t>Yes</t>
  </si>
  <si>
    <t>Solid storage (after solid separation) - Method 1</t>
  </si>
  <si>
    <t>Solid storage (after solid separation) - Method 2</t>
  </si>
  <si>
    <t>No</t>
  </si>
  <si>
    <t>Where deposited on farm soils as waste, what is the closest match?</t>
  </si>
  <si>
    <t>Sprinkler irrigation</t>
  </si>
  <si>
    <t>4.3.1.1-2 Manure Methane</t>
  </si>
  <si>
    <t>Function name</t>
  </si>
  <si>
    <t>Variable</t>
  </si>
  <si>
    <t>M1_Table_DMD_j</t>
  </si>
  <si>
    <t>M2_Table_DMD_j</t>
  </si>
  <si>
    <t>Dry matter digestibility (Method 1)</t>
  </si>
  <si>
    <t>Dry matter digestibility (Method 2)</t>
  </si>
  <si>
    <t>fraction</t>
  </si>
  <si>
    <t>M1_Table_qm_j</t>
  </si>
  <si>
    <t>M2_Table_qm_j</t>
  </si>
  <si>
    <t>Metabolisability of diet (Method 1)</t>
  </si>
  <si>
    <t>Metabolisability of diet (Method 2)</t>
  </si>
  <si>
    <t>M1_Table_MS_j</t>
  </si>
  <si>
    <t>Milk solids production (Method 1)</t>
  </si>
  <si>
    <t>M1_Table_MP_j_from_solids</t>
  </si>
  <si>
    <t>M2_Table_MP_j_from_solids</t>
  </si>
  <si>
    <t>Milk production from milk solids (Method 1)</t>
  </si>
  <si>
    <t>Milk production from milk solids (Method 2)</t>
  </si>
  <si>
    <t>L/head/day</t>
  </si>
  <si>
    <t>Table_MP_j</t>
  </si>
  <si>
    <t>M1_Table_MI_j</t>
  </si>
  <si>
    <t>M2_Table_MI_j</t>
  </si>
  <si>
    <t>Additional intake for milk production (Method 1)</t>
  </si>
  <si>
    <t>Additional intake for milk production (Method 2)</t>
  </si>
  <si>
    <t>M1_Table_W_j</t>
  </si>
  <si>
    <t>M2_Table_W_j</t>
  </si>
  <si>
    <t>Liveweight for each animal class j (Method 1)</t>
  </si>
  <si>
    <t>Liveweight for each animal class j (Method 2)</t>
  </si>
  <si>
    <t>M1_Table_LWG_j</t>
  </si>
  <si>
    <t>M2_Table_LWG_j</t>
  </si>
  <si>
    <t>Liveweight gain for each animal class j (Method 1)</t>
  </si>
  <si>
    <t>Liveweight gain for each animal class j (Method 2)</t>
  </si>
  <si>
    <t>Table_MR_j</t>
  </si>
  <si>
    <t>Increase in metabolic rate when producing milk</t>
  </si>
  <si>
    <t>M1_Table_I_j</t>
  </si>
  <si>
    <t>M2_Table_I_j</t>
  </si>
  <si>
    <t>Feed intake (Method 1)</t>
  </si>
  <si>
    <t>Feed intake (Method 2)</t>
  </si>
  <si>
    <t>M1_Table_VS_j</t>
  </si>
  <si>
    <t>M2_Table_VS_j</t>
  </si>
  <si>
    <t>Volatile solids for weaned cattle (Method 1)</t>
  </si>
  <si>
    <t>Volatile solids for weaned cattle (Method 2)</t>
  </si>
  <si>
    <t>M1_Table_MMS_j_m</t>
  </si>
  <si>
    <t>M2_Table_MMS_j_m</t>
  </si>
  <si>
    <t>Fraction of manure in each MMS prior to solid separation (Method 1)</t>
  </si>
  <si>
    <t>Fraction of manure in each MMS prior to solid separation (Method 2)</t>
  </si>
  <si>
    <t>MMS</t>
  </si>
  <si>
    <t>M1_Table_SS_m</t>
  </si>
  <si>
    <t>M2_Table_SS_m</t>
  </si>
  <si>
    <t>Fraction volatile solids separated to solid storage (Method 1)</t>
  </si>
  <si>
    <t>Fraction volatile solids separated to solid storage (Method 2)</t>
  </si>
  <si>
    <t>SS</t>
  </si>
  <si>
    <t>M1_Table_FVS_j_m</t>
  </si>
  <si>
    <t>Fraction volatile solids to MMS other than solid storage (Method 1)</t>
  </si>
  <si>
    <t>Fraction volatile solids to MMS other than solid storage (Method 2)</t>
  </si>
  <si>
    <t>M1_Table_MMS_j_m-4</t>
  </si>
  <si>
    <t>M2_Table_MMS_j_m-4</t>
  </si>
  <si>
    <t>Fraction volatile solids to in solid storage before transfer (Method 1)</t>
  </si>
  <si>
    <t>Fraction volatile solids to in solid storage before transfer (Method 2)</t>
  </si>
  <si>
    <t>M1_Table_FVS_j_m-4</t>
  </si>
  <si>
    <t>M2_Table_FVS_j_m-4</t>
  </si>
  <si>
    <t>Fraction volatile solids to in solid storage (Method 1)</t>
  </si>
  <si>
    <t>Fraction volatile solids to in solid storage (Method 2)</t>
  </si>
  <si>
    <t>M1_Table_MCF_i_m</t>
  </si>
  <si>
    <t>M2_Table_MCF_i_m</t>
  </si>
  <si>
    <t>Methane conversion factor for state (Method 1)</t>
  </si>
  <si>
    <t>Methane conversion factor for state (Method 2)</t>
  </si>
  <si>
    <r>
      <t>MCF</t>
    </r>
    <r>
      <rPr>
        <b/>
        <vertAlign val="subscript"/>
        <sz val="11"/>
        <color rgb="FF183C1B"/>
        <rFont val="Times New Roman"/>
        <family val="1"/>
      </rPr>
      <t>im</t>
    </r>
  </si>
  <si>
    <t>NOTE: 'Pasture range and paddock' MCF is state-based</t>
  </si>
  <si>
    <t>NOTE: 'Sump and dispersal' uses 'Daily spread' MCFs</t>
  </si>
  <si>
    <t>NOTE: Drains to paddock uses 'Liquid slurry' MCFs</t>
  </si>
  <si>
    <t>M1_M_j_m</t>
  </si>
  <si>
    <t>M2_M_j_m</t>
  </si>
  <si>
    <t>Methane from manure production of weaned cattle (Method 1)</t>
  </si>
  <si>
    <t>Methane from manure production of weaned cattle (Method 2)</t>
  </si>
  <si>
    <t>Table_N_j</t>
  </si>
  <si>
    <t>Number of dairy cattle in all classes</t>
  </si>
  <si>
    <t>Head</t>
  </si>
  <si>
    <t>M1_Table_D_j</t>
  </si>
  <si>
    <t>M2_Table_D_j</t>
  </si>
  <si>
    <t>Duration of stay of weaned dairy cattle in all classes (Method 1)</t>
  </si>
  <si>
    <t>Duration of stay of weaned dairy cattle in all classes (Method 2)</t>
  </si>
  <si>
    <t>Table_MPW_manure_j-3-5</t>
  </si>
  <si>
    <t>Methane production of pre-weaned cattle</t>
  </si>
  <si>
    <t>CH4/head/day</t>
  </si>
  <si>
    <t>M1_Table_DPW_j</t>
  </si>
  <si>
    <t>Duration of stay of of pre-weaned dairy cattle in all classes (Method 1)</t>
  </si>
  <si>
    <t>M1_Table_E_CH4</t>
  </si>
  <si>
    <t>Methane production from manure management (Method 1)</t>
  </si>
  <si>
    <t>Methane production from manure management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</si>
  <si>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</si>
  <si>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</si>
  <si>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</si>
  <si>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</si>
  <si>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4.3.1.3-4 Manure Direct N2O</t>
  </si>
  <si>
    <t>Table_WR_j</t>
  </si>
  <si>
    <t>Reference weight for each animal class</t>
  </si>
  <si>
    <t>M1_Table_Z_j</t>
  </si>
  <si>
    <t>Relative size for each animal class (Method 1)</t>
  </si>
  <si>
    <t>Relative size for each animal class (Method 2)</t>
  </si>
  <si>
    <t>M1_Table_L_j</t>
  </si>
  <si>
    <t>M2_Table_L_j</t>
  </si>
  <si>
    <t>Intake relative to maintenance (Method 1)</t>
  </si>
  <si>
    <t>Intake relative to maintenance (Method 2)</t>
  </si>
  <si>
    <t>M1_Table_NR_j</t>
  </si>
  <si>
    <t>M2_Table_NR_j</t>
  </si>
  <si>
    <t>Nitrogen retained in the body for each animal class j (Method 1)</t>
  </si>
  <si>
    <t>Nitrogen retained in the body for each animal class j (Method 2)</t>
  </si>
  <si>
    <t>M1_Table_CP_j</t>
  </si>
  <si>
    <t>M2_Table_CP_j</t>
  </si>
  <si>
    <t>Crude protein content of feed intake for each animal class j (Method 1)</t>
  </si>
  <si>
    <t>Crude protein content of feed intake for each animal class j (Method 2)</t>
  </si>
  <si>
    <t>M1_Table_CPI_j</t>
  </si>
  <si>
    <t>M2_Table_CPI_j</t>
  </si>
  <si>
    <t>Crude protein intake for each animal class j (Method 1)</t>
  </si>
  <si>
    <t>Crude protein intake for each animal class j (Method 2)</t>
  </si>
  <si>
    <t>M1_Table_NE_j</t>
  </si>
  <si>
    <t>M2_Table_NE_j</t>
  </si>
  <si>
    <t>Nitrogen excreted for each animal class j (Method 1)</t>
  </si>
  <si>
    <t>Nitrogen excreted for each animal class j (Method 2)</t>
  </si>
  <si>
    <t>M1_Table_D_j-1-2-4</t>
  </si>
  <si>
    <t>M2_Table_D_j-1-2-4</t>
  </si>
  <si>
    <t>Duration of stay of cattle &gt; 1 year (Method 1)</t>
  </si>
  <si>
    <t>Duration of stay of cattle &gt; 1 year (Method 2)</t>
  </si>
  <si>
    <t>M1_Table_AE_j-1-2-4</t>
  </si>
  <si>
    <t>M2_Table_AE_j-1-2-4</t>
  </si>
  <si>
    <t>Total annual nitrogen excreted cattle &gt; 1 year old (Method 1)</t>
  </si>
  <si>
    <t>Total annual nitrogen excreted cattle &gt; 1 year old (Method 2)</t>
  </si>
  <si>
    <t>Table_NPW_j-3-5</t>
  </si>
  <si>
    <t>Nitrogen excretion of pre-weaned cattle</t>
  </si>
  <si>
    <t>M1_Table_D_j-3-5</t>
  </si>
  <si>
    <t>Duration of stay of weaned cattle &lt; 1 year (Method 1)</t>
  </si>
  <si>
    <t>Duration of stay of weaned cattle &lt; 1 year (Method 2)</t>
  </si>
  <si>
    <t>Duration of stay of of pre-weaned dairy cattle in all classes (Method 2)</t>
  </si>
  <si>
    <t>M1_Table_AE_j</t>
  </si>
  <si>
    <t>Total annual nitrogen excreted cattle &lt; 1 year old (Method 1)</t>
  </si>
  <si>
    <t>Total annual nitrogen excreted cattle &lt; 1 year old (Method 2)</t>
  </si>
  <si>
    <t>Fraction of manure sent to each MMS (Method 1)</t>
  </si>
  <si>
    <t>Fraction of manure sent to each MMS (Method 2)</t>
  </si>
  <si>
    <t>M1_Table_MN_j_m</t>
  </si>
  <si>
    <t>M2_Table_MN_j_m</t>
  </si>
  <si>
    <t>Total nitrogen in each MMS (Method 1)</t>
  </si>
  <si>
    <t>Total nitrogen in each MMS (Method 2)</t>
  </si>
  <si>
    <t>Table_EF_m</t>
  </si>
  <si>
    <t>Nitrous oxide EF for each MMS</t>
  </si>
  <si>
    <r>
      <t>EF</t>
    </r>
    <r>
      <rPr>
        <b/>
        <vertAlign val="subscript"/>
        <sz val="11"/>
        <color rgb="FF183C1B"/>
        <rFont val="Times New Roman"/>
        <family val="1"/>
      </rPr>
      <t>m</t>
    </r>
  </si>
  <si>
    <t>M1_Table_E_N2O_dir</t>
  </si>
  <si>
    <t>M2_Table_E_N2O_dir</t>
  </si>
  <si>
    <t>Total annual direct N2O emissions from each MMS (Method 1)</t>
  </si>
  <si>
    <t>Total annual direct N2O emissions from each MMS (Method 2)</t>
  </si>
  <si>
    <r>
      <t>E</t>
    </r>
    <r>
      <rPr>
        <b/>
        <vertAlign val="subscript"/>
        <sz val="16"/>
        <color theme="1" tint="0.24994659260841701"/>
        <rFont val="Times New Roman"/>
        <family val="1"/>
      </rPr>
      <t>N2O,dir</t>
    </r>
  </si>
  <si>
    <r>
      <t>E</t>
    </r>
    <r>
      <rPr>
        <vertAlign val="subscript"/>
        <sz val="12"/>
        <color theme="1" tint="0.24994659260841701"/>
        <rFont val="Times New Roman"/>
        <family val="1"/>
      </rPr>
      <t>CO2e</t>
    </r>
  </si>
  <si>
    <t>4.3.1.5 Manure Atmospheric Deposition</t>
  </si>
  <si>
    <t>Table_FracGASM_m</t>
  </si>
  <si>
    <t>Fraction N volatilised from each MS</t>
  </si>
  <si>
    <r>
      <t>FracGASM</t>
    </r>
    <r>
      <rPr>
        <b/>
        <vertAlign val="subscript"/>
        <sz val="11"/>
        <color rgb="FF183C1B"/>
        <rFont val="Times New Roman"/>
        <family val="1"/>
      </rPr>
      <t>m</t>
    </r>
  </si>
  <si>
    <t>M1_Table_MN_atmos</t>
  </si>
  <si>
    <t>M2_Table_MN_atmos</t>
  </si>
  <si>
    <t>Total nitrogen volatilised from each MMS (Method 1)</t>
  </si>
  <si>
    <t>Total nitrogen volatilised from each MMS (Method 2)</t>
  </si>
  <si>
    <r>
      <t>MN</t>
    </r>
    <r>
      <rPr>
        <b/>
        <vertAlign val="subscript"/>
        <sz val="12"/>
        <color theme="1" tint="0.24994659260841701"/>
        <rFont val="Times New Roman"/>
        <family val="1"/>
      </rPr>
      <t>ATMOS</t>
    </r>
  </si>
  <si>
    <t>`</t>
  </si>
  <si>
    <r>
      <t>E</t>
    </r>
    <r>
      <rPr>
        <b/>
        <vertAlign val="subscript"/>
        <sz val="16"/>
        <color theme="1" tint="0.24994659260841701"/>
        <rFont val="Times New Roman"/>
        <family val="1"/>
      </rPr>
      <t>N2O,MMS,ad</t>
    </r>
  </si>
  <si>
    <t>4.1.1.6-7 Manure leaching and runoff</t>
  </si>
  <si>
    <t>M1_Table_MN_j_m-4</t>
  </si>
  <si>
    <t>M2_Table_MN_j_m-4</t>
  </si>
  <si>
    <t>Total nitrogen in solid storage MMS (Method 1)</t>
  </si>
  <si>
    <t>Total nitrogen in solid storage MMS (Method 2)</t>
  </si>
  <si>
    <t>M1_Table_MN_leach_j_m-4</t>
  </si>
  <si>
    <t>M2_Table_MN_leach_j_m-4</t>
  </si>
  <si>
    <t>Mass of N lost to leaching and runoff from solid storage (Method 1)</t>
  </si>
  <si>
    <t>Mass of N lost to leaching and runoff from solid storage (Method 2)</t>
  </si>
  <si>
    <t>M1_Table_EF_N2O_leach</t>
  </si>
  <si>
    <t>M2_Table_EF_N2O_leach</t>
  </si>
  <si>
    <t>Emissions from leaching and runoff (Method 1)</t>
  </si>
  <si>
    <t>Emissions from leaching and runoff (Method 2)</t>
  </si>
  <si>
    <t>4.3.1.8 Manure applied to soils</t>
  </si>
  <si>
    <t>M1_Table_MN_leach_j_m</t>
  </si>
  <si>
    <t>M2_Table_MN_leach_j_m</t>
  </si>
  <si>
    <t>Mass of N lost to leaching and runoff from MMS (Method 1)</t>
  </si>
  <si>
    <t>Mass of N lost to leaching and runoff from MMS (Method 2)</t>
  </si>
  <si>
    <t>Table_PF_scope</t>
  </si>
  <si>
    <t>Fraction of manure applied to soils within farm boundary</t>
  </si>
  <si>
    <t>PF_scope</t>
  </si>
  <si>
    <t>M1_Table_MN_soil_scope1</t>
  </si>
  <si>
    <t>M2_Table_MN_soil_scope1</t>
  </si>
  <si>
    <t>Mass of nitrogen from manure applied to soils for scope 1 emissions (Method 1)</t>
  </si>
  <si>
    <t>Mass of nitrogen from manure applied to soils for scope 1 emissions (Method 2)</t>
  </si>
  <si>
    <r>
      <t>MNSoil</t>
    </r>
    <r>
      <rPr>
        <b/>
        <vertAlign val="subscript"/>
        <sz val="16"/>
        <color theme="1" tint="0.24994659260841701"/>
        <rFont val="Times New Roman"/>
        <family val="1"/>
      </rPr>
      <t>scope1</t>
    </r>
  </si>
  <si>
    <t>M1_Table_MN_soil_scope3</t>
  </si>
  <si>
    <t>M2_Table_MN_soil_scope3</t>
  </si>
  <si>
    <t>Mass of nitrogen from manure applied to soils for scope 3 emissions (Method 1)</t>
  </si>
  <si>
    <t>Mass of nitrogen from manure applied to soils for scope 3 emissions (Method 2)</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</si>
  <si>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</si>
  <si>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</si>
  <si>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</si>
  <si>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Table_PF_fert</t>
  </si>
  <si>
    <t>Fraction of manure applied to as fertiliser on own farm from MMS</t>
  </si>
  <si>
    <t>PF_fert</t>
  </si>
  <si>
    <t>M1_Table_MNSoil_scope3_fert</t>
  </si>
  <si>
    <t>M2_Table_MNSoil_scope3_fert</t>
  </si>
  <si>
    <t>Mass of N applied to own farm as fertiliser (Method 1)</t>
  </si>
  <si>
    <t>Mass of N applied to own farm as fertiliser (Method 2)</t>
  </si>
  <si>
    <r>
      <t>MNSoil</t>
    </r>
    <r>
      <rPr>
        <b/>
        <vertAlign val="subscript"/>
        <sz val="16"/>
        <color theme="1" tint="0.24994659260841701"/>
        <rFont val="Times New Roman"/>
        <family val="1"/>
      </rPr>
      <t>scope3,fert</t>
    </r>
  </si>
  <si>
    <t>M2_Table_AE_j</t>
  </si>
  <si>
    <t>Total annual nitrogen excreted all cattle (Method 1)</t>
  </si>
  <si>
    <t>Total annual nitrogen excreted all cattle (Method 2)</t>
  </si>
  <si>
    <t>M1_Table_MMS_j_m-14</t>
  </si>
  <si>
    <t>M2_Table_MMS_j_m-14</t>
  </si>
  <si>
    <t>Fraction of manure deposited on pasture range and paddock (Method 1)</t>
  </si>
  <si>
    <t>Fraction of manure deposited on pasture range and paddock (Method 2)</t>
  </si>
  <si>
    <t>M1_Table_MN_j_m-14</t>
  </si>
  <si>
    <t>M2_Table_MN_j_m-14</t>
  </si>
  <si>
    <t>Total nitrogen deposited on pasture range and paddock (Method 1)</t>
  </si>
  <si>
    <t>Total nitrogen deposited on pasture range and paddock (Method 2)</t>
  </si>
  <si>
    <t>Formula name</t>
  </si>
  <si>
    <t>Direct nitrous oxide emissions from urine and dung deposited on pasture (Method 1)</t>
  </si>
  <si>
    <t>Direct nitrous oxide emissions from urine and dung deposited on pasture (Method 2)</t>
  </si>
  <si>
    <t>4.3.1.10-11 Soil atmospheric deposition N2O</t>
  </si>
  <si>
    <t>M1_Table_M_vol_m-14</t>
  </si>
  <si>
    <t>M2_Table_M_vol_m-14</t>
  </si>
  <si>
    <t>Mass of N volatilised from urine and dung on pasture (Method 1)</t>
  </si>
  <si>
    <t>Mass of N volatilised from urine and dung on pasture (Method 2)</t>
  </si>
  <si>
    <r>
      <t>M</t>
    </r>
    <r>
      <rPr>
        <b/>
        <vertAlign val="subscript"/>
        <sz val="12"/>
        <color theme="1" tint="0.24994659260841701"/>
        <rFont val="Times New Roman"/>
        <family val="1"/>
      </rPr>
      <t>vol,m=14</t>
    </r>
  </si>
  <si>
    <r>
      <t>E</t>
    </r>
    <r>
      <rPr>
        <b/>
        <vertAlign val="subscript"/>
        <sz val="16"/>
        <color theme="1" tint="0.24994659260841701"/>
        <rFont val="Times New Roman"/>
        <family val="1"/>
      </rPr>
      <t>N2O,ad</t>
    </r>
  </si>
  <si>
    <t>4.3.1.12-13 Soil leaching and runoff N2O</t>
  </si>
  <si>
    <t xml:space="preserve"> </t>
  </si>
  <si>
    <t>M1_Table_M_leach_M-14</t>
  </si>
  <si>
    <t>M2_Table_M_leach_M-14</t>
  </si>
  <si>
    <t>Mass of N lost to leaching and runoff urine and faeces on pasture (Method 1)</t>
  </si>
  <si>
    <t>Mass of N lost to leaching and runoff urine and faeces on pasture (Method 2)</t>
  </si>
  <si>
    <r>
      <t>M</t>
    </r>
    <r>
      <rPr>
        <b/>
        <vertAlign val="subscript"/>
        <sz val="12"/>
        <color theme="1" tint="0.24994659260841701"/>
        <rFont val="Times New Roman"/>
        <family val="1"/>
      </rPr>
      <t>leach,m=14</t>
    </r>
  </si>
  <si>
    <r>
      <t>E</t>
    </r>
    <r>
      <rPr>
        <b/>
        <vertAlign val="subscript"/>
        <sz val="16"/>
        <color theme="1" tint="0.24994659260841701"/>
        <rFont val="Times New Roman"/>
        <family val="1"/>
      </rPr>
      <t>N2O,leach</t>
    </r>
  </si>
  <si>
    <t>Source Data - Dairy</t>
  </si>
  <si>
    <t>Dairy manure management systems</t>
  </si>
  <si>
    <t>Dairy crop or pasture production systems</t>
  </si>
  <si>
    <t>Irrigation methods</t>
  </si>
  <si>
    <t>Livestock classes</t>
  </si>
  <si>
    <t>Table_LivestockClasses_Dairy</t>
  </si>
  <si>
    <t>Symbol and MMS</t>
  </si>
  <si>
    <t>Livestock class</t>
  </si>
  <si>
    <t>Not irrigated</t>
  </si>
  <si>
    <t>Drip irrigation</t>
  </si>
  <si>
    <t>Surface irrigation</t>
  </si>
  <si>
    <t>Other irrigation</t>
  </si>
  <si>
    <t>Heifers &gt; 1</t>
  </si>
  <si>
    <t>Heifers &lt; 1 (weaned)</t>
  </si>
  <si>
    <t>Bulls &gt; 1</t>
  </si>
  <si>
    <t>Bulls &lt; 1 (weaned)</t>
  </si>
  <si>
    <t>Animal class j</t>
  </si>
  <si>
    <t>CH4 production</t>
  </si>
  <si>
    <t>Volatile solids (VSj=3,5)</t>
  </si>
  <si>
    <t>Nitrogen Excreted (NPWj=3,5)</t>
  </si>
  <si>
    <t>MMS m</t>
  </si>
  <si>
    <t>ACT</t>
  </si>
  <si>
    <t>NSW</t>
  </si>
  <si>
    <t>NT</t>
  </si>
  <si>
    <t>QLD</t>
  </si>
  <si>
    <t>SA</t>
  </si>
  <si>
    <t>TAS</t>
  </si>
  <si>
    <t>VIC</t>
  </si>
  <si>
    <t>WA</t>
  </si>
  <si>
    <t>NIR reference</t>
  </si>
  <si>
    <t>EFm</t>
  </si>
  <si>
    <t>FracGASMm</t>
  </si>
  <si>
    <t>MPW ENTERIC</t>
  </si>
  <si>
    <t>MRj</t>
  </si>
  <si>
    <t>Area</t>
  </si>
  <si>
    <t>Feedpad</t>
  </si>
  <si>
    <t>Duplicate of data in table 1.3.7</t>
  </si>
  <si>
    <t>Duration (weaned)</t>
  </si>
  <si>
    <t>Duration (pre-weaned)</t>
  </si>
  <si>
    <t>3.3.1.1-2 Enteric Methane</t>
  </si>
  <si>
    <t>M1_Table_M_j</t>
  </si>
  <si>
    <t>M2_Table_M_j</t>
  </si>
  <si>
    <t>Daily production of neteric methane (Method 1)</t>
  </si>
  <si>
    <t>Daily production of neteric methane (Method 2)</t>
  </si>
  <si>
    <t>Number of dairy cattle</t>
  </si>
  <si>
    <t>Duration of stay of weaned cattle (Method 1)</t>
  </si>
  <si>
    <t>Duration of stay of weaned cattle (Method 2)</t>
  </si>
  <si>
    <t>M1_Table_DPW_j-3-5</t>
  </si>
  <si>
    <t>M2_Table_DPW_j</t>
  </si>
  <si>
    <t>Duration of stay of pre-weaned cattle (Method 1)</t>
  </si>
  <si>
    <t>Duration of stay of pre-weaned cattle (Method 2)</t>
  </si>
  <si>
    <t>M1_Table_MPW_j-3-5</t>
  </si>
  <si>
    <t>M1_Table_E_enteric</t>
  </si>
  <si>
    <t>Total annual enteric methane production</t>
  </si>
  <si>
    <r>
      <t>E</t>
    </r>
    <r>
      <rPr>
        <b/>
        <vertAlign val="subscript"/>
        <sz val="16"/>
        <color theme="1" tint="0.24994659260841701"/>
        <rFont val="Times New Roman"/>
        <family val="1"/>
      </rPr>
      <t>CH4</t>
    </r>
  </si>
  <si>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</si>
  <si>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</si>
  <si>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</si>
  <si>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</si>
  <si>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</si>
  <si>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</si>
  <si>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</si>
  <si>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</si>
  <si>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Density</t>
  </si>
  <si>
    <t>Application area (ha)</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</si>
  <si>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</si>
  <si>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</si>
  <si>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</si>
  <si>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</si>
  <si>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</si>
  <si>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</si>
  <si>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</si>
  <si>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</si>
  <si>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</si>
  <si>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</si>
  <si>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</si>
  <si>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</si>
  <si>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</si>
  <si>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N application rate (kg/ha)</t>
  </si>
  <si>
    <t>Urea source</t>
  </si>
  <si>
    <t>Ammonia source</t>
  </si>
  <si>
    <t>Aqua Finish</t>
  </si>
  <si>
    <t>CalPhos</t>
  </si>
  <si>
    <t>Aqua Grow</t>
  </si>
  <si>
    <t>Aqua NitroCal</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</si>
  <si>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</si>
  <si>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</si>
  <si>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</si>
  <si>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</si>
  <si>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</si>
  <si>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</si>
  <si>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</si>
  <si>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</si>
  <si>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</si>
  <si>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</si>
  <si>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</si>
  <si>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</si>
  <si>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Urea</t>
  </si>
  <si>
    <t>My third custom blend</t>
  </si>
  <si>
    <t>Ammonia</t>
  </si>
  <si>
    <t>Soil ameliorants (lime)</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</si>
  <si>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</si>
  <si>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</si>
  <si>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</si>
  <si>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</si>
  <si>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</si>
  <si>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</si>
  <si>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</si>
  <si>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Lime product 1</t>
  </si>
  <si>
    <t>Lime product 2</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</si>
  <si>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</si>
  <si>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</si>
  <si>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</si>
  <si>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</si>
  <si>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</si>
  <si>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</si>
  <si>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</si>
  <si>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</si>
  <si>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</si>
  <si>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</si>
  <si>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</si>
  <si>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</si>
  <si>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Not used - application rate calculated per product blend application</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</si>
  <si>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</si>
  <si>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</si>
  <si>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</si>
  <si>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</si>
  <si>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</si>
  <si>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</si>
  <si>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</si>
  <si>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M2_Table_FertApplications</t>
  </si>
  <si>
    <t>Capped cotton applicationj rate to 300 based on VEERG "application rate of inorganic fertiliser type f in the cotton crop (kg N/ha). This is capped at a maximum of 0.0183 kg CO2e/kg N, equivalent to N application rates of 300 kg N/ha "</t>
  </si>
  <si>
    <t>Fertiliser product applications (Method 2)</t>
  </si>
  <si>
    <t>kg / hectare</t>
  </si>
  <si>
    <t>hectares</t>
  </si>
  <si>
    <t>kg</t>
  </si>
  <si>
    <t>kg N2O-N/kg N applied</t>
  </si>
  <si>
    <t>Product applied</t>
  </si>
  <si>
    <t>N Application rate</t>
  </si>
  <si>
    <t>Application area</t>
  </si>
  <si>
    <t>MN</t>
  </si>
  <si>
    <t>N App. rate for cotton (max 300)</t>
  </si>
  <si>
    <t>MN for cotton</t>
  </si>
  <si>
    <t>EF_jN2O</t>
  </si>
  <si>
    <t>Branded product</t>
  </si>
  <si>
    <t>Custom blend</t>
  </si>
  <si>
    <t>M1_Table_E_N2O</t>
  </si>
  <si>
    <t>Nitrous oxide emissions from inorganic fertiliser application (Method 1)</t>
  </si>
  <si>
    <r>
      <t>E</t>
    </r>
    <r>
      <rPr>
        <b/>
        <vertAlign val="subscript"/>
        <sz val="11"/>
        <color rgb="FF183C1B"/>
        <rFont val="Times New Roman"/>
        <family val="1"/>
      </rPr>
      <t>N2O</t>
    </r>
  </si>
  <si>
    <t>Not used</t>
  </si>
  <si>
    <r>
      <t>EFj</t>
    </r>
    <r>
      <rPr>
        <b/>
        <vertAlign val="subscript"/>
        <sz val="11"/>
        <color rgb="FF183C1B"/>
        <rFont val="Times New Roman"/>
        <family val="1"/>
      </rPr>
      <t>N2O</t>
    </r>
  </si>
  <si>
    <r>
      <t>E</t>
    </r>
    <r>
      <rPr>
        <b/>
        <vertAlign val="subscript"/>
        <sz val="16"/>
        <color theme="1" tint="0.24994659260841701"/>
        <rFont val="Times New Roman"/>
        <family val="1"/>
      </rPr>
      <t>N2O</t>
    </r>
  </si>
  <si>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</si>
  <si>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</si>
  <si>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</si>
  <si>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</si>
  <si>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</si>
  <si>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</si>
  <si>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</si>
  <si>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</si>
  <si>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</si>
  <si>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</si>
  <si>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</si>
  <si>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</si>
  <si>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</si>
  <si>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</si>
  <si>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t>FNorganicf</t>
  </si>
  <si>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</si>
  <si>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</si>
  <si>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</si>
  <si>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</si>
  <si>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Lime applications</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</si>
  <si>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</si>
  <si>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</si>
  <si>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</si>
  <si>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</si>
  <si>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</si>
  <si>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</si>
  <si>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</si>
  <si>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</si>
  <si>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</si>
  <si>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</si>
  <si>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</si>
  <si>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</si>
  <si>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</si>
  <si>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</si>
  <si>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</si>
  <si>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</si>
  <si>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</si>
  <si>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</si>
  <si>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</si>
  <si>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</si>
  <si>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</si>
  <si>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</si>
  <si>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</si>
  <si>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</si>
  <si>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</si>
  <si>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</si>
  <si>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</si>
  <si>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</si>
  <si>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</si>
  <si>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</si>
  <si>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</si>
  <si>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</si>
  <si>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</si>
  <si>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</si>
  <si>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</si>
  <si>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</si>
  <si>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</si>
  <si>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</si>
  <si>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</si>
  <si>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</si>
  <si>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Crop types</t>
  </si>
  <si>
    <t>Organic fertiliser types</t>
  </si>
  <si>
    <t>Organic fertiliser type</t>
  </si>
  <si>
    <t>Manure - Cattle</t>
  </si>
  <si>
    <t>Crop</t>
  </si>
  <si>
    <t>Grains</t>
  </si>
  <si>
    <t>Maize</t>
  </si>
  <si>
    <t>Manure - Swine</t>
  </si>
  <si>
    <t>Cotton</t>
  </si>
  <si>
    <t>FracGASF f</t>
  </si>
  <si>
    <t>P</t>
  </si>
  <si>
    <t>EF</t>
  </si>
  <si>
    <t xml:space="preserve">Nitrogen - Generic </t>
  </si>
  <si>
    <t>Fertiliser products</t>
  </si>
  <si>
    <t>Include or Exclude</t>
  </si>
  <si>
    <t>Company</t>
  </si>
  <si>
    <t>Product name</t>
  </si>
  <si>
    <t>Density / gravity</t>
  </si>
  <si>
    <t>Ingredient 7</t>
  </si>
  <si>
    <t>Ingredient 7 percent</t>
  </si>
  <si>
    <t>Ingredient 8</t>
  </si>
  <si>
    <t>Ingredient 8 percent</t>
  </si>
  <si>
    <t>Ingredient 9</t>
  </si>
  <si>
    <t>Ingredient 9 percent</t>
  </si>
  <si>
    <t>Imngredient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</si>
  <si>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</si>
  <si>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</si>
  <si>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</si>
  <si>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</si>
  <si>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</si>
  <si>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</si>
  <si>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</si>
  <si>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</si>
  <si>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</si>
  <si>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</si>
  <si>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</si>
  <si>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</si>
  <si>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</si>
  <si>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</si>
  <si>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</si>
  <si>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</si>
  <si>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</si>
  <si>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</si>
  <si>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</si>
  <si>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</si>
  <si>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</si>
  <si>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Description</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</si>
  <si>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</si>
  <si>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</si>
  <si>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</si>
  <si>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</si>
  <si>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</si>
  <si>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</si>
  <si>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</si>
  <si>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</si>
  <si>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</si>
  <si>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</si>
  <si>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</si>
  <si>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</si>
  <si>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</si>
  <si>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</si>
  <si>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</si>
  <si>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</si>
  <si>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</si>
  <si>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</si>
  <si>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</si>
  <si>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</si>
  <si>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</si>
  <si>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</si>
  <si>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</si>
  <si>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</si>
  <si>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</si>
  <si>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</si>
  <si>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</si>
  <si>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</si>
  <si>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</si>
  <si>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</si>
  <si>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</si>
  <si>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</si>
  <si>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</si>
  <si>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</si>
  <si>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</si>
  <si>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</si>
  <si>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</si>
  <si>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</si>
  <si>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</si>
  <si>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</si>
  <si>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</si>
  <si>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</si>
  <si>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</si>
  <si>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</si>
  <si>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</si>
  <si>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</si>
  <si>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</si>
  <si>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</si>
  <si>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</si>
  <si>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</si>
  <si>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</si>
  <si>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</si>
  <si>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</si>
  <si>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</si>
  <si>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</si>
  <si>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</si>
  <si>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</si>
  <si>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</si>
  <si>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</si>
  <si>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</si>
  <si>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</si>
  <si>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</si>
  <si>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</si>
  <si>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</si>
  <si>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</si>
  <si>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</si>
  <si>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</si>
  <si>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</si>
  <si>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</si>
  <si>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</si>
  <si>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</si>
  <si>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</si>
  <si>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</si>
  <si>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</si>
  <si>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</si>
  <si>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</si>
  <si>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</si>
  <si>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</si>
  <si>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</si>
  <si>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</si>
  <si>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</si>
  <si>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</si>
  <si>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</si>
  <si>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</si>
  <si>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</si>
  <si>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</si>
  <si>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</si>
  <si>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</si>
  <si>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</si>
  <si>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</si>
  <si>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</si>
  <si>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</si>
  <si>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</si>
  <si>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</si>
  <si>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</si>
  <si>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</si>
  <si>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</si>
  <si>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</si>
  <si>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</si>
  <si>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</si>
  <si>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</si>
  <si>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</si>
  <si>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</si>
  <si>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</si>
  <si>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</si>
  <si>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</si>
  <si>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</si>
  <si>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</si>
  <si>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</si>
  <si>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</si>
  <si>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</si>
  <si>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</si>
  <si>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</si>
  <si>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</si>
  <si>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</si>
  <si>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</si>
  <si>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</si>
  <si>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</si>
  <si>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</si>
  <si>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</si>
  <si>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</si>
  <si>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</si>
  <si>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</si>
  <si>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</si>
  <si>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</si>
  <si>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</si>
  <si>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</si>
  <si>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</si>
  <si>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</si>
  <si>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</si>
  <si>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</si>
  <si>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</si>
  <si>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</si>
  <si>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</si>
  <si>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</si>
  <si>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</si>
  <si>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</si>
  <si>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</si>
  <si>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</si>
  <si>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</si>
  <si>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</si>
  <si>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</si>
  <si>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</si>
  <si>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</si>
  <si>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</si>
  <si>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</si>
  <si>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</si>
  <si>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</si>
  <si>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</si>
  <si>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</si>
  <si>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</si>
  <si>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</si>
  <si>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</si>
  <si>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</si>
  <si>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</si>
  <si>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</si>
  <si>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</si>
  <si>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</si>
  <si>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</si>
  <si>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</si>
  <si>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</si>
  <si>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</si>
  <si>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</si>
  <si>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</si>
  <si>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</si>
  <si>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</si>
  <si>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</si>
  <si>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</si>
  <si>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</si>
  <si>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</si>
  <si>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</si>
  <si>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</si>
  <si>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</si>
  <si>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</si>
  <si>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</si>
  <si>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</si>
  <si>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</si>
  <si>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</si>
  <si>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</si>
  <si>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</si>
  <si>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</si>
  <si>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</si>
  <si>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</si>
  <si>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</si>
  <si>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</si>
  <si>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</si>
  <si>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</si>
  <si>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</si>
  <si>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</si>
  <si>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</si>
  <si>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</si>
  <si>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Pasture</t>
  </si>
  <si>
    <t>If multiple paddocks were managed in the same way at the same time, you can enter information for them all together.</t>
  </si>
  <si>
    <t>Pasture type</t>
  </si>
  <si>
    <t>Grass clover mixture</t>
  </si>
  <si>
    <t>← Please select</t>
  </si>
  <si>
    <t>Area under pasture</t>
  </si>
  <si>
    <t>Hectares</t>
  </si>
  <si>
    <t>Yield</t>
  </si>
  <si>
    <t>💡 'Pasture yield' is the average amount of dry matter that is grazed.</t>
  </si>
  <si>
    <t xml:space="preserve">       A default value is provided based on pasture type. You can edit this if known.</t>
  </si>
  <si>
    <t>Pasture yield</t>
  </si>
  <si>
    <t>Tonnes dry matter / hectare</t>
  </si>
  <si>
    <t>Total pasture yield</t>
  </si>
  <si>
    <t>Tonnes</t>
  </si>
  <si>
    <t>Residue management</t>
  </si>
  <si>
    <t>Area of pasture renewed or removed</t>
  </si>
  <si>
    <t>6.2.1.1-2 Return of pasture residue to soils</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</si>
  <si>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</si>
  <si>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</si>
  <si>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6.3.1.1-2 Leaching and run-off from pasture residues only</t>
  </si>
  <si>
    <t>N/A</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</si>
  <si>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</si>
  <si>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</si>
  <si>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</si>
  <si>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</si>
  <si>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</si>
  <si>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</si>
  <si>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</si>
  <si>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</si>
  <si>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</si>
  <si>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</si>
  <si>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</si>
  <si>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</si>
  <si>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</si>
  <si>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</si>
  <si>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</si>
  <si>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</si>
  <si>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</si>
  <si>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</si>
  <si>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</si>
  <si>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</si>
  <si>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</si>
  <si>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</si>
  <si>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</si>
  <si>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</si>
  <si>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</si>
  <si>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</si>
  <si>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</si>
  <si>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</si>
  <si>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</si>
  <si>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</si>
  <si>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</si>
  <si>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</si>
  <si>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</si>
  <si>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</si>
  <si>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</si>
  <si>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</si>
  <si>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</si>
  <si>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</si>
  <si>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</si>
  <si>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</si>
  <si>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</si>
  <si>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Dairy cattle</t>
  </si>
  <si>
    <t>Breed (select)</t>
  </si>
  <si>
    <t>Quantity (head)</t>
  </si>
  <si>
    <t>Liveweight (kg/head) Method 1</t>
  </si>
  <si>
    <t>Liveweight (kg/head) Method 2</t>
  </si>
  <si>
    <t>Dairy cows from Denise</t>
  </si>
  <si>
    <t>Jersey crossbred</t>
  </si>
  <si>
    <t>Ayrshire</t>
  </si>
  <si>
    <t>Input - Farm inputs</t>
  </si>
  <si>
    <t>Chemicals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</si>
  <si>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</si>
  <si>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</si>
  <si>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</si>
  <si>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</si>
  <si>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</si>
  <si>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</si>
  <si>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</si>
  <si>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</si>
  <si>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</si>
  <si>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</si>
  <si>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</si>
  <si>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</si>
  <si>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</si>
  <si>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</si>
  <si>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</si>
  <si>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</si>
  <si>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QA MCPA + Picloram SL Herbicide</t>
  </si>
  <si>
    <t>grams/litre or grams/kg</t>
  </si>
  <si>
    <t>Pesticides (generic)</t>
  </si>
  <si>
    <t>Glyphosate</t>
  </si>
  <si>
    <t>Heben Propiconazole 550EC Fungicide</t>
  </si>
  <si>
    <t>litre / hectare</t>
  </si>
  <si>
    <t>2,4-D</t>
  </si>
  <si>
    <t>Tribenuron methyl</t>
  </si>
  <si>
    <t>NovaGuard Boscalid 500 WG Fungicide</t>
  </si>
  <si>
    <t>Metolachlor</t>
  </si>
  <si>
    <t>Trifluralin</t>
  </si>
  <si>
    <t>Cleaning chemicals</t>
  </si>
  <si>
    <t>Type (select)</t>
  </si>
  <si>
    <t>Quantity purchased (kg)</t>
  </si>
  <si>
    <t>Acid kleen</t>
  </si>
  <si>
    <t>Phosphoric acid</t>
  </si>
  <si>
    <t>Kleen alk</t>
  </si>
  <si>
    <t>Alkaline cleaner</t>
  </si>
  <si>
    <t>White king</t>
  </si>
  <si>
    <t>Bleach</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</si>
  <si>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</si>
  <si>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</si>
  <si>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</si>
  <si>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</si>
  <si>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</si>
  <si>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</si>
  <si>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</si>
  <si>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</si>
  <si>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</si>
  <si>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</si>
  <si>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Feed</t>
  </si>
  <si>
    <t>Lick blocks</t>
  </si>
  <si>
    <t>Feed rations</t>
  </si>
  <si>
    <t>Purchased feed blends</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</si>
  <si>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</si>
  <si>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</si>
  <si>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</si>
  <si>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</si>
  <si>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</si>
  <si>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</si>
  <si>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</si>
  <si>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</si>
  <si>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</si>
  <si>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</si>
  <si>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</si>
  <si>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</si>
  <si>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Australia</t>
  </si>
  <si>
    <t>Molasses</t>
  </si>
  <si>
    <t>Lucerne hay</t>
  </si>
  <si>
    <t>Hay bales in paddock</t>
  </si>
  <si>
    <t>Sardines (whole)</t>
  </si>
  <si>
    <t>Soybean meal</t>
  </si>
  <si>
    <t>Brazil</t>
  </si>
  <si>
    <t>Pasture hay</t>
  </si>
  <si>
    <t>Services and contractors</t>
  </si>
  <si>
    <t>Service provider / contractor</t>
  </si>
  <si>
    <t>Activity</t>
  </si>
  <si>
    <t>Total amount</t>
  </si>
  <si>
    <t>Pete's Pickers</t>
  </si>
  <si>
    <t>Fruit picking</t>
  </si>
  <si>
    <t>Hour</t>
  </si>
  <si>
    <t>Harini's Harvesting Services Pty Ltd</t>
  </si>
  <si>
    <t>Wheat harvesting</t>
  </si>
  <si>
    <t>Hectare</t>
  </si>
  <si>
    <t>Packaging</t>
  </si>
  <si>
    <t>Packaging name</t>
  </si>
  <si>
    <t>Quantity purchased</t>
  </si>
  <si>
    <t>Primary material</t>
  </si>
  <si>
    <t>Weight per unit (kg)</t>
  </si>
  <si>
    <t>Total weight purchased (kg)</t>
  </si>
  <si>
    <t>250g punnet</t>
  </si>
  <si>
    <t>Plastic sheet HDPE</t>
  </si>
  <si>
    <t>Grow Media</t>
  </si>
  <si>
    <t>Grow media type</t>
  </si>
  <si>
    <t>Coir</t>
  </si>
  <si>
    <t>Peat moss</t>
  </si>
  <si>
    <t>m3</t>
  </si>
  <si>
    <t>tiny gravel</t>
  </si>
  <si>
    <t>Seed</t>
  </si>
  <si>
    <t>Miscellaneous inputs</t>
  </si>
  <si>
    <t>tags</t>
  </si>
  <si>
    <t>Uncategorised products</t>
  </si>
  <si>
    <t>Product / service name</t>
  </si>
  <si>
    <t>Something</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</si>
  <si>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</si>
  <si>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</si>
  <si>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</si>
  <si>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</si>
  <si>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</si>
  <si>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</si>
  <si>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</si>
  <si>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</si>
  <si>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</si>
  <si>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</si>
  <si>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</si>
  <si>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</si>
  <si>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</si>
  <si>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</si>
  <si>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</si>
  <si>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</si>
  <si>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</si>
  <si>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</si>
  <si>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</si>
  <si>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</si>
  <si>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</si>
  <si>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</si>
  <si>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</si>
  <si>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</si>
  <si>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</si>
  <si>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</si>
  <si>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</si>
  <si>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</si>
  <si>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EF</t>
    </r>
    <r>
      <rPr>
        <b/>
        <vertAlign val="subscript"/>
        <sz val="11"/>
        <color rgb="FF183C1B"/>
        <rFont val="Times New Roman"/>
        <family val="1"/>
      </rPr>
      <t>co</t>
    </r>
    <r>
      <rPr>
        <b/>
        <sz val="11"/>
        <color rgb="FF183C1B"/>
        <rFont val="Times New Roman"/>
        <family val="1"/>
      </rPr>
      <t xml:space="preserve"> (Method 1)</t>
    </r>
  </si>
  <si>
    <t>E (Method 1)</t>
  </si>
  <si>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</si>
  <si>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533001"/>
        <rFont val="Times New Roman"/>
        <family val="1"/>
      </rPr>
      <t>co</t>
    </r>
    <r>
      <rPr>
        <b/>
        <sz val="11"/>
        <color rgb="FF533001"/>
        <rFont val="Times New Roman"/>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</si>
  <si>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</si>
  <si>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</si>
  <si>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</si>
  <si>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</si>
  <si>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</si>
  <si>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</si>
  <si>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</si>
  <si>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</si>
  <si>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</si>
  <si>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r>
      <t>EF</t>
    </r>
    <r>
      <rPr>
        <vertAlign val="subscript"/>
        <sz val="10"/>
        <color theme="1" tint="0.34998626667073579"/>
        <rFont val="Times New Roman"/>
        <family val="1"/>
      </rPr>
      <t>co</t>
    </r>
    <r>
      <rPr>
        <sz val="10"/>
        <color theme="1" tint="0.34998626667073579"/>
        <rFont val="Times New Roman"/>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</si>
  <si>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</si>
  <si>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</si>
  <si>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</si>
  <si>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</si>
  <si>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</si>
  <si>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</si>
  <si>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</si>
  <si>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</si>
  <si>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</si>
  <si>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</si>
  <si>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</si>
  <si>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</si>
  <si>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</si>
  <si>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</si>
  <si>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1"/>
        <color rgb="FF533001"/>
        <rFont val="Times New Roman"/>
        <family val="1"/>
      </rPr>
      <t>j</t>
    </r>
  </si>
  <si>
    <r>
      <t>EF</t>
    </r>
    <r>
      <rPr>
        <b/>
        <vertAlign val="subscript"/>
        <sz val="11"/>
        <color rgb="FF183C1B"/>
        <rFont val="Times New Roman"/>
        <family val="1"/>
      </rPr>
      <t>j</t>
    </r>
    <r>
      <rPr>
        <b/>
        <sz val="11"/>
        <color rgb="FF183C1B"/>
        <rFont val="Times New Roman"/>
        <family val="1"/>
      </rPr>
      <t xml:space="preserve"> (Method 1)</t>
    </r>
  </si>
  <si>
    <r>
      <t>EF</t>
    </r>
    <r>
      <rPr>
        <b/>
        <vertAlign val="subscript"/>
        <sz val="11"/>
        <color rgb="FF533001"/>
        <rFont val="Times New Roman"/>
        <family val="1"/>
      </rPr>
      <t>j</t>
    </r>
    <r>
      <rPr>
        <b/>
        <sz val="11"/>
        <color rgb="FF533001"/>
        <rFont val="Times New Roman"/>
        <family val="1"/>
      </rPr>
      <t xml:space="preserve"> (Method 2)</t>
    </r>
  </si>
  <si>
    <t>Ingredient 1 source</t>
  </si>
  <si>
    <t>Ingredient 1 EF</t>
  </si>
  <si>
    <t>Ingredient 2 source</t>
  </si>
  <si>
    <t>Ingredient 2 EF</t>
  </si>
  <si>
    <t>Ingredient 3 source</t>
  </si>
  <si>
    <t>Ingredient 3 EF</t>
  </si>
  <si>
    <t>Ingredient 4 source</t>
  </si>
  <si>
    <t>Ingredient 4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</si>
  <si>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</si>
  <si>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</si>
  <si>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</si>
  <si>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Branded fertiliser product purchases</t>
  </si>
  <si>
    <t>Scope 3 emissions are calculated on a maximum of 20 branded fertiliser product purchases</t>
  </si>
  <si>
    <t>Total amount (kg)</t>
  </si>
  <si>
    <r>
      <t>EF</t>
    </r>
    <r>
      <rPr>
        <b/>
        <vertAlign val="subscript"/>
        <sz val="11"/>
        <color rgb="FF183C1B"/>
        <rFont val="Times New Roman"/>
        <family val="1"/>
      </rPr>
      <t>f</t>
    </r>
    <r>
      <rPr>
        <b/>
        <sz val="11"/>
        <color rgb="FF183C1B"/>
        <rFont val="Times New Roman"/>
        <family val="1"/>
      </rPr>
      <t xml:space="preserve"> (Method 1)</t>
    </r>
  </si>
  <si>
    <t>E- Product (Method 1)</t>
  </si>
  <si>
    <t>E - Fertiliser components (Method 1)</t>
  </si>
  <si>
    <r>
      <t>EF</t>
    </r>
    <r>
      <rPr>
        <b/>
        <vertAlign val="subscript"/>
        <sz val="11"/>
        <color rgb="FF533001"/>
        <rFont val="Times New Roman"/>
        <family val="1"/>
      </rPr>
      <t>f</t>
    </r>
    <r>
      <rPr>
        <b/>
        <sz val="11"/>
        <color rgb="FF533001"/>
        <rFont val="Times New Roman"/>
        <family val="1"/>
      </rPr>
      <t xml:space="preserve"> (Method 2)</t>
    </r>
  </si>
  <si>
    <t>E- Product (Method 2)</t>
  </si>
  <si>
    <t>E - Fertiliser components (Method 2)</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</si>
  <si>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</si>
  <si>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</si>
  <si>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</si>
  <si>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</si>
  <si>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</si>
  <si>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</si>
  <si>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</si>
  <si>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</si>
  <si>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</si>
  <si>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</si>
  <si>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</si>
  <si>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</si>
  <si>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</si>
  <si>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</si>
  <si>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</si>
  <si>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</si>
  <si>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</si>
  <si>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</si>
  <si>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</si>
  <si>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</si>
  <si>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</si>
  <si>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</si>
  <si>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</si>
  <si>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</si>
  <si>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t>Total amount (t)</t>
  </si>
  <si>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</si>
  <si>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</si>
  <si>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</si>
  <si>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t>E(Method 2)</t>
  </si>
  <si>
    <t>VEERG_15_7_1_1__1_EmissionsFromPurchasedServices_Result_Method1</t>
  </si>
  <si>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</si>
  <si>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t>Product EF (Method 1)</t>
  </si>
  <si>
    <t>Scope 3 (Method 1)</t>
  </si>
  <si>
    <t>Product EF (Method 2)</t>
  </si>
  <si>
    <t>Scope 3 (Method 2)</t>
  </si>
  <si>
    <t>Scope 3 unit</t>
  </si>
  <si>
    <t>No data</t>
  </si>
  <si>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</si>
  <si>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</si>
  <si>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</si>
  <si>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</si>
  <si>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</si>
  <si>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</si>
  <si>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</si>
  <si>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</si>
  <si>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</si>
  <si>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</si>
  <si>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</si>
  <si>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</si>
  <si>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</si>
  <si>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</si>
  <si>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</si>
  <si>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</si>
  <si>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4"/>
        <color theme="1" tint="0.24994659260841701"/>
        <rFont val="Times New Roman"/>
        <family val="1"/>
      </rPr>
      <t>3,elec</t>
    </r>
  </si>
  <si>
    <t>Route</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</si>
  <si>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</si>
  <si>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</si>
  <si>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</si>
  <si>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</si>
  <si>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</si>
  <si>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</si>
  <si>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</si>
  <si>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</si>
  <si>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2"/>
        <color theme="1" tint="0.24994659260841701"/>
        <rFont val="Times New Roman"/>
        <family val="1"/>
      </rPr>
      <t>vol,inorganic,jf</t>
    </r>
  </si>
  <si>
    <r>
      <t>M</t>
    </r>
    <r>
      <rPr>
        <b/>
        <vertAlign val="subscript"/>
        <sz val="12"/>
        <color theme="1" tint="0.24994659260841701"/>
        <rFont val="Times New Roman"/>
        <family val="1"/>
      </rPr>
      <t>leach,inorganic,jf</t>
    </r>
  </si>
  <si>
    <t>Animals</t>
  </si>
  <si>
    <t>Table_ProductRegions_Beefcattle</t>
  </si>
  <si>
    <t>Category</t>
  </si>
  <si>
    <t>Region of origin</t>
  </si>
  <si>
    <t>Quantity Unit</t>
  </si>
  <si>
    <t>AusLCI Emissions intensity</t>
  </si>
  <si>
    <t>System boundary</t>
  </si>
  <si>
    <t>Region</t>
  </si>
  <si>
    <t>Scope3 region</t>
  </si>
  <si>
    <t>WA - South west</t>
  </si>
  <si>
    <t>WA - Pilbara</t>
  </si>
  <si>
    <t>WA - Kimberley</t>
  </si>
  <si>
    <t>NT - Alice Springs</t>
  </si>
  <si>
    <t>NT - Barkly</t>
  </si>
  <si>
    <t>NT - Northern</t>
  </si>
  <si>
    <t>QLD - High</t>
  </si>
  <si>
    <t>QLD - Moderate/High</t>
  </si>
  <si>
    <t>QLD - Moderate/Low</t>
  </si>
  <si>
    <t>QLD - Low</t>
  </si>
  <si>
    <t>Inorganic fertilisers</t>
  </si>
  <si>
    <t>Quantity</t>
  </si>
  <si>
    <t>Other agricultural inputs</t>
  </si>
  <si>
    <t>Soil ameliorants</t>
  </si>
  <si>
    <t>Constants - Livestock</t>
  </si>
  <si>
    <t>Symbol</t>
  </si>
  <si>
    <t>Manure management system</t>
  </si>
  <si>
    <t>4.3: Manure Management: Dairy: Overview</t>
  </si>
  <si>
    <t>💡 Below is a diagram that maps the equations used to calculate emissions, how they interact with each other and how they align with dairy manure management processes.</t>
  </si>
  <si>
    <t xml:space="preserve">    Click on a box to go to the corresponding calculation.</t>
  </si>
  <si>
    <t>Uses the 'Mass of nitrogen applied to soil for scope 3 emissions (MNSoilscope3)' value calculated in the 'Manure applied to soils' equations (Chapter 4 of VEERG)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</si>
</sst>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
    <numFmt numFmtId="172" formatCode="0.0000%"/>
    <numFmt numFmtId="173" formatCode="[$-C09]d\ mmmm\ yyyy;@"/>
    <numFmt numFmtId="174" formatCode="0.00000"/>
  </numFmts>
  <fonts count="92"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b/>
      <sz val="12"/>
      <color theme="1"/>
      <name val="Times New Roman"/>
      <family val="2"/>
    </font>
    <font>
      <sz val="9"/>
      <color rgb="FF404040"/>
      <name val="Times New Roman"/>
      <family val="1"/>
    </font>
    <font>
      <b/>
      <sz val="22"/>
      <color theme="5" tint="-0.499984740745262"/>
      <name val="Times New Roman"/>
      <family val="1"/>
    </font>
    <font>
      <i/>
      <sz val="10"/>
      <color theme="1" tint="0.14999847407452621"/>
      <name val="Times New Roman"/>
      <family val="1"/>
      <scheme val="minor"/>
    </font>
    <font>
      <b/>
      <sz val="12"/>
      <color theme="1" tint="0.499984740745262"/>
      <name val="Times New Roman"/>
      <family val="1"/>
    </font>
    <font>
      <sz val="10"/>
      <color theme="1" tint="0.499984740745262"/>
      <name val="Times New Roman"/>
      <family val="1"/>
    </font>
    <font>
      <b/>
      <vertAlign val="subscript"/>
      <sz val="11"/>
      <color rgb="FF183C1B"/>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11"/>
      <color theme="1"/>
      <name val="Times New Roman"/>
      <family val="2"/>
      <scheme val="minor"/>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b/>
      <i/>
      <sz val="12"/>
      <color rgb="FFCC6600"/>
      <name val="Times New Roman"/>
      <family val="1"/>
    </font>
    <font>
      <sz val="9"/>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1"/>
      <color theme="1"/>
      <name val="Times New Roman"/>
      <family val="2"/>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14"/>
      <color theme="5"/>
      <name val="Times New Roman"/>
      <family val="1"/>
    </font>
    <font>
      <b/>
      <vertAlign val="subscript"/>
      <sz val="12"/>
      <color theme="1"/>
      <name val="Times New Roman"/>
      <family val="1"/>
    </font>
    <font>
      <vertAlign val="subscript"/>
      <sz val="10"/>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b/>
      <vertAlign val="subscript"/>
      <sz val="14"/>
      <color theme="1" tint="0.24994659260841701"/>
      <name val="Times New Roman"/>
      <family val="1"/>
    </font>
    <font>
      <b/>
      <vertAlign val="superscript"/>
      <sz val="11"/>
      <color rgb="FF183C1B"/>
      <name val="Times New Roman"/>
      <family val="1"/>
    </font>
    <font>
      <b/>
      <sz val="20"/>
      <color theme="3" tint="9.9978637043366805E-2"/>
      <name val="Times New Roman"/>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3">
    <xf numFmtId="0" fontId="0" fillId="0" borderId="0"/>
    <xf numFmtId="0" fontId="6" fillId="2" borderId="0">
      <alignment horizontal="left" vertical="center" indent="1"/>
      <protection locked="0"/>
    </xf>
    <xf numFmtId="0" fontId="5" fillId="0" borderId="0"/>
    <xf numFmtId="0" fontId="2" fillId="0" borderId="0">
      <alignment vertical="center"/>
    </xf>
    <xf numFmtId="0" fontId="17" fillId="3" borderId="0">
      <alignment vertical="center"/>
    </xf>
    <xf numFmtId="0" fontId="28" fillId="4" borderId="0">
      <alignment horizontal="left" vertical="center"/>
    </xf>
    <xf numFmtId="0" fontId="32" fillId="4" borderId="0">
      <alignment vertical="center"/>
    </xf>
    <xf numFmtId="0" fontId="4" fillId="4" borderId="0">
      <alignment horizontal="left" vertical="center"/>
    </xf>
    <xf numFmtId="0" fontId="30"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7" fillId="4" borderId="3">
      <alignment horizontal="left" vertical="center" indent="1"/>
    </xf>
    <xf numFmtId="164" fontId="9" fillId="4" borderId="3">
      <alignment horizontal="center" vertical="center"/>
    </xf>
    <xf numFmtId="0" fontId="4" fillId="4" borderId="3">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3" fillId="0" borderId="0">
      <alignment horizontal="left" vertical="center" indent="1"/>
    </xf>
    <xf numFmtId="0" fontId="18" fillId="9" borderId="4">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2" fillId="0" borderId="0">
      <alignment horizontal="left" vertical="center" indent="2"/>
    </xf>
    <xf numFmtId="0" fontId="33" fillId="13" borderId="5">
      <alignment horizontal="left" vertical="center"/>
    </xf>
    <xf numFmtId="3" fontId="26" fillId="4" borderId="2">
      <alignment horizontal="center" vertical="center"/>
    </xf>
    <xf numFmtId="167" fontId="3" fillId="0" borderId="2">
      <alignment horizontal="center" vertical="center"/>
    </xf>
    <xf numFmtId="0" fontId="27" fillId="0" borderId="0"/>
    <xf numFmtId="0" fontId="10" fillId="0" borderId="0"/>
    <xf numFmtId="0" fontId="27" fillId="0" borderId="0"/>
    <xf numFmtId="166" fontId="26" fillId="4" borderId="2">
      <alignment horizontal="center" vertical="center"/>
    </xf>
    <xf numFmtId="4" fontId="26" fillId="4" borderId="2">
      <alignment horizontal="center" vertical="center"/>
    </xf>
    <xf numFmtId="0" fontId="37" fillId="4" borderId="0">
      <alignment horizontal="left" vertical="center"/>
    </xf>
    <xf numFmtId="0" fontId="29"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7" fillId="4" borderId="0">
      <alignment horizontal="left" vertical="center"/>
    </xf>
    <xf numFmtId="0" fontId="31" fillId="4" borderId="0">
      <alignment horizontal="left" vertical="center"/>
    </xf>
    <xf numFmtId="0" fontId="10" fillId="0" borderId="0"/>
    <xf numFmtId="0" fontId="3" fillId="0" borderId="2">
      <alignment horizontal="center" vertical="center"/>
    </xf>
    <xf numFmtId="0" fontId="35" fillId="4" borderId="0">
      <alignment horizontal="left" vertical="center"/>
    </xf>
    <xf numFmtId="0" fontId="36" fillId="4" borderId="0">
      <alignment horizontal="left" vertical="center"/>
    </xf>
    <xf numFmtId="0" fontId="38" fillId="4" borderId="0">
      <alignment horizontal="left" vertical="center"/>
    </xf>
    <xf numFmtId="0" fontId="34" fillId="11" borderId="0">
      <alignment horizontal="center" vertical="center"/>
    </xf>
    <xf numFmtId="0" fontId="21" fillId="11" borderId="0">
      <alignment horizontal="left" vertical="center" indent="1"/>
    </xf>
    <xf numFmtId="0" fontId="40" fillId="4" borderId="2">
      <alignment horizontal="left" vertical="center"/>
    </xf>
    <xf numFmtId="0" fontId="26" fillId="4" borderId="2">
      <alignment horizontal="left" vertical="center"/>
    </xf>
    <xf numFmtId="0" fontId="41" fillId="14" borderId="2">
      <alignment horizontal="center" vertical="center"/>
    </xf>
    <xf numFmtId="0" fontId="42" fillId="15" borderId="2">
      <alignment horizontal="center" vertical="center"/>
    </xf>
    <xf numFmtId="0" fontId="43"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57" fillId="0" borderId="0"/>
    <xf numFmtId="0" fontId="1" fillId="0" borderId="0"/>
    <xf numFmtId="0" fontId="83" fillId="4" borderId="0">
      <alignment horizontal="left" vertical="center"/>
    </xf>
    <xf numFmtId="0" fontId="42" fillId="17" borderId="2">
      <alignment horizontal="center" vertical="center"/>
    </xf>
  </cellStyleXfs>
  <cellXfs count="286">
    <xf numFmtId="0" fontId="0" fillId="0" borderId="0" xfId="0"/>
    <xf numFmtId="0" fontId="30" fillId="4" borderId="0" xfId="8">
      <alignment horizontal="left" vertical="center"/>
    </xf>
    <xf numFmtId="0" fontId="28" fillId="4" borderId="0" xfId="5">
      <alignment horizontal="left" vertical="center"/>
    </xf>
    <xf numFmtId="0" fontId="2" fillId="0" borderId="0" xfId="3">
      <alignment vertical="center"/>
    </xf>
    <xf numFmtId="0" fontId="3" fillId="9" borderId="0" xfId="7" applyFont="1" applyFill="1" applyAlignment="1">
      <alignment horizontal="left" vertical="center" indent="1"/>
    </xf>
    <xf numFmtId="0" fontId="3" fillId="0" borderId="0" xfId="33">
      <alignment horizontal="left" vertical="center" indent="1"/>
    </xf>
    <xf numFmtId="0" fontId="19" fillId="9" borderId="4" xfId="34" applyFont="1">
      <alignment horizontal="left" vertical="center" indent="1"/>
    </xf>
    <xf numFmtId="0" fontId="20" fillId="9" borderId="4" xfId="34" applyFont="1">
      <alignment horizontal="left" vertical="center" indent="1"/>
    </xf>
    <xf numFmtId="0" fontId="0" fillId="4" borderId="0" xfId="0" applyFill="1"/>
    <xf numFmtId="2" fontId="24"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3" fillId="4" borderId="0" xfId="0" applyFont="1" applyFill="1"/>
    <xf numFmtId="2" fontId="24" fillId="4" borderId="0" xfId="0" applyNumberFormat="1" applyFont="1" applyFill="1"/>
    <xf numFmtId="0" fontId="24" fillId="4" borderId="1" xfId="0" applyFont="1" applyFill="1" applyBorder="1"/>
    <xf numFmtId="0" fontId="7" fillId="4" borderId="0" xfId="53">
      <alignment horizontal="left" vertical="center"/>
    </xf>
    <xf numFmtId="0" fontId="11" fillId="0" borderId="0" xfId="32"/>
    <xf numFmtId="9" fontId="9" fillId="4" borderId="0" xfId="11">
      <alignment horizontal="center" vertical="center"/>
    </xf>
    <xf numFmtId="164" fontId="9" fillId="4" borderId="0" xfId="10">
      <alignment horizontal="center" vertical="center"/>
    </xf>
    <xf numFmtId="2" fontId="24" fillId="4" borderId="1" xfId="0" applyNumberFormat="1" applyFont="1" applyFill="1" applyBorder="1" applyAlignment="1">
      <alignment horizontal="center"/>
    </xf>
    <xf numFmtId="0" fontId="34" fillId="11" borderId="0" xfId="60">
      <alignment horizontal="center" vertical="center"/>
    </xf>
    <xf numFmtId="0" fontId="39" fillId="0" borderId="0" xfId="2" applyFont="1"/>
    <xf numFmtId="0" fontId="3" fillId="4" borderId="0" xfId="7" applyFont="1">
      <alignment horizontal="left" vertical="center"/>
    </xf>
    <xf numFmtId="0" fontId="4" fillId="12" borderId="2" xfId="15">
      <alignment horizontal="center" vertical="center"/>
    </xf>
    <xf numFmtId="167" fontId="3" fillId="0" borderId="2" xfId="41">
      <alignment horizontal="center" vertical="center"/>
    </xf>
    <xf numFmtId="0" fontId="26" fillId="4" borderId="2" xfId="52">
      <alignment horizontal="center" vertical="center"/>
    </xf>
    <xf numFmtId="0" fontId="7" fillId="4" borderId="0" xfId="12">
      <alignment horizontal="left" vertical="center" indent="1"/>
    </xf>
    <xf numFmtId="0" fontId="32" fillId="4" borderId="0" xfId="6">
      <alignment vertical="center"/>
    </xf>
    <xf numFmtId="9" fontId="3" fillId="0" borderId="2" xfId="16">
      <alignment horizontal="center" vertical="center"/>
    </xf>
    <xf numFmtId="0" fontId="0" fillId="0" borderId="0" xfId="8" applyFont="1" applyFill="1">
      <alignment horizontal="left" vertical="center"/>
    </xf>
    <xf numFmtId="0" fontId="5" fillId="0" borderId="0" xfId="2"/>
    <xf numFmtId="0" fontId="4" fillId="0" borderId="0" xfId="7" applyFill="1">
      <alignment horizontal="left" vertical="center"/>
    </xf>
    <xf numFmtId="0" fontId="17" fillId="3" borderId="0" xfId="4">
      <alignment vertical="center"/>
    </xf>
    <xf numFmtId="0" fontId="17" fillId="0" borderId="0" xfId="4" applyFill="1">
      <alignment vertical="center"/>
    </xf>
    <xf numFmtId="0" fontId="4" fillId="4" borderId="0" xfId="7">
      <alignment horizontal="left" vertical="center"/>
    </xf>
    <xf numFmtId="0" fontId="31" fillId="4" borderId="0" xfId="54">
      <alignment horizontal="left" vertical="center"/>
    </xf>
    <xf numFmtId="0" fontId="0" fillId="0" borderId="0" xfId="7" applyFont="1" applyFill="1">
      <alignment horizontal="left" vertical="center"/>
    </xf>
    <xf numFmtId="0" fontId="11" fillId="0" borderId="0" xfId="2" applyFont="1"/>
    <xf numFmtId="0" fontId="17" fillId="7" borderId="0" xfId="31">
      <alignment vertical="center"/>
    </xf>
    <xf numFmtId="0" fontId="4" fillId="4" borderId="6" xfId="7" applyBorder="1">
      <alignment horizontal="left" vertical="center"/>
    </xf>
    <xf numFmtId="0" fontId="28" fillId="0" borderId="0" xfId="5" applyFill="1">
      <alignment horizontal="left" vertical="center"/>
    </xf>
    <xf numFmtId="0" fontId="12" fillId="4" borderId="0" xfId="30">
      <alignment vertical="center"/>
    </xf>
    <xf numFmtId="0" fontId="32" fillId="0" borderId="0" xfId="6" applyFill="1">
      <alignment vertical="center"/>
    </xf>
    <xf numFmtId="0" fontId="3" fillId="0" borderId="2" xfId="14">
      <alignment horizontal="center" vertical="center"/>
    </xf>
    <xf numFmtId="0" fontId="30" fillId="0" borderId="0" xfId="8" applyFill="1">
      <alignment horizontal="left" vertical="center"/>
    </xf>
    <xf numFmtId="0" fontId="33" fillId="13" borderId="7" xfId="39" applyBorder="1">
      <alignment horizontal="left" vertical="center"/>
    </xf>
    <xf numFmtId="0" fontId="33" fillId="13" borderId="8" xfId="39" applyBorder="1">
      <alignment horizontal="left" vertical="center"/>
    </xf>
    <xf numFmtId="0" fontId="33" fillId="13" borderId="9" xfId="39" applyBorder="1">
      <alignment horizontal="left" vertical="center"/>
    </xf>
    <xf numFmtId="0" fontId="33" fillId="13" borderId="10" xfId="39" applyBorder="1">
      <alignment horizontal="left" vertical="center"/>
    </xf>
    <xf numFmtId="0" fontId="45" fillId="0" borderId="0" xfId="12" applyFont="1" applyFill="1" applyAlignment="1">
      <alignment horizontal="left" vertical="center"/>
    </xf>
    <xf numFmtId="166" fontId="26" fillId="4" borderId="2" xfId="40" applyNumberFormat="1">
      <alignment horizontal="center" vertical="center"/>
    </xf>
    <xf numFmtId="0" fontId="3" fillId="0" borderId="0" xfId="7" applyFont="1" applyFill="1">
      <alignment horizontal="left" vertical="center"/>
    </xf>
    <xf numFmtId="0" fontId="46" fillId="13" borderId="11" xfId="39" applyFont="1" applyBorder="1">
      <alignment horizontal="left" vertical="center"/>
    </xf>
    <xf numFmtId="0" fontId="33" fillId="13" borderId="12" xfId="39" applyBorder="1">
      <alignment horizontal="left" vertical="center"/>
    </xf>
    <xf numFmtId="0" fontId="33" fillId="13" borderId="13" xfId="39" applyBorder="1">
      <alignment horizontal="left" vertical="center"/>
    </xf>
    <xf numFmtId="0" fontId="33" fillId="13" borderId="14" xfId="39" applyBorder="1">
      <alignment horizontal="left" vertical="center"/>
    </xf>
    <xf numFmtId="0" fontId="33" fillId="13" borderId="15" xfId="39" applyBorder="1">
      <alignment horizontal="left" vertical="center"/>
    </xf>
    <xf numFmtId="0" fontId="33" fillId="13" borderId="16" xfId="39" applyBorder="1">
      <alignment horizontal="left" vertical="center"/>
    </xf>
    <xf numFmtId="4" fontId="3" fillId="4" borderId="0" xfId="17" applyFill="1" applyBorder="1">
      <alignment horizontal="center" vertical="center"/>
    </xf>
    <xf numFmtId="0" fontId="13" fillId="4" borderId="0" xfId="29" applyFill="1">
      <alignment horizontal="center" vertical="center"/>
      <protection locked="0"/>
    </xf>
    <xf numFmtId="0" fontId="47" fillId="0" borderId="0" xfId="0" applyFont="1" applyAlignment="1" applyProtection="1">
      <alignment horizontal="center" vertical="center"/>
      <protection locked="0"/>
    </xf>
    <xf numFmtId="4" fontId="48" fillId="0" borderId="0" xfId="17" applyFont="1" applyBorder="1">
      <alignment horizontal="center" vertical="center"/>
    </xf>
    <xf numFmtId="164" fontId="9" fillId="4" borderId="0" xfId="26" applyBorder="1">
      <alignment horizontal="center" vertical="center"/>
    </xf>
    <xf numFmtId="4" fontId="48" fillId="4" borderId="0" xfId="17" applyFont="1" applyFill="1" applyBorder="1">
      <alignment horizontal="center" vertical="center"/>
    </xf>
    <xf numFmtId="0" fontId="48" fillId="4" borderId="0" xfId="12" applyFont="1" applyAlignment="1">
      <alignment horizontal="center" vertical="center"/>
    </xf>
    <xf numFmtId="0" fontId="48" fillId="4" borderId="0" xfId="8" applyFont="1" applyAlignment="1">
      <alignment horizontal="center" vertical="center"/>
    </xf>
    <xf numFmtId="166" fontId="48" fillId="4" borderId="0" xfId="8" applyNumberFormat="1" applyFont="1" applyAlignment="1">
      <alignment horizontal="center" vertical="center"/>
    </xf>
    <xf numFmtId="9" fontId="48" fillId="4" borderId="0" xfId="68"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xf numFmtId="0" fontId="48" fillId="4" borderId="0" xfId="0" applyFont="1" applyFill="1"/>
    <xf numFmtId="0" fontId="48" fillId="0" borderId="0" xfId="0" applyFont="1"/>
    <xf numFmtId="0" fontId="50" fillId="4" borderId="0" xfId="7" applyFont="1" applyAlignment="1">
      <alignment horizontal="center" vertical="center"/>
    </xf>
    <xf numFmtId="0" fontId="51" fillId="4" borderId="0" xfId="7" applyFont="1" applyAlignment="1">
      <alignment horizontal="center" vertical="center"/>
    </xf>
    <xf numFmtId="166" fontId="51" fillId="4" borderId="0" xfId="7" applyNumberFormat="1" applyFont="1" applyAlignment="1">
      <alignment horizontal="center" vertical="center"/>
    </xf>
    <xf numFmtId="0" fontId="51" fillId="4" borderId="0" xfId="0" applyFont="1" applyFill="1" applyAlignment="1">
      <alignment horizontal="center" vertical="center"/>
    </xf>
    <xf numFmtId="0" fontId="52" fillId="4" borderId="0" xfId="0" applyFont="1" applyFill="1" applyAlignment="1">
      <alignment horizontal="center" vertical="center"/>
    </xf>
    <xf numFmtId="0" fontId="52" fillId="4" borderId="0" xfId="0" applyFont="1" applyFill="1" applyAlignment="1">
      <alignment horizontal="left" vertical="center"/>
    </xf>
    <xf numFmtId="14" fontId="4" fillId="4" borderId="0" xfId="7" applyNumberFormat="1">
      <alignment horizontal="left" vertical="center"/>
    </xf>
    <xf numFmtId="0" fontId="33" fillId="13" borderId="5" xfId="39">
      <alignment horizontal="left" vertical="center"/>
    </xf>
    <xf numFmtId="0" fontId="43" fillId="4" borderId="0" xfId="66" applyFill="1" applyBorder="1"/>
    <xf numFmtId="166" fontId="3" fillId="4" borderId="0" xfId="18" applyNumberFormat="1" applyFill="1" applyBorder="1">
      <alignment horizontal="center" vertical="center"/>
    </xf>
    <xf numFmtId="169" fontId="4" fillId="4" borderId="0" xfId="67" applyNumberFormat="1" applyFont="1" applyFill="1" applyBorder="1" applyAlignment="1">
      <alignment horizontal="center" vertical="center"/>
    </xf>
    <xf numFmtId="0" fontId="0" fillId="4" borderId="0" xfId="7" applyFont="1">
      <alignment horizontal="left" vertical="center"/>
    </xf>
    <xf numFmtId="0" fontId="53" fillId="4" borderId="0" xfId="0" applyFont="1" applyFill="1"/>
    <xf numFmtId="0" fontId="3" fillId="0" borderId="2" xfId="56">
      <alignment horizontal="center" vertical="center"/>
    </xf>
    <xf numFmtId="2" fontId="30" fillId="4" borderId="0" xfId="8" applyNumberFormat="1">
      <alignment horizontal="left" vertical="center"/>
    </xf>
    <xf numFmtId="0" fontId="44" fillId="4" borderId="0" xfId="8" applyFont="1">
      <alignment horizontal="left" vertical="center"/>
    </xf>
    <xf numFmtId="0" fontId="24" fillId="4" borderId="0" xfId="0" applyFont="1" applyFill="1"/>
    <xf numFmtId="0" fontId="26" fillId="4" borderId="2" xfId="52" quotePrefix="1">
      <alignment horizontal="center" vertical="center"/>
    </xf>
    <xf numFmtId="0" fontId="37" fillId="4" borderId="0" xfId="47">
      <alignment horizontal="left" vertical="center"/>
    </xf>
    <xf numFmtId="0" fontId="38" fillId="4" borderId="0" xfId="59">
      <alignment horizontal="left" vertical="center"/>
    </xf>
    <xf numFmtId="170" fontId="0" fillId="0" borderId="0" xfId="8" applyNumberFormat="1" applyFont="1" applyFill="1">
      <alignment horizontal="left" vertical="center"/>
    </xf>
    <xf numFmtId="164" fontId="0" fillId="0" borderId="0" xfId="0" applyNumberFormat="1"/>
    <xf numFmtId="0" fontId="13" fillId="6" borderId="0" xfId="29">
      <alignment horizontal="center" vertical="center"/>
      <protection locked="0"/>
    </xf>
    <xf numFmtId="0" fontId="0" fillId="0" borderId="0" xfId="14" applyFont="1" applyBorder="1">
      <alignment horizontal="center" vertical="center"/>
    </xf>
    <xf numFmtId="0" fontId="10" fillId="0" borderId="0" xfId="55"/>
    <xf numFmtId="0" fontId="13" fillId="6" borderId="0" xfId="28">
      <alignment horizontal="left" vertical="center" indent="1"/>
    </xf>
    <xf numFmtId="0" fontId="21" fillId="5" borderId="0" xfId="36">
      <alignment horizontal="left" vertical="center" indent="1"/>
    </xf>
    <xf numFmtId="3" fontId="3" fillId="0" borderId="2" xfId="18">
      <alignment horizontal="center" vertical="center"/>
    </xf>
    <xf numFmtId="0" fontId="55" fillId="9" borderId="4" xfId="34" applyFont="1">
      <alignment horizontal="left" vertical="center" indent="1"/>
    </xf>
    <xf numFmtId="0" fontId="30" fillId="4" borderId="1" xfId="8" applyBorder="1">
      <alignment horizontal="left" vertical="center"/>
    </xf>
    <xf numFmtId="0" fontId="17" fillId="4" borderId="0" xfId="31" applyFill="1">
      <alignment vertical="center"/>
    </xf>
    <xf numFmtId="171" fontId="26" fillId="4" borderId="2" xfId="68" applyNumberFormat="1" applyFont="1" applyFill="1" applyBorder="1" applyAlignment="1">
      <alignment horizontal="center" vertical="center"/>
    </xf>
    <xf numFmtId="171" fontId="3" fillId="0" borderId="2" xfId="16" applyNumberFormat="1">
      <alignment horizontal="center" vertical="center"/>
    </xf>
    <xf numFmtId="171" fontId="3" fillId="0" borderId="2" xfId="68" applyNumberFormat="1" applyFont="1" applyBorder="1" applyAlignment="1">
      <alignment horizontal="center" vertical="center"/>
    </xf>
    <xf numFmtId="171" fontId="30" fillId="4" borderId="0" xfId="8" applyNumberFormat="1">
      <alignment horizontal="left" vertical="center"/>
    </xf>
    <xf numFmtId="172" fontId="30" fillId="4" borderId="0" xfId="8" applyNumberFormat="1">
      <alignment horizontal="left" vertical="center"/>
    </xf>
    <xf numFmtId="0" fontId="13" fillId="6" borderId="0" xfId="28" applyAlignment="1">
      <alignment horizontal="left" vertical="center"/>
    </xf>
    <xf numFmtId="0" fontId="56" fillId="4" borderId="0" xfId="59" applyFont="1">
      <alignment horizontal="left" vertical="center"/>
    </xf>
    <xf numFmtId="0" fontId="30" fillId="4" borderId="0" xfId="8" applyAlignment="1">
      <alignment horizontal="center" vertical="center"/>
    </xf>
    <xf numFmtId="9" fontId="26" fillId="4" borderId="2" xfId="68" applyFont="1" applyFill="1" applyBorder="1" applyAlignment="1">
      <alignment horizontal="center" vertical="center"/>
    </xf>
    <xf numFmtId="0" fontId="30" fillId="4" borderId="0" xfId="8" applyAlignment="1">
      <alignment horizontal="left" vertical="center" indent="3"/>
    </xf>
    <xf numFmtId="10" fontId="30" fillId="4" borderId="0" xfId="8" applyNumberFormat="1">
      <alignment horizontal="left" vertical="center"/>
    </xf>
    <xf numFmtId="0" fontId="13" fillId="6" borderId="0" xfId="28" applyAlignment="1">
      <alignment horizontal="left" vertical="center" indent="6"/>
    </xf>
    <xf numFmtId="0" fontId="30" fillId="4" borderId="0" xfId="8" applyAlignment="1">
      <alignment horizontal="left" vertical="center" indent="6"/>
    </xf>
    <xf numFmtId="0" fontId="44" fillId="4" borderId="0" xfId="8" applyFont="1" applyAlignment="1">
      <alignment horizontal="left" vertical="center" indent="6"/>
    </xf>
    <xf numFmtId="0" fontId="30" fillId="4" borderId="0" xfId="8" applyAlignment="1">
      <alignment horizontal="left" vertical="center" indent="9"/>
    </xf>
    <xf numFmtId="0" fontId="16" fillId="4" borderId="0" xfId="24">
      <alignment horizontal="left" vertical="center"/>
    </xf>
    <xf numFmtId="0" fontId="21" fillId="8" borderId="0" xfId="37">
      <alignment horizontal="left" vertical="center" indent="1"/>
    </xf>
    <xf numFmtId="0" fontId="26" fillId="4" borderId="2" xfId="63">
      <alignment horizontal="left" vertical="center"/>
    </xf>
    <xf numFmtId="0" fontId="42" fillId="15" borderId="2" xfId="65">
      <alignment horizontal="center" vertical="center"/>
    </xf>
    <xf numFmtId="0" fontId="35" fillId="4" borderId="0" xfId="57">
      <alignment horizontal="left" vertical="center"/>
    </xf>
    <xf numFmtId="0" fontId="36" fillId="4" borderId="0" xfId="58">
      <alignment horizontal="left" vertical="center"/>
    </xf>
    <xf numFmtId="0" fontId="6" fillId="2" borderId="0" xfId="9">
      <alignment horizontal="center" vertical="center"/>
    </xf>
    <xf numFmtId="0" fontId="26" fillId="4" borderId="17" xfId="63" applyBorder="1">
      <alignment horizontal="left" vertical="center"/>
    </xf>
    <xf numFmtId="0" fontId="26" fillId="4" borderId="18" xfId="63" applyBorder="1">
      <alignment horizontal="left" vertical="center"/>
    </xf>
    <xf numFmtId="0" fontId="40" fillId="4" borderId="2" xfId="62">
      <alignment horizontal="left" vertical="center"/>
    </xf>
    <xf numFmtId="0" fontId="41" fillId="14" borderId="2" xfId="64">
      <alignment horizontal="center" vertical="center"/>
    </xf>
    <xf numFmtId="0" fontId="57" fillId="0" borderId="0" xfId="69"/>
    <xf numFmtId="0" fontId="58" fillId="4" borderId="0" xfId="8" applyFont="1">
      <alignment horizontal="left" vertical="center"/>
    </xf>
    <xf numFmtId="0" fontId="59" fillId="4" borderId="0" xfId="8" applyFont="1">
      <alignment horizontal="left" vertical="center"/>
    </xf>
    <xf numFmtId="0" fontId="26" fillId="4" borderId="2" xfId="52" applyAlignment="1">
      <alignment horizontal="left" vertical="center"/>
    </xf>
    <xf numFmtId="0" fontId="26" fillId="4" borderId="19" xfId="63" applyBorder="1">
      <alignment horizontal="left" vertical="center"/>
    </xf>
    <xf numFmtId="3" fontId="26" fillId="4" borderId="2" xfId="52" applyNumberFormat="1">
      <alignment horizontal="center" vertical="center"/>
    </xf>
    <xf numFmtId="0" fontId="61" fillId="4" borderId="1" xfId="8" applyFont="1" applyBorder="1">
      <alignment horizontal="left" vertical="center"/>
    </xf>
    <xf numFmtId="0" fontId="62" fillId="4" borderId="1" xfId="8" applyFont="1" applyBorder="1">
      <alignment horizontal="left" vertical="center"/>
    </xf>
    <xf numFmtId="0" fontId="63" fillId="4" borderId="1" xfId="53" applyFont="1" applyBorder="1">
      <alignment horizontal="left" vertical="center"/>
    </xf>
    <xf numFmtId="0" fontId="26" fillId="4" borderId="17" xfId="52" applyBorder="1" applyAlignment="1">
      <alignment horizontal="left" vertical="center"/>
    </xf>
    <xf numFmtId="0" fontId="26" fillId="4" borderId="19" xfId="52" applyBorder="1">
      <alignment horizontal="center" vertical="center"/>
    </xf>
    <xf numFmtId="0" fontId="7" fillId="4" borderId="1" xfId="53" applyBorder="1">
      <alignment horizontal="left" vertical="center"/>
    </xf>
    <xf numFmtId="43" fontId="30" fillId="4" borderId="0" xfId="67" applyFont="1" applyFill="1" applyAlignment="1">
      <alignment horizontal="left" vertical="center"/>
    </xf>
    <xf numFmtId="0" fontId="44" fillId="4" borderId="1" xfId="8" applyFont="1" applyBorder="1">
      <alignment horizontal="left" vertical="center"/>
    </xf>
    <xf numFmtId="0" fontId="26" fillId="4" borderId="18" xfId="52" applyBorder="1" applyAlignment="1">
      <alignment horizontal="left" vertical="center"/>
    </xf>
    <xf numFmtId="0" fontId="10" fillId="0" borderId="0" xfId="43"/>
    <xf numFmtId="0" fontId="33" fillId="13" borderId="11" xfId="39" applyBorder="1">
      <alignment horizontal="left" vertical="center"/>
    </xf>
    <xf numFmtId="0" fontId="26" fillId="4" borderId="19" xfId="52" applyBorder="1" applyAlignment="1">
      <alignment horizontal="left" vertical="center"/>
    </xf>
    <xf numFmtId="0" fontId="0" fillId="0" borderId="0" xfId="1" applyFont="1" applyFill="1">
      <alignment horizontal="left" vertical="center" indent="1"/>
      <protection locked="0"/>
    </xf>
    <xf numFmtId="0" fontId="21" fillId="10" borderId="0" xfId="35">
      <alignment horizontal="left" vertical="center" indent="1"/>
    </xf>
    <xf numFmtId="0" fontId="67" fillId="2" borderId="0" xfId="8" applyFont="1" applyFill="1">
      <alignment horizontal="left" vertical="center"/>
    </xf>
    <xf numFmtId="0" fontId="30" fillId="16" borderId="0" xfId="8" applyFill="1">
      <alignment horizontal="left" vertical="center"/>
    </xf>
    <xf numFmtId="0" fontId="68" fillId="4" borderId="0" xfId="0" applyFont="1" applyFill="1" applyAlignment="1">
      <alignment horizontal="center" vertical="center"/>
    </xf>
    <xf numFmtId="0" fontId="68" fillId="4" borderId="0" xfId="0" applyFont="1" applyFill="1"/>
    <xf numFmtId="0" fontId="69" fillId="4" borderId="0" xfId="0" applyFont="1" applyFill="1"/>
    <xf numFmtId="0" fontId="33" fillId="13" borderId="20" xfId="39" applyBorder="1">
      <alignment horizontal="left" vertical="center"/>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0" xfId="55" applyAlignment="1">
      <alignment horizontal="center" vertical="center" wrapText="1"/>
    </xf>
    <xf numFmtId="0" fontId="10" fillId="0" borderId="0" xfId="55" applyAlignment="1" applyProtection="1">
      <alignment horizontal="center" vertical="center" wrapText="1"/>
      <protection locked="0"/>
    </xf>
    <xf numFmtId="0" fontId="4" fillId="12" borderId="2" xfId="15" applyAlignment="1">
      <alignment horizontal="center" vertical="center" wrapText="1"/>
    </xf>
    <xf numFmtId="4" fontId="0" fillId="0" borderId="0" xfId="17" applyFont="1" applyBorder="1" applyAlignment="1">
      <alignment horizontal="center" vertical="center" wrapText="1"/>
    </xf>
    <xf numFmtId="0" fontId="26" fillId="4" borderId="2" xfId="52" applyAlignment="1">
      <alignment horizontal="center" vertical="center" wrapText="1"/>
    </xf>
    <xf numFmtId="0" fontId="4" fillId="9" borderId="2" xfId="15" applyFill="1" applyAlignment="1">
      <alignment horizontal="center" vertical="center" wrapText="1"/>
    </xf>
    <xf numFmtId="4" fontId="0" fillId="0" borderId="2" xfId="17" applyFont="1" applyAlignment="1">
      <alignment horizontal="center" vertical="center" wrapText="1"/>
    </xf>
    <xf numFmtId="0" fontId="47" fillId="4" borderId="0" xfId="43" applyFont="1" applyFill="1" applyAlignment="1">
      <alignment horizontal="left" vertical="center" wrapText="1"/>
    </xf>
    <xf numFmtId="2" fontId="68" fillId="4" borderId="0" xfId="67" applyNumberFormat="1" applyFont="1" applyFill="1" applyBorder="1" applyAlignment="1" applyProtection="1">
      <alignment horizontal="center" wrapText="1"/>
      <protection locked="0"/>
    </xf>
    <xf numFmtId="1" fontId="68" fillId="4" borderId="0" xfId="67" applyNumberFormat="1" applyFont="1" applyFill="1" applyBorder="1" applyAlignment="1" applyProtection="1">
      <alignment horizontal="center" wrapText="1"/>
      <protection locked="0"/>
    </xf>
    <xf numFmtId="0" fontId="68" fillId="4" borderId="0" xfId="0" applyFont="1" applyFill="1" applyAlignment="1">
      <alignment horizontal="left" wrapText="1"/>
    </xf>
    <xf numFmtId="0" fontId="69" fillId="4" borderId="0" xfId="0" applyFont="1" applyFill="1" applyAlignment="1">
      <alignment wrapText="1"/>
    </xf>
    <xf numFmtId="0" fontId="30" fillId="4" borderId="0" xfId="8" applyAlignment="1">
      <alignment horizontal="left" vertical="center" wrapText="1"/>
    </xf>
    <xf numFmtId="0" fontId="37" fillId="4" borderId="0" xfId="47" applyAlignment="1">
      <alignment horizontal="left" vertical="center" wrapText="1"/>
    </xf>
    <xf numFmtId="0" fontId="0" fillId="4" borderId="0" xfId="0" applyFill="1" applyAlignment="1">
      <alignment wrapText="1"/>
    </xf>
    <xf numFmtId="0" fontId="70"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70" fillId="12" borderId="2" xfId="15" applyFont="1">
      <alignment horizontal="center" vertical="center"/>
    </xf>
    <xf numFmtId="9" fontId="0" fillId="0" borderId="21" xfId="68" applyFont="1" applyFill="1" applyBorder="1" applyAlignment="1">
      <alignment horizontal="center" vertical="center" wrapText="1"/>
    </xf>
    <xf numFmtId="0" fontId="33" fillId="13" borderId="22" xfId="39" applyBorder="1">
      <alignment horizontal="left" vertical="center"/>
    </xf>
    <xf numFmtId="0" fontId="33" fillId="13" borderId="0" xfId="39" applyBorder="1">
      <alignment horizontal="left" vertical="center"/>
    </xf>
    <xf numFmtId="0" fontId="33" fillId="13" borderId="23" xfId="39" applyBorder="1">
      <alignment horizontal="left" vertical="center"/>
    </xf>
    <xf numFmtId="0" fontId="13"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4" fillId="4" borderId="0" xfId="68" applyFont="1" applyFill="1" applyAlignment="1">
      <alignment horizontal="center" vertical="center" wrapText="1"/>
    </xf>
    <xf numFmtId="9" fontId="0" fillId="4" borderId="0" xfId="0" applyNumberFormat="1" applyFill="1"/>
    <xf numFmtId="0" fontId="0" fillId="0" borderId="0" xfId="0" applyAlignment="1">
      <alignment wrapText="1"/>
    </xf>
    <xf numFmtId="0" fontId="40" fillId="4" borderId="17" xfId="62" applyBorder="1">
      <alignment horizontal="left" vertical="center"/>
    </xf>
    <xf numFmtId="0" fontId="26" fillId="4" borderId="18" xfId="52" applyBorder="1">
      <alignment horizontal="center" vertical="center"/>
    </xf>
    <xf numFmtId="0" fontId="7" fillId="4" borderId="0" xfId="12" applyAlignment="1">
      <alignment horizontal="center" vertical="center"/>
    </xf>
    <xf numFmtId="0" fontId="6" fillId="2" borderId="0" xfId="1">
      <alignment horizontal="left" vertical="center" indent="1"/>
      <protection locked="0"/>
    </xf>
    <xf numFmtId="4" fontId="26" fillId="4" borderId="2" xfId="52" applyNumberFormat="1">
      <alignment horizontal="center" vertical="center"/>
    </xf>
    <xf numFmtId="9" fontId="26" fillId="4" borderId="2" xfId="52" applyNumberFormat="1">
      <alignment horizontal="center" vertical="center"/>
    </xf>
    <xf numFmtId="0" fontId="73" fillId="4" borderId="0" xfId="0" applyFont="1" applyFill="1"/>
    <xf numFmtId="0" fontId="7" fillId="4" borderId="1" xfId="12" applyBorder="1">
      <alignment horizontal="left" vertical="center" indent="1"/>
    </xf>
    <xf numFmtId="0" fontId="30" fillId="4" borderId="24" xfId="8" applyBorder="1">
      <alignment horizontal="left" vertical="center"/>
    </xf>
    <xf numFmtId="4" fontId="26" fillId="4" borderId="2" xfId="46">
      <alignment horizontal="center" vertical="center"/>
    </xf>
    <xf numFmtId="0" fontId="63" fillId="4" borderId="1" xfId="12" applyFont="1" applyBorder="1">
      <alignment horizontal="left" vertical="center" indent="1"/>
    </xf>
    <xf numFmtId="0" fontId="6" fillId="2" borderId="0" xfId="9" applyAlignment="1">
      <alignment horizontal="center" vertical="center" wrapText="1"/>
    </xf>
    <xf numFmtId="0" fontId="30" fillId="4" borderId="25" xfId="8" applyBorder="1">
      <alignment horizontal="left" vertical="center"/>
    </xf>
    <xf numFmtId="0" fontId="6"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3" fillId="0" borderId="2" xfId="17">
      <alignment horizontal="center" vertical="center"/>
    </xf>
    <xf numFmtId="166" fontId="26" fillId="4" borderId="2" xfId="45">
      <alignment horizontal="center" vertical="center"/>
    </xf>
    <xf numFmtId="173" fontId="0" fillId="0" borderId="0" xfId="8" applyNumberFormat="1" applyFont="1" applyFill="1">
      <alignment horizontal="left" vertical="center"/>
    </xf>
    <xf numFmtId="0" fontId="29" fillId="4" borderId="0" xfId="48">
      <alignment horizontal="center" vertical="center"/>
    </xf>
    <xf numFmtId="17" fontId="0" fillId="0" borderId="0" xfId="8" applyNumberFormat="1" applyFont="1" applyFill="1">
      <alignment horizontal="left" vertical="center"/>
    </xf>
    <xf numFmtId="43" fontId="30" fillId="4" borderId="0" xfId="8" applyNumberFormat="1">
      <alignment horizontal="left" vertical="center"/>
    </xf>
    <xf numFmtId="9" fontId="26" fillId="4" borderId="2" xfId="63" applyNumberFormat="1">
      <alignment horizontal="left" vertical="center"/>
    </xf>
    <xf numFmtId="0" fontId="74"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4" fillId="12" borderId="26" xfId="15" applyBorder="1">
      <alignment horizontal="center" vertical="center"/>
    </xf>
    <xf numFmtId="0" fontId="26" fillId="4" borderId="26" xfId="52" applyBorder="1">
      <alignment horizontal="center" vertical="center"/>
    </xf>
    <xf numFmtId="9" fontId="0" fillId="0" borderId="26" xfId="16" applyFont="1" applyBorder="1">
      <alignment horizontal="center" vertical="center"/>
    </xf>
    <xf numFmtId="0" fontId="29" fillId="4" borderId="0" xfId="48" applyAlignment="1">
      <alignment horizontal="left" vertical="center"/>
    </xf>
    <xf numFmtId="174" fontId="75" fillId="4" borderId="2" xfId="52" applyNumberFormat="1" applyFont="1">
      <alignment horizontal="center" vertical="center"/>
    </xf>
    <xf numFmtId="0" fontId="25" fillId="4" borderId="0" xfId="50">
      <alignment horizontal="left" vertical="center"/>
    </xf>
    <xf numFmtId="4" fontId="26" fillId="4" borderId="26" xfId="46" applyBorder="1">
      <alignment horizontal="center" vertical="center"/>
    </xf>
    <xf numFmtId="174" fontId="75" fillId="4" borderId="26" xfId="52" applyNumberFormat="1" applyFont="1" applyBorder="1">
      <alignment horizontal="center" vertical="center"/>
    </xf>
    <xf numFmtId="0" fontId="4" fillId="4" borderId="1" xfId="7" applyBorder="1">
      <alignment horizontal="left" vertical="center"/>
    </xf>
    <xf numFmtId="0" fontId="29" fillId="4" borderId="1" xfId="48" applyBorder="1" applyAlignment="1">
      <alignment horizontal="left" vertical="center"/>
    </xf>
    <xf numFmtId="0" fontId="26" fillId="4" borderId="27" xfId="52" applyBorder="1">
      <alignment horizontal="center" vertical="center"/>
    </xf>
    <xf numFmtId="0" fontId="26" fillId="4" borderId="28" xfId="52" applyBorder="1">
      <alignment horizontal="center" vertical="center"/>
    </xf>
    <xf numFmtId="4" fontId="26" fillId="4" borderId="27" xfId="46" applyBorder="1">
      <alignment horizontal="center" vertical="center"/>
    </xf>
    <xf numFmtId="4" fontId="26" fillId="4" borderId="29" xfId="46" applyBorder="1">
      <alignment horizontal="center" vertical="center"/>
    </xf>
    <xf numFmtId="174" fontId="75" fillId="4" borderId="29" xfId="52" applyNumberFormat="1" applyFont="1" applyBorder="1">
      <alignment horizontal="center" vertical="center"/>
    </xf>
    <xf numFmtId="174" fontId="75" fillId="4" borderId="27" xfId="52" applyNumberFormat="1" applyFont="1" applyBorder="1">
      <alignment horizontal="center" vertical="center"/>
    </xf>
    <xf numFmtId="0" fontId="26" fillId="4" borderId="29" xfId="52" applyBorder="1">
      <alignment horizontal="center" vertical="center"/>
    </xf>
    <xf numFmtId="0" fontId="75" fillId="4" borderId="29" xfId="52" applyFont="1" applyBorder="1">
      <alignment horizontal="center" vertical="center"/>
    </xf>
    <xf numFmtId="0" fontId="4" fillId="4" borderId="25" xfId="7" applyBorder="1">
      <alignment horizontal="left" vertical="center"/>
    </xf>
    <xf numFmtId="165" fontId="73" fillId="4" borderId="25" xfId="0" applyNumberFormat="1" applyFont="1" applyFill="1" applyBorder="1"/>
    <xf numFmtId="0" fontId="7" fillId="4" borderId="25" xfId="12" applyBorder="1">
      <alignment horizontal="left" vertical="center" indent="1"/>
    </xf>
    <xf numFmtId="168" fontId="73" fillId="4" borderId="0" xfId="0" applyNumberFormat="1" applyFont="1" applyFill="1" applyAlignment="1">
      <alignment vertical="center"/>
    </xf>
    <xf numFmtId="165" fontId="73" fillId="4" borderId="25" xfId="0" applyNumberFormat="1" applyFont="1" applyFill="1" applyBorder="1" applyAlignment="1">
      <alignment vertical="center"/>
    </xf>
    <xf numFmtId="0" fontId="73" fillId="4" borderId="0" xfId="0" applyFont="1" applyFill="1" applyAlignment="1">
      <alignment vertical="center"/>
    </xf>
    <xf numFmtId="165" fontId="76" fillId="4" borderId="25" xfId="0" applyNumberFormat="1" applyFont="1" applyFill="1" applyBorder="1" applyAlignment="1">
      <alignment vertical="center"/>
    </xf>
    <xf numFmtId="168" fontId="75" fillId="4" borderId="2" xfId="46" applyNumberFormat="1" applyFont="1">
      <alignment horizontal="center" vertical="center"/>
    </xf>
    <xf numFmtId="168" fontId="75" fillId="4" borderId="26" xfId="46" applyNumberFormat="1" applyFont="1" applyBorder="1">
      <alignment horizontal="center" vertical="center"/>
    </xf>
    <xf numFmtId="168" fontId="75" fillId="4" borderId="29" xfId="46" applyNumberFormat="1" applyFont="1" applyBorder="1">
      <alignment horizontal="center" vertical="center"/>
    </xf>
    <xf numFmtId="0" fontId="74" fillId="0" borderId="0" xfId="0" applyFont="1" applyAlignment="1">
      <alignment vertical="center" wrapText="1"/>
    </xf>
    <xf numFmtId="0" fontId="77" fillId="0" borderId="0" xfId="0" applyFont="1" applyAlignment="1">
      <alignment horizontal="left" vertical="center"/>
    </xf>
    <xf numFmtId="0" fontId="77" fillId="0" borderId="0" xfId="8" applyFont="1" applyFill="1">
      <alignment horizontal="left" vertical="center"/>
    </xf>
    <xf numFmtId="0" fontId="74" fillId="0" borderId="0" xfId="0" applyFont="1" applyAlignment="1">
      <alignment horizontal="left" vertical="center"/>
    </xf>
    <xf numFmtId="0" fontId="0" fillId="0" borderId="0" xfId="0" applyAlignment="1">
      <alignment horizontal="left" vertical="center"/>
    </xf>
    <xf numFmtId="0" fontId="30" fillId="4" borderId="0" xfId="8" applyAlignment="1">
      <alignment horizontal="right" vertical="center"/>
    </xf>
    <xf numFmtId="0" fontId="74" fillId="4" borderId="0" xfId="0" applyFont="1" applyFill="1" applyAlignment="1">
      <alignment horizontal="left" vertical="center"/>
    </xf>
    <xf numFmtId="0" fontId="44" fillId="4" borderId="0" xfId="8" applyFont="1" applyAlignment="1">
      <alignment horizontal="right" vertical="center"/>
    </xf>
    <xf numFmtId="0" fontId="78" fillId="4" borderId="0" xfId="0" applyFont="1" applyFill="1"/>
    <xf numFmtId="0" fontId="74" fillId="0" borderId="0" xfId="0" applyFont="1"/>
    <xf numFmtId="0" fontId="74" fillId="0" borderId="0" xfId="7" applyFont="1" applyFill="1">
      <alignment horizontal="left" vertical="center"/>
    </xf>
    <xf numFmtId="0" fontId="74" fillId="4" borderId="0" xfId="0" applyFont="1" applyFill="1"/>
    <xf numFmtId="0" fontId="74" fillId="4" borderId="0" xfId="7" applyFont="1">
      <alignment horizontal="left" vertical="center"/>
    </xf>
    <xf numFmtId="0" fontId="79" fillId="0" borderId="0" xfId="8" applyFont="1" applyFill="1">
      <alignment horizontal="left" vertical="center"/>
    </xf>
    <xf numFmtId="0" fontId="33" fillId="13" borderId="11" xfId="39" quotePrefix="1" applyBorder="1">
      <alignment horizontal="left" vertical="center"/>
    </xf>
    <xf numFmtId="0" fontId="0" fillId="4" borderId="1" xfId="0" applyFill="1" applyBorder="1"/>
    <xf numFmtId="0" fontId="0" fillId="4" borderId="0" xfId="0" quotePrefix="1" applyFill="1"/>
    <xf numFmtId="0" fontId="80" fillId="4" borderId="1" xfId="0" applyFont="1" applyFill="1" applyBorder="1"/>
    <xf numFmtId="0" fontId="82" fillId="4" borderId="1" xfId="0" applyFont="1" applyFill="1" applyBorder="1"/>
    <xf numFmtId="0" fontId="23" fillId="0" borderId="0" xfId="0" applyFont="1"/>
    <xf numFmtId="0" fontId="1" fillId="0" borderId="0" xfId="70"/>
    <xf numFmtId="0" fontId="83" fillId="4" borderId="0" xfId="71">
      <alignment horizontal="left" vertical="center"/>
    </xf>
    <xf numFmtId="0" fontId="10" fillId="4" borderId="0" xfId="55" applyFill="1"/>
    <xf numFmtId="0" fontId="0" fillId="0" borderId="0" xfId="8" applyFont="1" applyFill="1" applyAlignment="1">
      <alignment horizontal="left" vertical="center" wrapText="1"/>
    </xf>
    <xf numFmtId="0" fontId="1" fillId="4" borderId="0" xfId="70" applyFill="1"/>
    <xf numFmtId="0" fontId="33" fillId="13" borderId="30" xfId="39" applyBorder="1">
      <alignment horizontal="left" vertical="center"/>
    </xf>
    <xf numFmtId="0" fontId="1" fillId="0" borderId="0" xfId="70" applyAlignment="1">
      <alignment horizontal="center" vertical="center" wrapText="1"/>
    </xf>
    <xf numFmtId="4" fontId="0" fillId="0" borderId="0" xfId="17" applyFont="1" applyBorder="1">
      <alignment horizontal="center" vertical="center"/>
    </xf>
    <xf numFmtId="0" fontId="3" fillId="0" borderId="26" xfId="56" applyBorder="1">
      <alignment horizontal="center" vertical="center"/>
    </xf>
    <xf numFmtId="0" fontId="4" fillId="12" borderId="26" xfId="15" applyBorder="1" applyAlignment="1">
      <alignment horizontal="center" vertical="center" wrapText="1"/>
    </xf>
    <xf numFmtId="0" fontId="68" fillId="4" borderId="0" xfId="55" applyFont="1" applyFill="1" applyAlignment="1" applyProtection="1">
      <alignment horizontal="center"/>
      <protection locked="0"/>
    </xf>
    <xf numFmtId="0" fontId="68" fillId="4" borderId="0" xfId="55" applyFont="1" applyFill="1" applyAlignment="1">
      <alignment horizontal="center" vertical="center"/>
    </xf>
    <xf numFmtId="0" fontId="0" fillId="0" borderId="0" xfId="17" applyNumberFormat="1" applyFont="1" applyBorder="1">
      <alignment horizontal="center" vertical="center"/>
    </xf>
    <xf numFmtId="0" fontId="0" fillId="0" borderId="0" xfId="29" applyFont="1" applyFill="1" applyProtection="1">
      <alignment horizontal="center" vertical="center"/>
    </xf>
    <xf numFmtId="0" fontId="0" fillId="0" borderId="2" xfId="56" applyFont="1">
      <alignment horizontal="center" vertical="center"/>
    </xf>
    <xf numFmtId="0" fontId="42" fillId="17" borderId="2" xfId="72">
      <alignment horizontal="center" vertical="center"/>
    </xf>
    <xf numFmtId="0" fontId="54" fillId="6" borderId="0" xfId="8" applyFont="1" applyFill="1">
      <alignment horizontal="left" vertical="center"/>
    </xf>
    <xf numFmtId="0" fontId="75" fillId="4" borderId="2" xfId="52" applyFont="1">
      <alignment horizontal="center" vertical="center"/>
    </xf>
    <xf numFmtId="0" fontId="86" fillId="4" borderId="1" xfId="8" applyFont="1" applyBorder="1">
      <alignment horizontal="left" vertical="center"/>
    </xf>
    <xf numFmtId="4" fontId="26" fillId="4" borderId="2" xfId="63" applyNumberFormat="1">
      <alignment horizontal="left" vertical="center"/>
    </xf>
    <xf numFmtId="0" fontId="54" fillId="2" borderId="0" xfId="8" applyFont="1" applyFill="1">
      <alignment horizontal="left" vertical="center"/>
    </xf>
    <xf numFmtId="0" fontId="91" fillId="9" borderId="0" xfId="32" applyFont="1" applyFill="1"/>
    <xf numFmtId="0" fontId="30" fillId="9" borderId="0" xfId="8" applyFill="1">
      <alignment horizontal="left" vertical="center"/>
    </xf>
    <xf numFmtId="0" fontId="17" fillId="11" borderId="0" xfId="31" applyFill="1">
      <alignment vertical="center"/>
    </xf>
    <xf numFmtId="0" fontId="21" fillId="11" borderId="0" xfId="61">
      <alignment horizontal="left" vertical="center" indent="1"/>
    </xf>
    <xf numFmtId="0" fontId="46" fillId="13" borderId="20" xfId="39" applyFont="1" applyBorder="1">
      <alignment horizontal="left" vertical="center"/>
    </xf>
  </cellXfs>
  <cellStyles count="73">
    <cellStyle name="Alert" xfId="59" xr:uid="{34EFE908-8095-4010-8F93-8CFE88055637}"/>
    <cellStyle name="Arguments" xfId="63" xr:uid="{D74147AB-B374-43DE-928A-C20FDAA7023A}"/>
    <cellStyle name="Arguments hyperlink" xfId="62" xr:uid="{E9A63CA8-EB4E-4FD6-930A-AD1711340AFB}"/>
    <cellStyle name="Back to top link" xfId="69" xr:uid="{51C5A8C9-280C-4CB4-8D29-9A425D236444}"/>
    <cellStyle name="Block heading" xfId="5" xr:uid="{74527274-3B4A-494A-B37C-EA50686E114C}"/>
    <cellStyle name="Block subheading" xfId="47" xr:uid="{34E62905-A3E0-4883-B81A-BDB58FC88DA7}"/>
    <cellStyle name="Block subheading 2" xfId="71" xr:uid="{06C7B27C-EFD2-405A-8545-476FD4A74F44}"/>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3" xfId="70" xr:uid="{6907DED7-5847-4E79-BFDF-A665FE9F65C7}"/>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2" xr:uid="{997C3488-B98E-46F0-AA08-5DC0D70AEBFB}"/>
    <cellStyle name="Variable type other" xfId="64" xr:uid="{105BD9DE-B567-4DA0-87E6-C60A0ECC1C65}"/>
  </cellStyles>
  <dxfs count="47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strike val="0"/>
        <outline val="0"/>
        <shadow val="0"/>
        <u val="none"/>
        <vertAlign val="baseline"/>
        <sz val="9"/>
        <color theme="1"/>
        <name val="Times New Roman"/>
        <family val="2"/>
        <scheme val="minor"/>
      </font>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numFmt numFmtId="173" formatCode="[$-C09]d\ mmmm\ yyyy;@"/>
    </dxf>
    <dxf>
      <numFmt numFmtId="173"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numFmt numFmtId="170"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72"/>
      <tableStyleElement type="headerRow" dxfId="471"/>
      <tableStyleElement type="totalRow" dxfId="470"/>
      <tableStyleElement type="firstColumn" dxfId="469"/>
      <tableStyleElement type="firstRowStripe" dxfId="468"/>
      <tableStyleElement type="secondRowStripe" dxfId="467"/>
    </tableStyle>
    <tableStyle name="Equation table" pivot="0" count="6" xr9:uid="{B247698E-E41D-4CCD-AA0A-C14817E9DE65}">
      <tableStyleElement type="wholeTable" dxfId="466"/>
      <tableStyleElement type="headerRow" dxfId="465"/>
      <tableStyleElement type="totalRow" dxfId="464"/>
      <tableStyleElement type="firstColumn" dxfId="463"/>
      <tableStyleElement type="firstRowStripe" dxfId="462"/>
      <tableStyleElement type="secondRowStripe" dxfId="461"/>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microsoft.com/office/2017/06/relationships/rdRichValue" Target="richData/rdrichvalue.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microsoft.com/office/2017/06/relationships/rdRichValueStructure" Target="richData/rdrichvaluestructure.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0/relationships/richValueRel" Target="richData/richValueRel.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microsoft.com/office/2017/06/relationships/rdRichValueTypes" Target="richData/rdRichValueTypes.xml"/><Relationship Id="rId65"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24.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drawing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2036681-16D4-4A4B-85F1-C256590E4234}"/>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2036681-16D4-4A4B-85F1-C256590E4234}"/>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536F785-E07B-4B25-BB99-82CCD4F1F6EE}"/>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9536F785-E07B-4B25-BB99-82CCD4F1F6EE}"/>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556D252-5973-4B7F-93F4-61E06E40F9C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B556D252-5973-4B7F-93F4-61E06E40F9C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1D5C4FC-0D80-4A50-82AE-0B8CF6F3AB35}"/>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91D5C4FC-0D80-4A50-82AE-0B8CF6F3AB35}"/>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5A84C85-5F37-4D75-912E-916DB4D1ADF7}"/>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65A84C85-5F37-4D75-912E-916DB4D1ADF7}"/>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D396AEE-6480-435F-AC65-9D6CDE82C486}"/>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8D396AEE-6480-435F-AC65-9D6CDE82C486}"/>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EAEC9860-1F68-4D41-B821-61A48B18C8BA}"/>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EAEC9860-1F68-4D41-B821-61A48B18C8BA}"/>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F24F4AB-C796-437E-AFDD-B8645C3A24EC}"/>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F24F4AB-C796-437E-AFDD-B8645C3A24EC}"/>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11036E7-61E9-4316-B1AA-2F0485955651}"/>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B11036E7-61E9-4316-B1AA-2F0485955651}"/>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D2663D7-69F1-470D-8E9B-2EF8D680A4F7}"/>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FD2663D7-69F1-470D-8E9B-2EF8D680A4F7}"/>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00356AD-26D1-48ED-954C-1F5B6AA52F54}"/>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00356AD-26D1-48ED-954C-1F5B6AA52F54}"/>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955884A-F84A-4E7F-817C-336CF6D9733D}"/>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955884A-F84A-4E7F-817C-336CF6D9733D}"/>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0C9D38C-C620-4C13-8B49-A282D0D0767D}"/>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50C9D38C-C620-4C13-8B49-A282D0D0767D}"/>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B818227-59EB-461B-948B-16477155D960}"/>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B818227-59EB-461B-948B-16477155D960}"/>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F1507A6-F6E8-4FF3-A22E-475D52D38D59}"/>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BF1507A6-F6E8-4FF3-A22E-475D52D38D59}"/>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B5D1EC3-2B86-49C8-9CFA-D532C333C47B}"/>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AB5D1EC3-2B86-49C8-9CFA-D532C333C47B}"/>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B03878E-E65F-45A7-8590-39F111EB5D2D}"/>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B03878E-E65F-45A7-8590-39F111EB5D2D}"/>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4D23772-0A4E-4BB1-B141-5CD52A5D4FEE}"/>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4D23772-0A4E-4BB1-B141-5CD52A5D4FEE}"/>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191B9E9-6B97-4691-8D64-A8E49224E9B0}"/>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2191B9E9-6B97-4691-8D64-A8E49224E9B0}"/>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8A596CD-9447-434B-883B-8F6FA49E96DC}"/>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8A596CD-9447-434B-883B-8F6FA49E96DC}"/>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𝐸_𝑁2𝑂=∑2_𝑝▒(𝑀_𝑝×𝐸𝐹_𝑁𝑖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EB48975-03F4-45D5-AAEF-E001F2C621C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DEB48975-03F4-45D5-AAEF-E001F2C621C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4BF96E4-C8D6-4542-A42B-1E321642293D}"/>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14BF96E4-C8D6-4542-A42B-1E321642293D}"/>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92937D5-B912-4328-A36E-F5B3BC95C269}"/>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B92937D5-B912-4328-A36E-F5B3BC95C269}"/>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360A0CE-E884-41F4-AAC5-CE25CC9A8775}"/>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3360A0CE-E884-41F4-AAC5-CE25CC9A8775}"/>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82AF9B2-3F14-4607-9D84-5E10E246814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E82AF9B2-3F14-4607-9D84-5E10E246814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D29975F-8D13-4A5A-AAB1-D91BBC1CC3AD}"/>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D29975F-8D13-4A5A-AAB1-D91BBC1CC3AD}"/>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31E12B5-F8F1-490E-A050-7856ECB62664}"/>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31E12B5-F8F1-490E-A050-7856ECB62664}"/>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8BB9116-2D9C-40E7-8E2C-974027D0754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18BB9116-2D9C-40E7-8E2C-974027D0754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290CAFC-931C-44FD-A2DE-D065FAC290CB}"/>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A290CAFC-931C-44FD-A2DE-D065FAC290CB}"/>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260D5B1-FAF2-4F2A-89A4-74D17A672156}"/>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7260D5B1-FAF2-4F2A-89A4-74D17A672156}"/>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152B431-56DA-4BC0-91DE-ECABFAC6E229}"/>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152B431-56DA-4BC0-91DE-ECABFAC6E229}"/>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CD9E977-8B8A-47E4-8389-2FF8415E7C74}"/>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3CD9E977-8B8A-47E4-8389-2FF8415E7C74}"/>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E35FCA4-C725-4691-B079-0A8C7B66DE34}"/>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EE35FCA4-C725-4691-B079-0A8C7B66DE34}"/>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2853254-37BE-4FF0-B6B8-BC1F29C38CB5}"/>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2853254-37BE-4FF0-B6B8-BC1F29C38CB5}"/>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𝐸=∑2_𝑐▒∑2_𝑜▒(𝑁_𝑐𝑜×𝑊_𝑐𝑜×𝐸𝐹_𝑐𝑜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E681DA6-49CE-4788-9AB7-11286AFFCF85}"/>
                </a:ext>
              </a:extLst>
            </xdr:cNvPr>
            <xdr:cNvSpPr txBox="1"/>
          </xdr:nvSpPr>
          <xdr:spPr>
            <a:xfrm>
              <a:off x="3081712" y="2496027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EE681DA6-49CE-4788-9AB7-11286AFFCF85}"/>
                </a:ext>
              </a:extLst>
            </xdr:cNvPr>
            <xdr:cNvSpPr txBox="1"/>
          </xdr:nvSpPr>
          <xdr:spPr>
            <a:xfrm>
              <a:off x="3081712" y="2496027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FBD15E-C459-4283-9D40-F9B91EDAF02F}"/>
                </a:ext>
              </a:extLst>
            </xdr:cNvPr>
            <xdr:cNvSpPr txBox="1"/>
          </xdr:nvSpPr>
          <xdr:spPr>
            <a:xfrm>
              <a:off x="3081712" y="3759042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31FBD15E-C459-4283-9D40-F9B91EDAF02F}"/>
                </a:ext>
              </a:extLst>
            </xdr:cNvPr>
            <xdr:cNvSpPr txBox="1"/>
          </xdr:nvSpPr>
          <xdr:spPr>
            <a:xfrm>
              <a:off x="3081712" y="3759042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2EC99A7-1A54-4D32-9942-6E65E5CA2326}"/>
                </a:ext>
              </a:extLst>
            </xdr:cNvPr>
            <xdr:cNvSpPr txBox="1"/>
          </xdr:nvSpPr>
          <xdr:spPr>
            <a:xfrm>
              <a:off x="3081712" y="4675347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02EC99A7-1A54-4D32-9942-6E65E5CA2326}"/>
                </a:ext>
              </a:extLst>
            </xdr:cNvPr>
            <xdr:cNvSpPr txBox="1"/>
          </xdr:nvSpPr>
          <xdr:spPr>
            <a:xfrm>
              <a:off x="3081712" y="4675347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CEA94E4-0CD4-434C-BF81-0F93DE51D162}"/>
                </a:ext>
              </a:extLst>
            </xdr:cNvPr>
            <xdr:cNvSpPr txBox="1"/>
          </xdr:nvSpPr>
          <xdr:spPr>
            <a:xfrm>
              <a:off x="7371981" y="5045750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6" name="TextBox 5">
              <a:extLst>
                <a:ext uri="{FF2B5EF4-FFF2-40B4-BE49-F238E27FC236}">
                  <a16:creationId xmlns:a16="http://schemas.microsoft.com/office/drawing/2014/main" id="{3CEA94E4-0CD4-434C-BF81-0F93DE51D162}"/>
                </a:ext>
              </a:extLst>
            </xdr:cNvPr>
            <xdr:cNvSpPr txBox="1"/>
          </xdr:nvSpPr>
          <xdr:spPr>
            <a:xfrm>
              <a:off x="7371981" y="5045750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𝐸=∑2_𝑓▒∑2_𝑐▒∑2_𝑗▒((𝐹_𝑐𝑓×𝑇𝑀_𝑗𝑓)/100×𝐸𝐹_𝑐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C7FE4D8-9A65-4F64-9C3B-A3E4908555AC}"/>
                </a:ext>
              </a:extLst>
            </xdr:cNvPr>
            <xdr:cNvSpPr txBox="1"/>
          </xdr:nvSpPr>
          <xdr:spPr>
            <a:xfrm>
              <a:off x="3040545" y="504667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DC7FE4D8-9A65-4F64-9C3B-A3E4908555AC}"/>
                </a:ext>
              </a:extLst>
            </xdr:cNvPr>
            <xdr:cNvSpPr txBox="1"/>
          </xdr:nvSpPr>
          <xdr:spPr>
            <a:xfrm>
              <a:off x="3040545" y="504667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𝐸=∑2_𝑓▒∑2_𝑐▒∑2_𝑗▒(𝐹_𝑐𝑓×𝑇𝑀_𝑗𝑓×𝐸𝐹_𝑐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5CDFF978-D97E-43AF-91C5-39F9613FC41A}"/>
                </a:ext>
              </a:extLst>
            </xdr:cNvPr>
            <xdr:cNvSpPr txBox="1"/>
          </xdr:nvSpPr>
          <xdr:spPr>
            <a:xfrm>
              <a:off x="3057525" y="4333875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5CDFF978-D97E-43AF-91C5-39F9613FC41A}"/>
                </a:ext>
              </a:extLst>
            </xdr:cNvPr>
            <xdr:cNvSpPr txBox="1"/>
          </xdr:nvSpPr>
          <xdr:spPr>
            <a:xfrm>
              <a:off x="3057525" y="4333875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𝐸𝐹_𝑓=∑2_𝑐▒(𝐹_𝑐𝑓×𝐸𝐹_𝑐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189DB031-1290-41EF-A3B8-49B3F0854BF2}"/>
                </a:ext>
              </a:extLst>
            </xdr:cNvPr>
            <xdr:cNvSpPr txBox="1"/>
          </xdr:nvSpPr>
          <xdr:spPr>
            <a:xfrm>
              <a:off x="3057526" y="6418057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189DB031-1290-41EF-A3B8-49B3F0854BF2}"/>
                </a:ext>
              </a:extLst>
            </xdr:cNvPr>
            <xdr:cNvSpPr txBox="1"/>
          </xdr:nvSpPr>
          <xdr:spPr>
            <a:xfrm>
              <a:off x="3057526" y="6418057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30F81E-63B7-4CE1-AC4B-E46D45119317}"/>
                </a:ext>
              </a:extLst>
            </xdr:cNvPr>
            <xdr:cNvSpPr txBox="1"/>
          </xdr:nvSpPr>
          <xdr:spPr>
            <a:xfrm>
              <a:off x="3068731" y="710396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AF30F81E-63B7-4CE1-AC4B-E46D45119317}"/>
                </a:ext>
              </a:extLst>
            </xdr:cNvPr>
            <xdr:cNvSpPr txBox="1"/>
          </xdr:nvSpPr>
          <xdr:spPr>
            <a:xfrm>
              <a:off x="3068731" y="710396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DB4A7924-2E17-4168-8943-4AECB677073A}"/>
                </a:ext>
              </a:extLst>
            </xdr:cNvPr>
            <xdr:cNvSpPr txBox="1"/>
          </xdr:nvSpPr>
          <xdr:spPr>
            <a:xfrm>
              <a:off x="3135966" y="77961005"/>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DB4A7924-2E17-4168-8943-4AECB677073A}"/>
                </a:ext>
              </a:extLst>
            </xdr:cNvPr>
            <xdr:cNvSpPr txBox="1"/>
          </xdr:nvSpPr>
          <xdr:spPr>
            <a:xfrm>
              <a:off x="3135966" y="77961005"/>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63CCCEE2-1C99-44D1-9262-DCA0E06F1743}"/>
                </a:ext>
              </a:extLst>
            </xdr:cNvPr>
            <xdr:cNvSpPr txBox="1"/>
          </xdr:nvSpPr>
          <xdr:spPr>
            <a:xfrm>
              <a:off x="3102349" y="84616177"/>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2" name="TextBox 11">
              <a:extLst>
                <a:ext uri="{FF2B5EF4-FFF2-40B4-BE49-F238E27FC236}">
                  <a16:creationId xmlns:a16="http://schemas.microsoft.com/office/drawing/2014/main" id="{63CCCEE2-1C99-44D1-9262-DCA0E06F1743}"/>
                </a:ext>
              </a:extLst>
            </xdr:cNvPr>
            <xdr:cNvSpPr txBox="1"/>
          </xdr:nvSpPr>
          <xdr:spPr>
            <a:xfrm>
              <a:off x="3102349" y="84616177"/>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85CCBD9-8056-40C6-B914-8C22FACF126A}"/>
                </a:ext>
              </a:extLst>
            </xdr:cNvPr>
            <xdr:cNvSpPr txBox="1"/>
          </xdr:nvSpPr>
          <xdr:spPr>
            <a:xfrm>
              <a:off x="3079936" y="90856734"/>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3" name="TextBox 12">
              <a:extLst>
                <a:ext uri="{FF2B5EF4-FFF2-40B4-BE49-F238E27FC236}">
                  <a16:creationId xmlns:a16="http://schemas.microsoft.com/office/drawing/2014/main" id="{A85CCBD9-8056-40C6-B914-8C22FACF126A}"/>
                </a:ext>
              </a:extLst>
            </xdr:cNvPr>
            <xdr:cNvSpPr txBox="1"/>
          </xdr:nvSpPr>
          <xdr:spPr>
            <a:xfrm>
              <a:off x="3079936" y="90856734"/>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DCD4B58C-F617-4D08-9473-7F50A6AF9B39}"/>
                </a:ext>
              </a:extLst>
            </xdr:cNvPr>
            <xdr:cNvSpPr txBox="1"/>
          </xdr:nvSpPr>
          <xdr:spPr>
            <a:xfrm>
              <a:off x="3067050" y="976502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14" name="TextBox 13">
              <a:extLst>
                <a:ext uri="{FF2B5EF4-FFF2-40B4-BE49-F238E27FC236}">
                  <a16:creationId xmlns:a16="http://schemas.microsoft.com/office/drawing/2014/main" id="{DCD4B58C-F617-4D08-9473-7F50A6AF9B39}"/>
                </a:ext>
              </a:extLst>
            </xdr:cNvPr>
            <xdr:cNvSpPr txBox="1"/>
          </xdr:nvSpPr>
          <xdr:spPr>
            <a:xfrm>
              <a:off x="3067050" y="976502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D3CF0170-F10D-4875-A5D8-326B8F27DC20}"/>
                </a:ext>
              </a:extLst>
            </xdr:cNvPr>
            <xdr:cNvSpPr txBox="1"/>
          </xdr:nvSpPr>
          <xdr:spPr>
            <a:xfrm>
              <a:off x="3068732" y="1164985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15" name="TextBox 14">
              <a:extLst>
                <a:ext uri="{FF2B5EF4-FFF2-40B4-BE49-F238E27FC236}">
                  <a16:creationId xmlns:a16="http://schemas.microsoft.com/office/drawing/2014/main" id="{D3CF0170-F10D-4875-A5D8-326B8F27DC20}"/>
                </a:ext>
              </a:extLst>
            </xdr:cNvPr>
            <xdr:cNvSpPr txBox="1"/>
          </xdr:nvSpPr>
          <xdr:spPr>
            <a:xfrm>
              <a:off x="3068732" y="1164985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𝐸=∑2_𝑞▒𝐸_(𝑊𝑇𝑇,𝑡𝑟𝑎𝑛𝑠,𝑞) +∑2_𝑞▒𝐸_(𝑊𝑇𝑇,𝑆𝐶,𝑞)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F0C288CB-CC63-4BA2-B2F5-E626BD04B1EA}"/>
                </a:ext>
              </a:extLst>
            </xdr:cNvPr>
            <xdr:cNvSpPr txBox="1"/>
          </xdr:nvSpPr>
          <xdr:spPr>
            <a:xfrm>
              <a:off x="3068731" y="119628957"/>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F0C288CB-CC63-4BA2-B2F5-E626BD04B1EA}"/>
                </a:ext>
              </a:extLst>
            </xdr:cNvPr>
            <xdr:cNvSpPr txBox="1"/>
          </xdr:nvSpPr>
          <xdr:spPr>
            <a:xfrm>
              <a:off x="3068731" y="119628957"/>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497C23EB-C62E-4FDE-A245-56ED3127FB64}"/>
                </a:ext>
              </a:extLst>
            </xdr:cNvPr>
            <xdr:cNvSpPr txBox="1"/>
          </xdr:nvSpPr>
          <xdr:spPr>
            <a:xfrm>
              <a:off x="9843118" y="123263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7" name="TextBox 16">
              <a:extLst>
                <a:ext uri="{FF2B5EF4-FFF2-40B4-BE49-F238E27FC236}">
                  <a16:creationId xmlns:a16="http://schemas.microsoft.com/office/drawing/2014/main" id="{497C23EB-C62E-4FDE-A245-56ED3127FB64}"/>
                </a:ext>
              </a:extLst>
            </xdr:cNvPr>
            <xdr:cNvSpPr txBox="1"/>
          </xdr:nvSpPr>
          <xdr:spPr>
            <a:xfrm>
              <a:off x="9843118" y="123263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F3AABD9-644A-429C-9854-83AA7FE20A9F}"/>
                </a:ext>
              </a:extLst>
            </xdr:cNvPr>
            <xdr:cNvSpPr txBox="1"/>
          </xdr:nvSpPr>
          <xdr:spPr>
            <a:xfrm>
              <a:off x="3043826" y="123283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F3AABD9-644A-429C-9854-83AA7FE20A9F}"/>
                </a:ext>
              </a:extLst>
            </xdr:cNvPr>
            <xdr:cNvSpPr txBox="1"/>
          </xdr:nvSpPr>
          <xdr:spPr>
            <a:xfrm>
              <a:off x="3043826" y="123283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C54E69DD-1C7A-459C-A5AE-DCAB61482100}"/>
                </a:ext>
              </a:extLst>
            </xdr:cNvPr>
            <xdr:cNvSpPr txBox="1"/>
          </xdr:nvSpPr>
          <xdr:spPr>
            <a:xfrm>
              <a:off x="3030070" y="127568324"/>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19" name="TextBox 18">
              <a:extLst>
                <a:ext uri="{FF2B5EF4-FFF2-40B4-BE49-F238E27FC236}">
                  <a16:creationId xmlns:a16="http://schemas.microsoft.com/office/drawing/2014/main" id="{C54E69DD-1C7A-459C-A5AE-DCAB61482100}"/>
                </a:ext>
              </a:extLst>
            </xdr:cNvPr>
            <xdr:cNvSpPr txBox="1"/>
          </xdr:nvSpPr>
          <xdr:spPr>
            <a:xfrm>
              <a:off x="3030070" y="127568324"/>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A9D45815-16FF-4C87-9B6D-094B234770EC}"/>
                </a:ext>
              </a:extLst>
            </xdr:cNvPr>
            <xdr:cNvSpPr txBox="1"/>
          </xdr:nvSpPr>
          <xdr:spPr>
            <a:xfrm>
              <a:off x="3068732" y="13453446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A9D45815-16FF-4C87-9B6D-094B234770EC}"/>
                </a:ext>
              </a:extLst>
            </xdr:cNvPr>
            <xdr:cNvSpPr txBox="1"/>
          </xdr:nvSpPr>
          <xdr:spPr>
            <a:xfrm>
              <a:off x="3068732" y="13453446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6310382-423C-496D-9DF7-42095C17CBF9}"/>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6310382-423C-496D-9DF7-42095C17CBF9}"/>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B5B5CCF-876D-4CDF-986C-E9578844F2B2}"/>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B5B5CCF-876D-4CDF-986C-E9578844F2B2}"/>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4227FDC-3477-4A9A-A55D-52DA0778D786}"/>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94227FDC-3477-4A9A-A55D-52DA0778D786}"/>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C8D50B-1CE1-4F51-AFF2-FE43FE4BB28A}"/>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52C8D50B-1CE1-4F51-AFF2-FE43FE4BB28A}"/>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2651252-B6CD-4C20-8D77-D4C3DB99E80D}"/>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72651252-B6CD-4C20-8D77-D4C3DB99E80D}"/>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8DAFF8F-EE14-4E6F-81A2-24563EC204C2}"/>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98DAFF8F-EE14-4E6F-81A2-24563EC204C2}"/>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9A3F21ED-3154-4640-B86E-C665B56B0E06}"/>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9A3F21ED-3154-4640-B86E-C665B56B0E06}"/>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D5BD7F2-B53D-47AA-A0B5-CA06EC2441E0}"/>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4D5BD7F2-B53D-47AA-A0B5-CA06EC2441E0}"/>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DFC9E902-0615-46D6-9700-815EDA8B2C4C}"/>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DFC9E902-0615-46D6-9700-815EDA8B2C4C}"/>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36258379-F259-4554-833D-46B0AD3B2CFF}"/>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36258379-F259-4554-833D-46B0AD3B2CFF}"/>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C774830-B460-4636-BB29-FC140790F982}"/>
                </a:ext>
              </a:extLst>
            </xdr:cNvPr>
            <xdr:cNvSpPr txBox="1"/>
          </xdr:nvSpPr>
          <xdr:spPr>
            <a:xfrm>
              <a:off x="2690812" y="2994183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5C774830-B460-4636-BB29-FC140790F982}"/>
                </a:ext>
              </a:extLst>
            </xdr:cNvPr>
            <xdr:cNvSpPr txBox="1"/>
          </xdr:nvSpPr>
          <xdr:spPr>
            <a:xfrm>
              <a:off x="2690812" y="2994183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BA4DE82-8FEA-410C-8E3A-04A5C14E9C02}"/>
                </a:ext>
              </a:extLst>
            </xdr:cNvPr>
            <xdr:cNvSpPr txBox="1"/>
          </xdr:nvSpPr>
          <xdr:spPr>
            <a:xfrm>
              <a:off x="2671762" y="212359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9BA4DE82-8FEA-410C-8E3A-04A5C14E9C02}"/>
                </a:ext>
              </a:extLst>
            </xdr:cNvPr>
            <xdr:cNvSpPr txBox="1"/>
          </xdr:nvSpPr>
          <xdr:spPr>
            <a:xfrm>
              <a:off x="2671762" y="212359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5C4E2C3-5832-460F-9B69-6873FB319FE4}"/>
                </a:ext>
              </a:extLst>
            </xdr:cNvPr>
            <xdr:cNvSpPr txBox="1"/>
          </xdr:nvSpPr>
          <xdr:spPr>
            <a:xfrm>
              <a:off x="2690812" y="140446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85C4E2C3-5832-460F-9B69-6873FB319FE4}"/>
                </a:ext>
              </a:extLst>
            </xdr:cNvPr>
            <xdr:cNvSpPr txBox="1"/>
          </xdr:nvSpPr>
          <xdr:spPr>
            <a:xfrm>
              <a:off x="2690812" y="140446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B70FC94-FCB3-4BC0-BE00-70C00BDA66B8}"/>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5" name="TextBox 4">
              <a:extLst>
                <a:ext uri="{FF2B5EF4-FFF2-40B4-BE49-F238E27FC236}">
                  <a16:creationId xmlns:a16="http://schemas.microsoft.com/office/drawing/2014/main" id="{4B70FC94-FCB3-4BC0-BE00-70C00BDA66B8}"/>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2D33EEA-1E83-4FD4-A60B-141C3227A89D}"/>
                </a:ext>
              </a:extLst>
            </xdr:cNvPr>
            <xdr:cNvSpPr txBox="1"/>
          </xdr:nvSpPr>
          <xdr:spPr>
            <a:xfrm>
              <a:off x="2690812" y="346852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6" name="TextBox 5">
              <a:extLst>
                <a:ext uri="{FF2B5EF4-FFF2-40B4-BE49-F238E27FC236}">
                  <a16:creationId xmlns:a16="http://schemas.microsoft.com/office/drawing/2014/main" id="{F2D33EEA-1E83-4FD4-A60B-141C3227A89D}"/>
                </a:ext>
              </a:extLst>
            </xdr:cNvPr>
            <xdr:cNvSpPr txBox="1"/>
          </xdr:nvSpPr>
          <xdr:spPr>
            <a:xfrm>
              <a:off x="2690812" y="346852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4E5CF353-5038-414B-B9E9-CC05725890CA}"/>
                </a:ext>
              </a:extLst>
            </xdr:cNvPr>
            <xdr:cNvSpPr txBox="1"/>
          </xdr:nvSpPr>
          <xdr:spPr>
            <a:xfrm>
              <a:off x="10425112" y="4635341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7" name="TextBox 6">
              <a:extLst>
                <a:ext uri="{FF2B5EF4-FFF2-40B4-BE49-F238E27FC236}">
                  <a16:creationId xmlns:a16="http://schemas.microsoft.com/office/drawing/2014/main" id="{4E5CF353-5038-414B-B9E9-CC05725890CA}"/>
                </a:ext>
              </a:extLst>
            </xdr:cNvPr>
            <xdr:cNvSpPr txBox="1"/>
          </xdr:nvSpPr>
          <xdr:spPr>
            <a:xfrm>
              <a:off x="10425112" y="4635341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E841A506-0483-4A78-ABF6-8EF8C6A5E091}"/>
                </a:ext>
              </a:extLst>
            </xdr:cNvPr>
            <xdr:cNvSpPr txBox="1"/>
          </xdr:nvSpPr>
          <xdr:spPr>
            <a:xfrm>
              <a:off x="2638425" y="463248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E841A506-0483-4A78-ABF6-8EF8C6A5E091}"/>
                </a:ext>
              </a:extLst>
            </xdr:cNvPr>
            <xdr:cNvSpPr txBox="1"/>
          </xdr:nvSpPr>
          <xdr:spPr>
            <a:xfrm>
              <a:off x="2638425" y="463248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E8C4DF33-BF95-4E2F-8320-66E76DB8186A}"/>
                </a:ext>
              </a:extLst>
            </xdr:cNvPr>
            <xdr:cNvSpPr txBox="1"/>
          </xdr:nvSpPr>
          <xdr:spPr>
            <a:xfrm>
              <a:off x="2681287" y="5279231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9" name="TextBox 8">
              <a:extLst>
                <a:ext uri="{FF2B5EF4-FFF2-40B4-BE49-F238E27FC236}">
                  <a16:creationId xmlns:a16="http://schemas.microsoft.com/office/drawing/2014/main" id="{E8C4DF33-BF95-4E2F-8320-66E76DB8186A}"/>
                </a:ext>
              </a:extLst>
            </xdr:cNvPr>
            <xdr:cNvSpPr txBox="1"/>
          </xdr:nvSpPr>
          <xdr:spPr>
            <a:xfrm>
              <a:off x="2681287" y="5279231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631A663-B2B4-4C75-A004-B073CFF7C5CD}"/>
                </a:ext>
              </a:extLst>
            </xdr:cNvPr>
            <xdr:cNvSpPr txBox="1"/>
          </xdr:nvSpPr>
          <xdr:spPr>
            <a:xfrm>
              <a:off x="2690812" y="6270783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2631A663-B2B4-4C75-A004-B073CFF7C5CD}"/>
                </a:ext>
              </a:extLst>
            </xdr:cNvPr>
            <xdr:cNvSpPr txBox="1"/>
          </xdr:nvSpPr>
          <xdr:spPr>
            <a:xfrm>
              <a:off x="2690812" y="6270783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4A9B9CDD-6B95-4BB7-95F1-8ADCDBA133FB}"/>
                </a:ext>
              </a:extLst>
            </xdr:cNvPr>
            <xdr:cNvSpPr txBox="1"/>
          </xdr:nvSpPr>
          <xdr:spPr>
            <a:xfrm>
              <a:off x="10872787" y="6268878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4A9B9CDD-6B95-4BB7-95F1-8ADCDBA133FB}"/>
                </a:ext>
              </a:extLst>
            </xdr:cNvPr>
            <xdr:cNvSpPr txBox="1"/>
          </xdr:nvSpPr>
          <xdr:spPr>
            <a:xfrm>
              <a:off x="10872787" y="6268878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3D52C8C-2FCE-472F-B434-0FFEF40F48F3}"/>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12" name="TextBox 11">
              <a:extLst>
                <a:ext uri="{FF2B5EF4-FFF2-40B4-BE49-F238E27FC236}">
                  <a16:creationId xmlns:a16="http://schemas.microsoft.com/office/drawing/2014/main" id="{33D52C8C-2FCE-472F-B434-0FFEF40F48F3}"/>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657DC08-0952-4ABA-B89E-C848E6D29FA7}"/>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0657DC08-0952-4ABA-B89E-C848E6D29FA7}"/>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4EE1C04-BA39-4AF5-B340-43AB09EDA310}"/>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94EE1C04-BA39-4AF5-B340-43AB09EDA310}"/>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7D6EE6A-1235-47DE-BD6F-628B4A2F3348}"/>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E7D6EE6A-1235-47DE-BD6F-628B4A2F3348}"/>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717263-A666-4A20-86F9-389A7F87F8D3}"/>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B2717263-A666-4A20-86F9-389A7F87F8D3}"/>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05D4BE-AC00-4C42-B5B0-DE0A588FD94D}"/>
                </a:ext>
              </a:extLst>
            </xdr:cNvPr>
            <xdr:cNvSpPr txBox="1"/>
          </xdr:nvSpPr>
          <xdr:spPr>
            <a:xfrm>
              <a:off x="2705100" y="3294221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6" name="TextBox 5">
              <a:extLst>
                <a:ext uri="{FF2B5EF4-FFF2-40B4-BE49-F238E27FC236}">
                  <a16:creationId xmlns:a16="http://schemas.microsoft.com/office/drawing/2014/main" id="{C905D4BE-AC00-4C42-B5B0-DE0A588FD94D}"/>
                </a:ext>
              </a:extLst>
            </xdr:cNvPr>
            <xdr:cNvSpPr txBox="1"/>
          </xdr:nvSpPr>
          <xdr:spPr>
            <a:xfrm>
              <a:off x="2705100" y="3294221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62DF8E95-8184-4D9F-AE20-10818B2D6EBD}"/>
                </a:ext>
              </a:extLst>
            </xdr:cNvPr>
            <xdr:cNvSpPr txBox="1"/>
          </xdr:nvSpPr>
          <xdr:spPr>
            <a:xfrm>
              <a:off x="8505825" y="381428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7" name="TextBox 6">
              <a:extLst>
                <a:ext uri="{FF2B5EF4-FFF2-40B4-BE49-F238E27FC236}">
                  <a16:creationId xmlns:a16="http://schemas.microsoft.com/office/drawing/2014/main" id="{62DF8E95-8184-4D9F-AE20-10818B2D6EBD}"/>
                </a:ext>
              </a:extLst>
            </xdr:cNvPr>
            <xdr:cNvSpPr txBox="1"/>
          </xdr:nvSpPr>
          <xdr:spPr>
            <a:xfrm>
              <a:off x="8505825" y="381428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23A0DBC-3A73-4873-8ECD-4B524BC6E045}"/>
                </a:ext>
              </a:extLst>
            </xdr:cNvPr>
            <xdr:cNvSpPr txBox="1"/>
          </xdr:nvSpPr>
          <xdr:spPr>
            <a:xfrm>
              <a:off x="2705100" y="381619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C23A0DBC-3A73-4873-8ECD-4B524BC6E045}"/>
                </a:ext>
              </a:extLst>
            </xdr:cNvPr>
            <xdr:cNvSpPr txBox="1"/>
          </xdr:nvSpPr>
          <xdr:spPr>
            <a:xfrm>
              <a:off x="2705100" y="381619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11088610-DEE6-443A-B781-E6C38185CDAF}"/>
                </a:ext>
              </a:extLst>
            </xdr:cNvPr>
            <xdr:cNvSpPr txBox="1"/>
          </xdr:nvSpPr>
          <xdr:spPr>
            <a:xfrm>
              <a:off x="8258175" y="4558188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9" name="TextBox 8">
              <a:extLst>
                <a:ext uri="{FF2B5EF4-FFF2-40B4-BE49-F238E27FC236}">
                  <a16:creationId xmlns:a16="http://schemas.microsoft.com/office/drawing/2014/main" id="{11088610-DEE6-443A-B781-E6C38185CDAF}"/>
                </a:ext>
              </a:extLst>
            </xdr:cNvPr>
            <xdr:cNvSpPr txBox="1"/>
          </xdr:nvSpPr>
          <xdr:spPr>
            <a:xfrm>
              <a:off x="8258175" y="4558188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75D95CF9-DA15-47C5-8A3B-B6BDE215A690}"/>
                </a:ext>
              </a:extLst>
            </xdr:cNvPr>
            <xdr:cNvSpPr txBox="1"/>
          </xdr:nvSpPr>
          <xdr:spPr>
            <a:xfrm>
              <a:off x="2676525" y="4559141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75D95CF9-DA15-47C5-8A3B-B6BDE215A690}"/>
                </a:ext>
              </a:extLst>
            </xdr:cNvPr>
            <xdr:cNvSpPr txBox="1"/>
          </xdr:nvSpPr>
          <xdr:spPr>
            <a:xfrm>
              <a:off x="2676525" y="4559141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B011065D-5438-47F5-A484-7CF51DCFBD10}"/>
                </a:ext>
              </a:extLst>
            </xdr:cNvPr>
            <xdr:cNvSpPr txBox="1"/>
          </xdr:nvSpPr>
          <xdr:spPr>
            <a:xfrm>
              <a:off x="2703857" y="544871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11" name="TextBox 10">
              <a:extLst>
                <a:ext uri="{FF2B5EF4-FFF2-40B4-BE49-F238E27FC236}">
                  <a16:creationId xmlns:a16="http://schemas.microsoft.com/office/drawing/2014/main" id="{B011065D-5438-47F5-A484-7CF51DCFBD10}"/>
                </a:ext>
              </a:extLst>
            </xdr:cNvPr>
            <xdr:cNvSpPr txBox="1"/>
          </xdr:nvSpPr>
          <xdr:spPr>
            <a:xfrm>
              <a:off x="2703857" y="544871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62DD35F9-53CF-4044-8175-C1884EED3461}"/>
                </a:ext>
              </a:extLst>
            </xdr:cNvPr>
            <xdr:cNvSpPr txBox="1"/>
          </xdr:nvSpPr>
          <xdr:spPr>
            <a:xfrm>
              <a:off x="2687291" y="63658473"/>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2" name="TextBox 11">
              <a:extLst>
                <a:ext uri="{FF2B5EF4-FFF2-40B4-BE49-F238E27FC236}">
                  <a16:creationId xmlns:a16="http://schemas.microsoft.com/office/drawing/2014/main" id="{62DD35F9-53CF-4044-8175-C1884EED3461}"/>
                </a:ext>
              </a:extLst>
            </xdr:cNvPr>
            <xdr:cNvSpPr txBox="1"/>
          </xdr:nvSpPr>
          <xdr:spPr>
            <a:xfrm>
              <a:off x="2687291" y="63658473"/>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4E313AA-0F92-4DE1-93B0-A8E89A89F01C}"/>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14E313AA-0F92-4DE1-93B0-A8E89A89F01C}"/>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𝑀𝑁_𝐴𝑇𝑀𝑂𝑆=∑2_𝑗▒∑2_𝑚▒(𝑀𝑁_𝑗𝑚×𝐹𝑟𝑎𝑐𝐺𝐴𝑆𝑀_𝑚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A528D2A-E2EC-423F-9EB0-7488D26A571F}"/>
                </a:ext>
              </a:extLst>
            </xdr:cNvPr>
            <xdr:cNvSpPr txBox="1"/>
          </xdr:nvSpPr>
          <xdr:spPr>
            <a:xfrm>
              <a:off x="2671762" y="138826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8A528D2A-E2EC-423F-9EB0-7488D26A571F}"/>
                </a:ext>
              </a:extLst>
            </xdr:cNvPr>
            <xdr:cNvSpPr txBox="1"/>
          </xdr:nvSpPr>
          <xdr:spPr>
            <a:xfrm>
              <a:off x="2671762" y="138826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68AB28B-66F8-4625-808F-D79054974B31}"/>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68AB28B-66F8-4625-808F-D79054974B31}"/>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F1E0DD-12AB-41C1-BEEE-9D80C4CC1693}"/>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4F1E0DD-12AB-41C1-BEEE-9D80C4CC1693}"/>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𝐸_(𝑁2𝑂,𝑙𝑒𝑎𝑐ℎ)=∑2_𝑗▒∑2_(𝑚=1−13)▒(𝑀𝑁𝐿𝑒𝑎𝑐ℎ_𝑗𝑚×𝐸𝐹_𝑙𝑒𝑎𝑐ℎ×𝐶_𝑁2𝑂 ) ×10^(−3)</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4293790-7472-4A98-9642-5D699BBED9C8}"/>
                </a:ext>
              </a:extLst>
            </xdr:cNvPr>
            <xdr:cNvSpPr txBox="1"/>
          </xdr:nvSpPr>
          <xdr:spPr>
            <a:xfrm>
              <a:off x="2657475" y="1960189"/>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4293790-7472-4A98-9642-5D699BBED9C8}"/>
                </a:ext>
              </a:extLst>
            </xdr:cNvPr>
            <xdr:cNvSpPr txBox="1"/>
          </xdr:nvSpPr>
          <xdr:spPr>
            <a:xfrm>
              <a:off x="2657475" y="1960189"/>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44C89C8-9F99-4312-A5FC-676CEC9A603B}"/>
                </a:ext>
              </a:extLst>
            </xdr:cNvPr>
            <xdr:cNvSpPr txBox="1"/>
          </xdr:nvSpPr>
          <xdr:spPr>
            <a:xfrm>
              <a:off x="2689970" y="22778196"/>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244C89C8-9F99-4312-A5FC-676CEC9A603B}"/>
                </a:ext>
              </a:extLst>
            </xdr:cNvPr>
            <xdr:cNvSpPr txBox="1"/>
          </xdr:nvSpPr>
          <xdr:spPr>
            <a:xfrm>
              <a:off x="2689970" y="22778196"/>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8771FC4-3691-409B-A1D5-5959DCCEF7D7}"/>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8771FC4-3691-409B-A1D5-5959DCCEF7D7}"/>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1D32F36-70A4-4579-BB8B-60CC10C8EC30}"/>
                </a:ext>
              </a:extLst>
            </xdr:cNvPr>
            <xdr:cNvSpPr txBox="1"/>
          </xdr:nvSpPr>
          <xdr:spPr>
            <a:xfrm>
              <a:off x="2703857" y="19853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E1D32F36-70A4-4579-BB8B-60CC10C8EC30}"/>
                </a:ext>
              </a:extLst>
            </xdr:cNvPr>
            <xdr:cNvSpPr txBox="1"/>
          </xdr:nvSpPr>
          <xdr:spPr>
            <a:xfrm>
              <a:off x="2703857" y="19853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5DDADA3-0CF1-4158-BFDF-8B4691B314C8}"/>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55DDADA3-0CF1-4158-BFDF-8B4691B314C8}"/>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𝑀_(𝑣𝑜𝑙,𝑚=14)=∑2_𝑗▒(𝑀𝑁_(𝑗𝑚=14)×𝐹𝑟𝑎𝑐𝐺𝐴𝑆𝑀𝑠𝑜𝑖𝑙)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35E4034-293E-4DFE-B7E8-8164D8CE3BBE}"/>
                </a:ext>
              </a:extLst>
            </xdr:cNvPr>
            <xdr:cNvSpPr txBox="1"/>
          </xdr:nvSpPr>
          <xdr:spPr>
            <a:xfrm>
              <a:off x="2681287" y="81772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35E4034-293E-4DFE-B7E8-8164D8CE3BBE}"/>
                </a:ext>
              </a:extLst>
            </xdr:cNvPr>
            <xdr:cNvSpPr txBox="1"/>
          </xdr:nvSpPr>
          <xdr:spPr>
            <a:xfrm>
              <a:off x="2681287" y="81772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55FB084-52EA-44C8-9365-42604FEF10D8}"/>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55FB084-52EA-44C8-9365-42604FEF10D8}"/>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𝑀_(𝑙𝑒𝑎𝑐ℎ,𝑚=14)=∑2_𝑗▒(𝑀𝑁_(𝑗𝑚=14)×𝐹𝑟𝑎𝑐𝑊𝑒𝑡×𝐹𝑟𝑎𝑐𝐿𝐸𝐴𝐶𝐻) </a:t>
              </a:r>
              <a:endParaRPr lang="en-AU" sz="1100"/>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E490DA8-06A1-4968-A6EF-E22FD51D61EA}"/>
                </a:ext>
              </a:extLst>
            </xdr:cNvPr>
            <xdr:cNvSpPr txBox="1"/>
          </xdr:nvSpPr>
          <xdr:spPr>
            <a:xfrm>
              <a:off x="2695575" y="940593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6E490DA8-06A1-4968-A6EF-E22FD51D61EA}"/>
                </a:ext>
              </a:extLst>
            </xdr:cNvPr>
            <xdr:cNvSpPr txBox="1"/>
          </xdr:nvSpPr>
          <xdr:spPr>
            <a:xfrm>
              <a:off x="2695575" y="940593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drawings/drawing22.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C83B7A5-8A0B-4D85-B933-1C48D3776F04}"/>
                </a:ext>
              </a:extLst>
            </xdr:cNvPr>
            <xdr:cNvSpPr txBox="1"/>
          </xdr:nvSpPr>
          <xdr:spPr>
            <a:xfrm>
              <a:off x="2671762" y="2148363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5C83B7A5-8A0B-4D85-B933-1C48D3776F04}"/>
                </a:ext>
              </a:extLst>
            </xdr:cNvPr>
            <xdr:cNvSpPr txBox="1"/>
          </xdr:nvSpPr>
          <xdr:spPr>
            <a:xfrm>
              <a:off x="2671762" y="2148363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9FC1478-4ED5-41C6-8BEB-92D271140AC9}"/>
                </a:ext>
              </a:extLst>
            </xdr:cNvPr>
            <xdr:cNvSpPr txBox="1"/>
          </xdr:nvSpPr>
          <xdr:spPr>
            <a:xfrm>
              <a:off x="2709862" y="144637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79FC1478-4ED5-41C6-8BEB-92D271140AC9}"/>
                </a:ext>
              </a:extLst>
            </xdr:cNvPr>
            <xdr:cNvSpPr txBox="1"/>
          </xdr:nvSpPr>
          <xdr:spPr>
            <a:xfrm>
              <a:off x="2709862" y="144637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47DF791-1781-4EBF-BCEE-F12C0D30A33C}"/>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4" name="TextBox 3">
              <a:extLst>
                <a:ext uri="{FF2B5EF4-FFF2-40B4-BE49-F238E27FC236}">
                  <a16:creationId xmlns:a16="http://schemas.microsoft.com/office/drawing/2014/main" id="{947DF791-1781-4EBF-BCEE-F12C0D30A33C}"/>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1EDDC3F-67E5-4345-BA17-34A13196F7D6}"/>
                </a:ext>
              </a:extLst>
            </xdr:cNvPr>
            <xdr:cNvSpPr txBox="1"/>
          </xdr:nvSpPr>
          <xdr:spPr>
            <a:xfrm>
              <a:off x="2717987" y="30224505"/>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21EDDC3F-67E5-4345-BA17-34A13196F7D6}"/>
                </a:ext>
              </a:extLst>
            </xdr:cNvPr>
            <xdr:cNvSpPr txBox="1"/>
          </xdr:nvSpPr>
          <xdr:spPr>
            <a:xfrm>
              <a:off x="2717987" y="30224505"/>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AD5E201-F3DC-4DBE-9086-78B2F28A2E3C}"/>
                </a:ext>
              </a:extLst>
            </xdr:cNvPr>
            <xdr:cNvSpPr txBox="1"/>
          </xdr:nvSpPr>
          <xdr:spPr>
            <a:xfrm>
              <a:off x="2677547" y="3471942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5AD5E201-F3DC-4DBE-9086-78B2F28A2E3C}"/>
                </a:ext>
              </a:extLst>
            </xdr:cNvPr>
            <xdr:cNvSpPr txBox="1"/>
          </xdr:nvSpPr>
          <xdr:spPr>
            <a:xfrm>
              <a:off x="2677547" y="3471942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0DEE63B-A0BE-4F1A-A838-53286B17ABE3}"/>
                </a:ext>
              </a:extLst>
            </xdr:cNvPr>
            <xdr:cNvSpPr txBox="1"/>
          </xdr:nvSpPr>
          <xdr:spPr>
            <a:xfrm>
              <a:off x="2671976" y="3526370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D0DEE63B-A0BE-4F1A-A838-53286B17ABE3}"/>
                </a:ext>
              </a:extLst>
            </xdr:cNvPr>
            <xdr:cNvSpPr txBox="1"/>
          </xdr:nvSpPr>
          <xdr:spPr>
            <a:xfrm>
              <a:off x="2671976" y="3526370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E3998F0A-4A21-40DE-BE6A-BD8D363516C0}"/>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E3998F0A-4A21-40DE-BE6A-BD8D363516C0}"/>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23.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05AD54C-62BD-4A62-9CDD-3C882D0AD930}"/>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F05AD54C-62BD-4A62-9CDD-3C882D0AD930}"/>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E99DDD4-BF95-4DB0-8EC6-C6A45C65D4F1}"/>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E99DDD4-BF95-4DB0-8EC6-C6A45C65D4F1}"/>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24.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D54E7177-FC40-48E4-B0AB-D802D8243406}"/>
            </a:ext>
          </a:extLst>
        </xdr:cNvPr>
        <xdr:cNvSpPr txBox="1"/>
      </xdr:nvSpPr>
      <xdr:spPr>
        <a:xfrm>
          <a:off x="5238915" y="1973269"/>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
      <xdr:nvSpPr>
        <xdr:cNvPr id="3" name="TextBox 2">
          <a:hlinkClick xmlns:r="http://schemas.openxmlformats.org/officeDocument/2006/relationships" r:id="rId1"/>
          <a:extLst>
            <a:ext uri="{FF2B5EF4-FFF2-40B4-BE49-F238E27FC236}">
              <a16:creationId xmlns:a16="http://schemas.microsoft.com/office/drawing/2014/main" id="{4A789605-5AC8-4B31-A4CD-0DC6EB857F60}"/>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4" name="TextBox 3">
          <a:extLst>
            <a:ext uri="{FF2B5EF4-FFF2-40B4-BE49-F238E27FC236}">
              <a16:creationId xmlns:a16="http://schemas.microsoft.com/office/drawing/2014/main" id="{4489241F-CFD0-425A-B9D0-77ECD7316169}"/>
            </a:ext>
          </a:extLst>
        </xdr:cNvPr>
        <xdr:cNvSpPr txBox="1"/>
      </xdr:nvSpPr>
      <xdr:spPr>
        <a:xfrm>
          <a:off x="7889696" y="1973269"/>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
      <xdr:nvSpPr>
        <xdr:cNvPr id="5" name="TextBox 4">
          <a:hlinkClick xmlns:r="http://schemas.openxmlformats.org/officeDocument/2006/relationships" r:id="rId2"/>
          <a:extLst>
            <a:ext uri="{FF2B5EF4-FFF2-40B4-BE49-F238E27FC236}">
              <a16:creationId xmlns:a16="http://schemas.microsoft.com/office/drawing/2014/main" id="{80BEF81F-25EF-4E51-99B7-F8A466CFA210}"/>
            </a:ext>
          </a:extLst>
        </xdr:cNvPr>
        <xdr:cNvSpPr txBox="1"/>
      </xdr:nvSpPr>
      <xdr:spPr>
        <a:xfrm>
          <a:off x="8044791" y="254230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6" name="TextBox 5">
          <a:extLst>
            <a:ext uri="{FF2B5EF4-FFF2-40B4-BE49-F238E27FC236}">
              <a16:creationId xmlns:a16="http://schemas.microsoft.com/office/drawing/2014/main" id="{AE7AB2D0-8CF7-499A-8DFA-DAB068355DFB}"/>
            </a:ext>
          </a:extLst>
        </xdr:cNvPr>
        <xdr:cNvSpPr txBox="1"/>
      </xdr:nvSpPr>
      <xdr:spPr>
        <a:xfrm>
          <a:off x="10558538" y="1870036"/>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7" name="TextBox 6">
          <a:extLst>
            <a:ext uri="{FF2B5EF4-FFF2-40B4-BE49-F238E27FC236}">
              <a16:creationId xmlns:a16="http://schemas.microsoft.com/office/drawing/2014/main" id="{F945EF32-E20F-4CF0-AEE0-C0D565D29929}"/>
            </a:ext>
          </a:extLst>
        </xdr:cNvPr>
        <xdr:cNvSpPr txBox="1"/>
      </xdr:nvSpPr>
      <xdr:spPr>
        <a:xfrm>
          <a:off x="13183520"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8" name="TextBox 7">
          <a:extLst>
            <a:ext uri="{FF2B5EF4-FFF2-40B4-BE49-F238E27FC236}">
              <a16:creationId xmlns:a16="http://schemas.microsoft.com/office/drawing/2014/main" id="{8A013D2C-174B-4777-85CB-E10A8FDB93B2}"/>
            </a:ext>
          </a:extLst>
        </xdr:cNvPr>
        <xdr:cNvSpPr txBox="1"/>
      </xdr:nvSpPr>
      <xdr:spPr>
        <a:xfrm>
          <a:off x="15496897" y="1973269"/>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
      <xdr:nvSpPr>
        <xdr:cNvPr id="9" name="TextBox 8">
          <a:hlinkClick xmlns:r="http://schemas.openxmlformats.org/officeDocument/2006/relationships" r:id="rId3"/>
          <a:extLst>
            <a:ext uri="{FF2B5EF4-FFF2-40B4-BE49-F238E27FC236}">
              <a16:creationId xmlns:a16="http://schemas.microsoft.com/office/drawing/2014/main" id="{DB4C4854-E02E-4AFF-9064-0E3467F0889A}"/>
            </a:ext>
          </a:extLst>
        </xdr:cNvPr>
        <xdr:cNvSpPr txBox="1"/>
      </xdr:nvSpPr>
      <xdr:spPr>
        <a:xfrm>
          <a:off x="15161227" y="17208085"/>
          <a:ext cx="1511408"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10" name="TextBox 9">
          <a:extLst>
            <a:ext uri="{FF2B5EF4-FFF2-40B4-BE49-F238E27FC236}">
              <a16:creationId xmlns:a16="http://schemas.microsoft.com/office/drawing/2014/main" id="{711582CF-BE54-424C-BD96-FA28007AC5C2}"/>
            </a:ext>
          </a:extLst>
        </xdr:cNvPr>
        <xdr:cNvSpPr txBox="1"/>
      </xdr:nvSpPr>
      <xdr:spPr>
        <a:xfrm>
          <a:off x="17905969" y="1973269"/>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
      <xdr:nvSpPr>
        <xdr:cNvPr id="11" name="TextBox 10">
          <a:hlinkClick xmlns:r="http://schemas.openxmlformats.org/officeDocument/2006/relationships" r:id="rId4"/>
          <a:extLst>
            <a:ext uri="{FF2B5EF4-FFF2-40B4-BE49-F238E27FC236}">
              <a16:creationId xmlns:a16="http://schemas.microsoft.com/office/drawing/2014/main" id="{6FA0863B-EBFC-4ECF-8623-7A0B3689580F}"/>
            </a:ext>
          </a:extLst>
        </xdr:cNvPr>
        <xdr:cNvSpPr txBox="1"/>
      </xdr:nvSpPr>
      <xdr:spPr>
        <a:xfrm>
          <a:off x="18620014" y="13042817"/>
          <a:ext cx="1514722" cy="726127"/>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12" name="TextBox 11">
          <a:extLst>
            <a:ext uri="{FF2B5EF4-FFF2-40B4-BE49-F238E27FC236}">
              <a16:creationId xmlns:a16="http://schemas.microsoft.com/office/drawing/2014/main" id="{8983D1C5-A03B-4EA0-BB8E-3524CF3BC7A5}"/>
            </a:ext>
          </a:extLst>
        </xdr:cNvPr>
        <xdr:cNvSpPr txBox="1"/>
      </xdr:nvSpPr>
      <xdr:spPr>
        <a:xfrm>
          <a:off x="20215965" y="1982794"/>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13" name="TextBox 12">
          <a:extLst>
            <a:ext uri="{FF2B5EF4-FFF2-40B4-BE49-F238E27FC236}">
              <a16:creationId xmlns:a16="http://schemas.microsoft.com/office/drawing/2014/main" id="{2A3360A4-D7E6-4375-BF12-5D92AF46BF2C}"/>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
      <xdr:nvSpPr>
        <xdr:cNvPr id="14" name="TextBox 13">
          <a:hlinkClick xmlns:r="http://schemas.openxmlformats.org/officeDocument/2006/relationships" r:id="rId5"/>
          <a:extLst>
            <a:ext uri="{FF2B5EF4-FFF2-40B4-BE49-F238E27FC236}">
              <a16:creationId xmlns:a16="http://schemas.microsoft.com/office/drawing/2014/main" id="{022D4551-CB5E-473E-A7C4-76CE10019D27}"/>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
      <xdr:nvSpPr>
        <xdr:cNvPr id="15" name="TextBox 14">
          <a:hlinkClick xmlns:r="http://schemas.openxmlformats.org/officeDocument/2006/relationships" r:id="rId6"/>
          <a:extLst>
            <a:ext uri="{FF2B5EF4-FFF2-40B4-BE49-F238E27FC236}">
              <a16:creationId xmlns:a16="http://schemas.microsoft.com/office/drawing/2014/main" id="{536152E6-792D-49B0-9B89-679C1AAB61CB}"/>
            </a:ext>
          </a:extLst>
        </xdr:cNvPr>
        <xdr:cNvSpPr txBox="1"/>
      </xdr:nvSpPr>
      <xdr:spPr>
        <a:xfrm>
          <a:off x="2787360" y="5869131"/>
          <a:ext cx="1512000" cy="719999"/>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
      <xdr:nvSpPr>
        <xdr:cNvPr id="16" name="TextBox 15">
          <a:hlinkClick xmlns:r="http://schemas.openxmlformats.org/officeDocument/2006/relationships" r:id="rId7"/>
          <a:extLst>
            <a:ext uri="{FF2B5EF4-FFF2-40B4-BE49-F238E27FC236}">
              <a16:creationId xmlns:a16="http://schemas.microsoft.com/office/drawing/2014/main" id="{655CEDB6-82D7-4483-9A4A-6F11CC7D42D4}"/>
            </a:ext>
          </a:extLst>
        </xdr:cNvPr>
        <xdr:cNvSpPr txBox="1"/>
      </xdr:nvSpPr>
      <xdr:spPr>
        <a:xfrm>
          <a:off x="5216235" y="6721185"/>
          <a:ext cx="1512000"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F6767550-2E80-4234-8725-B68D0BB5C31B}"/>
            </a:ext>
          </a:extLst>
        </xdr:cNvPr>
        <xdr:cNvSpPr txBox="1"/>
      </xdr:nvSpPr>
      <xdr:spPr>
        <a:xfrm>
          <a:off x="5189021" y="11991231"/>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962C80A7-C047-41D4-A7E4-4C2FB9D46214}"/>
            </a:ext>
          </a:extLst>
        </xdr:cNvPr>
        <xdr:cNvSpPr txBox="1"/>
      </xdr:nvSpPr>
      <xdr:spPr>
        <a:xfrm>
          <a:off x="5208071" y="12879530"/>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
      <xdr:nvSpPr>
        <xdr:cNvPr id="19" name="TextBox 18">
          <a:hlinkClick xmlns:r="http://schemas.openxmlformats.org/officeDocument/2006/relationships" r:id="rId10"/>
          <a:extLst>
            <a:ext uri="{FF2B5EF4-FFF2-40B4-BE49-F238E27FC236}">
              <a16:creationId xmlns:a16="http://schemas.microsoft.com/office/drawing/2014/main" id="{71B81A39-93E0-4729-BE3F-6E1DD4EE7CA3}"/>
            </a:ext>
          </a:extLst>
        </xdr:cNvPr>
        <xdr:cNvSpPr txBox="1"/>
      </xdr:nvSpPr>
      <xdr:spPr>
        <a:xfrm>
          <a:off x="5208071" y="13796652"/>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
      <xdr:nvSpPr>
        <xdr:cNvPr id="20" name="TextBox 19">
          <a:hlinkClick xmlns:r="http://schemas.openxmlformats.org/officeDocument/2006/relationships" r:id="rId11"/>
          <a:extLst>
            <a:ext uri="{FF2B5EF4-FFF2-40B4-BE49-F238E27FC236}">
              <a16:creationId xmlns:a16="http://schemas.microsoft.com/office/drawing/2014/main" id="{30B09CFC-4D98-48C9-BD5F-FCD50A6A0B91}"/>
            </a:ext>
          </a:extLst>
        </xdr:cNvPr>
        <xdr:cNvSpPr txBox="1"/>
      </xdr:nvSpPr>
      <xdr:spPr>
        <a:xfrm>
          <a:off x="5189021" y="15587456"/>
          <a:ext cx="1512000"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21" name="TextBox 20">
          <a:extLst>
            <a:ext uri="{FF2B5EF4-FFF2-40B4-BE49-F238E27FC236}">
              <a16:creationId xmlns:a16="http://schemas.microsoft.com/office/drawing/2014/main" id="{A8A80563-F789-492D-B65B-7AAB27A9DC26}"/>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22" name="Connector: Curved 21">
          <a:extLst>
            <a:ext uri="{FF2B5EF4-FFF2-40B4-BE49-F238E27FC236}">
              <a16:creationId xmlns:a16="http://schemas.microsoft.com/office/drawing/2014/main" id="{1C02E918-9F20-401B-BF30-79D5C4A5217E}"/>
            </a:ext>
          </a:extLst>
        </xdr:cNvPr>
        <xdr:cNvCxnSpPr>
          <a:stCxn id="14" idx="2"/>
          <a:endCxn id="15"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23" name="Connector: Curved 22">
          <a:extLst>
            <a:ext uri="{FF2B5EF4-FFF2-40B4-BE49-F238E27FC236}">
              <a16:creationId xmlns:a16="http://schemas.microsoft.com/office/drawing/2014/main" id="{3168A7A7-D96B-421B-BA63-64C59CC5C86B}"/>
            </a:ext>
          </a:extLst>
        </xdr:cNvPr>
        <xdr:cNvCxnSpPr>
          <a:stCxn id="15" idx="3"/>
          <a:endCxn id="16" idx="0"/>
        </xdr:cNvCxnSpPr>
      </xdr:nvCxnSpPr>
      <xdr:spPr>
        <a:xfrm>
          <a:off x="4299360" y="6226533"/>
          <a:ext cx="1672875" cy="494652"/>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24" name="Connector: Curved 23">
          <a:extLst>
            <a:ext uri="{FF2B5EF4-FFF2-40B4-BE49-F238E27FC236}">
              <a16:creationId xmlns:a16="http://schemas.microsoft.com/office/drawing/2014/main" id="{06B35C7A-B556-4295-8814-112F26CB065F}"/>
            </a:ext>
          </a:extLst>
        </xdr:cNvPr>
        <xdr:cNvCxnSpPr>
          <a:stCxn id="16" idx="2"/>
          <a:endCxn id="17" idx="0"/>
        </xdr:cNvCxnSpPr>
      </xdr:nvCxnSpPr>
      <xdr:spPr>
        <a:xfrm rot="5400000">
          <a:off x="3683606" y="9702601"/>
          <a:ext cx="4550045"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25" name="Connector: Curved 24">
          <a:extLst>
            <a:ext uri="{FF2B5EF4-FFF2-40B4-BE49-F238E27FC236}">
              <a16:creationId xmlns:a16="http://schemas.microsoft.com/office/drawing/2014/main" id="{48515A46-4AB6-4E98-BFDD-CDC150C95C4C}"/>
            </a:ext>
          </a:extLst>
        </xdr:cNvPr>
        <xdr:cNvCxnSpPr>
          <a:stCxn id="17" idx="2"/>
          <a:endCxn id="18" idx="0"/>
        </xdr:cNvCxnSpPr>
      </xdr:nvCxnSpPr>
      <xdr:spPr>
        <a:xfrm rot="16200000" flipH="1">
          <a:off x="5870397" y="12785855"/>
          <a:ext cx="168299"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26" name="Connector: Curved 25">
          <a:extLst>
            <a:ext uri="{FF2B5EF4-FFF2-40B4-BE49-F238E27FC236}">
              <a16:creationId xmlns:a16="http://schemas.microsoft.com/office/drawing/2014/main" id="{82F60025-81E7-44D9-89C8-242C98E02429}"/>
            </a:ext>
          </a:extLst>
        </xdr:cNvPr>
        <xdr:cNvCxnSpPr>
          <a:stCxn id="18" idx="2"/>
          <a:endCxn id="19" idx="0"/>
        </xdr:cNvCxnSpPr>
      </xdr:nvCxnSpPr>
      <xdr:spPr>
        <a:xfrm rot="5400000">
          <a:off x="5865510" y="13698091"/>
          <a:ext cx="197122"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27" name="Connector: Curved 26">
          <a:extLst>
            <a:ext uri="{FF2B5EF4-FFF2-40B4-BE49-F238E27FC236}">
              <a16:creationId xmlns:a16="http://schemas.microsoft.com/office/drawing/2014/main" id="{F72216D3-FDCB-4A91-A20F-B43619C80DB3}"/>
            </a:ext>
          </a:extLst>
        </xdr:cNvPr>
        <xdr:cNvCxnSpPr>
          <a:stCxn id="19" idx="2"/>
          <a:endCxn id="20" idx="0"/>
        </xdr:cNvCxnSpPr>
      </xdr:nvCxnSpPr>
      <xdr:spPr>
        <a:xfrm rot="5400000">
          <a:off x="5419144" y="15042529"/>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
      <xdr:nvSpPr>
        <xdr:cNvPr id="28" name="TextBox 27">
          <a:hlinkClick xmlns:r="http://schemas.openxmlformats.org/officeDocument/2006/relationships" r:id="rId12"/>
          <a:extLst>
            <a:ext uri="{FF2B5EF4-FFF2-40B4-BE49-F238E27FC236}">
              <a16:creationId xmlns:a16="http://schemas.microsoft.com/office/drawing/2014/main" id="{80E54089-986B-4212-8AE3-CBDDECB52D71}"/>
            </a:ext>
          </a:extLst>
        </xdr:cNvPr>
        <xdr:cNvSpPr txBox="1"/>
      </xdr:nvSpPr>
      <xdr:spPr>
        <a:xfrm>
          <a:off x="8041048" y="6653752"/>
          <a:ext cx="1512000" cy="72000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29" name="Connector: Curved 28">
          <a:extLst>
            <a:ext uri="{FF2B5EF4-FFF2-40B4-BE49-F238E27FC236}">
              <a16:creationId xmlns:a16="http://schemas.microsoft.com/office/drawing/2014/main" id="{1D3A46C7-3E15-4472-B770-F779542A37E7}"/>
            </a:ext>
          </a:extLst>
        </xdr:cNvPr>
        <xdr:cNvCxnSpPr>
          <a:stCxn id="15" idx="3"/>
          <a:endCxn id="28" idx="0"/>
        </xdr:cNvCxnSpPr>
      </xdr:nvCxnSpPr>
      <xdr:spPr>
        <a:xfrm>
          <a:off x="4299360" y="6226533"/>
          <a:ext cx="4499420" cy="427219"/>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
      <xdr:nvSpPr>
        <xdr:cNvPr id="30" name="TextBox 29">
          <a:hlinkClick xmlns:r="http://schemas.openxmlformats.org/officeDocument/2006/relationships" r:id="rId13"/>
          <a:extLst>
            <a:ext uri="{FF2B5EF4-FFF2-40B4-BE49-F238E27FC236}">
              <a16:creationId xmlns:a16="http://schemas.microsoft.com/office/drawing/2014/main" id="{B57B7140-5E45-4370-8C20-7A8D4C92D439}"/>
            </a:ext>
          </a:extLst>
        </xdr:cNvPr>
        <xdr:cNvSpPr txBox="1"/>
      </xdr:nvSpPr>
      <xdr:spPr>
        <a:xfrm>
          <a:off x="8032714" y="7564581"/>
          <a:ext cx="1512000" cy="71480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31" name="Connector: Curved 30">
          <a:extLst>
            <a:ext uri="{FF2B5EF4-FFF2-40B4-BE49-F238E27FC236}">
              <a16:creationId xmlns:a16="http://schemas.microsoft.com/office/drawing/2014/main" id="{4E098EB8-CF07-441F-89A6-F60FEC6AF600}"/>
            </a:ext>
          </a:extLst>
        </xdr:cNvPr>
        <xdr:cNvCxnSpPr>
          <a:stCxn id="5" idx="2"/>
          <a:endCxn id="28" idx="0"/>
        </xdr:cNvCxnSpPr>
      </xdr:nvCxnSpPr>
      <xdr:spPr>
        <a:xfrm rot="5400000">
          <a:off x="7104930" y="4956159"/>
          <a:ext cx="3391444"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
      <xdr:nvSpPr>
        <xdr:cNvPr id="32" name="TextBox 31">
          <a:hlinkClick xmlns:r="http://schemas.openxmlformats.org/officeDocument/2006/relationships" r:id="rId14"/>
          <a:extLst>
            <a:ext uri="{FF2B5EF4-FFF2-40B4-BE49-F238E27FC236}">
              <a16:creationId xmlns:a16="http://schemas.microsoft.com/office/drawing/2014/main" id="{74B90599-2113-4C72-A376-F55B7771EF16}"/>
            </a:ext>
          </a:extLst>
        </xdr:cNvPr>
        <xdr:cNvSpPr txBox="1"/>
      </xdr:nvSpPr>
      <xdr:spPr>
        <a:xfrm>
          <a:off x="8036286" y="8470214"/>
          <a:ext cx="1512000" cy="719999"/>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
      <xdr:nvSpPr>
        <xdr:cNvPr id="33" name="TextBox 32">
          <a:hlinkClick xmlns:r="http://schemas.openxmlformats.org/officeDocument/2006/relationships" r:id="rId15"/>
          <a:extLst>
            <a:ext uri="{FF2B5EF4-FFF2-40B4-BE49-F238E27FC236}">
              <a16:creationId xmlns:a16="http://schemas.microsoft.com/office/drawing/2014/main" id="{C4690AE2-C81C-4D55-AE13-6DD3DCAA4142}"/>
            </a:ext>
          </a:extLst>
        </xdr:cNvPr>
        <xdr:cNvSpPr txBox="1"/>
      </xdr:nvSpPr>
      <xdr:spPr>
        <a:xfrm>
          <a:off x="8051765" y="9364805"/>
          <a:ext cx="1512000" cy="720002"/>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
      <xdr:nvSpPr>
        <xdr:cNvPr id="34" name="TextBox 33">
          <a:hlinkClick xmlns:r="http://schemas.openxmlformats.org/officeDocument/2006/relationships" r:id="rId16"/>
          <a:extLst>
            <a:ext uri="{FF2B5EF4-FFF2-40B4-BE49-F238E27FC236}">
              <a16:creationId xmlns:a16="http://schemas.microsoft.com/office/drawing/2014/main" id="{5B5254C6-64DC-4A40-99C8-594CD1F4F614}"/>
            </a:ext>
          </a:extLst>
        </xdr:cNvPr>
        <xdr:cNvSpPr txBox="1"/>
      </xdr:nvSpPr>
      <xdr:spPr>
        <a:xfrm>
          <a:off x="7181987" y="10396509"/>
          <a:ext cx="1515313" cy="72000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
      <xdr:nvSpPr>
        <xdr:cNvPr id="35" name="TextBox 34">
          <a:hlinkClick xmlns:r="http://schemas.openxmlformats.org/officeDocument/2006/relationships" r:id="rId17"/>
          <a:extLst>
            <a:ext uri="{FF2B5EF4-FFF2-40B4-BE49-F238E27FC236}">
              <a16:creationId xmlns:a16="http://schemas.microsoft.com/office/drawing/2014/main" id="{EABC9E5A-5253-4ECB-8FB0-2198C97B66F7}"/>
            </a:ext>
          </a:extLst>
        </xdr:cNvPr>
        <xdr:cNvSpPr txBox="1"/>
      </xdr:nvSpPr>
      <xdr:spPr>
        <a:xfrm>
          <a:off x="8835765" y="10400081"/>
          <a:ext cx="1515314" cy="72000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
      <xdr:nvSpPr>
        <xdr:cNvPr id="36" name="TextBox 35">
          <a:hlinkClick xmlns:r="http://schemas.openxmlformats.org/officeDocument/2006/relationships" r:id="rId18"/>
          <a:extLst>
            <a:ext uri="{FF2B5EF4-FFF2-40B4-BE49-F238E27FC236}">
              <a16:creationId xmlns:a16="http://schemas.microsoft.com/office/drawing/2014/main" id="{896F7CDB-6D1B-4FB6-A420-557D46A5173E}"/>
            </a:ext>
          </a:extLst>
        </xdr:cNvPr>
        <xdr:cNvSpPr txBox="1"/>
      </xdr:nvSpPr>
      <xdr:spPr>
        <a:xfrm>
          <a:off x="8012784" y="11994974"/>
          <a:ext cx="1506307"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
      <xdr:nvSpPr>
        <xdr:cNvPr id="37" name="TextBox 36">
          <a:hlinkClick xmlns:r="http://schemas.openxmlformats.org/officeDocument/2006/relationships" r:id="rId19"/>
          <a:extLst>
            <a:ext uri="{FF2B5EF4-FFF2-40B4-BE49-F238E27FC236}">
              <a16:creationId xmlns:a16="http://schemas.microsoft.com/office/drawing/2014/main" id="{080E5565-C6B1-467C-824F-B17E108CAAF3}"/>
            </a:ext>
          </a:extLst>
        </xdr:cNvPr>
        <xdr:cNvSpPr txBox="1"/>
      </xdr:nvSpPr>
      <xdr:spPr>
        <a:xfrm>
          <a:off x="8010403" y="15600260"/>
          <a:ext cx="1506307"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38" name="Connector: Curved 37">
          <a:extLst>
            <a:ext uri="{FF2B5EF4-FFF2-40B4-BE49-F238E27FC236}">
              <a16:creationId xmlns:a16="http://schemas.microsoft.com/office/drawing/2014/main" id="{36EDC076-A0C0-4AAD-A7D1-CB687B536F69}"/>
            </a:ext>
          </a:extLst>
        </xdr:cNvPr>
        <xdr:cNvCxnSpPr>
          <a:stCxn id="28" idx="2"/>
          <a:endCxn id="30" idx="0"/>
        </xdr:cNvCxnSpPr>
      </xdr:nvCxnSpPr>
      <xdr:spPr>
        <a:xfrm rot="5400000">
          <a:off x="8699200" y="7464999"/>
          <a:ext cx="190828"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39" name="Connector: Curved 38">
          <a:extLst>
            <a:ext uri="{FF2B5EF4-FFF2-40B4-BE49-F238E27FC236}">
              <a16:creationId xmlns:a16="http://schemas.microsoft.com/office/drawing/2014/main" id="{B502CB81-17DF-44BA-A85E-F73FF01D87FB}"/>
            </a:ext>
          </a:extLst>
        </xdr:cNvPr>
        <xdr:cNvCxnSpPr>
          <a:stCxn id="30" idx="2"/>
          <a:endCxn id="32" idx="0"/>
        </xdr:cNvCxnSpPr>
      </xdr:nvCxnSpPr>
      <xdr:spPr>
        <a:xfrm rot="16200000" flipH="1">
          <a:off x="8696818" y="8373013"/>
          <a:ext cx="190829"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40" name="Connector: Curved 39">
          <a:extLst>
            <a:ext uri="{FF2B5EF4-FFF2-40B4-BE49-F238E27FC236}">
              <a16:creationId xmlns:a16="http://schemas.microsoft.com/office/drawing/2014/main" id="{04225B12-7211-42A4-AF7B-B011D4A62F7B}"/>
            </a:ext>
          </a:extLst>
        </xdr:cNvPr>
        <xdr:cNvCxnSpPr>
          <a:stCxn id="32" idx="2"/>
          <a:endCxn id="33" idx="0"/>
        </xdr:cNvCxnSpPr>
      </xdr:nvCxnSpPr>
      <xdr:spPr>
        <a:xfrm rot="16200000" flipH="1">
          <a:off x="8714462" y="9269768"/>
          <a:ext cx="174592"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41" name="Connector: Curved 40">
          <a:extLst>
            <a:ext uri="{FF2B5EF4-FFF2-40B4-BE49-F238E27FC236}">
              <a16:creationId xmlns:a16="http://schemas.microsoft.com/office/drawing/2014/main" id="{54DCE2B1-6F4E-4621-8BA5-F699984EADB1}"/>
            </a:ext>
          </a:extLst>
        </xdr:cNvPr>
        <xdr:cNvCxnSpPr>
          <a:stCxn id="33" idx="2"/>
          <a:endCxn id="34" idx="0"/>
        </xdr:cNvCxnSpPr>
      </xdr:nvCxnSpPr>
      <xdr:spPr>
        <a:xfrm rot="5400000">
          <a:off x="8218721" y="9805730"/>
          <a:ext cx="311702" cy="86985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42" name="Connector: Curved 41">
          <a:extLst>
            <a:ext uri="{FF2B5EF4-FFF2-40B4-BE49-F238E27FC236}">
              <a16:creationId xmlns:a16="http://schemas.microsoft.com/office/drawing/2014/main" id="{FB8CE7BE-1739-43F9-B0C9-0CC5E6D14658}"/>
            </a:ext>
          </a:extLst>
        </xdr:cNvPr>
        <xdr:cNvCxnSpPr>
          <a:stCxn id="34" idx="2"/>
          <a:endCxn id="36" idx="0"/>
        </xdr:cNvCxnSpPr>
      </xdr:nvCxnSpPr>
      <xdr:spPr>
        <a:xfrm rot="16200000" flipH="1">
          <a:off x="7912693" y="11143461"/>
          <a:ext cx="878464" cy="82456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43" name="Connector: Curved 42">
          <a:extLst>
            <a:ext uri="{FF2B5EF4-FFF2-40B4-BE49-F238E27FC236}">
              <a16:creationId xmlns:a16="http://schemas.microsoft.com/office/drawing/2014/main" id="{2E87A151-BCAF-4071-9B78-3FD00956827F}"/>
            </a:ext>
          </a:extLst>
        </xdr:cNvPr>
        <xdr:cNvCxnSpPr>
          <a:stCxn id="33" idx="2"/>
          <a:endCxn id="35" idx="0"/>
        </xdr:cNvCxnSpPr>
      </xdr:nvCxnSpPr>
      <xdr:spPr>
        <a:xfrm rot="16200000" flipH="1">
          <a:off x="9043823" y="9850480"/>
          <a:ext cx="315274" cy="783925"/>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44" name="Connector: Curved 43">
          <a:extLst>
            <a:ext uri="{FF2B5EF4-FFF2-40B4-BE49-F238E27FC236}">
              <a16:creationId xmlns:a16="http://schemas.microsoft.com/office/drawing/2014/main" id="{00260AB7-C57D-4AAC-B1BE-81D7608CB4FF}"/>
            </a:ext>
          </a:extLst>
        </xdr:cNvPr>
        <xdr:cNvCxnSpPr>
          <a:stCxn id="35" idx="2"/>
          <a:endCxn id="36" idx="0"/>
        </xdr:cNvCxnSpPr>
      </xdr:nvCxnSpPr>
      <xdr:spPr>
        <a:xfrm rot="5400000">
          <a:off x="8741368" y="11142921"/>
          <a:ext cx="874892" cy="82921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45" name="Connector: Curved 44">
          <a:extLst>
            <a:ext uri="{FF2B5EF4-FFF2-40B4-BE49-F238E27FC236}">
              <a16:creationId xmlns:a16="http://schemas.microsoft.com/office/drawing/2014/main" id="{BB493CDE-BB53-4EE7-9392-84D523201EC4}"/>
            </a:ext>
          </a:extLst>
        </xdr:cNvPr>
        <xdr:cNvCxnSpPr>
          <a:stCxn id="36" idx="2"/>
          <a:endCxn id="37" idx="0"/>
        </xdr:cNvCxnSpPr>
      </xdr:nvCxnSpPr>
      <xdr:spPr>
        <a:xfrm rot="5400000">
          <a:off x="7320373" y="14156427"/>
          <a:ext cx="2885286"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46" name="Connector: Curved 45">
          <a:extLst>
            <a:ext uri="{FF2B5EF4-FFF2-40B4-BE49-F238E27FC236}">
              <a16:creationId xmlns:a16="http://schemas.microsoft.com/office/drawing/2014/main" id="{6144FCB8-3A70-4480-A4FC-970A7E9C1AA0}"/>
            </a:ext>
          </a:extLst>
        </xdr:cNvPr>
        <xdr:cNvCxnSpPr>
          <a:stCxn id="36" idx="3"/>
          <a:endCxn id="53" idx="0"/>
        </xdr:cNvCxnSpPr>
      </xdr:nvCxnSpPr>
      <xdr:spPr>
        <a:xfrm>
          <a:off x="9519091" y="12357572"/>
          <a:ext cx="1996323" cy="707134"/>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47" name="Connector: Curved 46">
          <a:extLst>
            <a:ext uri="{FF2B5EF4-FFF2-40B4-BE49-F238E27FC236}">
              <a16:creationId xmlns:a16="http://schemas.microsoft.com/office/drawing/2014/main" id="{933CAB08-BBFD-42F2-8A0F-978A1A0B871C}"/>
            </a:ext>
          </a:extLst>
        </xdr:cNvPr>
        <xdr:cNvCxnSpPr>
          <a:stCxn id="53" idx="2"/>
          <a:endCxn id="55" idx="0"/>
        </xdr:cNvCxnSpPr>
      </xdr:nvCxnSpPr>
      <xdr:spPr>
        <a:xfrm rot="16200000" flipH="1">
          <a:off x="10620962" y="14679159"/>
          <a:ext cx="1791803"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48" name="Connector: Curved 47">
          <a:extLst>
            <a:ext uri="{FF2B5EF4-FFF2-40B4-BE49-F238E27FC236}">
              <a16:creationId xmlns:a16="http://schemas.microsoft.com/office/drawing/2014/main" id="{C5F9978D-BF9E-4065-AE46-3B7C7FF8A6B1}"/>
            </a:ext>
          </a:extLst>
        </xdr:cNvPr>
        <xdr:cNvCxnSpPr>
          <a:stCxn id="36" idx="3"/>
          <a:endCxn id="54" idx="0"/>
        </xdr:cNvCxnSpPr>
      </xdr:nvCxnSpPr>
      <xdr:spPr>
        <a:xfrm>
          <a:off x="9519091" y="12357572"/>
          <a:ext cx="4422479" cy="690568"/>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49" name="Connector: Curved 48">
          <a:extLst>
            <a:ext uri="{FF2B5EF4-FFF2-40B4-BE49-F238E27FC236}">
              <a16:creationId xmlns:a16="http://schemas.microsoft.com/office/drawing/2014/main" id="{627D1F08-83E2-4BE6-BF11-8EBEDD037BCE}"/>
            </a:ext>
          </a:extLst>
        </xdr:cNvPr>
        <xdr:cNvCxnSpPr>
          <a:stCxn id="54" idx="2"/>
          <a:endCxn id="56" idx="0"/>
        </xdr:cNvCxnSpPr>
      </xdr:nvCxnSpPr>
      <xdr:spPr>
        <a:xfrm rot="16200000" flipH="1">
          <a:off x="13049159" y="14660553"/>
          <a:ext cx="1796418"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
      <xdr:nvSpPr>
        <xdr:cNvPr id="50" name="TextBox 49">
          <a:hlinkClick xmlns:r="http://schemas.openxmlformats.org/officeDocument/2006/relationships" r:id="rId20"/>
          <a:extLst>
            <a:ext uri="{FF2B5EF4-FFF2-40B4-BE49-F238E27FC236}">
              <a16:creationId xmlns:a16="http://schemas.microsoft.com/office/drawing/2014/main" id="{5B2B1A0E-A702-44BA-BF7B-9519200B3C66}"/>
            </a:ext>
          </a:extLst>
        </xdr:cNvPr>
        <xdr:cNvSpPr txBox="1"/>
      </xdr:nvSpPr>
      <xdr:spPr>
        <a:xfrm>
          <a:off x="16746104" y="17201459"/>
          <a:ext cx="151200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51" name="Connector: Curved 50">
          <a:extLst>
            <a:ext uri="{FF2B5EF4-FFF2-40B4-BE49-F238E27FC236}">
              <a16:creationId xmlns:a16="http://schemas.microsoft.com/office/drawing/2014/main" id="{9E2B8F3F-F012-4011-8396-A6394CEBB89A}"/>
            </a:ext>
          </a:extLst>
        </xdr:cNvPr>
        <xdr:cNvCxnSpPr>
          <a:stCxn id="36" idx="3"/>
          <a:endCxn id="9" idx="0"/>
        </xdr:cNvCxnSpPr>
      </xdr:nvCxnSpPr>
      <xdr:spPr>
        <a:xfrm>
          <a:off x="9519091" y="12357572"/>
          <a:ext cx="6397840" cy="4850513"/>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52" name="Connector: Curved 51">
          <a:extLst>
            <a:ext uri="{FF2B5EF4-FFF2-40B4-BE49-F238E27FC236}">
              <a16:creationId xmlns:a16="http://schemas.microsoft.com/office/drawing/2014/main" id="{5714F002-3561-4DA4-A7B2-464330EAAF5D}"/>
            </a:ext>
          </a:extLst>
        </xdr:cNvPr>
        <xdr:cNvCxnSpPr>
          <a:stCxn id="36" idx="3"/>
          <a:endCxn id="50" idx="0"/>
        </xdr:cNvCxnSpPr>
      </xdr:nvCxnSpPr>
      <xdr:spPr>
        <a:xfrm>
          <a:off x="9519091" y="12357572"/>
          <a:ext cx="7983013" cy="4843887"/>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
      <xdr:nvSpPr>
        <xdr:cNvPr id="53" name="TextBox 52">
          <a:hlinkClick xmlns:r="http://schemas.openxmlformats.org/officeDocument/2006/relationships" r:id="rId21"/>
          <a:extLst>
            <a:ext uri="{FF2B5EF4-FFF2-40B4-BE49-F238E27FC236}">
              <a16:creationId xmlns:a16="http://schemas.microsoft.com/office/drawing/2014/main" id="{094A8AC0-D5E9-4093-8C44-0642C020079D}"/>
            </a:ext>
          </a:extLst>
        </xdr:cNvPr>
        <xdr:cNvSpPr txBox="1"/>
      </xdr:nvSpPr>
      <xdr:spPr>
        <a:xfrm>
          <a:off x="10759414" y="13064706"/>
          <a:ext cx="1512000" cy="720002"/>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
      <xdr:nvSpPr>
        <xdr:cNvPr id="54" name="TextBox 53">
          <a:hlinkClick xmlns:r="http://schemas.openxmlformats.org/officeDocument/2006/relationships" r:id="rId22"/>
          <a:extLst>
            <a:ext uri="{FF2B5EF4-FFF2-40B4-BE49-F238E27FC236}">
              <a16:creationId xmlns:a16="http://schemas.microsoft.com/office/drawing/2014/main" id="{D44BB2FD-8429-43B0-9954-34722AFCB685}"/>
            </a:ext>
          </a:extLst>
        </xdr:cNvPr>
        <xdr:cNvSpPr txBox="1"/>
      </xdr:nvSpPr>
      <xdr:spPr>
        <a:xfrm>
          <a:off x="13184210" y="13048140"/>
          <a:ext cx="1514721" cy="720002"/>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
      <xdr:nvSpPr>
        <xdr:cNvPr id="55" name="TextBox 54">
          <a:hlinkClick xmlns:r="http://schemas.openxmlformats.org/officeDocument/2006/relationships" r:id="rId23"/>
          <a:extLst>
            <a:ext uri="{FF2B5EF4-FFF2-40B4-BE49-F238E27FC236}">
              <a16:creationId xmlns:a16="http://schemas.microsoft.com/office/drawing/2014/main" id="{DD8417C0-FAF5-455F-9D6F-B05A408A4FFE}"/>
            </a:ext>
          </a:extLst>
        </xdr:cNvPr>
        <xdr:cNvSpPr txBox="1"/>
      </xdr:nvSpPr>
      <xdr:spPr>
        <a:xfrm>
          <a:off x="10762313" y="15576511"/>
          <a:ext cx="1512000"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
      <xdr:nvSpPr>
        <xdr:cNvPr id="56" name="TextBox 55">
          <a:hlinkClick xmlns:r="http://schemas.openxmlformats.org/officeDocument/2006/relationships" r:id="rId23"/>
          <a:extLst>
            <a:ext uri="{FF2B5EF4-FFF2-40B4-BE49-F238E27FC236}">
              <a16:creationId xmlns:a16="http://schemas.microsoft.com/office/drawing/2014/main" id="{A2DDE8D6-67B4-42EC-BFEB-A00A72860C8E}"/>
            </a:ext>
          </a:extLst>
        </xdr:cNvPr>
        <xdr:cNvSpPr txBox="1"/>
      </xdr:nvSpPr>
      <xdr:spPr>
        <a:xfrm>
          <a:off x="13195806" y="15564560"/>
          <a:ext cx="1514721"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57" name="Connector: Curved 56">
          <a:extLst>
            <a:ext uri="{FF2B5EF4-FFF2-40B4-BE49-F238E27FC236}">
              <a16:creationId xmlns:a16="http://schemas.microsoft.com/office/drawing/2014/main" id="{EFFBD1AF-6062-41AE-811D-1D3B135D3CB3}"/>
            </a:ext>
          </a:extLst>
        </xdr:cNvPr>
        <xdr:cNvCxnSpPr>
          <a:stCxn id="36" idx="3"/>
          <a:endCxn id="11" idx="0"/>
        </xdr:cNvCxnSpPr>
      </xdr:nvCxnSpPr>
      <xdr:spPr>
        <a:xfrm>
          <a:off x="9519091" y="12357572"/>
          <a:ext cx="9858284" cy="685245"/>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
      <xdr:nvSpPr>
        <xdr:cNvPr id="58" name="TextBox 57">
          <a:hlinkClick xmlns:r="http://schemas.openxmlformats.org/officeDocument/2006/relationships" r:id="rId24"/>
          <a:extLst>
            <a:ext uri="{FF2B5EF4-FFF2-40B4-BE49-F238E27FC236}">
              <a16:creationId xmlns:a16="http://schemas.microsoft.com/office/drawing/2014/main" id="{9C6ECE48-F7E7-4863-BA29-EF43480F98D9}"/>
            </a:ext>
          </a:extLst>
        </xdr:cNvPr>
        <xdr:cNvSpPr txBox="1"/>
      </xdr:nvSpPr>
      <xdr:spPr>
        <a:xfrm>
          <a:off x="20519570" y="13059146"/>
          <a:ext cx="1514723" cy="726127"/>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
      <xdr:nvSpPr>
        <xdr:cNvPr id="59" name="TextBox 58">
          <a:hlinkClick xmlns:r="http://schemas.openxmlformats.org/officeDocument/2006/relationships" r:id="rId25"/>
          <a:extLst>
            <a:ext uri="{FF2B5EF4-FFF2-40B4-BE49-F238E27FC236}">
              <a16:creationId xmlns:a16="http://schemas.microsoft.com/office/drawing/2014/main" id="{72CD0908-1043-4844-944F-3F7D7FB83943}"/>
            </a:ext>
          </a:extLst>
        </xdr:cNvPr>
        <xdr:cNvSpPr txBox="1"/>
      </xdr:nvSpPr>
      <xdr:spPr>
        <a:xfrm>
          <a:off x="20522291" y="14145243"/>
          <a:ext cx="1514723" cy="72093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
      <xdr:nvSpPr>
        <xdr:cNvPr id="60" name="TextBox 59">
          <a:hlinkClick xmlns:r="http://schemas.openxmlformats.org/officeDocument/2006/relationships" r:id="rId26"/>
          <a:extLst>
            <a:ext uri="{FF2B5EF4-FFF2-40B4-BE49-F238E27FC236}">
              <a16:creationId xmlns:a16="http://schemas.microsoft.com/office/drawing/2014/main" id="{BAE522BF-C0EB-464F-ADB5-FA7E5B0031E1}"/>
            </a:ext>
          </a:extLst>
        </xdr:cNvPr>
        <xdr:cNvSpPr txBox="1"/>
      </xdr:nvSpPr>
      <xdr:spPr>
        <a:xfrm>
          <a:off x="22800127" y="13050982"/>
          <a:ext cx="1514722" cy="726127"/>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
      <xdr:nvSpPr>
        <xdr:cNvPr id="61" name="TextBox 60">
          <a:hlinkClick xmlns:r="http://schemas.openxmlformats.org/officeDocument/2006/relationships" r:id="rId27"/>
          <a:extLst>
            <a:ext uri="{FF2B5EF4-FFF2-40B4-BE49-F238E27FC236}">
              <a16:creationId xmlns:a16="http://schemas.microsoft.com/office/drawing/2014/main" id="{1A86E9F6-B88B-4764-8E38-5FCF4D70AE50}"/>
            </a:ext>
          </a:extLst>
        </xdr:cNvPr>
        <xdr:cNvSpPr txBox="1"/>
      </xdr:nvSpPr>
      <xdr:spPr>
        <a:xfrm>
          <a:off x="22797407" y="14145243"/>
          <a:ext cx="1514722" cy="72093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62" name="Connector: Curved 61">
          <a:extLst>
            <a:ext uri="{FF2B5EF4-FFF2-40B4-BE49-F238E27FC236}">
              <a16:creationId xmlns:a16="http://schemas.microsoft.com/office/drawing/2014/main" id="{72B61879-12A7-4E22-B1CC-41C616A77F85}"/>
            </a:ext>
          </a:extLst>
        </xdr:cNvPr>
        <xdr:cNvCxnSpPr>
          <a:stCxn id="36" idx="3"/>
          <a:endCxn id="58" idx="0"/>
        </xdr:cNvCxnSpPr>
      </xdr:nvCxnSpPr>
      <xdr:spPr>
        <a:xfrm>
          <a:off x="9519091" y="12357572"/>
          <a:ext cx="11757841" cy="70157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63" name="Connector: Curved 62">
          <a:extLst>
            <a:ext uri="{FF2B5EF4-FFF2-40B4-BE49-F238E27FC236}">
              <a16:creationId xmlns:a16="http://schemas.microsoft.com/office/drawing/2014/main" id="{D4BC6B16-4500-481F-AE27-A49E96E4489B}"/>
            </a:ext>
          </a:extLst>
        </xdr:cNvPr>
        <xdr:cNvCxnSpPr>
          <a:stCxn id="36" idx="3"/>
          <a:endCxn id="60" idx="0"/>
        </xdr:cNvCxnSpPr>
      </xdr:nvCxnSpPr>
      <xdr:spPr>
        <a:xfrm>
          <a:off x="9519091" y="12357572"/>
          <a:ext cx="14038398" cy="693410"/>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64" name="Connector: Curved 63">
          <a:extLst>
            <a:ext uri="{FF2B5EF4-FFF2-40B4-BE49-F238E27FC236}">
              <a16:creationId xmlns:a16="http://schemas.microsoft.com/office/drawing/2014/main" id="{6FD3A699-BA04-4529-B161-9809942EC68C}"/>
            </a:ext>
          </a:extLst>
        </xdr:cNvPr>
        <xdr:cNvCxnSpPr>
          <a:stCxn id="58" idx="2"/>
          <a:endCxn id="59" idx="0"/>
        </xdr:cNvCxnSpPr>
      </xdr:nvCxnSpPr>
      <xdr:spPr>
        <a:xfrm rot="16200000" flipH="1">
          <a:off x="21098308" y="13963896"/>
          <a:ext cx="359970"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65" name="Connector: Curved 64">
          <a:extLst>
            <a:ext uri="{FF2B5EF4-FFF2-40B4-BE49-F238E27FC236}">
              <a16:creationId xmlns:a16="http://schemas.microsoft.com/office/drawing/2014/main" id="{9A13BB38-0638-4455-89B9-4C389D6F46A5}"/>
            </a:ext>
          </a:extLst>
        </xdr:cNvPr>
        <xdr:cNvCxnSpPr>
          <a:stCxn id="60" idx="2"/>
          <a:endCxn id="61" idx="0"/>
        </xdr:cNvCxnSpPr>
      </xdr:nvCxnSpPr>
      <xdr:spPr>
        <a:xfrm rot="5400000">
          <a:off x="23372063" y="13959815"/>
          <a:ext cx="368134"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66" name="Rectangle 65">
          <a:extLst>
            <a:ext uri="{FF2B5EF4-FFF2-40B4-BE49-F238E27FC236}">
              <a16:creationId xmlns:a16="http://schemas.microsoft.com/office/drawing/2014/main" id="{4346D2DE-1A4B-4CA2-9728-A53393F4A3CD}"/>
            </a:ext>
          </a:extLst>
        </xdr:cNvPr>
        <xdr:cNvSpPr/>
      </xdr:nvSpPr>
      <xdr:spPr>
        <a:xfrm>
          <a:off x="26967996" y="12348604"/>
          <a:ext cx="1653430" cy="89015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67" name="Rectangle 66">
          <a:extLst>
            <a:ext uri="{FF2B5EF4-FFF2-40B4-BE49-F238E27FC236}">
              <a16:creationId xmlns:a16="http://schemas.microsoft.com/office/drawing/2014/main" id="{2B1916A3-99BB-4253-8501-69D2D5E211BB}"/>
            </a:ext>
          </a:extLst>
        </xdr:cNvPr>
        <xdr:cNvSpPr/>
      </xdr:nvSpPr>
      <xdr:spPr>
        <a:xfrm>
          <a:off x="26957110" y="6530190"/>
          <a:ext cx="1653430" cy="89782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68" name="Rectangle 67">
          <a:extLst>
            <a:ext uri="{FF2B5EF4-FFF2-40B4-BE49-F238E27FC236}">
              <a16:creationId xmlns:a16="http://schemas.microsoft.com/office/drawing/2014/main" id="{658D707C-A9BB-404A-86B4-9DD85F128D5C}"/>
            </a:ext>
          </a:extLst>
        </xdr:cNvPr>
        <xdr:cNvSpPr/>
      </xdr:nvSpPr>
      <xdr:spPr>
        <a:xfrm>
          <a:off x="32391804" y="6519305"/>
          <a:ext cx="1653430" cy="89782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69" name="Rectangle 68">
          <a:extLst>
            <a:ext uri="{FF2B5EF4-FFF2-40B4-BE49-F238E27FC236}">
              <a16:creationId xmlns:a16="http://schemas.microsoft.com/office/drawing/2014/main" id="{BBBF3AAF-D7A5-499B-B120-DD3C44E593B1}"/>
            </a:ext>
          </a:extLst>
        </xdr:cNvPr>
        <xdr:cNvSpPr/>
      </xdr:nvSpPr>
      <xdr:spPr>
        <a:xfrm>
          <a:off x="30552119" y="12315948"/>
          <a:ext cx="1653429" cy="89015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70" name="Rectangle 69">
          <a:extLst>
            <a:ext uri="{FF2B5EF4-FFF2-40B4-BE49-F238E27FC236}">
              <a16:creationId xmlns:a16="http://schemas.microsoft.com/office/drawing/2014/main" id="{E7BE4D0E-21C9-4955-A669-A5E817E5B964}"/>
            </a:ext>
          </a:extLst>
        </xdr:cNvPr>
        <xdr:cNvSpPr/>
      </xdr:nvSpPr>
      <xdr:spPr>
        <a:xfrm>
          <a:off x="32751033" y="13970578"/>
          <a:ext cx="1653427" cy="674913"/>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71" name="Rectangle 70">
          <a:extLst>
            <a:ext uri="{FF2B5EF4-FFF2-40B4-BE49-F238E27FC236}">
              <a16:creationId xmlns:a16="http://schemas.microsoft.com/office/drawing/2014/main" id="{8F254D47-211C-40F1-BC95-9D7FE10FD8EE}"/>
            </a:ext>
          </a:extLst>
        </xdr:cNvPr>
        <xdr:cNvSpPr/>
      </xdr:nvSpPr>
      <xdr:spPr>
        <a:xfrm>
          <a:off x="34566226" y="12375820"/>
          <a:ext cx="1657910" cy="862941"/>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72" name="Rectangle 71">
          <a:extLst>
            <a:ext uri="{FF2B5EF4-FFF2-40B4-BE49-F238E27FC236}">
              <a16:creationId xmlns:a16="http://schemas.microsoft.com/office/drawing/2014/main" id="{690F3D19-EF21-4419-AE92-0E6E9C8B541E}"/>
            </a:ext>
          </a:extLst>
        </xdr:cNvPr>
        <xdr:cNvSpPr/>
      </xdr:nvSpPr>
      <xdr:spPr>
        <a:xfrm>
          <a:off x="34552619" y="15081168"/>
          <a:ext cx="1657910"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73" name="Rectangle 72">
          <a:extLst>
            <a:ext uri="{FF2B5EF4-FFF2-40B4-BE49-F238E27FC236}">
              <a16:creationId xmlns:a16="http://schemas.microsoft.com/office/drawing/2014/main" id="{33D1BF10-6EE3-4C55-A32B-2731E2F2C4B3}"/>
            </a:ext>
          </a:extLst>
        </xdr:cNvPr>
        <xdr:cNvSpPr/>
      </xdr:nvSpPr>
      <xdr:spPr>
        <a:xfrm>
          <a:off x="30554840" y="15075725"/>
          <a:ext cx="1653429"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74" name="Rectangle 73">
          <a:extLst>
            <a:ext uri="{FF2B5EF4-FFF2-40B4-BE49-F238E27FC236}">
              <a16:creationId xmlns:a16="http://schemas.microsoft.com/office/drawing/2014/main" id="{AF03484F-BCCB-4610-A205-5952AE75BACF}"/>
            </a:ext>
          </a:extLst>
        </xdr:cNvPr>
        <xdr:cNvSpPr/>
      </xdr:nvSpPr>
      <xdr:spPr>
        <a:xfrm>
          <a:off x="30816096" y="16989878"/>
          <a:ext cx="16561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75" name="Rectangle 74">
          <a:extLst>
            <a:ext uri="{FF2B5EF4-FFF2-40B4-BE49-F238E27FC236}">
              <a16:creationId xmlns:a16="http://schemas.microsoft.com/office/drawing/2014/main" id="{3E923128-905C-4242-816E-F8ED2ED47421}"/>
            </a:ext>
          </a:extLst>
        </xdr:cNvPr>
        <xdr:cNvSpPr/>
      </xdr:nvSpPr>
      <xdr:spPr>
        <a:xfrm>
          <a:off x="32521230" y="16989878"/>
          <a:ext cx="165342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76" name="Rectangle 75">
          <a:extLst>
            <a:ext uri="{FF2B5EF4-FFF2-40B4-BE49-F238E27FC236}">
              <a16:creationId xmlns:a16="http://schemas.microsoft.com/office/drawing/2014/main" id="{65B7C1BC-4BCB-45B0-9FCB-66A45C35B1C9}"/>
            </a:ext>
          </a:extLst>
        </xdr:cNvPr>
        <xdr:cNvSpPr/>
      </xdr:nvSpPr>
      <xdr:spPr>
        <a:xfrm>
          <a:off x="34252219" y="16989878"/>
          <a:ext cx="165343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77" name="Connector: Curved 76">
          <a:extLst>
            <a:ext uri="{FF2B5EF4-FFF2-40B4-BE49-F238E27FC236}">
              <a16:creationId xmlns:a16="http://schemas.microsoft.com/office/drawing/2014/main" id="{0CA4D1BE-3E48-4814-9D19-AEA2ACC900EC}"/>
            </a:ext>
          </a:extLst>
        </xdr:cNvPr>
        <xdr:cNvCxnSpPr>
          <a:stCxn id="67" idx="2"/>
          <a:endCxn id="66" idx="0"/>
        </xdr:cNvCxnSpPr>
      </xdr:nvCxnSpPr>
      <xdr:spPr>
        <a:xfrm rot="16200000" flipH="1">
          <a:off x="25330705" y="9882867"/>
          <a:ext cx="4920589"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78" name="Connector: Curved 77">
          <a:extLst>
            <a:ext uri="{FF2B5EF4-FFF2-40B4-BE49-F238E27FC236}">
              <a16:creationId xmlns:a16="http://schemas.microsoft.com/office/drawing/2014/main" id="{4442C32F-24C0-4E21-ADA8-02D2B5675627}"/>
            </a:ext>
          </a:extLst>
        </xdr:cNvPr>
        <xdr:cNvCxnSpPr>
          <a:stCxn id="68" idx="2"/>
          <a:endCxn id="69" idx="0"/>
        </xdr:cNvCxnSpPr>
      </xdr:nvCxnSpPr>
      <xdr:spPr>
        <a:xfrm rot="5400000">
          <a:off x="29851000" y="8946696"/>
          <a:ext cx="4898818" cy="18396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79" name="Connector: Curved 78">
          <a:extLst>
            <a:ext uri="{FF2B5EF4-FFF2-40B4-BE49-F238E27FC236}">
              <a16:creationId xmlns:a16="http://schemas.microsoft.com/office/drawing/2014/main" id="{3C2389ED-8DEA-4C8B-B2A3-8D02131EBC64}"/>
            </a:ext>
          </a:extLst>
        </xdr:cNvPr>
        <xdr:cNvCxnSpPr>
          <a:stCxn id="68" idx="2"/>
          <a:endCxn id="71" idx="0"/>
        </xdr:cNvCxnSpPr>
      </xdr:nvCxnSpPr>
      <xdr:spPr>
        <a:xfrm rot="16200000" flipH="1">
          <a:off x="31827507" y="8809874"/>
          <a:ext cx="4958690" cy="21731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80" name="Connector: Curved 79">
          <a:extLst>
            <a:ext uri="{FF2B5EF4-FFF2-40B4-BE49-F238E27FC236}">
              <a16:creationId xmlns:a16="http://schemas.microsoft.com/office/drawing/2014/main" id="{E8F20849-BEE0-440B-B25B-C2CBD8E8F231}"/>
            </a:ext>
          </a:extLst>
        </xdr:cNvPr>
        <xdr:cNvCxnSpPr>
          <a:stCxn id="69" idx="2"/>
          <a:endCxn id="73" idx="0"/>
        </xdr:cNvCxnSpPr>
      </xdr:nvCxnSpPr>
      <xdr:spPr>
        <a:xfrm rot="16200000" flipH="1">
          <a:off x="30447114" y="14139554"/>
          <a:ext cx="1869621"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81" name="Connector: Curved 80">
          <a:extLst>
            <a:ext uri="{FF2B5EF4-FFF2-40B4-BE49-F238E27FC236}">
              <a16:creationId xmlns:a16="http://schemas.microsoft.com/office/drawing/2014/main" id="{6CCE25E4-533B-40DB-BE5D-C66B1836FE16}"/>
            </a:ext>
          </a:extLst>
        </xdr:cNvPr>
        <xdr:cNvCxnSpPr>
          <a:stCxn id="69" idx="2"/>
          <a:endCxn id="70" idx="0"/>
        </xdr:cNvCxnSpPr>
      </xdr:nvCxnSpPr>
      <xdr:spPr>
        <a:xfrm rot="16200000" flipH="1">
          <a:off x="32096053" y="12490615"/>
          <a:ext cx="764474" cy="2195450"/>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82" name="Connector: Curved 81">
          <a:extLst>
            <a:ext uri="{FF2B5EF4-FFF2-40B4-BE49-F238E27FC236}">
              <a16:creationId xmlns:a16="http://schemas.microsoft.com/office/drawing/2014/main" id="{811CCB51-AA37-4CA5-9852-910F44F82ADB}"/>
            </a:ext>
          </a:extLst>
        </xdr:cNvPr>
        <xdr:cNvCxnSpPr>
          <a:stCxn id="70" idx="2"/>
          <a:endCxn id="72" idx="0"/>
        </xdr:cNvCxnSpPr>
      </xdr:nvCxnSpPr>
      <xdr:spPr>
        <a:xfrm rot="16200000" flipH="1">
          <a:off x="34260090" y="13961415"/>
          <a:ext cx="435677" cy="1803828"/>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83" name="Connector: Curved 82">
          <a:extLst>
            <a:ext uri="{FF2B5EF4-FFF2-40B4-BE49-F238E27FC236}">
              <a16:creationId xmlns:a16="http://schemas.microsoft.com/office/drawing/2014/main" id="{B97BBD94-98B9-4DE3-B319-02F64770F9D8}"/>
            </a:ext>
          </a:extLst>
        </xdr:cNvPr>
        <xdr:cNvCxnSpPr>
          <a:stCxn id="71" idx="2"/>
          <a:endCxn id="72" idx="0"/>
        </xdr:cNvCxnSpPr>
      </xdr:nvCxnSpPr>
      <xdr:spPr>
        <a:xfrm rot="5400000">
          <a:off x="34465443" y="14153162"/>
          <a:ext cx="1842407"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84" name="Rectangle 83">
          <a:extLst>
            <a:ext uri="{FF2B5EF4-FFF2-40B4-BE49-F238E27FC236}">
              <a16:creationId xmlns:a16="http://schemas.microsoft.com/office/drawing/2014/main" id="{DF969750-C5C2-463A-B95D-19E914DA0F99}"/>
            </a:ext>
          </a:extLst>
        </xdr:cNvPr>
        <xdr:cNvSpPr/>
      </xdr:nvSpPr>
      <xdr:spPr>
        <a:xfrm>
          <a:off x="29885368" y="2667247"/>
          <a:ext cx="1653430" cy="89262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85" name="Connector: Curved 84">
          <a:extLst>
            <a:ext uri="{FF2B5EF4-FFF2-40B4-BE49-F238E27FC236}">
              <a16:creationId xmlns:a16="http://schemas.microsoft.com/office/drawing/2014/main" id="{764A14E4-C80C-4691-B731-47FAFA82411A}"/>
            </a:ext>
          </a:extLst>
        </xdr:cNvPr>
        <xdr:cNvCxnSpPr>
          <a:stCxn id="84" idx="2"/>
          <a:endCxn id="67" idx="0"/>
        </xdr:cNvCxnSpPr>
      </xdr:nvCxnSpPr>
      <xdr:spPr>
        <a:xfrm rot="5400000">
          <a:off x="27762798" y="3582634"/>
          <a:ext cx="2970315" cy="29247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86" name="Connector: Curved 85">
          <a:extLst>
            <a:ext uri="{FF2B5EF4-FFF2-40B4-BE49-F238E27FC236}">
              <a16:creationId xmlns:a16="http://schemas.microsoft.com/office/drawing/2014/main" id="{FE250D18-7AAA-4222-96DF-B16344B7E1FB}"/>
            </a:ext>
          </a:extLst>
        </xdr:cNvPr>
        <xdr:cNvCxnSpPr>
          <a:stCxn id="84" idx="2"/>
          <a:endCxn id="68" idx="0"/>
        </xdr:cNvCxnSpPr>
      </xdr:nvCxnSpPr>
      <xdr:spPr>
        <a:xfrm rot="16200000" flipH="1">
          <a:off x="30485586" y="3784640"/>
          <a:ext cx="2959430" cy="25098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87" name="TextBox 86">
          <a:extLst>
            <a:ext uri="{FF2B5EF4-FFF2-40B4-BE49-F238E27FC236}">
              <a16:creationId xmlns:a16="http://schemas.microsoft.com/office/drawing/2014/main" id="{25828EEB-066A-439D-B44E-6804719108EC}"/>
            </a:ext>
          </a:extLst>
        </xdr:cNvPr>
        <xdr:cNvSpPr txBox="1"/>
      </xdr:nvSpPr>
      <xdr:spPr>
        <a:xfrm>
          <a:off x="29429652" y="2005497"/>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88" name="Connector: Curved 87">
          <a:extLst>
            <a:ext uri="{FF2B5EF4-FFF2-40B4-BE49-F238E27FC236}">
              <a16:creationId xmlns:a16="http://schemas.microsoft.com/office/drawing/2014/main" id="{C757167E-E475-4993-8CF0-BDE5506858AF}"/>
            </a:ext>
          </a:extLst>
        </xdr:cNvPr>
        <xdr:cNvCxnSpPr>
          <a:stCxn id="73" idx="2"/>
          <a:endCxn id="74" idx="0"/>
        </xdr:cNvCxnSpPr>
      </xdr:nvCxnSpPr>
      <xdr:spPr>
        <a:xfrm rot="16200000" flipH="1">
          <a:off x="30993936" y="16339642"/>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89" name="Connector: Curved 88">
          <a:extLst>
            <a:ext uri="{FF2B5EF4-FFF2-40B4-BE49-F238E27FC236}">
              <a16:creationId xmlns:a16="http://schemas.microsoft.com/office/drawing/2014/main" id="{9B3106CC-3692-4292-8268-7E176E3F5479}"/>
            </a:ext>
          </a:extLst>
        </xdr:cNvPr>
        <xdr:cNvCxnSpPr>
          <a:stCxn id="73" idx="2"/>
          <a:endCxn id="75" idx="0"/>
        </xdr:cNvCxnSpPr>
      </xdr:nvCxnSpPr>
      <xdr:spPr>
        <a:xfrm rot="16200000" flipH="1">
          <a:off x="31846690" y="15486889"/>
          <a:ext cx="1039585" cy="196639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90" name="Connector: Curved 89">
          <a:extLst>
            <a:ext uri="{FF2B5EF4-FFF2-40B4-BE49-F238E27FC236}">
              <a16:creationId xmlns:a16="http://schemas.microsoft.com/office/drawing/2014/main" id="{2F3DAD46-A17A-4138-A3A9-2DC6229A78B0}"/>
            </a:ext>
          </a:extLst>
        </xdr:cNvPr>
        <xdr:cNvCxnSpPr>
          <a:stCxn id="73" idx="2"/>
          <a:endCxn id="76" idx="0"/>
        </xdr:cNvCxnSpPr>
      </xdr:nvCxnSpPr>
      <xdr:spPr>
        <a:xfrm rot="16200000" flipH="1">
          <a:off x="32712184" y="14621394"/>
          <a:ext cx="1039585" cy="36973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91" name="Connector: Curved 90">
          <a:extLst>
            <a:ext uri="{FF2B5EF4-FFF2-40B4-BE49-F238E27FC236}">
              <a16:creationId xmlns:a16="http://schemas.microsoft.com/office/drawing/2014/main" id="{5EDB1C67-9252-4778-8E3E-6C790E8E0F27}"/>
            </a:ext>
          </a:extLst>
        </xdr:cNvPr>
        <xdr:cNvCxnSpPr>
          <a:stCxn id="72" idx="2"/>
          <a:endCxn id="74" idx="0"/>
        </xdr:cNvCxnSpPr>
      </xdr:nvCxnSpPr>
      <xdr:spPr>
        <a:xfrm rot="5400000">
          <a:off x="32986771" y="14596806"/>
          <a:ext cx="1050472" cy="373567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92" name="Connector: Curved 91">
          <a:extLst>
            <a:ext uri="{FF2B5EF4-FFF2-40B4-BE49-F238E27FC236}">
              <a16:creationId xmlns:a16="http://schemas.microsoft.com/office/drawing/2014/main" id="{4ED751E4-0EFB-47B5-8124-1542B605789A}"/>
            </a:ext>
          </a:extLst>
        </xdr:cNvPr>
        <xdr:cNvCxnSpPr>
          <a:stCxn id="72" idx="2"/>
          <a:endCxn id="75" idx="0"/>
        </xdr:cNvCxnSpPr>
      </xdr:nvCxnSpPr>
      <xdr:spPr>
        <a:xfrm rot="5400000">
          <a:off x="33839524" y="15449560"/>
          <a:ext cx="1050472" cy="203016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93" name="Connector: Curved 92">
          <a:extLst>
            <a:ext uri="{FF2B5EF4-FFF2-40B4-BE49-F238E27FC236}">
              <a16:creationId xmlns:a16="http://schemas.microsoft.com/office/drawing/2014/main" id="{6E9C11C2-F83D-46EB-8135-83098DC250E1}"/>
            </a:ext>
          </a:extLst>
        </xdr:cNvPr>
        <xdr:cNvCxnSpPr>
          <a:stCxn id="72" idx="2"/>
          <a:endCxn id="76" idx="0"/>
        </xdr:cNvCxnSpPr>
      </xdr:nvCxnSpPr>
      <xdr:spPr>
        <a:xfrm rot="5400000">
          <a:off x="34705019" y="16315054"/>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
      <xdr:nvSpPr>
        <xdr:cNvPr id="94" name="TextBox 93">
          <a:extLst>
            <a:ext uri="{FF2B5EF4-FFF2-40B4-BE49-F238E27FC236}">
              <a16:creationId xmlns:a16="http://schemas.microsoft.com/office/drawing/2014/main" id="{B0C2F261-D90F-4F16-BDD7-5870018E83CF}"/>
            </a:ext>
          </a:extLst>
        </xdr:cNvPr>
        <xdr:cNvSpPr txBox="1"/>
      </xdr:nvSpPr>
      <xdr:spPr>
        <a:xfrm>
          <a:off x="2782623" y="3649041"/>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95" name="Connector: Curved 94">
          <a:extLst>
            <a:ext uri="{FF2B5EF4-FFF2-40B4-BE49-F238E27FC236}">
              <a16:creationId xmlns:a16="http://schemas.microsoft.com/office/drawing/2014/main" id="{B08D1405-4508-4734-BC82-CEDAF3D7AFA2}"/>
            </a:ext>
          </a:extLst>
        </xdr:cNvPr>
        <xdr:cNvCxnSpPr>
          <a:stCxn id="94" idx="2"/>
          <a:endCxn id="14"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96" name="Connector: Curved 95">
          <a:extLst>
            <a:ext uri="{FF2B5EF4-FFF2-40B4-BE49-F238E27FC236}">
              <a16:creationId xmlns:a16="http://schemas.microsoft.com/office/drawing/2014/main" id="{930E2AB5-FF84-4867-AB63-8D0C2C02BDC0}"/>
            </a:ext>
          </a:extLst>
        </xdr:cNvPr>
        <xdr:cNvCxnSpPr>
          <a:stCxn id="3" idx="2"/>
          <a:endCxn id="94" idx="0"/>
        </xdr:cNvCxnSpPr>
      </xdr:nvCxnSpPr>
      <xdr:spPr>
        <a:xfrm rot="5400000">
          <a:off x="3347625" y="3453307"/>
          <a:ext cx="386733"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A1C81-FBB6-43DC-BB35-9A0347A24CF8}"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84D8E3C0-97CA-4CF1-A63F-3CF6AAE07330}" name="Transaction name" dataCellStyle="Input text"/>
    <tableColumn id="1" xr3:uid="{E41B3FA3-55C1-4BBF-A477-D8EDBC89025E}" name="Class (select)" dataCellStyle="Input select"/>
    <tableColumn id="2" xr3:uid="{3F9F09B6-E6B3-4323-AB6A-249C77DAFA51}" name="Sale date" dataDxfId="460"/>
    <tableColumn id="3" xr3:uid="{48DB24D2-2F89-4EEB-911F-2F24089C3918}" name="Head sold"/>
    <tableColumn id="4" xr3:uid="{879FC871-5C62-44BF-952F-ACBA1C3B6AE4}" name="Average weight per head (kg)"/>
    <tableColumn id="5" xr3:uid="{B8588D76-BACA-4516-8963-B7E8E5A87B93}"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54B4BD7-3486-4768-9AB6-B4BF469DE890}" name="Table_Input_LivestockPurchases_Dairy" displayName="Table_Input_LivestockPurchases_Dairy" ref="D6:I16" totalsRowShown="0" headerRowDxfId="459">
  <autoFilter ref="D6:I16" xr:uid="{E938BFB3-949A-45DE-8033-0682BC494B81}"/>
  <tableColumns count="6">
    <tableColumn id="9" xr3:uid="{96AB8886-9C66-4D88-9FCA-CFA29B684F9C}" name="Transaction name" dataCellStyle="Input text"/>
    <tableColumn id="11" xr3:uid="{6E963EAC-ED60-4DA5-A32B-D347CC10315C}" name="Class (select)" dataDxfId="458" dataCellStyle="Input select"/>
    <tableColumn id="2" xr3:uid="{8BE507DD-2B58-414A-BD12-1E3F8E614E64}" name="Breed (select)" dataCellStyle="Input select"/>
    <tableColumn id="3" xr3:uid="{575D2BC1-6369-4440-8527-F32EC09EA7CF}" name="Quantity (head)" dataCellStyle="Input number general"/>
    <tableColumn id="12" xr3:uid="{E14B5653-5316-49D7-8817-A352FF6A7731}" name="Liveweight (kg/head) Method 1" dataCellStyle="Input number general calculated"/>
    <tableColumn id="4" xr3:uid="{04DD5EF4-418F-4EFB-99BE-A5B0546EEFE4}"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4F4512-E7DD-4A9F-81A9-66B686846903}" name="Table_Input_InorganicFertiliser_Brands" displayName="Table_Input_InorganicFertiliser_Brands" ref="D11:X16" headerRowDxfId="457" dataDxfId="456" totalsRowDxfId="455">
  <autoFilter ref="D11:X16"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03E6BF43-8FE4-44D6-AC58-1A8B7CF69B68}" name="Product (select)" dataDxfId="454" totalsRowDxfId="453" dataCellStyle="Input select"/>
    <tableColumn id="23" xr3:uid="{BA1E66E2-1C23-45F9-83A4-35DAA7BF7159}" name="Amount applied per hectare" totalsRowFunction="custom" dataDxfId="452" totalsRowDxfId="451">
      <totalsRowFormula>SUM(Table_Input_InorganicFertiliser_Brands[[#Headers],[#Data],[Amount applied per hectare]])</totalsRowFormula>
    </tableColumn>
    <tableColumn id="12" xr3:uid="{EBDCAB7B-33BE-4DE6-ACD2-7D8A329EDBF7}" name="Application unit" dataDxfId="450" totalsRowDxfId="449" dataCellStyle="Input number 2 decimal places"/>
    <tableColumn id="9" xr3:uid="{BCD7E71C-FD68-4672-819E-D5591292229D}" name="Density" dataDxfId="448" totalsRowDxfId="447" dataCellStyle="Input number 2 decimal places"/>
    <tableColumn id="6" xr3:uid="{0DB5D718-6584-4667-BBD5-38F2BF072DFA}" name="Application area (ha)" dataDxfId="446" totalsRowDxfId="445">
      <calculatedColumnFormula>X_Cell_Fertiliser_AreaUnderCropping</calculatedColumnFormula>
    </tableColumn>
    <tableColumn id="1" xr3:uid="{D466E2FC-9FEC-454B-99DB-07AC25E73A25}" name="Total applied (kg)" dataDxfId="444" totalsRowDxfId="443"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553D930A-EFA9-41F6-8378-FFC852EA5970}" name="Ingredient 1" dataDxfId="442" totalsRowDxfId="441" dataCellStyle="Input number general calculated"/>
    <tableColumn id="4" xr3:uid="{F9951395-08F3-4E92-9766-A96C07AF046C}" name="Ingredient 1 percent" dataDxfId="440" totalsRowDxfId="439" dataCellStyle="Input number general calculated"/>
    <tableColumn id="7" xr3:uid="{55871E6E-3874-4EE8-A0D8-4D6FB9C59682}" name="Ingredient 2" dataDxfId="438" dataCellStyle="Input number general calculated"/>
    <tableColumn id="8" xr3:uid="{F277F6F1-1BF8-47E3-A51B-AC5C83F3DAF0}" name="Ingredient 2 percent" dataDxfId="437" totalsRowDxfId="436" dataCellStyle="Input number general calculated"/>
    <tableColumn id="10" xr3:uid="{30C3ABD6-D456-4362-BB99-B2C5E59BCA26}" name="Ingredient 3" dataDxfId="435" totalsRowDxfId="434" dataCellStyle="Input number general calculated"/>
    <tableColumn id="11" xr3:uid="{27290E9A-E821-4A0A-8077-A84838305504}" name="Ingredient 3 percent" dataDxfId="433" totalsRowDxfId="432" dataCellStyle="Input number general calculated"/>
    <tableColumn id="13" xr3:uid="{C23D2E8F-D72A-4059-A055-79EC86890AA6}" name="Ingredient 4" dataDxfId="431" totalsRowDxfId="430" dataCellStyle="Input number general calculated"/>
    <tableColumn id="14" xr3:uid="{14B630DB-9A7A-4558-B026-AB1060A9013B}" name="Ingredient 4 percent" dataDxfId="429" dataCellStyle="Input number general calculated"/>
    <tableColumn id="16" xr3:uid="{66610DC5-9AB5-4261-85DE-352D46FF4D9B}" name="Ingredient 5" dataDxfId="428" dataCellStyle="Input number general calculated"/>
    <tableColumn id="17" xr3:uid="{B82AF6DF-FCD2-488A-A14F-B94FDE66041D}" name="Ingredient 5 percent" dataDxfId="427" dataCellStyle="Input number general calculated"/>
    <tableColumn id="19" xr3:uid="{DFD6398B-BADD-4771-8D63-747BFA4AB1AA}" name="Ingredient 6" dataDxfId="426" dataCellStyle="Input number general calculated"/>
    <tableColumn id="20" xr3:uid="{8E2E30DC-7512-420E-9C0C-6E6469945880}" name="Ingredient 6 percent" dataDxfId="425" dataCellStyle="Input number general calculated"/>
    <tableColumn id="5" xr3:uid="{65E0D345-4BD9-49EE-A005-4AAF8F1DD7C6}" name="N application rate (kg/ha)" dataDxfId="424" totalsRowDxfId="423" dataCellStyle="Input number general calculated"/>
    <tableColumn id="15" xr3:uid="{6C138F12-5697-4E56-A981-4F4D9215C994}" name="Urea source" dataDxfId="422" totalsRowDxfId="421" dataCellStyle="Input number general calculated"/>
    <tableColumn id="18" xr3:uid="{5B0F0F1F-0CAE-4E24-9BE7-6D973B20FA1A}" name="Ammonia source" dataDxfId="420" totalsRowDxfId="419" dataCellStyle="Input number general calculated"/>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6FB4E52-7ACA-44B9-9BA2-C968C2F55BE6}" name="Table_Input_InorganicFertiliser_Custom" displayName="Table_Input_InorganicFertiliser_Custom" ref="D19:R22" totalsRowShown="0" headerRowDxfId="418" dataDxfId="417">
  <autoFilter ref="D19:R22"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8055D765-CE4F-48ED-B1F4-3D1BE5DE0206}" name="Custom blend name" dataCellStyle="Input text"/>
    <tableColumn id="2" xr3:uid="{F28288C1-0C01-4EFF-9AA1-EC2E98E3BB8D}" name="Amount applied (kg / ha)" dataDxfId="416"/>
    <tableColumn id="3" xr3:uid="{91B4BBB5-CC54-4B86-8B81-63A184989601}" name="Application area (ha)" dataDxfId="415" dataCellStyle="Input number 2 decimal places">
      <calculatedColumnFormula>X_Cell_Fertiliser_AreaUnderCropping</calculatedColumnFormula>
    </tableColumn>
    <tableColumn id="4" xr3:uid="{EEB7769E-E37C-4791-A078-C478ED36F122}" name="Total applied (kg)" dataDxfId="414" dataCellStyle="Input number general calculated">
      <calculatedColumnFormula>Table_Input_InorganicFertiliser_Custom[[#This Row],[Amount applied (kg / ha)]]*Table_Input_InorganicFertiliser_Custom[[#This Row],[Application area (ha)]]</calculatedColumnFormula>
    </tableColumn>
    <tableColumn id="5" xr3:uid="{D86C1643-A7CD-4103-B52D-BAA9925CD4C7}" name="Ingredient 1 (select)" dataDxfId="413" dataCellStyle="Input select"/>
    <tableColumn id="6" xr3:uid="{7AE3F913-7430-495C-A43D-ED7CA69CCEBC}" name="Ingredient 1 percent" dataDxfId="412"/>
    <tableColumn id="8" xr3:uid="{D4D6D1D9-DCDB-4A8C-8431-B51020F9C1EE}" name="Ingredient 2" dataDxfId="411" dataCellStyle="Input select"/>
    <tableColumn id="9" xr3:uid="{848692AA-85B3-47F3-92CF-EB8BC791C710}" name="Ingredient 2 percent" dataDxfId="410"/>
    <tableColumn id="11" xr3:uid="{A1FC8BD3-6AB0-41B9-9285-B587DB19B9E4}" name="Ingredient 3" dataDxfId="409" dataCellStyle="Input select"/>
    <tableColumn id="12" xr3:uid="{6D9013CD-B354-4E79-9044-3C9A575651BF}" name="Ingredient 3 percent" dataDxfId="408"/>
    <tableColumn id="14" xr3:uid="{22F20B5A-A221-40C5-9BE0-3E5354F86DA6}" name="Ingredient 4" dataDxfId="407" dataCellStyle="Input select"/>
    <tableColumn id="15" xr3:uid="{ADB5E9B2-A04E-493D-976C-38B60628B462}" name="Ingredient 4 percent" dataCellStyle="Input percent"/>
    <tableColumn id="7" xr3:uid="{1A4749EA-79E8-4398-80ED-6D0108E99BD0}" name="N application rate (kg/ha)" dataDxfId="406" dataCellStyle="Input number general calculated"/>
    <tableColumn id="10" xr3:uid="{E574433C-5435-4CBE-9296-98F7F8EC4C66}" name="Urea source (Select)" dataCellStyle="Input select"/>
    <tableColumn id="13" xr3:uid="{E8713D8E-5E8A-4FDC-B37E-A1F31E931C25}" name="Ammonia source (select)" dataCellStyle="Input select"/>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EB5B205-82A1-4B63-A154-A70DE7D92A2D}" name="Table_Input_Lime" displayName="Table_Input_Lime" ref="D30:K33" totalsRowShown="0" headerRowDxfId="405" dataDxfId="404" headerRowCellStyle="Input table column header">
  <autoFilter ref="D30:K33"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DF074B4-3629-4F94-A753-862BBD753776}" name="Product" dataDxfId="403"/>
    <tableColumn id="2" xr3:uid="{08C6F370-0463-41A2-8749-204B333109A0}" name="Amount applied (t/hectare)" dataDxfId="402"/>
    <tableColumn id="4" xr3:uid="{FE805807-1C9F-4878-8682-509DD34AE655}" name="Application area (ha)" dataDxfId="401" dataCellStyle="Input number 2 decimal places">
      <calculatedColumnFormula>X_Cell_Fertiliser_AreaUnderCropping</calculatedColumnFormula>
    </tableColumn>
    <tableColumn id="3" xr3:uid="{0F7C8035-6031-4056-9C2F-4870318F7D64}" name="Total amount applied (t)" dataDxfId="400" dataCellStyle="Input number general calculated">
      <calculatedColumnFormula>IFERROR(Table_Input_Lime[[#This Row],[Amount applied (t/hectare)]]*Table_Input_Lime[[#This Row],[Application area (ha)]], 0)</calculatedColumnFormula>
    </tableColumn>
    <tableColumn id="6" xr3:uid="{DB14E49E-9AB5-4B9F-A678-3CAFCDD1DD4C}" name="Percent Lime CaCO3" dataDxfId="399"/>
    <tableColumn id="8" xr3:uid="{8FC398A8-E545-47FB-94BB-0718E8B6BE2E}" name="Percent Dolomite CaMg(CO3)2" dataDxfId="398"/>
    <tableColumn id="7" xr3:uid="{84770928-14AF-4300-8D1A-47408E83BAE8}" name="Percent Gypsum" dataDxfId="397"/>
    <tableColumn id="10" xr3:uid="{3FCF932F-C4C3-4605-936D-26C2E0E96AB3}" name="Total" dataDxfId="396"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E0A295A-F2BD-4297-BFCA-CA93E686B714}" name="Table_Input_OrganicFertiliser" displayName="Table_Input_OrganicFertiliser" ref="D41:J44" totalsRowShown="0" headerRowDxfId="395" dataDxfId="394" headerRowCellStyle="Input table column header">
  <autoFilter ref="D41: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E5405D0-F289-4851-A7D3-475EF7BAC297}" name="Organic fertiliser type (select)" dataDxfId="393" dataCellStyle="Input select"/>
    <tableColumn id="5" xr3:uid="{EB9B6A70-4ED1-4000-B7D2-E13266A776EB}" name="Percentage of N in fertiliser" dataDxfId="392"/>
    <tableColumn id="2" xr3:uid="{140435CE-AB2D-4105-9ADD-130BEF1A5121}" name="Amount applied (kg/hectare)" dataDxfId="391"/>
    <tableColumn id="11" xr3:uid="{88D0556B-B5C5-4984-86FC-34E4EFABEABA}" name="Amount N applied (kg/hectare)" dataDxfId="390" dataCellStyle="Input number general calculated">
      <calculatedColumnFormula>Table_Input_OrganicFertiliser[[#This Row],[Amount applied (kg/hectare)]]*Table_Input_OrganicFertiliser[[#This Row],[Percentage of N in fertiliser]]</calculatedColumnFormula>
    </tableColumn>
    <tableColumn id="4" xr3:uid="{E6604451-F7F2-469B-A22B-59876968621D}" name="Application area (ha)" dataDxfId="389" dataCellStyle="Input number 2 decimal places">
      <calculatedColumnFormula>X_Cell_Fertiliser_AreaUnderCropping</calculatedColumnFormula>
    </tableColumn>
    <tableColumn id="7" xr3:uid="{4D40774E-9943-4BCE-97C1-A371C31F05DE}" name="Total organic fertliser applied" dataDxfId="388" dataCellStyle="Input number general calculated">
      <calculatedColumnFormula>Table_Input_OrganicFertiliser[[#This Row],[Amount applied (kg/hectare)]]*Table_Input_OrganicFertiliser[[#This Row],[Application area (ha)]]</calculatedColumnFormula>
    </tableColumn>
    <tableColumn id="3" xr3:uid="{B78A1F89-9B70-482C-B404-F0F8DD1F1FBE}" name="Total nitrogen applied (kg)" dataDxfId="38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45C2634-9EAE-4168-9779-CEAF59276F8D}" name="Table_Input_Fuel" displayName="Table_Input_Fuel" ref="D16:J21" totalsRowDxfId="386"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B37314CD-ABE5-4059-9CFF-F7D5350B3A96}" name="Fuel use (select)" totalsRowFunction="average" totalsRowDxfId="385" dataCellStyle="Input select" totalsRowCellStyle="Input select"/>
    <tableColumn id="3" xr3:uid="{D20A78D3-494C-4E76-9410-49F9DEFC3D23}" name="Fuel type (select)" totalsRowDxfId="384" dataCellStyle="Input select" totalsRowCellStyle="Input select"/>
    <tableColumn id="4" xr3:uid="{9DC832C6-8C5A-4846-800F-538FCC8CA1B7}" name="Amount purchased" totalsRowDxfId="383" totalsRowCellStyle="Content bold"/>
    <tableColumn id="6" xr3:uid="{A9A06F24-FAA7-4EB1-9770-3D91A7996A88}" name="Amount unit" totalsRowDxfId="382" dataCellStyle="Input number general calculated" totalsRowCellStyle="Input text calculated"/>
    <tableColumn id="5" xr3:uid="{3ED968AF-7BD6-482B-9196-18DBB81F0483}" name="Percent consumed" totalsRowDxfId="381" totalsRowCellStyle="Input percent">
      <calculatedColumnFormula>1</calculatedColumnFormula>
    </tableColumn>
    <tableColumn id="1" xr3:uid="{18574312-D4FE-44B6-AADB-D540AD527EEE}" name="Amount consumed" totalsRowFunction="custom" totalsRowDxfId="380"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34E57296-DBC4-414A-AE2D-20F566853032}" name="Amount consumed unit" totalsRowDxfId="379" dataCellStyle="Input number general calculated"/>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C378673D-2150-44A0-BF5C-B5760DF8BBC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1851332D-55A6-4FCA-B766-5E2FEEFAEB5E}" name="Description"/>
    <tableColumn id="5" xr3:uid="{7D0E24A8-A352-412E-A784-2C2D07D9E154}" name="Source (select)" dataCellStyle="Input select"/>
    <tableColumn id="2" xr3:uid="{FCD8A3F1-01E8-438D-80A6-CD5E4EC6ACCF}" name="Generation date" dataDxfId="378"/>
    <tableColumn id="3" xr3:uid="{3C6E19DD-18A3-47B9-9DAA-22607A091F2F}" name="Number of certificates"/>
    <tableColumn id="4" xr3:uid="{1ECFA55C-ACD7-4D88-88FD-AFB811C9907E}" name="MWh" dataCellStyle="Input number general calculated">
      <calculatedColumnFormula>Table_Input_RECSurrendered[[#This Row],[Number of certificates]]</calculatedColumnFormula>
    </tableColumn>
    <tableColumn id="7" xr3:uid="{836A46F0-32F4-4E19-B9BF-9E62B2C0088F}"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1A6EFB21-17D8-4F6B-8BD4-8ECA4AE195A6}"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CFC9D913-7B3E-445F-85F8-154C188F9FE0}" name="Description"/>
    <tableColumn id="5" xr3:uid="{0D19569F-CA3F-4758-8583-EE5448D7237D}" name="Source" dataCellStyle="Input text calculated">
      <calculatedColumnFormula>"Issued for generated electricity"</calculatedColumnFormula>
    </tableColumn>
    <tableColumn id="2" xr3:uid="{E79A324D-71C8-4589-AC4A-C36C03783443}" name="Generation date" dataDxfId="377"/>
    <tableColumn id="3" xr3:uid="{2CEB284C-98AD-4F6A-B172-F33CF87AC4CF}" name="Number of certificates"/>
    <tableColumn id="4" xr3:uid="{A3E4775B-8C7A-4F24-99CE-29B1963DEFB0}" name="MWh" dataCellStyle="Input number general calculated">
      <calculatedColumnFormula>Table_Input_RECConsumedByEntity[[#This Row],[Number of certificates]]</calculatedColumnFormula>
    </tableColumn>
    <tableColumn id="7" xr3:uid="{B9CF46A6-416A-4FF0-88B4-0F6598A970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C963056F-2A24-47C5-8C26-CDFA3F95B904}"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2A8E0022-5AB1-493E-8FE0-83A027D780AC}" name="Product name" dataCellStyle="Input text"/>
    <tableColumn id="1" xr3:uid="{D03744BF-B74A-43D9-95D8-3BC7C5464731}" name="Type (select)" dataCellStyle="Input select"/>
    <tableColumn id="2" xr3:uid="{27009933-B490-4A24-BCE7-6E6299C5F75D}" name="Quantity purchased (kg)" dataCellStyle="Input number general"/>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27883AFB-2494-43A3-8FF8-16A68A97278D}" name="Table_Input_Packaging" displayName="Table_Input_Packaging" ref="D92:H102" totalsRowShown="0" headerRowDxfId="376"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DDDA6843-2692-4933-8FDE-1266211E62E8}" name="Packaging name"/>
    <tableColumn id="3" xr3:uid="{6F92FC5E-9BC4-488F-A9C6-FC207B4830D1}" name="Quantity purchased" dataDxfId="375" dataCellStyle="Input number general"/>
    <tableColumn id="2" xr3:uid="{B3CA969F-E46A-42F1-A516-027288FB8EE5}" name="Primary material" dataCellStyle="Input select"/>
    <tableColumn id="4" xr3:uid="{15A1E904-C020-42EB-83F8-7A4094D4D28B}" name="Weight per unit (kg)" dataCellStyle="Input number general"/>
    <tableColumn id="6" xr3:uid="{329B6FE1-3A78-4AE2-B0C1-EE7352F9A635}"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B610AB99-9201-406C-A586-72AAD074DF83}" name="Table_Input_Pesticides" displayName="Table_Input_Pesticides" ref="D10:R20" totalsRowShown="0" headerRowDxfId="374">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875758A-75B2-43F3-8E54-3A4CAEC9D0AB}" name="Product name"/>
    <tableColumn id="2" xr3:uid="{80E0E2AC-ECBE-47E5-8433-E9C8284B11D5}" name="Amount applied per ha"/>
    <tableColumn id="7" xr3:uid="{67899FAC-2E86-4AC5-8F49-E8337C0643F7}" name="Application unit (select)" dataCellStyle="Input select"/>
    <tableColumn id="6" xr3:uid="{240A19BA-CB3D-4389-8F6E-9195F3E63404}" name="Application area (ha)" dataCellStyle="Input number general"/>
    <tableColumn id="3" xr3:uid="{F42288F4-78E1-4221-8380-80EFF520A2B2}" name="Total applied" dataCellStyle="Input number general calculated">
      <calculatedColumnFormula>Table_Input_Pesticides[[#This Row],[Amount applied per ha]]*Table_Input_Pesticides[[#This Row],[Application area (ha)]]</calculatedColumnFormula>
    </tableColumn>
    <tableColumn id="5" xr3:uid="{72320537-7003-47CB-9F53-0FE5F944D048}" name="Constituent unit (select)" dataCellStyle="Input select"/>
    <tableColumn id="4" xr3:uid="{22F4E5BE-E648-4661-9F7E-5A8C76C76860}" name="Active ingredient 1 (select)" dataCellStyle="Input select"/>
    <tableColumn id="8" xr3:uid="{C5E15311-09DC-488E-91CE-4507BA50CC95}" name="Active ingredient 1 amount" dataCellStyle="Input number general"/>
    <tableColumn id="16" xr3:uid="{38652CEA-EE6D-4F75-93B1-0E00DE65B7AB}"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A652E099-FF5C-439B-9135-D4831634E57A}" name="Active ingredient 2 (select)" dataCellStyle="Input select"/>
    <tableColumn id="11" xr3:uid="{2FCB7563-636B-4FC1-BC1C-25035212F1D4}" name="Active ingredient 2 amount" dataCellStyle="Input number general"/>
    <tableColumn id="17" xr3:uid="{70A31654-F335-467C-A079-BFA389ECDCE0}"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A6F765BE-7A67-4B3F-86C8-830808328085}" name="Active ingredient 3 (select)" dataCellStyle="Input select"/>
    <tableColumn id="14" xr3:uid="{73B37212-43DE-44EF-AE23-36FA9CF56EAF}" name="Active ingredient 3 amount" dataCellStyle="Input number general"/>
    <tableColumn id="18" xr3:uid="{D715F58C-6D9D-4703-9559-892FF6AC15CB}"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C5C69087-20DA-468E-B789-CB779FDC2D37}"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D95120B2-2B31-4230-A964-28D1081F2B56}" name="Product name" dataCellStyle="Input text"/>
    <tableColumn id="1" xr3:uid="{C1073C15-6E71-4016-8315-1D1A805DE4C5}" name="Type (select)" dataDxfId="373" dataCellStyle="Input select"/>
    <tableColumn id="2" xr3:uid="{D246900F-21C7-4A01-8401-250348844136}" name="Number of head treated" dataDxfId="372" dataCellStyle="Input number general"/>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8C7DC9EE-D46E-423E-9FF4-A192BFFB2D25}"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051FB270-0A28-4D43-9C30-88DACE081909}" name="Product / service name" dataCellStyle="Input text"/>
    <tableColumn id="2" xr3:uid="{FC718B3F-ABDF-46AA-8BC9-621248E12C74}" name="Amount" dataCellStyle="Input number general"/>
    <tableColumn id="3" xr3:uid="{ADD5F2CB-9E0E-430B-8FA8-D1F29D7B76F3}" name="Amount unit" dataCellStyle="Input tex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8A7496DC-EBE6-4614-97F5-E7C80B4FE44A}"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D8288594-B034-40AB-A2B9-43C77703403C}" name="Feed blend name"/>
    <tableColumn id="2" xr3:uid="{64560E86-17AB-4AEC-A50D-6FBF3E2DDF14}" name="Amount fed (kg)"/>
    <tableColumn id="4" xr3:uid="{31E17804-E4A5-4A2D-99EC-6D8F63A5A2CA}" name="Ingredient 1 (select)" dataCellStyle="Input select"/>
    <tableColumn id="3" xr3:uid="{2A9752AA-3ECB-4EFE-9A7F-70001D9FD521}" name="Ingredient 1 source region" dataCellStyle="Input select"/>
    <tableColumn id="5" xr3:uid="{D467A87F-3601-43D8-A624-2869B44DB2C3}" name="Ingredient 1 percent"/>
    <tableColumn id="6" xr3:uid="{53B3203A-4B32-4973-BE91-F2CC4F6468B7}" name="Ingredient 2 (select)" dataCellStyle="Input select"/>
    <tableColumn id="14" xr3:uid="{CFFC4A79-FB1B-409D-B412-7ACAC4018A2A}" name="Ingredient 2 source region" dataCellStyle="Input select"/>
    <tableColumn id="7" xr3:uid="{1C9F4604-4AA5-4276-9E26-64346128A453}" name="Ingredient 2 percent"/>
    <tableColumn id="8" xr3:uid="{912F3B3A-35AB-4D97-AC0F-BD41733D4088}" name="Ingredient 3 (select)" dataCellStyle="Input select"/>
    <tableColumn id="15" xr3:uid="{743A410F-B322-45C0-B7AB-439E1A8B2DC5}" name="Ingredient 3 source region" dataCellStyle="Input select"/>
    <tableColumn id="9" xr3:uid="{DFCE35C4-CB7F-4C69-A7C6-23A6AEC26DB6}" name="Ingredient 3 percent"/>
    <tableColumn id="10" xr3:uid="{3F076A5F-92AC-4653-91D6-9EECC2CA67D3}" name="Ingredient 4 (select)" dataCellStyle="Input select"/>
    <tableColumn id="16" xr3:uid="{2B577194-13CA-44A4-8A3D-50999B477DDF}" name="Ingredient 4 source region" dataCellStyle="Input select"/>
    <tableColumn id="11" xr3:uid="{D05DF19A-526B-4E8D-9DC3-4EFB64E627EE}" name="Ingredient 4 percen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C9FF7801-32A6-49E3-B215-9A37647EA62F}"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68311934-3A4B-47BA-8061-1A33DE89D444}" name="Service provider / contractor" dataCellStyle="Input text"/>
    <tableColumn id="4" xr3:uid="{DD76D36D-0CEE-4081-B2CB-E5C76E4CFFDE}" name="Activity" dataCellStyle="Input text"/>
    <tableColumn id="2" xr3:uid="{C30912D8-8F23-4E84-B4C7-DF18B93F6127}" name="Total amount" dataCellStyle="Input number general"/>
    <tableColumn id="3" xr3:uid="{B8EE6B91-D6A8-42CF-BD6B-BB1CC51AB58E}" name="Amount unit" dataCellStyle="Input select"/>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49267BFA-0B67-45B5-9034-4FE99DB49B47}"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9952B51D-B9C9-4951-8A17-39A9D3E1F7BA}" name="Grow media type" dataCellStyle="Input text"/>
    <tableColumn id="2" xr3:uid="{C18CE621-9BCA-4AC4-BD7C-1943234F91D7}" name="Total amount" dataCellStyle="Input number general"/>
    <tableColumn id="3" xr3:uid="{68462F4C-657C-4A9B-928E-04407E847514}" name="Amount unit" dataCellStyle="Input select"/>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16B55B8-270A-48DB-90F6-A821216C9F3B}"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874D7B3C-BFFE-44B3-A32D-27ADDC5DC584}" name="Route name"/>
    <tableColumn id="2" xr3:uid="{EDB29EAF-233B-4789-8D48-48A1E7C68B50}" name="Freight type (select)" dataCellStyle="Input select"/>
    <tableColumn id="3" xr3:uid="{33682601-15C3-457F-9837-2ADC95132948}" name="Route distance (km)"/>
    <tableColumn id="4" xr3:uid="{6EDFCB1F-4F65-4A38-A4B4-16E43BA0DC81}" name="Average weight of freight per trip (t)"/>
    <tableColumn id="5" xr3:uid="{D601DF40-98FE-4598-B20E-D2D5F15E068F}"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10AC06C-E54D-460F-9CAE-2DC88E54637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B6DD76E8-59BF-4127-ACC6-864188FE3DD5}" name="Route name"/>
    <tableColumn id="2" xr3:uid="{2FD26B63-81FD-403E-835D-C68E34DD18C1}" name="Freight type (select)" dataCellStyle="Input select"/>
    <tableColumn id="3" xr3:uid="{A03AD9F6-50A9-4384-9BE7-EF5647BD3FEA}" name="Route distance (km)"/>
    <tableColumn id="4" xr3:uid="{5B9A8F36-7E9C-4B1E-9050-71613360920E}" name="Average weight of freight per trip (t)"/>
    <tableColumn id="5" xr3:uid="{046626DB-AD23-48E1-A121-5289A63D5653}"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931A94B-309A-43A0-9A99-567DAC36ED5E}" name="Table_SourceData_Dairy_MMS" displayName="Table_SourceData_Dairy_MMS" ref="D7:E11" totalsRowShown="0">
  <autoFilter ref="D7:E11" xr:uid="{D5C443B2-EDE2-4250-B2EE-016878D19AD9}">
    <filterColumn colId="0" hiddenButton="1"/>
    <filterColumn colId="1" hiddenButton="1"/>
  </autoFilter>
  <tableColumns count="2">
    <tableColumn id="1" xr3:uid="{DACA0B04-90BE-4522-AB32-6BF861AF6B07}" name="MMS"/>
    <tableColumn id="2" xr3:uid="{254E781C-D626-4EAA-A60E-50D0BB327CF7}" name="Symbol and MMS" dataDxfId="371" dataCellStyle="Content normal"/>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C2022E2-D7ED-4D09-8D3D-86451A2F02DD}" name="Table_SourceData_Dairy_CropProdSystems" displayName="Table_SourceData_Dairy_CropProdSystems" ref="G7:G9" totalsRowShown="0">
  <autoFilter ref="G7:G9" xr:uid="{B6F3FE3A-A0B5-47E7-85B2-8426FB75A7C8}">
    <filterColumn colId="0" hiddenButton="1"/>
  </autoFilter>
  <tableColumns count="1">
    <tableColumn id="1" xr3:uid="{1CAD802A-DFDB-477F-8B0E-C6CFB9D0CE8B}" name="Production system">
      <calculatedColumnFormula>#REF!</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9EC7253-76E2-453B-BABD-84FB4A65BB54}" name="Table_SourceData_Dairy_IrrigationMethods" displayName="Table_SourceData_Dairy_IrrigationMethods" ref="J7:J12" totalsRowShown="0">
  <autoFilter ref="J7:J12" xr:uid="{FE172B77-CEA3-430C-84BC-392A64D0B8FF}">
    <filterColumn colId="0" hiddenButton="1"/>
  </autoFilter>
  <tableColumns count="1">
    <tableColumn id="1" xr3:uid="{61FB687E-83EC-4A48-A008-FB618B336CB4}" name="Irrigation method"/>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652FBE3-0ADE-487F-BA00-6242C7BA086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9742BAD0-E20E-4AD9-ABB7-16A1661E6CBC}" name="Breed">
      <calculatedColumnFormula array="1">Common_InputFunctions.Utility_DisplayArrayInTable(SourceData_Dairy.SourceData_Dairy_LiveweightCowsAndHeifers_Data(), Table_SourceData_Dairy_WjCowsHeifers[[#Headers],[Breed]], 0)</calculatedColumnFormula>
    </tableColumn>
    <tableColumn id="2" xr3:uid="{F4C01031-10D2-41AC-808A-7119E9FAE4CF}" name="Milking cows" dataDxfId="370" dataCellStyle="Content normal">
      <calculatedColumnFormula array="1">Common_InputFunctions.Utility_DisplayArrayInTable(SourceData_Dairy.SourceData_Dairy_LiveweightCowsAndHeifers_Data(), Table_SourceData_Dairy_WjCowsHeifers[[#Headers],[Breed]], 0)</calculatedColumnFormula>
    </tableColumn>
    <tableColumn id="3" xr3:uid="{D882B75D-5D96-4789-892B-4DF8A200D414}" name="Heifers &gt; 1" dataDxfId="369" dataCellStyle="Content normal">
      <calculatedColumnFormula array="1">Common_InputFunctions.Utility_DisplayArrayInTable(SourceData_Dairy.SourceData_Dairy_LiveweightCowsAndHeifers_Data(), Table_SourceData_Dairy_WjCowsHeifers[[#Headers],[Breed]], 0)</calculatedColumnFormula>
    </tableColumn>
    <tableColumn id="4" xr3:uid="{CF0FDD5E-1B2B-46F0-A104-5F202F117D35}" name="Heifers &lt; 1 (weaned)" dataDxfId="368"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1E4D9DD-DF14-43B7-8AC8-5EB5083E7576}"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0E9ABFC8-6F83-4020-866F-27D0B8FAAD77}" name="Breed">
      <calculatedColumnFormula array="1">Common_InputFunctions.Utility_DisplayArrayInTable(SourceData_Dairy.SourceData_Dairy_LiveweightBulls_Data(), Table_SourceData_Dairy_WjBulls[[#Headers],[Breed]], 0)</calculatedColumnFormula>
    </tableColumn>
    <tableColumn id="2" xr3:uid="{F2AD5CDB-85AF-48DC-AD8E-1F32F8451E0F}" name="Bulls &gt; 1" dataDxfId="367" dataCellStyle="Content normal">
      <calculatedColumnFormula array="1">Common_InputFunctions.Utility_DisplayArrayInTable(SourceData_Dairy.SourceData_Dairy_LiveweightBulls_Data(), Table_SourceData_Dairy_WjBulls[[#Headers],[Breed]], 0)</calculatedColumnFormula>
    </tableColumn>
    <tableColumn id="3" xr3:uid="{7D56A915-0BFA-4FAF-8BD4-4496ABFEDD56}" name="Bulls &lt; 1 (weaned)" dataDxfId="366"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EF54106-E27E-44A9-9B7D-FC2017E667AD}"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C5B0173E-02B1-437E-8FBA-E402985F37FF}" name="Milking cows">
      <calculatedColumnFormula array="1">Common_InputFunctions.Utility_DisplayArrayInTable(SourceData_Dairy.SourceData_Dairy_LiveweightGain_Data(), Table_SourceData_Dairy_LWGj[[#Headers],[Milking cows]], 0)</calculatedColumnFormula>
    </tableColumn>
    <tableColumn id="2" xr3:uid="{BE58EFE0-8CED-4EA0-9208-899DE8B8134F}" name="Heifers &gt; 1" dataDxfId="365" dataCellStyle="Content normal">
      <calculatedColumnFormula array="1">Common_InputFunctions.Utility_DisplayArrayInTable(SourceData_Dairy.SourceData_Dairy_LiveweightGain_Data(), Table_SourceData_Dairy_LWGj[[#Headers],[Milking cows]], 0)</calculatedColumnFormula>
    </tableColumn>
    <tableColumn id="3" xr3:uid="{22197B75-C1C2-4FCA-ACC3-C31D9718D4E1}" name="Heifers &lt; 1 (weaned)" dataDxfId="364" dataCellStyle="Content normal">
      <calculatedColumnFormula array="1">Common_InputFunctions.Utility_DisplayArrayInTable(SourceData_Dairy.SourceData_Dairy_LiveweightGain_Data(), Table_SourceData_Dairy_LWGj[[#Headers],[Milking cows]], 0)</calculatedColumnFormula>
    </tableColumn>
    <tableColumn id="4" xr3:uid="{7BE2222F-1EE2-4391-AE73-7C2E935018B5}" name="Bulls &gt; 1" dataDxfId="363" dataCellStyle="Content normal">
      <calculatedColumnFormula array="1">Common_InputFunctions.Utility_DisplayArrayInTable(SourceData_Dairy.SourceData_Dairy_LiveweightGain_Data(), Table_SourceData_Dairy_LWGj[[#Headers],[Milking cows]], 0)</calculatedColumnFormula>
    </tableColumn>
    <tableColumn id="5" xr3:uid="{A2223A96-6FE3-47A5-8F95-9E19EBFAA057}" name="Bulls &lt; 1 (weaned)" dataDxfId="362"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E14AFA5-2DB6-4B2E-AC68-107AD7CDF5EA}" name="Table_SourceData_Dairy_WRj" displayName="Table_SourceData_Dairy_WRj" ref="D54:H55" totalsRowShown="0" headerRowDxfId="361"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5531F309-86BE-4D4E-B65D-5D6C56BCEAFB}"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CC899A8E-6066-415F-8295-38C8874AEBCA}"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F0652988-7FE7-40FF-A432-866AD532D97C}"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23313E7-543D-4430-9569-F7A8CE611750}"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70E35038-4165-4293-8A78-D8299F7629D4}"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C3A2AA6-C248-4F68-BDAA-A8923F4514E2}" name="Table_SourceData_Dairy_DataPreWeaned" displayName="Table_SourceData_Dairy_DataPreWeaned" ref="D62:G64" totalsRowShown="0" dataDxfId="360" dataCellStyle="Content normal">
  <autoFilter ref="D62:G64" xr:uid="{968BB314-DB2C-4CA2-BAA9-E66557777E59}">
    <filterColumn colId="0" hiddenButton="1"/>
    <filterColumn colId="1" hiddenButton="1"/>
    <filterColumn colId="2" hiddenButton="1"/>
    <filterColumn colId="3" hiddenButton="1"/>
  </autoFilter>
  <tableColumns count="4">
    <tableColumn id="1" xr3:uid="{B740FFC1-D8F2-4C6D-9DB8-0E6C5CE6D7FD}" name="Animal class j" dataDxfId="359" dataCellStyle="Content normal">
      <calculatedColumnFormula array="1">Common_InputFunctions.Utility_DisplayArrayInTable(SourceData_Dairy.SourceData_Dairy_PreWeanedCalves_Data(), Table_SourceData_Dairy_DataPreWeaned[[#Headers],[Animal class j]], -1)</calculatedColumnFormula>
    </tableColumn>
    <tableColumn id="2" xr3:uid="{0826493C-E70D-4722-B9BA-71ED0BC44984}" name="CH4 production" dataDxfId="358" dataCellStyle="Content normal">
      <calculatedColumnFormula array="1">Common_InputFunctions.Utility_DisplayArrayInTable(SourceData_Dairy.SourceData_Dairy_PreWeanedCalves_Data(), Table_SourceData_Dairy_DataPreWeaned[[#Headers],[Animal class j]], -1)</calculatedColumnFormula>
    </tableColumn>
    <tableColumn id="3" xr3:uid="{7523751F-3090-4A41-A025-146A70873319}" name="Volatile solids (VSj=3,5)" dataDxfId="357" dataCellStyle="Content normal">
      <calculatedColumnFormula array="1">Common_InputFunctions.Utility_DisplayArrayInTable(SourceData_Dairy.SourceData_Dairy_PreWeanedCalves_Data(), Table_SourceData_Dairy_DataPreWeaned[[#Headers],[Animal class j]], -1)</calculatedColumnFormula>
    </tableColumn>
    <tableColumn id="4" xr3:uid="{A676FD8D-B8E5-464B-873D-47AC8983F1C2}" name="Nitrogen Excreted (NPWj=3,5)" dataDxfId="356"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B46F788-1795-4638-8D24-415F55C5838E}"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10BD8B1-C2AC-41C2-ABD6-9F5BDA38134E}" name="MMS m">
      <calculatedColumnFormula array="1">Common_InputFunctions.Utility_DisplayArrayInTable(SourceData_Dairy.SourceData_Dairy_MCF_Data(), Table_SourceData_Dairy_MCFjm[[#Headers],[MMS m]], 0)</calculatedColumnFormula>
    </tableColumn>
    <tableColumn id="2" xr3:uid="{0E43AFFE-DE19-4638-BAA3-14C0D617D543}" name="ACT" dataDxfId="355" dataCellStyle="Content normal">
      <calculatedColumnFormula array="1">Common_InputFunctions.Utility_DisplayArrayInTable(SourceData_Dairy.SourceData_Dairy_MCF_Data(), Table_SourceData_Dairy_MCFjm[[#Headers],[MMS m]], 0)</calculatedColumnFormula>
    </tableColumn>
    <tableColumn id="3" xr3:uid="{9D70722B-543F-4A0E-8F48-AF8527E256D3}" name="NSW" dataDxfId="354" dataCellStyle="Content normal">
      <calculatedColumnFormula array="1">Common_InputFunctions.Utility_DisplayArrayInTable(SourceData_Dairy.SourceData_Dairy_MCF_Data(), Table_SourceData_Dairy_MCFjm[[#Headers],[MMS m]], 0)</calculatedColumnFormula>
    </tableColumn>
    <tableColumn id="4" xr3:uid="{064D4A9D-D964-4F44-841E-77412560790A}" name="NT" dataDxfId="353" dataCellStyle="Content normal">
      <calculatedColumnFormula array="1">Common_InputFunctions.Utility_DisplayArrayInTable(SourceData_Dairy.SourceData_Dairy_MCF_Data(), Table_SourceData_Dairy_MCFjm[[#Headers],[MMS m]], 0)</calculatedColumnFormula>
    </tableColumn>
    <tableColumn id="5" xr3:uid="{AF563CD1-416E-433F-AA0C-D8F72CAFCA95}" name="QLD" dataDxfId="352" dataCellStyle="Content normal">
      <calculatedColumnFormula array="1">Common_InputFunctions.Utility_DisplayArrayInTable(SourceData_Dairy.SourceData_Dairy_MCF_Data(), Table_SourceData_Dairy_MCFjm[[#Headers],[MMS m]], 0)</calculatedColumnFormula>
    </tableColumn>
    <tableColumn id="6" xr3:uid="{353FD3CB-E917-400C-8431-B5AA29DA02DB}" name="SA" dataDxfId="351" dataCellStyle="Content normal">
      <calculatedColumnFormula array="1">Common_InputFunctions.Utility_DisplayArrayInTable(SourceData_Dairy.SourceData_Dairy_MCF_Data(), Table_SourceData_Dairy_MCFjm[[#Headers],[MMS m]], 0)</calculatedColumnFormula>
    </tableColumn>
    <tableColumn id="7" xr3:uid="{B067C67D-8349-459A-9739-D642EA6A9CE5}" name="TAS" dataDxfId="350" dataCellStyle="Content normal">
      <calculatedColumnFormula array="1">Common_InputFunctions.Utility_DisplayArrayInTable(SourceData_Dairy.SourceData_Dairy_MCF_Data(), Table_SourceData_Dairy_MCFjm[[#Headers],[MMS m]], 0)</calculatedColumnFormula>
    </tableColumn>
    <tableColumn id="8" xr3:uid="{5765BFDF-57F9-40D7-91FA-0173DF834B47}" name="VIC" dataDxfId="349" dataCellStyle="Content normal">
      <calculatedColumnFormula array="1">Common_InputFunctions.Utility_DisplayArrayInTable(SourceData_Dairy.SourceData_Dairy_MCF_Data(), Table_SourceData_Dairy_MCFjm[[#Headers],[MMS m]], 0)</calculatedColumnFormula>
    </tableColumn>
    <tableColumn id="9" xr3:uid="{8A0CB132-1003-4664-AEBA-6E2E8D2865B1}" name="WA" dataDxfId="348" dataCellStyle="Content normal">
      <calculatedColumnFormula array="1">Common_InputFunctions.Utility_DisplayArrayInTable(SourceData_Dairy.SourceData_Dairy_MCF_Data(), Table_SourceData_Dairy_MCFjm[[#Headers],[MMS m]], 0)</calculatedColumnFormula>
    </tableColumn>
    <tableColumn id="10" xr3:uid="{0AEB3591-0E91-45E7-A47E-9379E0E3C5FE}" name="NIR reference" dataDxfId="347"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2F73342-52A0-4ECC-B05D-4DC4D271B637}"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4D57AB5-8D77-4D09-A70E-CD07D930D355}" name="MMS m">
      <calculatedColumnFormula array="1">Common_InputFunctions.Utility_DisplayArrayInTable(SourceData_Dairy.SourceData_Dairy_NitrousOxideEFsAndFracGASM_Data(), Table_SourceData_Dairy_EFmFracGASM[[#Headers],[MMS m]], 0)</calculatedColumnFormula>
    </tableColumn>
    <tableColumn id="2" xr3:uid="{CAF6BA26-9FD2-4C03-A95C-4ABE5F18A7BA}" name="EFm" dataDxfId="346" dataCellStyle="Content normal">
      <calculatedColumnFormula array="1">Common_InputFunctions.Utility_DisplayArrayInTable(SourceData_Dairy.SourceData_Dairy_NitrousOxideEFsAndFracGASM_Data(), Table_SourceData_Dairy_EFmFracGASM[[#Headers],[MMS m]], 0)</calculatedColumnFormula>
    </tableColumn>
    <tableColumn id="3" xr3:uid="{1AC73C4C-4BE9-44DB-94B5-17AE33DBDA7D}" name="FracGASMm" dataDxfId="345" dataCellStyle="Content normal">
      <calculatedColumnFormula array="1">Common_InputFunctions.Utility_DisplayArrayInTable(SourceData_Dairy.SourceData_Dairy_NitrousOxideEFsAndFracGASM_Data(), Table_SourceData_Dairy_EFmFracGASM[[#Headers],[MMS m]], 0)</calculatedColumnFormula>
    </tableColumn>
    <tableColumn id="4" xr3:uid="{AAD3165A-2A08-4F5F-9A35-AB5E5068C0A3}" name="NIR reference" dataDxfId="344"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136519F-C4CF-43BC-981B-FDBD9E1EDECE}"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ED762FD5-891D-4A0A-8C14-374A0952319B}"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71FFD663-2DBF-4690-9F8B-00A16BB41F95}" name="MPW ENTERIC" dataDxfId="343"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CA130DD-AC79-426D-9A8E-9CDE67916E5E}"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079BA9E9-3F78-42EB-A03A-0A43E2D3217C}" name="Animal class j">
      <calculatedColumnFormula array="1">Common_InputFunctions.Utility_DisplayArrayInTable(SourceData_Dairy.SourceData_Dairy_IncreasedMetabolicRateMilk_Data(), Table_SourceData_Dairy_MRj[[#Headers],[Animal class j]], 0)</calculatedColumnFormula>
    </tableColumn>
    <tableColumn id="2" xr3:uid="{36D56421-22AA-4BC8-8A92-86EC05920287}" name="MRj" dataDxfId="342"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A422400-8F4E-4193-ADB7-566FB45D4742}"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14AD4F2A-1693-4313-A834-3006DC722404}" name="Area">
      <calculatedColumnFormula array="1">Common_InputFunctions.Utility_DisplayArrayInTable(SourceData_Dairy.SourceData_Dairy_FractionVolatileSolidsVoidedMMS_Data(), Table_SourceData_Dairy_ProductionSystemTemplates[[#Headers],[Area]], 0)</calculatedColumnFormula>
    </tableColumn>
    <tableColumn id="2" xr3:uid="{AC5ABCB4-A776-4271-9223-D0FAF1853729}" name="Pasture" dataDxfId="34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5FADC77B-C664-476B-8557-AA1DEA4C42DF}" name="Milking shed" dataDxfId="34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1C8D08E6-9A46-4258-A6D0-24120206F7DA}" name="Feedpad" dataDxfId="33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CA6E766E-E55C-4125-8023-1BE962975121}"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F657044F-B0F1-4360-A2CB-E6BC8150A0F9}" name="MMS m">
      <calculatedColumnFormula array="1">Common_InputFunctions.Utility_DisplayArrayInTable(SourceData_Dairy.SourceData_Dairy_EFNitrousOxidePerMMS_Data(), Table_SourceData_Dairy_EFm[[#Headers],[MMS m]], 0)</calculatedColumnFormula>
    </tableColumn>
    <tableColumn id="2" xr3:uid="{3D4889FB-49A6-4FE7-AC90-FE0A1D541DFE}" name="EFm" dataDxfId="338" dataCellStyle="Content normal">
      <calculatedColumnFormula array="1">Common_InputFunctions.Utility_DisplayArrayInTable(SourceData_Dairy.SourceData_Dairy_EFNitrousOxidePerMMS_Data(), Table_SourceData_Dairy_EFm[[#Headers],[MMS m]], 0)</calculatedColumnFormula>
    </tableColumn>
    <tableColumn id="3" xr3:uid="{BCCDC427-C7CF-42A0-AEE8-1A1CEFB4FD09}" name="NIR reference" dataDxfId="337"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EB0E0B1B-E5CC-4132-A788-90C1BEC9878C}"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15524E6-C407-4DDE-855E-7EB42EA7FC33}" name="Animal class j">
      <calculatedColumnFormula array="1">Common_InputFunctions.Utility_DisplayArrayInTable(SourceData_Dairy.SourceData_Dairy_DurationOfStay_Data(), Table_SourceData_Dairy_Duration[[#Headers],[Animal class j]], 0)</calculatedColumnFormula>
    </tableColumn>
    <tableColumn id="2" xr3:uid="{9B0DE16F-85E8-4A44-88B6-FAA0D0244022}" name="Duration (weaned)" dataDxfId="336" dataCellStyle="Content normal">
      <calculatedColumnFormula array="1">Common_InputFunctions.Utility_DisplayArrayInTable(SourceData_Dairy.SourceData_Dairy_DurationOfStay_Data(), Table_SourceData_Dairy_Duration[[#Headers],[Animal class j]], 0)</calculatedColumnFormula>
    </tableColumn>
    <tableColumn id="3" xr3:uid="{666982F0-1A39-4F01-B53C-66D5F5A2A91B}" name="Duration (pre-weaned)" dataDxfId="335"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F8E908C-6438-481C-BC97-2C13FB206821}" name="Table_LivestockClasses_Dairy" displayName="Table_LivestockClasses_Dairy" ref="L7:L12" totalsRowShown="0">
  <autoFilter ref="L7:L12" xr:uid="{F006A23F-3930-4C16-9B92-37DD408BCC17}">
    <filterColumn colId="0" hiddenButton="1"/>
  </autoFilter>
  <tableColumns count="1">
    <tableColumn id="1" xr3:uid="{1EA047EE-C31F-4A67-BC63-16B9923C66B9}" name="Livestock class"/>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2382DEE1-52A4-4E54-922D-7927390AAD9A}"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CAE8F61-E0C1-46CF-9CC9-B23EDB6E015D}" name="Crop type">
      <calculatedColumnFormula array="1">Common_InputFunctions.Utility_DisplayArrayInTable(Agresidue_SourceData.CropAttributes_Data(),Table_SourceData_CropAttributes[[#Headers],[Crop type]], -1)</calculatedColumnFormula>
    </tableColumn>
    <tableColumn id="2" xr3:uid="{CE4C96FC-E12B-4837-89E4-90CAA51BE18F}" name="Residue: Crop ratio">
      <calculatedColumnFormula array="1">Common_InputFunctions.Utility_DisplayArrayInTable(Agresidue_SourceData.CropAttributes_Data(),Table_SourceData_CropAttributes[[#Headers],[Crop type]], -1)</calculatedColumnFormula>
    </tableColumn>
    <tableColumn id="3" xr3:uid="{C39CCD81-B825-4789-866B-B4F71AF0D2F1}" name="Below-ground: above-ground residue ratio">
      <calculatedColumnFormula array="1">Common_InputFunctions.Utility_DisplayArrayInTable(Agresidue_SourceData.CropAttributes_Data(),Table_SourceData_CropAttributes[[#Headers],[Crop type]], -1)</calculatedColumnFormula>
    </tableColumn>
    <tableColumn id="4" xr3:uid="{CC4C602E-36A1-44DA-B779-B19871665EA3}" name="Dry matter content">
      <calculatedColumnFormula array="1">Common_InputFunctions.Utility_DisplayArrayInTable(Agresidue_SourceData.CropAttributes_Data(),Table_SourceData_CropAttributes[[#Headers],[Crop type]], -1)</calculatedColumnFormula>
    </tableColumn>
    <tableColumn id="5" xr3:uid="{189F8E6A-AC54-493C-881E-7BECF94CBA00}" name="Carbon fraction in dry matter">
      <calculatedColumnFormula array="1">Common_InputFunctions.Utility_DisplayArrayInTable(Agresidue_SourceData.CropAttributes_Data(),Table_SourceData_CropAttributes[[#Headers],[Crop type]], -1)</calculatedColumnFormula>
    </tableColumn>
    <tableColumn id="6" xr3:uid="{7C2EC879-49BE-4DA3-B430-FCC7279B3F89}" name="N content above-ground">
      <calculatedColumnFormula array="1">Common_InputFunctions.Utility_DisplayArrayInTable(Agresidue_SourceData.CropAttributes_Data(),Table_SourceData_CropAttributes[[#Headers],[Crop type]], -1)</calculatedColumnFormula>
    </tableColumn>
    <tableColumn id="7" xr3:uid="{DD1EE905-964C-4505-9869-24F3377B48EC}" name="N content below-ground">
      <calculatedColumnFormula array="1">Common_InputFunctions.Utility_DisplayArrayInTable(Agresidue_SourceData.CropAttributes_Data(),Table_SourceData_CropAttributes[[#Headers],[Crop type]], -1)</calculatedColumnFormula>
    </tableColumn>
    <tableColumn id="8" xr3:uid="{7BF4F743-C32E-4CDF-8BCE-08978511CF75}"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7779F5E3-BB67-4587-AB4B-165F3C092E57}"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42CBFD36-55EC-46C3-9180-1A04C1F7F5D8}" name="Table76" displayName="Table76" ref="D73:F89" totalsRowShown="0">
  <autoFilter ref="D73:F89" xr:uid="{7CD0B032-9881-4EF1-81E3-483C7C16D9D0}">
    <filterColumn colId="0" hiddenButton="1"/>
    <filterColumn colId="1" hiddenButton="1"/>
    <filterColumn colId="2" hiddenButton="1"/>
  </autoFilter>
  <tableColumns count="3">
    <tableColumn id="1" xr3:uid="{4814F18F-4FAA-4397-9A85-133643298429}" name="Crop type c">
      <calculatedColumnFormula array="1">Common_InputFunctions.Utility_DisplayArrayInTable(Agresidue_SourceData.CropFractionRemoved_Data(), Table76[[#Headers],[Crop type c]], 0)</calculatedColumnFormula>
    </tableColumn>
    <tableColumn id="2" xr3:uid="{7A094EF9-0318-4030-8A92-A259EA072018}" name="State" dataDxfId="334">
      <calculatedColumnFormula array="1">Common_InputFunctions.Utility_DisplayArrayInTable(Agresidue_SourceData.CropFractionRemoved_Data(), Table76[[#Headers],[Crop type c]], 0)</calculatedColumnFormula>
    </tableColumn>
    <tableColumn id="3" xr3:uid="{229470BA-9B2E-4CBB-9B6C-823584F4A233}" name="Fraction removed" dataDxfId="333">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37C9B8E-D352-457E-8997-C854D629883C}" name="Table77" displayName="Table77" ref="D92:F235" totalsRowShown="0">
  <autoFilter ref="D92:F235" xr:uid="{1FA7CC86-1C1E-41FA-9AA1-AAD48AA2EEF0}">
    <filterColumn colId="0" hiddenButton="1"/>
    <filterColumn colId="1" hiddenButton="1"/>
    <filterColumn colId="2" hiddenButton="1"/>
  </autoFilter>
  <tableColumns count="3">
    <tableColumn id="1" xr3:uid="{40CA8FAF-1D45-413A-B13F-3C4A245BA6D4}" name="Crop type c">
      <calculatedColumnFormula array="1">Common_InputFunctions.Utility_DisplayArrayInTable(Agresidue_SourceData.CropFractionRemoved_CustomisedData(), Table77[[#Headers],[Crop type c]], 0)</calculatedColumnFormula>
    </tableColumn>
    <tableColumn id="2" xr3:uid="{EF50D323-4FA6-4FC7-81F8-1F978F1AABA8}" name="State" dataDxfId="332">
      <calculatedColumnFormula array="1">Common_InputFunctions.Utility_DisplayArrayInTable(Agresidue_SourceData.CropFractionRemoved_CustomisedData(), Table77[[#Headers],[Crop type c]], 0)</calculatedColumnFormula>
    </tableColumn>
    <tableColumn id="3" xr3:uid="{B9B1CB4A-F383-4CD2-824F-1A153EBAC247}" name="Fraction removed" dataDxfId="331">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66A06341-D4A2-41DA-92D6-D3258E5D8418}" name="Table_SourceData_N2OEFOrganicFert" displayName="Table_SourceData_N2OEFOrganicFert" ref="D43:E45" totalsRowShown="0" dataDxfId="330" dataCellStyle="Content bold">
  <autoFilter ref="D43:E45" xr:uid="{2270AB6D-D03A-4D71-95C0-00BA6BB02732}">
    <filterColumn colId="0" hiddenButton="1"/>
    <filterColumn colId="1" hiddenButton="1"/>
  </autoFilter>
  <tableColumns count="2">
    <tableColumn id="1" xr3:uid="{E6F200EC-0321-4498-A7C5-F4969C32E51D}" name="Climate zone type i" dataDxfId="329" dataCellStyle="Content bold">
      <calculatedColumnFormula array="1">Common_InputFunctions.Utility_DisplayArrayInTable(Agresidue_SourceData.N2OEFOrganicFertiliser_Data(), Table_SourceData_N2OEFOrganicFert[[#Headers],[Climate zone type i]], 0)</calculatedColumnFormula>
    </tableColumn>
    <tableColumn id="2" xr3:uid="{B4DE5F11-F6AC-44CC-81B1-E4C5B0F8F4FA}" name="EF i N2O" dataDxfId="328"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9EF8C8BB-2D9A-4F27-B606-8A1FEC07CEFB}" name="Table_SourceData_PastureAttributes" displayName="Table_SourceData_PastureAttributes" ref="D51:I56" totalsRowShown="0" dataDxfId="327"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EF6379B4-3597-4B0C-B046-DC6BCDAD03C1}" name="Pasture type" dataDxfId="326" dataCellStyle="Content normal">
      <calculatedColumnFormula array="1">Common_InputFunctions.Utility_DisplayArrayInTable(Agresidue_SourceData.PastureAttributes_Data(), Table_SourceData_PastureAttributes[[#Headers],[Pasture type]], 0)</calculatedColumnFormula>
    </tableColumn>
    <tableColumn id="2" xr3:uid="{9DD9F655-97F6-4466-B7DD-2128106493FB}" name="Average Yield (t DM ha) Yp" dataDxfId="325" dataCellStyle="Content normal">
      <calculatedColumnFormula array="1">Common_InputFunctions.Utility_DisplayArrayInTable(Agresidue_SourceData.PastureAttributes_Data(), Table_SourceData_PastureAttributes[[#Headers],[Pasture type]], 0)</calculatedColumnFormula>
    </tableColumn>
    <tableColumn id="3" xr3:uid="{F91195BC-2018-4645-AF90-DEC611F7B7E9}" name="Below-ground: above-ground residue ratio RBGp" dataDxfId="324" dataCellStyle="Content normal">
      <calculatedColumnFormula array="1">Common_InputFunctions.Utility_DisplayArrayInTable(Agresidue_SourceData.PastureAttributes_Data(), Table_SourceData_PastureAttributes[[#Headers],[Pasture type]], 0)</calculatedColumnFormula>
    </tableColumn>
    <tableColumn id="4" xr3:uid="{1217063B-8B61-45FC-BB2D-CD0EBF282E58}" name="N content Above-ground NCAGp" dataDxfId="323" dataCellStyle="Content normal">
      <calculatedColumnFormula array="1">Common_InputFunctions.Utility_DisplayArrayInTable(Agresidue_SourceData.PastureAttributes_Data(), Table_SourceData_PastureAttributes[[#Headers],[Pasture type]], 0)</calculatedColumnFormula>
    </tableColumn>
    <tableColumn id="5" xr3:uid="{6F129F42-14BE-4914-8FB9-D4330DFA0C49}" name="N content Below-ground NCBGp" dataDxfId="322" dataCellStyle="Content normal">
      <calculatedColumnFormula array="1">Common_InputFunctions.Utility_DisplayArrayInTable(Agresidue_SourceData.PastureAttributes_Data(), Table_SourceData_PastureAttributes[[#Headers],[Pasture type]], 0)</calculatedColumnFormula>
    </tableColumn>
    <tableColumn id="6" xr3:uid="{6D8D7D95-DA04-45F1-9A27-00F4B34C2AD5}" name="Fraction of pasture yield that is removed FFODp" dataDxfId="321"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9F1CBAB4-B32B-42BC-B2E0-B462E6A7274A}"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D9FB9494-D200-4AF3-871E-8AA341EBE5B2}" name="Gas species">
      <calculatedColumnFormula array="1">Common_InputFunctions.Utility_DisplayArrayInTable(AgResidues_SourceData.BurningOfAgriculturalResiduesEFs_Data(), Table_SourceData_BurningResidueEFs[[#Headers],[Gas species]], 0)</calculatedColumnFormula>
    </tableColumn>
    <tableColumn id="2" xr3:uid="{A7BE8569-D3CF-44CA-900B-786293E9B6DC}" name="Emission factor EFg (Gg element in species/ Gg element in fuel burnt)" dataDxfId="320" dataCellStyle="Content normal">
      <calculatedColumnFormula array="1">Common_InputFunctions.Utility_DisplayArrayInTable(AgResidues_SourceData.BurningOfAgriculturalResiduesEFs_Data(), Table_SourceData_BurningResidueEFs[[#Headers],[Gas species]], 0)</calculatedColumnFormula>
    </tableColumn>
    <tableColumn id="3" xr3:uid="{BF6D3E3E-CD3B-4FEB-B3C2-5BC5FEB6E261}" name="Elemental to molecular mass conversion factor (Cg)" dataDxfId="319"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603C2545-E226-492B-ADED-3A60E40FE06D}" name="Table_SourceData_CropPurposeAndYields" displayName="Table_SourceData_CropPurposeAndYields" ref="D7:K10" totalsRowShown="0" headerRowDxfId="318">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45AA97E-41DF-4E60-8F0B-B9B253194D44}" name="Purpose">
      <calculatedColumnFormula array="1">Common_InputFunctions.Utility_DisplayArrayInTable(Agresidue_SourceData.CropPurposeAndYield_Data(), Table_SourceData_CropPurposeAndYields[[#Headers],[Purpose]], 0)</calculatedColumnFormula>
    </tableColumn>
    <tableColumn id="2" xr3:uid="{C466F3AE-C30E-4E53-8A4A-ED912FF8DC10}" name="Per hectare unit">
      <calculatedColumnFormula array="1">Common_InputFunctions.Utility_DisplayArrayInTable(Agresidue_SourceData.CropPurposeAndYield_Data(), Table_SourceData_CropPurposeAndYields[[#Headers],[Purpose]], 0)</calculatedColumnFormula>
    </tableColumn>
    <tableColumn id="3" xr3:uid="{B52B2473-4139-492B-8F0B-2DEEA4CAE11D}" name="harvest term">
      <calculatedColumnFormula array="1">Common_InputFunctions.Utility_DisplayArrayInTable(Agresidue_SourceData.CropPurposeAndYield_Data(), Table_SourceData_CropPurposeAndYields[[#Headers],[Purpose]], 0)</calculatedColumnFormula>
    </tableColumn>
    <tableColumn id="4" xr3:uid="{5203971D-4368-4792-B34F-AC8916B0EBF7}" name="harvest endpoint">
      <calculatedColumnFormula array="1">Common_InputFunctions.Utility_DisplayArrayInTable(Agresidue_SourceData.CropPurposeAndYield_Data(), Table_SourceData_CropPurposeAndYields[[#Headers],[Purpose]], 0)</calculatedColumnFormula>
    </tableColumn>
    <tableColumn id="5" xr3:uid="{55E6611E-E938-4C55-9ECB-8CC94C330865}" name="Harvest uit">
      <calculatedColumnFormula array="1">Common_InputFunctions.Utility_DisplayArrayInTable(Agresidue_SourceData.CropPurposeAndYield_Data(), Table_SourceData_CropPurposeAndYields[[#Headers],[Purpose]], 0)</calculatedColumnFormula>
    </tableColumn>
    <tableColumn id="6" xr3:uid="{B655A293-D4E9-4A59-B1C5-3D4B77684E3A}" name="Yield note">
      <calculatedColumnFormula array="1">Common_InputFunctions.Utility_DisplayArrayInTable(Agresidue_SourceData.CropPurposeAndYield_Data(), Table_SourceData_CropPurposeAndYields[[#Headers],[Purpose]], 0)</calculatedColumnFormula>
    </tableColumn>
    <tableColumn id="8" xr3:uid="{F19B12CA-1DFE-4C5E-85AB-FC6B7D0012EA}" name="Residue crop ratio note">
      <calculatedColumnFormula array="1">Common_InputFunctions.Utility_DisplayArrayInTable(Agresidue_SourceData.CropPurposeAndYield_Data(), Table_SourceData_CropPurposeAndYields[[#Headers],[Purpose]], 0)</calculatedColumnFormula>
    </tableColumn>
    <tableColumn id="9" xr3:uid="{F2A96DE8-9E92-4450-8911-9884344E32AF}"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38D52B26-B515-4D45-933F-A78F5C5B37CF}" name="Table_SourceData_Fertiliser_IrrigationMethods78" displayName="Table_SourceData_Fertiliser_IrrigationMethods78" ref="N21:N26" totalsRowShown="0">
  <autoFilter ref="N21:N26" xr:uid="{1AC5909E-E06C-4A79-81E9-C25A0B6D9E90}">
    <filterColumn colId="0" hiddenButton="1"/>
  </autoFilter>
  <tableColumns count="1">
    <tableColumn id="1" xr3:uid="{F38982CE-A64C-46A4-BBBC-1D166B1BD142}" name="Irrigation method"/>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11679464-A962-4F79-BD13-233AB6BC755A}"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07F4F79A-7413-4868-B2D0-35473CCE0E44}" name="Symbol">
      <calculatedColumnFormula array="1">Common_InputFunctions.Utility_DisplayArrayInTable(CommonLivestock_SourceData.SourceData_Livestock_Common_SymbolsMMS_Data(), Table_Data_MMSSymbols[[#Headers],[Symbol]], 0)</calculatedColumnFormula>
    </tableColumn>
    <tableColumn id="2" xr3:uid="{A448089D-D02D-494A-8110-97AD6CDC7D97}" name="Manure management system">
      <calculatedColumnFormula array="1">Common_InputFunctions.Utility_DisplayArrayInTable(CommonLivestock_SourceData.SourceData_Livestock_Common_SymbolsMMS_Data(), Table_Data_MMSSymbols[[#Headers],[Symbol]], 0)</calculatedColumnFormula>
    </tableColumn>
    <tableColumn id="3" xr3:uid="{C677AE8A-0442-4CF0-947D-19A4D10CC95B}"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8581267-1123-41E5-BC49-672B3FFDC3D6}" name="Table_SourceData_ElectricityEFs" displayName="Table_SourceData_ElectricityEFs" ref="D9:F19" totalsRowShown="0" headerRowDxfId="317">
  <autoFilter ref="D9:F19" xr:uid="{3144A982-7A4D-4CF2-8790-1A30DAE3E0A4}">
    <filterColumn colId="0" hiddenButton="1"/>
    <filterColumn colId="1" hiddenButton="1"/>
    <filterColumn colId="2" hiddenButton="1"/>
  </autoFilter>
  <tableColumns count="3">
    <tableColumn id="1" xr3:uid="{F1BA26C2-3246-41B1-A940-F15285DDE23D}"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A8BD8B2F-AFC1-4654-B3B6-41FBCB7B4E02}"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F73044FB-FB84-467E-8F4C-BDA07B24BC3A}"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6D1256A-C573-4062-BB67-886552CE536F}"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68E01144-DEFB-42F1-ABA8-12EF59E3B19E}"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ECF943E1-1C33-4D81-9484-59721C09E0ED}"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A7E73CA7-9D71-48CD-8D5C-8E5AC6DB6F94}"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64A94804-BF00-4313-B35F-979007906596}"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116F619D-8964-467B-A635-CD19866D0CAB}"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2A77D55-0D3F-480E-8C6D-49599318606F}"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987BC57-9202-42B8-BD20-03C37453A74B}"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97BA3525-1EDB-4DF7-B89B-72FC8D371B26}" name="FNinorganic f">
      <calculatedColumnFormula array="1">Common_InputFunctions.Utility_DisplayArrayInTable(Fertiliser_SourceData.Fertiliser_ChemicalCompoundElements_Data(),Table_Fertiliser_ChemicalCompounds[[#Headers],[Fertiliser type f]], 0)</calculatedColumnFormula>
    </tableColumn>
    <tableColumn id="3" xr3:uid="{403AB0D8-1DA6-4E41-BA97-595FDCADA703}" name="FU f">
      <calculatedColumnFormula array="1">Common_InputFunctions.Utility_DisplayArrayInTable(Fertiliser_SourceData.Fertiliser_ChemicalCompoundElements_Data(),Table_Fertiliser_ChemicalCompounds[[#Headers],[Fertiliser type f]], 0)</calculatedColumnFormula>
    </tableColumn>
    <tableColumn id="4" xr3:uid="{27848E7E-8281-400E-9A3B-B3C64E258F01}" name="Basis">
      <calculatedColumnFormula array="1">Common_InputFunctions.Utility_DisplayArrayInTable(Fertiliser_SourceData.Fertiliser_ChemicalCompoundElements_Data(),Table_Fertiliser_ChemicalCompounds[[#Headers],[Fertiliser type f]], 0)</calculatedColumnFormula>
    </tableColumn>
    <tableColumn id="5" xr3:uid="{D491A3D5-A18E-43A4-81B2-9117C676683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0D1BDAD6-5EC4-4E37-A84F-87560DAE908A}"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931A8C5-A794-4AA9-BE7A-D944FDE46768}"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11E4E49F-5F1B-4681-85B2-BE1AF8804314}" name="Include or Exclude" dataDxfId="316" totalsRowDxfId="315">
      <calculatedColumnFormula array="1">Common_InputFunctions.Utility_DisplayArrayInTable(Fertiliser_SourceData.Fertiliser_Products_Data1(),FertiliserProducts[[#Headers],[Include or Exclude]], -1)</calculatedColumnFormula>
    </tableColumn>
    <tableColumn id="2" xr3:uid="{349A7592-B699-4924-A284-A8284627C722}" name="Notes" dataDxfId="314" totalsRowDxfId="313">
      <calculatedColumnFormula array="1">Common_InputFunctions.Utility_DisplayArrayInTable(Fertiliser_SourceData.Fertiliser_Products_Data1(),FertiliserProducts[[#Headers],[Include or Exclude]], 0)</calculatedColumnFormula>
    </tableColumn>
    <tableColumn id="3" xr3:uid="{A8DF237A-DA14-4B80-AF45-631E03444F13}" name="Company" dataDxfId="312" totalsRowDxfId="311">
      <calculatedColumnFormula array="1">Common_InputFunctions.Utility_DisplayArrayInTable(Fertiliser_SourceData.Fertiliser_Products_Data1(),FertiliserProducts[[#Headers],[Include or Exclude]], 0)</calculatedColumnFormula>
    </tableColumn>
    <tableColumn id="4" xr3:uid="{49FD3D2E-2B3F-4BDC-8F94-8C4386320C47}" name="Product name" dataDxfId="310" totalsRowDxfId="309">
      <calculatedColumnFormula array="1">Common_InputFunctions.Utility_DisplayArrayInTable(Fertiliser_SourceData.Fertiliser_Products_Data1(),FertiliserProducts[[#Headers],[Include or Exclude]], 0)</calculatedColumnFormula>
    </tableColumn>
    <tableColumn id="5" xr3:uid="{44590E96-F930-444A-B960-53F283037270}" name="Unit" dataDxfId="308" totalsRowDxfId="307">
      <calculatedColumnFormula array="1">Common_InputFunctions.Utility_DisplayArrayInTable(Fertiliser_SourceData.Fertiliser_Products_Data1(),FertiliserProducts[[#Headers],[Include or Exclude]], 0,4)</calculatedColumnFormula>
    </tableColumn>
    <tableColumn id="6" xr3:uid="{37497D69-B69C-44AF-956A-E6EA2F646A86}" name="Density / gravity" dataDxfId="306" totalsRowDxfId="305">
      <calculatedColumnFormula array="1">Common_InputFunctions.Utility_DisplayArrayInTable(Fertiliser_SourceData.Fertiliser_Products_Data1(),FertiliserProducts[[#Headers],[Include or Exclude]], 0,4)</calculatedColumnFormula>
    </tableColumn>
    <tableColumn id="7" xr3:uid="{C317384C-8DAC-423F-8382-82722E69AFC6}" name="Urea source" dataDxfId="304" totalsRowDxfId="303">
      <calculatedColumnFormula array="1">Common_InputFunctions.Utility_DisplayArrayInTable(Fertiliser_SourceData.Fertiliser_Products_Data1(),FertiliserProducts[[#Headers],[Include or Exclude]], 0,4)</calculatedColumnFormula>
    </tableColumn>
    <tableColumn id="8" xr3:uid="{A481F883-CFF0-4C39-9E5E-2F72D77E8697}" name="Ammonia source" dataDxfId="302" totalsRowDxfId="301">
      <calculatedColumnFormula array="1">Common_InputFunctions.Utility_DisplayArrayInTable(Fertiliser_SourceData.Fertiliser_Products_Data1(),FertiliserProducts[[#Headers],[Include or Exclude]], 0,4)</calculatedColumnFormula>
    </tableColumn>
    <tableColumn id="9" xr3:uid="{6A289F85-B0DC-48F3-B83E-3E750880EB3A}" name="Ingredient 1" dataDxfId="300" totalsRowDxfId="299">
      <calculatedColumnFormula array="1">Common_InputFunctions.Utility_DisplayArrayInTable(Fertiliser_SourceData.Fertiliser_Products_Data1(),FertiliserProducts[[#Headers],[Include or Exclude]], 0,4)</calculatedColumnFormula>
    </tableColumn>
    <tableColumn id="10" xr3:uid="{7083C422-0353-4C4C-A7E9-31C31C6E2C84}" name="Ingredient 1 percent" dataDxfId="298" totalsRowDxfId="297">
      <calculatedColumnFormula array="1">Common_InputFunctions.Utility_DisplayArrayInTable(Fertiliser_SourceData.Fertiliser_Products_Data1(),FertiliserProducts[[#Headers],[Include or Exclude]], 0,4)</calculatedColumnFormula>
    </tableColumn>
    <tableColumn id="11" xr3:uid="{D8B17AEB-A50E-41DC-83EF-FC163181F80B}" name="Ingredient 2" dataDxfId="296" totalsRowDxfId="295">
      <calculatedColumnFormula array="1">Common_InputFunctions.Utility_DisplayArrayInTable(Fertiliser_SourceData.Fertiliser_Products_Data1(),FertiliserProducts[[#Headers],[Include or Exclude]], 0,4)</calculatedColumnFormula>
    </tableColumn>
    <tableColumn id="12" xr3:uid="{903C6667-0CB7-42D3-9EBC-6A8D06C42D84}" name="Ingredient 2 percent" dataDxfId="294" totalsRowDxfId="293">
      <calculatedColumnFormula array="1">Common_InputFunctions.Utility_DisplayArrayInTable(Fertiliser_SourceData.Fertiliser_Products_Data1(),FertiliserProducts[[#Headers],[Include or Exclude]], 0,4)</calculatedColumnFormula>
    </tableColumn>
    <tableColumn id="13" xr3:uid="{C840445D-D478-4431-87B6-3A394584A42A}" name="Ingredient 3" dataDxfId="292" totalsRowDxfId="291">
      <calculatedColumnFormula array="1">Common_InputFunctions.Utility_DisplayArrayInTable(Fertiliser_SourceData.Fertiliser_Products_Data1(),FertiliserProducts[[#Headers],[Include or Exclude]], 0,4)</calculatedColumnFormula>
    </tableColumn>
    <tableColumn id="14" xr3:uid="{B5218DD5-36CD-4CA6-A47D-D03B706898E5}" name="Ingredient 3 percent" dataDxfId="290" totalsRowDxfId="289">
      <calculatedColumnFormula array="1">Common_InputFunctions.Utility_DisplayArrayInTable(Fertiliser_SourceData.Fertiliser_Products_Data1(),FertiliserProducts[[#Headers],[Include or Exclude]], 0,4)</calculatedColumnFormula>
    </tableColumn>
    <tableColumn id="15" xr3:uid="{06323849-0828-4A18-B4B1-CFCE041639E1}" name="Ingredient 4" dataDxfId="288" totalsRowDxfId="287">
      <calculatedColumnFormula array="1">Common_InputFunctions.Utility_DisplayArrayInTable(Fertiliser_SourceData.Fertiliser_Products_Data1(),FertiliserProducts[[#Headers],[Include or Exclude]], 0,4)</calculatedColumnFormula>
    </tableColumn>
    <tableColumn id="16" xr3:uid="{28AD3194-4512-4FC6-A87E-D48C5446B751}" name="Ingredient 4 percent" dataDxfId="286" totalsRowDxfId="285">
      <calculatedColumnFormula array="1">Common_InputFunctions.Utility_DisplayArrayInTable(Fertiliser_SourceData.Fertiliser_Products_Data1(),FertiliserProducts[[#Headers],[Include or Exclude]], 0,4)</calculatedColumnFormula>
    </tableColumn>
    <tableColumn id="17" xr3:uid="{15761FE1-91A7-4C6B-ACD8-DEAE7D49D7C4}" name="Ingredient 5" dataDxfId="284" totalsRowDxfId="283">
      <calculatedColumnFormula array="1">Common_InputFunctions.Utility_DisplayArrayInTable(Fertiliser_SourceData.Fertiliser_Products_Data1(),FertiliserProducts[[#Headers],[Include or Exclude]], 0,4)</calculatedColumnFormula>
    </tableColumn>
    <tableColumn id="18" xr3:uid="{977F522D-7B47-486E-AB6A-00E2D166D493}" name="Ingredient 5 percent" dataDxfId="282" totalsRowDxfId="281">
      <calculatedColumnFormula array="1">Common_InputFunctions.Utility_DisplayArrayInTable(Fertiliser_SourceData.Fertiliser_Products_Data1(),FertiliserProducts[[#Headers],[Include or Exclude]], 0,4)</calculatedColumnFormula>
    </tableColumn>
    <tableColumn id="19" xr3:uid="{CB9F581D-11FC-405B-926E-CFD3D6B1576E}" name="Ingredient 6" dataDxfId="280" totalsRowDxfId="279">
      <calculatedColumnFormula array="1">Common_InputFunctions.Utility_DisplayArrayInTable(Fertiliser_SourceData.Fertiliser_Products_Data1(),FertiliserProducts[[#Headers],[Include or Exclude]], 0,4)</calculatedColumnFormula>
    </tableColumn>
    <tableColumn id="37" xr3:uid="{2C3C7628-FAAB-47B3-908F-B99BD326657D}" name="Ingredient 6 percent" dataDxfId="278" totalsRowDxfId="277">
      <calculatedColumnFormula array="1">Common_InputFunctions.Utility_DisplayArrayInTable(Fertiliser_SourceData.Fertiliser_Products_Data1(),FertiliserProducts[[#Headers],[Include or Exclude]], 0,4)</calculatedColumnFormula>
    </tableColumn>
    <tableColumn id="20" xr3:uid="{E39EA5A6-1015-48B5-BAC6-8F5EF164A22A}" name="Ingredient 7" dataDxfId="276">
      <calculatedColumnFormula array="1">Common_InputFunctions.Utility_DisplayArrayInTable(Fertiliser_SourceData.Fertiliser_Products_Data1(),FertiliserProducts[[#Headers],[Include or Exclude]], 0,4)</calculatedColumnFormula>
    </tableColumn>
    <tableColumn id="24" xr3:uid="{98CD04C2-8EA2-4528-BCD4-DC66FD66BC4E}" name="Ingredient 7 percent" dataDxfId="275">
      <calculatedColumnFormula array="1">Common_InputFunctions.Utility_DisplayArrayInTable(Fertiliser_SourceData.Fertiliser_Products_Data1(),FertiliserProducts[[#Headers],[Include or Exclude]], 0,4)</calculatedColumnFormula>
    </tableColumn>
    <tableColumn id="23" xr3:uid="{DD012419-602C-4441-B67E-9CC45D4710E7}" name="Ingredient 8" dataDxfId="274">
      <calculatedColumnFormula array="1">Common_InputFunctions.Utility_DisplayArrayInTable(Fertiliser_SourceData.Fertiliser_Products_Data1(),FertiliserProducts[[#Headers],[Include or Exclude]], 0,4)</calculatedColumnFormula>
    </tableColumn>
    <tableColumn id="26" xr3:uid="{FF383B38-3EB6-4C44-8869-7E83120B4558}" name="Ingredient 8 percent" dataDxfId="273">
      <calculatedColumnFormula array="1">Common_InputFunctions.Utility_DisplayArrayInTable(Fertiliser_SourceData.Fertiliser_Products_Data1(),FertiliserProducts[[#Headers],[Include or Exclude]], 0,4)</calculatedColumnFormula>
    </tableColumn>
    <tableColumn id="25" xr3:uid="{521FC1CE-1BB0-4823-92E1-3E2C1532B33D}" name="Ingredient 9" dataDxfId="272">
      <calculatedColumnFormula array="1">Common_InputFunctions.Utility_DisplayArrayInTable(Fertiliser_SourceData.Fertiliser_Products_Data1(),FertiliserProducts[[#Headers],[Include or Exclude]], 0,4)</calculatedColumnFormula>
    </tableColumn>
    <tableColumn id="30" xr3:uid="{B9C8305E-9F7F-4207-A8ED-F6F59C5E30D7}" name="Ingredient 9 percent" dataDxfId="271">
      <calculatedColumnFormula array="1">Common_InputFunctions.Utility_DisplayArrayInTable(Fertiliser_SourceData.Fertiliser_Products_Data1(),FertiliserProducts[[#Headers],[Include or Exclude]], 0,4)</calculatedColumnFormula>
    </tableColumn>
    <tableColumn id="29" xr3:uid="{F352E5A0-D8BF-49AB-9517-A0135559A810}" name="Imngredient 10" dataDxfId="270">
      <calculatedColumnFormula array="1">Common_InputFunctions.Utility_DisplayArrayInTable(Fertiliser_SourceData.Fertiliser_Products_Data1(),FertiliserProducts[[#Headers],[Include or Exclude]], 0,4)</calculatedColumnFormula>
    </tableColumn>
    <tableColumn id="28" xr3:uid="{4E219CA0-289E-473C-A758-AA6BAE5D10A3}" name="Ingredient 10 percent" dataDxfId="269">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5297669-76D0-4A1C-BFDE-316FCE214C9A}"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3D87B4E6-65EA-4B5C-A052-627556F9D29C}" name="Fertiliser type f">
      <calculatedColumnFormula array="1">Common_InputFunctions.Utility_DisplayArrayInTable(Fertiliser_SourceData.Fertiliser_FracGASF_Data(), Table_SourceData_Fertiliser_FracGASF[[#Headers],[Fertiliser type f]], 0)</calculatedColumnFormula>
    </tableColumn>
    <tableColumn id="2" xr3:uid="{C9BE25D7-E377-4E59-83C5-DA71F027C5BB}" name="FracGASF f" dataDxfId="26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CB2624E-1354-4549-9995-B561F86A2124}" name="Table_SourceData_Fertiliser_CropProdSystems" displayName="Table_SourceData_Fertiliser_CropProdSystems" ref="D41:D43" totalsRowShown="0">
  <autoFilter ref="D41:D43" xr:uid="{24F3A11E-40F5-4BB9-BFF4-A71FA2ADA0EF}">
    <filterColumn colId="0" hiddenButton="1"/>
  </autoFilter>
  <tableColumns count="1">
    <tableColumn id="1" xr3:uid="{B499980B-9EF3-4F42-AF50-DC5E4B0BFE13}" name="Production system">
      <calculatedColumnFormula>#REF!</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8932602-D337-4D22-A326-2233E5FD4A45}"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D29F8E4B-AD7C-487D-9DD7-10F5A2864314}" name="Irrigation method"/>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5296A05-3D03-4116-9F3F-C2BBA86E8262}" name="Table_SourceData_Fertiliser_CropTypes" displayName="Table_SourceData_Fertiliser_CropTypes" ref="F41:F45" totalsRowShown="0">
  <autoFilter ref="F41:F45" xr:uid="{CB5044B5-FA3C-4AA2-B1AB-72F7E61D072F}">
    <filterColumn colId="0" hiddenButton="1"/>
  </autoFilter>
  <tableColumns count="1">
    <tableColumn id="1" xr3:uid="{43F0BC12-42F6-45D6-8DB3-235FDF812548}" name="Production system"/>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55A401A-AF75-4F56-A0AA-58AF6F22469F}" name="Table_SourceData_OrganicFertiliserTypes" displayName="Table_SourceData_OrganicFertiliserTypes" ref="J41:J46" totalsRowShown="0">
  <autoFilter ref="J41:J46" xr:uid="{B44627B1-537E-4ABC-92C3-57282CEE5B40}">
    <filterColumn colId="0" hiddenButton="1"/>
  </autoFilter>
  <tableColumns count="1">
    <tableColumn id="1" xr3:uid="{98399458-C433-4BA5-B21E-F9E148569DAE}" name="Organic fertiliser type"/>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738CDBA-6075-43A1-B56A-15C9D140FBB9}"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72CD2A69-2987-4700-A8B6-8C2008A1489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613FD2E1-E4EF-4CAC-B8DF-EC52252FC69A}" name="P" dataDxfId="26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5471E658-AFD8-4D76-B316-3243BF40D328}" name="EF" dataDxfId="26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8CC42B7-DC46-41FC-A5DB-65D380FFC4C9}" name="Table2" displayName="Table2" ref="K19:L28" totalsRowShown="0" dataDxfId="265" dataCellStyle="Content normal">
  <autoFilter ref="K19:L28" xr:uid="{27B93029-EB1F-4C4A-A946-CD673A8A6C46}">
    <filterColumn colId="0" hiddenButton="1"/>
    <filterColumn colId="1" hiddenButton="1"/>
  </autoFilter>
  <tableColumns count="2">
    <tableColumn id="1" xr3:uid="{31102019-E60F-4877-8F10-B92770F2AD8C}" name="Fertiliser type f" dataDxfId="264" dataCellStyle="Content normal">
      <calculatedColumnFormula array="1">Common_InputFunctions.Utility_DisplayArrayInTable(Fertiliser_SourceData.Fertiliser_FractionNCommonFertilisers_Data(), Table2[[#Headers],[Fertiliser type f]], 0)</calculatedColumnFormula>
    </tableColumn>
    <tableColumn id="2" xr3:uid="{8159E5E5-AED9-4E4F-9399-4C49BBC1C543}" name="FNinorganic f" dataDxfId="26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329F1F-F193-459C-877F-5FC240C390E3}" name="Table28" displayName="Table28" ref="Q19:R28" totalsRowShown="0" dataDxfId="262" dataCellStyle="Content normal">
  <autoFilter ref="Q19:R28" xr:uid="{791CEA59-796C-47AB-86BC-41E8F699030C}">
    <filterColumn colId="0" hiddenButton="1"/>
    <filterColumn colId="1" hiddenButton="1"/>
  </autoFilter>
  <tableColumns count="2">
    <tableColumn id="1" xr3:uid="{7F1B7134-C73B-4EA4-90DD-BDC5091EC5F0}" name="Fertiliser type f" dataDxfId="261" dataCellStyle="Content normal">
      <calculatedColumnFormula array="1">Common_InputFunctions.Utility_DisplayArrayInTable(Fertiliser_SourceData.Fertiliser_FractionUreaCommonFertilisers_Data(), Table28[[#Headers],[Fertiliser type f]], 0)</calculatedColumnFormula>
    </tableColumn>
    <tableColumn id="2" xr3:uid="{51012227-B05B-452F-A1D7-D6534012EF6F}" name="FNinorganic f" dataDxfId="26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4C39866-44F0-445E-A702-6D72B724E9C5}"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1CBD0D30-1462-4DFE-A1E5-77EA8A5FE9AD}"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F76E98A7-E131-41C5-A660-F68D9B8526B8}" name="Table_Fuel_EFs_StationaryLiquid" displayName="Table_Fuel_EFs_StationaryLiquid" ref="D53:K77" totalsRowShown="0" headerRowDxfId="259" dataDxfId="25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C255F14-CC6C-40D4-B56F-FEA46E4D4279}" name="Fuel combusted" dataDxfId="257">
      <calculatedColumnFormula array="1">Common_InputFunctions.Utility_DisplayArrayInTable(Fuel_SourceData.Fuel_Scope1Scope3EmissionFactorsStationaryLiquid_Data(), Table_Fuel_EFs_StationaryLiquid[[#Headers],[Fuel combusted]],0)</calculatedColumnFormula>
    </tableColumn>
    <tableColumn id="2" xr3:uid="{C2930876-8A59-4505-B7BF-7365B1E2EE74}" name="Energy Content Factor (GJ per unit of fuel)" dataDxfId="256">
      <calculatedColumnFormula array="1">Common_InputFunctions.Utility_DisplayArrayInTable(Fuel_SourceData.Fuel_Scope1Scope3EmissionFactorsStationaryLiquid_Data(), Table_Fuel_EFs_StationaryLiquid[[#Headers],[Fuel combusted]],0)</calculatedColumnFormula>
    </tableColumn>
    <tableColumn id="3" xr3:uid="{391421C7-8573-4652-A26F-2CEEFAA2D3CE}" name="Fuel unit" dataDxfId="255">
      <calculatedColumnFormula array="1">Common_InputFunctions.Utility_DisplayArrayInTable(Fuel_SourceData.Fuel_Scope1Scope3EmissionFactorsStationaryLiquid_Data(), Table_Fuel_EFs_StationaryLiquid[[#Headers],[Fuel combusted]],0)</calculatedColumnFormula>
    </tableColumn>
    <tableColumn id="4" xr3:uid="{0BB6857A-4307-419F-AB87-AAFD3653FD50}" name="Scope 1 Emission Factor (kg CO2 - e / GJ) CO2" dataDxfId="254">
      <calculatedColumnFormula array="1">Common_InputFunctions.Utility_DisplayArrayInTable(Fuel_SourceData.Fuel_Scope1Scope3EmissionFactorsStationaryLiquid_Data(), Table_Fuel_EFs_StationaryLiquid[[#Headers],[Fuel combusted]],0)</calculatedColumnFormula>
    </tableColumn>
    <tableColumn id="5" xr3:uid="{1CAE7E49-A3C2-4A38-BF0B-6958C95C6219}" name="Scope 1 Emission Factor (kg CO2 - e / GJ) CH4" dataDxfId="253">
      <calculatedColumnFormula array="1">Common_InputFunctions.Utility_DisplayArrayInTable(Fuel_SourceData.Fuel_Scope1Scope3EmissionFactorsStationaryLiquid_Data(), Table_Fuel_EFs_StationaryLiquid[[#Headers],[Fuel combusted]],0)</calculatedColumnFormula>
    </tableColumn>
    <tableColumn id="6" xr3:uid="{92F137BB-0A8E-4616-BDD9-B299BD30FAC6}" name="Scope 1 Emission Factor (kg CO2 - e / GJ) N2O" dataDxfId="252">
      <calculatedColumnFormula array="1">Common_InputFunctions.Utility_DisplayArrayInTable(Fuel_SourceData.Fuel_Scope1Scope3EmissionFactorsStationaryLiquid_Data(), Table_Fuel_EFs_StationaryLiquid[[#Headers],[Fuel combusted]],0)</calculatedColumnFormula>
    </tableColumn>
    <tableColumn id="7" xr3:uid="{01D92490-29BA-47E4-B3B8-248EFC3670CE}" name="Scope 1 Emission Factor (kg CO2 - e / GJ) Combined gases" dataDxfId="251">
      <calculatedColumnFormula array="1">Common_InputFunctions.Utility_DisplayArrayInTable(Fuel_SourceData.Fuel_Scope1Scope3EmissionFactorsStationaryLiquid_Data(), Table_Fuel_EFs_StationaryLiquid[[#Headers],[Fuel combusted]],0)</calculatedColumnFormula>
    </tableColumn>
    <tableColumn id="8" xr3:uid="{0325A040-9B70-42F0-ACAC-DBF5FC4D4138}" name="Scope 3 Emission Factor (kg CO2 - e / GJ)" dataDxfId="25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69D3C1CB-F024-4411-9BCE-1AAC4F5F819E}" name="Table_Fuel_EFs_Transport" displayName="Table_Fuel_EFs_Transport" ref="D9:L34" totalsRowShown="0" headerRowDxfId="249" dataDxfId="24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CF2D5E9-03FC-4954-87E7-27AE006A9E72}" name="Transport type" dataDxfId="247">
      <calculatedColumnFormula array="1">Common_InputFunctions.Utility_DisplayArrayInTable(Fuel_SourceData.Fuel_Scope1Scope3EmissionFactorsTransport_Data(), Table_Fuel_EFs_Transport[[#Headers],[Transport type]], 0)</calculatedColumnFormula>
    </tableColumn>
    <tableColumn id="2" xr3:uid="{78425FFA-C39A-4F3D-B7CE-F76A28C11DCB}" name="Fuel combusted" dataDxfId="246">
      <calculatedColumnFormula array="1">Common_InputFunctions.Utility_DisplayArrayInTable(Fuel_SourceData.Fuel_Scope1Scope3EmissionFactorsTransport_Data(), Table_Fuel_EFs_Transport[[#Headers],[Transport type]], 0)</calculatedColumnFormula>
    </tableColumn>
    <tableColumn id="3" xr3:uid="{6C88CB08-BDD6-4FB1-9BA5-99E614D635E5}" name="Energy Content Factor (GJ per unit of fuel)" dataDxfId="245">
      <calculatedColumnFormula array="1">Common_InputFunctions.Utility_DisplayArrayInTable(Fuel_SourceData.Fuel_Scope1Scope3EmissionFactorsTransport_Data(), Table_Fuel_EFs_Transport[[#Headers],[Transport type]], 0)</calculatedColumnFormula>
    </tableColumn>
    <tableColumn id="4" xr3:uid="{1336F25A-5994-4F83-BF8E-FC3FDCC22608}" name="Fuel unit" dataDxfId="244">
      <calculatedColumnFormula array="1">Common_InputFunctions.Utility_DisplayArrayInTable(Fuel_SourceData.Fuel_Scope1Scope3EmissionFactorsTransport_Data(), Table_Fuel_EFs_Transport[[#Headers],[Transport type]], 0)</calculatedColumnFormula>
    </tableColumn>
    <tableColumn id="8" xr3:uid="{D3D7A832-A92D-4F11-8403-D701C0B2F193}" name="Scope 1 Emission Factor (kg CO2 - e / GJ) CO2" dataDxfId="243">
      <calculatedColumnFormula array="1">Common_InputFunctions.Utility_DisplayArrayInTable(Fuel_SourceData.Fuel_Scope1Scope3EmissionFactorsTransport_Data(), Table_Fuel_EFs_Transport[[#Headers],[Transport type]], 0)</calculatedColumnFormula>
    </tableColumn>
    <tableColumn id="9" xr3:uid="{FA4FD3A2-FB4D-4E55-B017-430A689B7550}" name="Scope 1 Emission Factor (kg CO2 - e / GJ) CH4" dataDxfId="242">
      <calculatedColumnFormula array="1">Common_InputFunctions.Utility_DisplayArrayInTable(Fuel_SourceData.Fuel_Scope1Scope3EmissionFactorsTransport_Data(), Table_Fuel_EFs_Transport[[#Headers],[Transport type]], 0)</calculatedColumnFormula>
    </tableColumn>
    <tableColumn id="10" xr3:uid="{710F0B6C-E250-42E4-B8F8-BAA37A2B8584}" name="Scope 1 Emission Factor (kg CO2 - e / GJ) N2O" dataDxfId="241">
      <calculatedColumnFormula array="1">Common_InputFunctions.Utility_DisplayArrayInTable(Fuel_SourceData.Fuel_Scope1Scope3EmissionFactorsTransport_Data(), Table_Fuel_EFs_Transport[[#Headers],[Transport type]], 0)</calculatedColumnFormula>
    </tableColumn>
    <tableColumn id="11" xr3:uid="{85CDBCE5-5D6A-4B67-87D3-938CAC6E6A18}" name="Scope 1 Emission Factor (kg CO2 - e / GJ) Combined gases" dataDxfId="240">
      <calculatedColumnFormula array="1">Common_InputFunctions.Utility_DisplayArrayInTable(Fuel_SourceData.Fuel_Scope1Scope3EmissionFactorsTransport_Data(), Table_Fuel_EFs_Transport[[#Headers],[Transport type]], 0)</calculatedColumnFormula>
    </tableColumn>
    <tableColumn id="12" xr3:uid="{4741BB0F-506E-41F1-992D-A5881DF98821}" name="Scope 3 Emission Factor (kg CO2 - e / GJ)" dataDxfId="23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D91B1F4-3B83-4B37-8588-8A6CFDDEF0E1}" name="Table_FuelTypesPerUse" displayName="Table_FuelTypesPerUse" ref="D130:I139" totalsRowShown="0" headerRowDxfId="238" dataDxfId="237">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F3D6F8D1-270E-4191-8623-C253DE850CAC}" name="Generators" dataDxfId="236"/>
    <tableColumn id="2" xr3:uid="{A2EC70FD-8DBE-4BC2-A699-0A8065818CBC}" name="Power standalone machinery or heating" dataDxfId="235"/>
    <tableColumn id="3" xr3:uid="{9B7AB154-FE2A-4BC0-9C54-B41B7627D4AE}" name="Aviation" dataDxfId="234"/>
    <tableColumn id="5" xr3:uid="{C129325A-AE3A-430A-923D-1E6AE4FD7FAA}" name="Cars and light commercial vehicles" dataDxfId="233"/>
    <tableColumn id="7" xr3:uid="{C7302D88-B71A-4F90-8FA9-D7BB4B35F5A5}" name="Off-road Agriculture and forestry equipment" dataDxfId="232" dataCellStyle="Content bold"/>
    <tableColumn id="8" xr3:uid="{1DE75F57-69E3-4F5B-A0AA-5D86EB861E88}" name="Vessels" dataDxfId="231" dataCellStyle="Content bold"/>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CFBDDD04-FBAC-4D2A-B754-7EE24AF8A5E6}" name="Table_Fuel_EFs_StationaryGaseous" displayName="Table_Fuel_EFs_StationaryGaseous" ref="D86:J104" totalsRowShown="0" headerRowDxfId="230" dataDxfId="22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DC4C7C3-5DD6-4311-9863-615396A0C117}" name="Fuel combusted" dataDxfId="228">
      <calculatedColumnFormula array="1">Common_InputFunctions.Utility_DisplayArrayInTable(Fuel_SourceData.Fuel_Scope1EmissionFactorsStationaryGaseous_Data(), Table_Fuel_EFs_StationaryGaseous[[#Headers],[Fuel combusted]],0)</calculatedColumnFormula>
    </tableColumn>
    <tableColumn id="2" xr3:uid="{797FC3FD-24F9-456C-9FAE-A8BB68440EDF}" name="Energy Content Factor (GJ per unit of fuel)" dataDxfId="227">
      <calculatedColumnFormula array="1">Common_InputFunctions.Utility_DisplayArrayInTable(Fuel_SourceData.Fuel_Scope1EmissionFactorsStationaryGaseous_Data(), Table_Fuel_EFs_StationaryGaseous[[#Headers],[Fuel combusted]],0)</calculatedColumnFormula>
    </tableColumn>
    <tableColumn id="3" xr3:uid="{0ADD7208-8FF0-4757-81BD-CC50B8C256B5}" name="Fuel unit" dataDxfId="226">
      <calculatedColumnFormula array="1">Common_InputFunctions.Utility_DisplayArrayInTable(Fuel_SourceData.Fuel_Scope1EmissionFactorsStationaryGaseous_Data(), Table_Fuel_EFs_StationaryGaseous[[#Headers],[Fuel combusted]],0)</calculatedColumnFormula>
    </tableColumn>
    <tableColumn id="4" xr3:uid="{DB26A4CF-0934-4A6B-8F58-A10FF1AEEA82}" name="Scope 1 Emission Factor (kg CO2 - e / GJ) CO2" dataDxfId="225">
      <calculatedColumnFormula array="1">Common_InputFunctions.Utility_DisplayArrayInTable(Fuel_SourceData.Fuel_Scope1EmissionFactorsStationaryGaseous_Data(), Table_Fuel_EFs_StationaryGaseous[[#Headers],[Fuel combusted]],0)</calculatedColumnFormula>
    </tableColumn>
    <tableColumn id="5" xr3:uid="{814D11F3-56FB-49EB-8F47-130BB6F01487}" name="Scope 1 Emission Factor (kg CO2 - e / GJ) CH4" dataDxfId="224">
      <calculatedColumnFormula array="1">Common_InputFunctions.Utility_DisplayArrayInTable(Fuel_SourceData.Fuel_Scope1EmissionFactorsStationaryGaseous_Data(), Table_Fuel_EFs_StationaryGaseous[[#Headers],[Fuel combusted]],0)</calculatedColumnFormula>
    </tableColumn>
    <tableColumn id="6" xr3:uid="{E6118A1C-9782-4B4D-A92E-C4609C08C44A}" name="Scope 1 Emission Factor (kg CO2 - e / GJ) N2O" dataDxfId="223">
      <calculatedColumnFormula array="1">Common_InputFunctions.Utility_DisplayArrayInTable(Fuel_SourceData.Fuel_Scope1EmissionFactorsStationaryGaseous_Data(), Table_Fuel_EFs_StationaryGaseous[[#Headers],[Fuel combusted]],0)</calculatedColumnFormula>
    </tableColumn>
    <tableColumn id="7" xr3:uid="{674D5FCC-BEE8-4C6E-9FBF-24BBD7095B32}" name="Scope 1 Emission Factor (kg CO2 - e / GJ) Combined gases" dataDxfId="22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8496681-8C8D-4F8F-9802-E6CF4747FA64}" name="Table_Fuel_EFs_StationaryGaseous34" displayName="Table_Fuel_EFs_StationaryGaseous34" ref="D112:F120" headerRowDxfId="221" totalsRowDxfId="220">
  <autoFilter ref="D112:F120" xr:uid="{7D6CE29D-2354-4FAC-9965-9A66FFA42416}">
    <filterColumn colId="0" hiddenButton="1"/>
    <filterColumn colId="1" hiddenButton="1"/>
    <filterColumn colId="2" hiddenButton="1"/>
  </autoFilter>
  <tableColumns count="3">
    <tableColumn id="1" xr3:uid="{C1084B37-D3A4-4820-A4DA-236ED6DBBE1C}" name="State or territory" totalsRowDxfId="219">
      <calculatedColumnFormula array="1">Common_InputFunctions.Utility_DisplayArrayInTable(Fuel_SourceData.Fuel_Scope3EmissionFactorsStationaryGaseous_Data(), Table_Fuel_EFs_StationaryGaseous34[[#Headers],[State or territory]],0)</calculatedColumnFormula>
    </tableColumn>
    <tableColumn id="2" xr3:uid="{957C42A0-BB4A-470C-88EA-F4A1E52C9BFF}" name="Metro" totalsRowDxfId="218">
      <calculatedColumnFormula array="1">Common_InputFunctions.Utility_DisplayArrayInTable(Fuel_SourceData.Fuel_Scope3EmissionFactorsStationaryGaseous_Data(), Table_Fuel_EFs_StationaryGaseous34[[#Headers],[State or territory]],0)</calculatedColumnFormula>
    </tableColumn>
    <tableColumn id="3" xr3:uid="{E9C0A6FE-A583-4546-850D-C76C78236668}" name="Non-metro" totalsRowDxfId="21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5A2B99AE-1243-4658-9FD3-4BEA86DA6BAA}"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027F8970-4699-4CE0-99E2-A1DA4CFB626D}" name="Fuel type"/>
    <tableColumn id="2" xr3:uid="{1EED843D-A596-4A41-897D-D1BD70CC2460}" name="Unit"/>
    <tableColumn id="3" xr3:uid="{9C247C9F-4128-467E-B72A-50EE87E40096}" name="Input Unit" dataDxfId="216"/>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E37DAC63-FF7C-4517-8F77-532EEA9D5321}"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E7C6B46-C5CE-4B99-AF47-F8AF206DD9F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F41D47D7-6E0C-435F-A97C-4D85B8A0114D}" name="Fuel type q" dataDxfId="21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FAF3B6A6-877A-442C-A05B-69F73D019C97}" name="ECTrans,q (GJ/kL)" dataDxfId="21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854198A5-105B-4B22-BF74-9211D6005276}" name="Scope 1 CO2 EFTran,1,tqg (kg CO2-e/GJ)" dataDxfId="21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DED622A-30F0-4FDA-ACC2-61F6EAE35B9C}" name="Scope 1 CH4 EFTran,1,tgg (kg CO2-e/GJ)" dataDxfId="21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A802ABB3-E96C-46B0-8EB5-E5A493BDC6A3}" name="Scope 1 N2O EFTran,1,tgg (kg CO2-e/GJ)" dataDxfId="21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7D17B87-C785-411B-94EE-47D622B83A39}" name="Scope 3 EFTrans,3,q (kg CO2-e/GJ)" dataDxfId="21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45A20637-5F54-4DF6-973D-311A7A322C79}"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0A9DC3B5-1D10-4578-8412-E6E32F2C2EE7}" name="Category" dataDxfId="209" dataCellStyle="Content normal">
      <calculatedColumnFormula array="1">Common_InputFunctions.Utility_DisplayArrayInTable(Scope3_SourceData.Scope3_Livestock_Data(), Table_SourceData_Scope3_Animals[[#Headers],[Category]], 0, 2)</calculatedColumnFormula>
    </tableColumn>
    <tableColumn id="2" xr3:uid="{73D4009F-00D0-45EF-B673-7B68F226E3D4}" name="Product" dataDxfId="208" dataCellStyle="Content normal">
      <calculatedColumnFormula array="1">Common_InputFunctions.Utility_DisplayArrayInTable(Scope3_SourceData.Scope3_Livestock_Data(), Table_SourceData_Scope3_Animals[[#Headers],[Category]], 0, 2)</calculatedColumnFormula>
    </tableColumn>
    <tableColumn id="3" xr3:uid="{A99AA98D-9968-4B45-B95A-D38D97BC6F28}" name="Region of origin" dataDxfId="207" dataCellStyle="Content normal">
      <calculatedColumnFormula array="1">Common_InputFunctions.Utility_DisplayArrayInTable(Scope3_SourceData.Scope3_Livestock_Data(), Table_SourceData_Scope3_Animals[[#Headers],[Category]], 0, 2)</calculatedColumnFormula>
    </tableColumn>
    <tableColumn id="8" xr3:uid="{EB8F7E96-8971-4AE5-8E4D-8096AADD7575}" name="Quantity Unit" dataDxfId="206" dataCellStyle="Content normal">
      <calculatedColumnFormula array="1">Common_InputFunctions.Utility_DisplayArrayInTable(Scope3_SourceData.Scope3_Livestock_Data(), Table_SourceData_Scope3_Animals[[#Headers],[Category]], 0, 2)</calculatedColumnFormula>
    </tableColumn>
    <tableColumn id="9" xr3:uid="{8A113CEC-3C92-4691-8FCC-8202DAFC92F3}" name="AusLCI Emissions intensity" dataDxfId="205" dataCellStyle="Content normal">
      <calculatedColumnFormula array="1">Common_InputFunctions.Utility_DisplayArrayInTable(Scope3_SourceData.Scope3_Livestock_Data(), Table_SourceData_Scope3_Animals[[#Headers],[Category]], 0, 2)</calculatedColumnFormula>
    </tableColumn>
    <tableColumn id="10" xr3:uid="{2FE77DA9-A894-4E13-92EE-C57B166D10B4}" name="System boundary" dataDxfId="204"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A21DA9F3-E984-4817-B046-CFAB6F5D3BD9}"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9675E9EB-8287-4F7B-BB08-8322C112C926}" name="Category" dataDxfId="203" dataCellStyle="Content normal">
      <calculatedColumnFormula array="1">Common_InputFunctions.Utility_DisplayArrayInTable(Scope3_SourceData.Scope3_Chemicals_Data(), Table_SourceData_Scope3_ChemicalsCleaning[[#Headers],[Category]], 0, 2)</calculatedColumnFormula>
    </tableColumn>
    <tableColumn id="2" xr3:uid="{1865D489-48CA-4DCA-AB26-178B360A301B}" name="Product" dataDxfId="202" dataCellStyle="Content normal">
      <calculatedColumnFormula array="1">Common_InputFunctions.Utility_DisplayArrayInTable(Scope3_SourceData.Scope3_Chemicals_Data(), Table_SourceData_Scope3_ChemicalsCleaning[[#Headers],[Category]], 0, 2)</calculatedColumnFormula>
    </tableColumn>
    <tableColumn id="3" xr3:uid="{53BA9915-94EA-422A-B84C-094AD6D4B43F}" name="Region of origin" dataDxfId="201" dataCellStyle="Content normal">
      <calculatedColumnFormula array="1">Common_InputFunctions.Utility_DisplayArrayInTable(Scope3_SourceData.Scope3_Chemicals_Data(), Table_SourceData_Scope3_ChemicalsCleaning[[#Headers],[Category]], 0, 2)</calculatedColumnFormula>
    </tableColumn>
    <tableColumn id="8" xr3:uid="{9D68F6CE-1B73-4474-8965-F9C398D86E83}" name="Quantity Unit" dataDxfId="200" dataCellStyle="Content normal">
      <calculatedColumnFormula array="1">Common_InputFunctions.Utility_DisplayArrayInTable(Scope3_SourceData.Scope3_Chemicals_Data(), Table_SourceData_Scope3_ChemicalsCleaning[[#Headers],[Category]], 0, 2)</calculatedColumnFormula>
    </tableColumn>
    <tableColumn id="9" xr3:uid="{9216B342-7447-49EB-B952-66BCB7213C46}" name="AusLCI Emissions intensity" dataDxfId="199" dataCellStyle="Content normal">
      <calculatedColumnFormula array="1">Common_InputFunctions.Utility_DisplayArrayInTable(Scope3_SourceData.Scope3_Chemicals_Data(), Table_SourceData_Scope3_ChemicalsCleaning[[#Headers],[Category]], 0, 2)</calculatedColumnFormula>
    </tableColumn>
    <tableColumn id="10" xr3:uid="{FC9D8EE7-7EFA-4C43-978F-D12C6AFFFD41}" name="System boundary" dataDxfId="198"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D388571-CD57-4531-AB0D-A849E67677EC}" name="Table_SourceData_Scope3_Feed" displayName="Table_SourceData_Scope3_Feed" ref="D89:I159" totalsRowShown="0" dataDxfId="197"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C7EC99AA-DF91-47B4-A958-19FBC21DAA71}" name="Category" dataDxfId="196" dataCellStyle="Content normal">
      <calculatedColumnFormula array="1">Common_InputFunctions.Utility_DisplayArrayInTable(Scope3_SourceData.Scope3_Feed_Data(), Table_SourceData_Scope3_Feed[[#Headers],[Category]], 0, 2)</calculatedColumnFormula>
    </tableColumn>
    <tableColumn id="2" xr3:uid="{87764B29-A140-4322-BAF5-808CD9FA7119}" name="Product" dataDxfId="195" dataCellStyle="Content normal">
      <calculatedColumnFormula array="1">Common_InputFunctions.Utility_DisplayArrayInTable(Scope3_SourceData.Scope3_Feed_Data(), Table_SourceData_Scope3_Feed[[#Headers],[Category]], 0, 2)</calculatedColumnFormula>
    </tableColumn>
    <tableColumn id="3" xr3:uid="{466DCA4F-B580-4F12-9AB2-CE8E4E64A73C}" name="Region of origin" dataDxfId="194" dataCellStyle="Content normal">
      <calculatedColumnFormula array="1">Common_InputFunctions.Utility_DisplayArrayInTable(Scope3_SourceData.Scope3_Feed_Data(), Table_SourceData_Scope3_Feed[[#Headers],[Category]], 0, 2)</calculatedColumnFormula>
    </tableColumn>
    <tableColumn id="8" xr3:uid="{56EC0A79-A13E-40AD-B787-89D8CAD84EEA}" name="Quantity Unit" dataDxfId="193" dataCellStyle="Content normal">
      <calculatedColumnFormula array="1">Common_InputFunctions.Utility_DisplayArrayInTable(Scope3_SourceData.Scope3_Feed_Data(), Table_SourceData_Scope3_Feed[[#Headers],[Category]], 0, 2)</calculatedColumnFormula>
    </tableColumn>
    <tableColumn id="9" xr3:uid="{5E7E81CA-17EC-4689-8A1C-45CF8EDE1018}" name="AusLCI Emissions intensity" dataDxfId="192" dataCellStyle="Content normal">
      <calculatedColumnFormula array="1">Common_InputFunctions.Utility_DisplayArrayInTable(Scope3_SourceData.Scope3_Feed_Data(), Table_SourceData_Scope3_Feed[[#Headers],[Category]], 0, 2)</calculatedColumnFormula>
    </tableColumn>
    <tableColumn id="10" xr3:uid="{25BA2E9D-500A-4085-A0E4-D3A816DC29F2}" name="System boundary" dataDxfId="191"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3DC7FD07-0F0C-4EC4-ACD1-F2279C9CA4A4}"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0899E0-5FB5-45EE-9F0E-D69EE9268C1A}" name="Category">
      <calculatedColumnFormula array="1">Common_InputFunctions.Utility_DisplayArrayInTable(Scope3_SourceData.Scope3_InorganicFertilisers_Data(), Table_SourceData_Scope3_InorganicFertiliser[[#Headers],[Category]], 0, 2)</calculatedColumnFormula>
    </tableColumn>
    <tableColumn id="2" xr3:uid="{A70468EF-AE19-4F85-8CE2-C19F528DDFCA}" name="Product">
      <calculatedColumnFormula array="1">Common_InputFunctions.Utility_DisplayArrayInTable(Scope3_SourceData.Scope3_InorganicFertilisers_Data(), Table_SourceData_Scope3_InorganicFertiliser[[#Headers],[Category]], 0, 2)</calculatedColumnFormula>
    </tableColumn>
    <tableColumn id="3" xr3:uid="{12AF28EC-4357-4103-A089-7C455A28861D}" name="Region of origin">
      <calculatedColumnFormula array="1">Common_InputFunctions.Utility_DisplayArrayInTable(Scope3_SourceData.Scope3_InorganicFertilisers_Data(), Table_SourceData_Scope3_InorganicFertiliser[[#Headers],[Category]], 0, 2)</calculatedColumnFormula>
    </tableColumn>
    <tableColumn id="4" xr3:uid="{E63A5F33-10E5-4850-881A-2E2E91957F18}" name="Chemical compound"/>
    <tableColumn id="5" xr3:uid="{F8C7BE25-4C98-4383-A62D-5FEBEB473A2D}" name="Urea source"/>
    <tableColumn id="6" xr3:uid="{23605440-9B6C-44B1-A8D6-347FB8464F43}" name="Ammonia source"/>
    <tableColumn id="7" xr3:uid="{79EA7364-8FFE-4872-970C-6F5B2BF7F902}" name="Quantity"/>
    <tableColumn id="8" xr3:uid="{D74FD88E-E7EF-4CBC-844A-8E4F9776A961}" name="Quantity Unit">
      <calculatedColumnFormula array="1">Common_InputFunctions.Utility_DisplayArrayInTable(Scope3_SourceData.Scope3_InorganicFertilisers_Data(), Table_SourceData_Scope3_InorganicFertiliser[[#Headers],[Category]], 0, -2)</calculatedColumnFormula>
    </tableColumn>
    <tableColumn id="9" xr3:uid="{8F7315AC-B628-4AE6-B8FE-6C6D8D8D2ABF}"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CCB40987-B144-425A-8C06-3D1D19B37EAE}" name="System boundary" dataDxfId="190"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6EAADC2-BB3F-4F06-8479-00143DE2AB46}" name="Table_SourceData_Scope3_Other" displayName="Table_SourceData_Scope3_Other" ref="D201:I209" totalsRowShown="0" dataDxfId="189"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00E10793-3D5F-4BCE-9DFD-DA8BFABD805A}" name="Category" dataDxfId="188" dataCellStyle="Content normal">
      <calculatedColumnFormula array="1">Common_InputFunctions.Utility_DisplayArrayInTable(Scope3_SourceData.Scope3_Other_Data(), Table_SourceData_Scope3_Other[[#Headers],[Category]], 0, 2)</calculatedColumnFormula>
    </tableColumn>
    <tableColumn id="2" xr3:uid="{B9FA0D74-9C13-469A-89F8-89B738C6A5F0}" name="Product" dataDxfId="187" dataCellStyle="Content normal">
      <calculatedColumnFormula array="1">Common_InputFunctions.Utility_DisplayArrayInTable(Scope3_SourceData.Scope3_Other_Data(), Table_SourceData_Scope3_Other[[#Headers],[Category]], 0, 2)</calculatedColumnFormula>
    </tableColumn>
    <tableColumn id="3" xr3:uid="{11A14386-9C39-4DDB-AFCB-11E25BA47208}" name="Region of origin" dataDxfId="186" dataCellStyle="Content normal">
      <calculatedColumnFormula array="1">Common_InputFunctions.Utility_DisplayArrayInTable(Scope3_SourceData.Scope3_Other_Data(), Table_SourceData_Scope3_Other[[#Headers],[Category]], 0, 2)</calculatedColumnFormula>
    </tableColumn>
    <tableColumn id="8" xr3:uid="{A29A8C50-E0E6-4557-A117-EBB8EF7A0CC8}" name="Quantity Unit" dataDxfId="185" dataCellStyle="Content normal">
      <calculatedColumnFormula array="1">Common_InputFunctions.Utility_DisplayArrayInTable(Scope3_SourceData.Scope3_Other_Data(), Table_SourceData_Scope3_Other[[#Headers],[Category]], 0, 2)</calculatedColumnFormula>
    </tableColumn>
    <tableColumn id="9" xr3:uid="{61191477-4654-4A22-93A4-D68548FBBF45}" name="AusLCI Emissions intensity" dataDxfId="184" dataCellStyle="Content normal">
      <calculatedColumnFormula array="1">Common_InputFunctions.Utility_DisplayArrayInTable(Scope3_SourceData.Scope3_Other_Data(), Table_SourceData_Scope3_Other[[#Headers],[Category]], 0, 2)</calculatedColumnFormula>
    </tableColumn>
    <tableColumn id="10" xr3:uid="{566DE853-FD73-46B6-B982-6E76622E8B61}" name="System boundary" dataDxfId="183"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1CF44581-D2B7-4A1A-99AC-17B85FF94B6B}" name="Table_SourceData_Scope3_Packaging" displayName="Table_SourceData_Scope3_Packaging" ref="D212:I216" totalsRowShown="0" dataDxfId="182"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31BB5ABE-50F8-40CC-894E-02A945E9C620}" name="Category" dataDxfId="181" dataCellStyle="Content normal">
      <calculatedColumnFormula array="1">Common_InputFunctions.Utility_DisplayArrayInTable(Scope3_SourceData.Scope3_Packaging_Data(), Table_SourceData_Scope3_Packaging[[#Headers],[Category]], 0, 2)</calculatedColumnFormula>
    </tableColumn>
    <tableColumn id="2" xr3:uid="{48D5AC7D-FD23-4A5A-A06A-B40BC92A16AA}" name="Product" dataDxfId="180" dataCellStyle="Content normal">
      <calculatedColumnFormula array="1">Common_InputFunctions.Utility_DisplayArrayInTable(Scope3_SourceData.Scope3_Packaging_Data(), Table_SourceData_Scope3_Packaging[[#Headers],[Category]], 0, 2)</calculatedColumnFormula>
    </tableColumn>
    <tableColumn id="3" xr3:uid="{A1BF48B1-9DC0-4930-8882-2D0329C6C290}" name="Region of origin" dataDxfId="179" dataCellStyle="Content normal">
      <calculatedColumnFormula array="1">Common_InputFunctions.Utility_DisplayArrayInTable(Scope3_SourceData.Scope3_Packaging_Data(), Table_SourceData_Scope3_Packaging[[#Headers],[Category]], 0, 2)</calculatedColumnFormula>
    </tableColumn>
    <tableColumn id="8" xr3:uid="{8E0B501B-C5D6-4BCB-89E8-47515E5AD4A1}" name="Quantity Unit" dataDxfId="178" dataCellStyle="Content normal">
      <calculatedColumnFormula array="1">Common_InputFunctions.Utility_DisplayArrayInTable(Scope3_SourceData.Scope3_Packaging_Data(), Table_SourceData_Scope3_Packaging[[#Headers],[Category]], 0, 2)</calculatedColumnFormula>
    </tableColumn>
    <tableColumn id="9" xr3:uid="{C64FC802-C65A-4A06-8B87-E775231855FE}" name="AusLCI Emissions intensity" dataDxfId="177" dataCellStyle="Content normal">
      <calculatedColumnFormula array="1">Common_InputFunctions.Utility_DisplayArrayInTable(Scope3_SourceData.Scope3_Packaging_Data(), Table_SourceData_Scope3_Packaging[[#Headers],[Category]], 0, 2)</calculatedColumnFormula>
    </tableColumn>
    <tableColumn id="10" xr3:uid="{4A224B8C-E40B-4DA8-A3DC-58FE092AA217}" name="System boundary" dataDxfId="176"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51F5B9A5-8E95-4871-A86A-7AF0991BCA72}" name="Table_SourceData_Scope3_Pesticides" displayName="Table_SourceData_Scope3_Pesticides" ref="D219:I231" totalsRowShown="0" dataDxfId="175"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043566ED-6DD0-433D-82B9-439D69B519CB}" name="Category" dataDxfId="174" dataCellStyle="Content normal">
      <calculatedColumnFormula array="1">Common_InputFunctions.Utility_DisplayArrayInTable(Scope3_SourceData.Scope3_Pesticides_Data(), Table_SourceData_Scope3_Pesticides[[#Headers],[Category]], 0, 2)</calculatedColumnFormula>
    </tableColumn>
    <tableColumn id="2" xr3:uid="{35DAB27A-EBF3-4CF4-93DF-3E53C021DBF7}" name="Product" dataDxfId="173" dataCellStyle="Content normal">
      <calculatedColumnFormula array="1">Common_InputFunctions.Utility_DisplayArrayInTable(Scope3_SourceData.Scope3_Pesticides_Data(), Table_SourceData_Scope3_Pesticides[[#Headers],[Category]], 0, 2)</calculatedColumnFormula>
    </tableColumn>
    <tableColumn id="3" xr3:uid="{C0EE8FBE-5457-488E-A565-6025435F0EF4}" name="Region of origin" dataDxfId="172" dataCellStyle="Content normal">
      <calculatedColumnFormula array="1">Common_InputFunctions.Utility_DisplayArrayInTable(Scope3_SourceData.Scope3_Pesticides_Data(), Table_SourceData_Scope3_Pesticides[[#Headers],[Category]], 0, 2)</calculatedColumnFormula>
    </tableColumn>
    <tableColumn id="8" xr3:uid="{ACF15660-0CE1-4726-8CA1-2FBD676A6933}" name="Quantity Unit" dataDxfId="171" dataCellStyle="Content normal">
      <calculatedColumnFormula array="1">Common_InputFunctions.Utility_DisplayArrayInTable(Scope3_SourceData.Scope3_Pesticides_Data(), Table_SourceData_Scope3_Pesticides[[#Headers],[Category]], 0, 2)</calculatedColumnFormula>
    </tableColumn>
    <tableColumn id="9" xr3:uid="{04EBEE71-0275-45DF-AA57-EED4216132C5}" name="AusLCI Emissions intensity" dataDxfId="170" dataCellStyle="Content normal">
      <calculatedColumnFormula array="1">Common_InputFunctions.Utility_DisplayArrayInTable(Scope3_SourceData.Scope3_Pesticides_Data(), Table_SourceData_Scope3_Pesticides[[#Headers],[Category]], 0, 2)</calculatedColumnFormula>
    </tableColumn>
    <tableColumn id="10" xr3:uid="{3C94FD7E-EC0E-4359-A3EA-1EE4E4319B88}" name="System boundary" dataDxfId="169"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F90524C4-4AFB-46DA-92BA-9CE8B7074AEA}" name="Table_SourceData_Scope3_SoilAmeliorants" displayName="Table_SourceData_Scope3_SoilAmeliorants" ref="D234:I237" totalsRowShown="0" dataDxfId="168"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58E653A9-ECE4-4B22-A236-BE33D10FFDE0}" name="Category" dataDxfId="167" dataCellStyle="Content normal">
      <calculatedColumnFormula array="1">Common_InputFunctions.Utility_DisplayArrayInTable(Scope3_SourceData.Scope3_SoilAmendments_Data(), Table_SourceData_Scope3_SoilAmeliorants[[#Headers],[Category]], 0, 2)</calculatedColumnFormula>
    </tableColumn>
    <tableColumn id="2" xr3:uid="{D9E8C062-1622-408D-9917-0C3C11EC1B6E}" name="Product" dataDxfId="166" dataCellStyle="Content normal">
      <calculatedColumnFormula array="1">Common_InputFunctions.Utility_DisplayArrayInTable(Scope3_SourceData.Scope3_SoilAmendments_Data(), Table_SourceData_Scope3_SoilAmeliorants[[#Headers],[Category]], 0, 2)</calculatedColumnFormula>
    </tableColumn>
    <tableColumn id="3" xr3:uid="{7BDD77F9-E048-4456-B878-EB7309BCFB67}" name="Region of origin" dataDxfId="165" dataCellStyle="Content normal">
      <calculatedColumnFormula array="1">Common_InputFunctions.Utility_DisplayArrayInTable(Scope3_SourceData.Scope3_SoilAmendments_Data(), Table_SourceData_Scope3_SoilAmeliorants[[#Headers],[Category]], 0, 2)</calculatedColumnFormula>
    </tableColumn>
    <tableColumn id="8" xr3:uid="{BC3BDB33-6AC7-4C50-9594-0AE24905B920}" name="Quantity Unit" dataDxfId="164" dataCellStyle="Content normal">
      <calculatedColumnFormula array="1">Common_InputFunctions.Utility_DisplayArrayInTable(Scope3_SourceData.Scope3_SoilAmendments_Data(), Table_SourceData_Scope3_SoilAmeliorants[[#Headers],[Category]], 0, 2)</calculatedColumnFormula>
    </tableColumn>
    <tableColumn id="9" xr3:uid="{80F394D9-F099-4BDF-AFD5-C12BEEB198D4}" name="AusLCI Emissions intensity" dataDxfId="163" dataCellStyle="Content normal">
      <calculatedColumnFormula array="1">Common_InputFunctions.Utility_DisplayArrayInTable(Scope3_SourceData.Scope3_SoilAmendments_Data(), Table_SourceData_Scope3_SoilAmeliorants[[#Headers],[Category]], 0, 2)</calculatedColumnFormula>
    </tableColumn>
    <tableColumn id="10" xr3:uid="{9018AAA2-9008-4E7A-9E9C-3685976F9F4A}" name="System boundary" dataDxfId="162"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C1143323-417E-47A2-952F-33D41587C60F}" name="Table_SourceData_Scope3_ChemicalsPharmacy" displayName="Table_SourceData_Scope3_ChemicalsPharmacy" ref="D82:I86" totalsRowShown="0" dataDxfId="161"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D45D758B-E20B-44B8-8C47-08B73AC21880}" name="Category" dataDxfId="160" dataCellStyle="Content normal">
      <calculatedColumnFormula array="1">Common_InputFunctions.Utility_DisplayArrayInTable(Scope3_SourceData.Scope3_Chemicals_Data(), Table_SourceData_Scope3_ChemicalsPharmacy[[#Headers],[Category]], -3, 2)</calculatedColumnFormula>
    </tableColumn>
    <tableColumn id="2" xr3:uid="{442EC7B4-307E-43C8-A994-FB4201B89CBD}" name="Product" dataDxfId="159" dataCellStyle="Content normal">
      <calculatedColumnFormula array="1">Common_InputFunctions.Utility_DisplayArrayInTable(Scope3_SourceData.Scope3_Chemicals_Data(), Table_SourceData_Scope3_ChemicalsPharmacy[[#Headers],[Category]], -3, 2)</calculatedColumnFormula>
    </tableColumn>
    <tableColumn id="3" xr3:uid="{06762683-3AC2-4005-84C7-A692698F4EFF}" name="Region of origin" dataDxfId="158" dataCellStyle="Content normal">
      <calculatedColumnFormula array="1">Common_InputFunctions.Utility_DisplayArrayInTable(Scope3_SourceData.Scope3_Chemicals_Data(), Table_SourceData_Scope3_ChemicalsPharmacy[[#Headers],[Category]], -3, 2)</calculatedColumnFormula>
    </tableColumn>
    <tableColumn id="8" xr3:uid="{A228F1D0-EAA4-4F93-837F-CE7603012867}" name="Quantity Unit" dataDxfId="157" dataCellStyle="Content normal">
      <calculatedColumnFormula array="1">Common_InputFunctions.Utility_DisplayArrayInTable(Scope3_SourceData.Scope3_Chemicals_Data(), Table_SourceData_Scope3_ChemicalsPharmacy[[#Headers],[Category]], -3, 2)</calculatedColumnFormula>
    </tableColumn>
    <tableColumn id="9" xr3:uid="{58A12B52-29DA-429B-90A7-E88F3E3F403C}" name="AusLCI Emissions intensity" dataDxfId="156" dataCellStyle="Content normal">
      <calculatedColumnFormula array="1">Common_InputFunctions.Utility_DisplayArrayInTable(Scope3_SourceData.Scope3_Chemicals_Data(), Table_SourceData_Scope3_ChemicalsPharmacy[[#Headers],[Category]], -3, 2)</calculatedColumnFormula>
    </tableColumn>
    <tableColumn id="10" xr3:uid="{B0CBF955-BD31-40D1-97C9-989115FE13DB}" name="System boundary" dataDxfId="155"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22902186-F7AC-47C1-9AD7-F7E44D9385CF}" name="Table_SourceData_Scope3_LickBlocks" displayName="Table_SourceData_Scope3_LickBlocks" ref="D167:I170" totalsRowShown="0" headerRowDxfId="154"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D9C99797-5F22-40C7-A9EE-6C8C958C7B0D}" name="Category" dataDxfId="153" dataCellStyle="Content normal">
      <calculatedColumnFormula array="1">Common_InputFunctions.Utility_DisplayArrayInTable(Scope3_SourceData.Scope3_Feed_Data(), Table_SourceData_Scope3_LickBlocks[[#Headers],[Category]], -73, 2)</calculatedColumnFormula>
    </tableColumn>
    <tableColumn id="2" xr3:uid="{12927E97-E8C0-4927-96B4-961ECA804D08}" name="Product" dataDxfId="152" dataCellStyle="Content normal">
      <calculatedColumnFormula array="1">Common_InputFunctions.Utility_DisplayArrayInTable(Scope3_SourceData.Scope3_Feed_Data(), Table_SourceData_Scope3_LickBlocks[[#Headers],[Category]], -73, 2)</calculatedColumnFormula>
    </tableColumn>
    <tableColumn id="3" xr3:uid="{053933BC-272F-4D6B-A7E8-5037F21279B5}" name="Region of origin" dataDxfId="151" dataCellStyle="Content normal">
      <calculatedColumnFormula array="1">Common_InputFunctions.Utility_DisplayArrayInTable(Scope3_SourceData.Scope3_Feed_Data(), Table_SourceData_Scope3_LickBlocks[[#Headers],[Category]], -73, 2)</calculatedColumnFormula>
    </tableColumn>
    <tableColumn id="4" xr3:uid="{D668FAC9-7384-4D58-86B4-72B83D078F9E}" name="Quantity Unit" dataDxfId="150" dataCellStyle="Content normal">
      <calculatedColumnFormula array="1">Common_InputFunctions.Utility_DisplayArrayInTable(Scope3_SourceData.Scope3_Feed_Data(), Table_SourceData_Scope3_LickBlocks[[#Headers],[Category]], -73, 2)</calculatedColumnFormula>
    </tableColumn>
    <tableColumn id="5" xr3:uid="{B94B9306-F7CB-4619-8A2E-8A45FF51CA45}" name="AusLCI Emissions intensity" dataDxfId="149" dataCellStyle="Content normal">
      <calculatedColumnFormula array="1">Common_InputFunctions.Utility_DisplayArrayInTable(Scope3_SourceData.Scope3_Feed_Data(), Table_SourceData_Scope3_LickBlocks[[#Headers],[Category]], -73, 2)</calculatedColumnFormula>
    </tableColumn>
    <tableColumn id="6" xr3:uid="{5943C7DE-D0B4-40E7-9CCD-31810433D845}" name="System boundary" dataDxfId="148"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A33F15B9-4D90-49E5-B387-11D4B8BB2010}" name="Table_SourceData_Scope3_MixedRations" displayName="Table_SourceData_Scope3_MixedRations" ref="D161:I165" totalsRowShown="0" headerRowDxfId="147"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16188994-F95D-4B5A-9450-44A0113697AC}" name="Category" dataDxfId="146" dataCellStyle="Content normal">
      <calculatedColumnFormula array="1">Common_InputFunctions.Utility_DisplayArrayInTable(Scope3_SourceData.Scope3_Feed_Data(), Table_SourceData_Scope3_MixedRations[[#Headers],[Category]], -66, 2)</calculatedColumnFormula>
    </tableColumn>
    <tableColumn id="2" xr3:uid="{884E7977-CD23-4FA4-ABEC-B3AD397F99AB}" name="Product" dataDxfId="145" dataCellStyle="Content normal">
      <calculatedColumnFormula array="1">Common_InputFunctions.Utility_DisplayArrayInTable(Scope3_SourceData.Scope3_Feed_Data(), Table_SourceData_Scope3_MixedRations[[#Headers],[Category]], -66, 2)</calculatedColumnFormula>
    </tableColumn>
    <tableColumn id="3" xr3:uid="{F99FF8D5-A04C-4663-8F26-C5E69694E047}" name="Region of origin" dataDxfId="144" dataCellStyle="Content normal">
      <calculatedColumnFormula array="1">Common_InputFunctions.Utility_DisplayArrayInTable(Scope3_SourceData.Scope3_Feed_Data(), Table_SourceData_Scope3_MixedRations[[#Headers],[Category]], -66, 2)</calculatedColumnFormula>
    </tableColumn>
    <tableColumn id="4" xr3:uid="{FBFFC05C-C030-4DEA-888E-446F75932992}" name="Quantity Unit" dataDxfId="143" dataCellStyle="Content normal">
      <calculatedColumnFormula array="1">Common_InputFunctions.Utility_DisplayArrayInTable(Scope3_SourceData.Scope3_Feed_Data(), Table_SourceData_Scope3_MixedRations[[#Headers],[Category]], -66, 2)</calculatedColumnFormula>
    </tableColumn>
    <tableColumn id="5" xr3:uid="{1D0966F8-74F7-4BAA-B082-BC5F196F43C7}" name="AusLCI Emissions intensity" dataDxfId="142" dataCellStyle="Content normal">
      <calculatedColumnFormula array="1">Common_InputFunctions.Utility_DisplayArrayInTable(Scope3_SourceData.Scope3_Feed_Data(), Table_SourceData_Scope3_MixedRations[[#Headers],[Category]], -66, 2)</calculatedColumnFormula>
    </tableColumn>
    <tableColumn id="6" xr3:uid="{2857A982-AB2D-40F4-BC8F-8C2C46360631}" name="System boundary" dataDxfId="141"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8DA55D46-ECED-4C0A-9720-0CEC35DAC69C}"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89F608C7-F10D-4B50-8247-1D1744E4C80F}" name="Product">
      <calculatedColumnFormula>Table_SourceData_Scope3_Feed[[#This Row],[Product]]</calculatedColumnFormula>
    </tableColumn>
    <tableColumn id="2" xr3:uid="{3C71ABAB-FA41-40A7-95EC-9DD0E6D020C7}" name="Region">
      <calculatedColumnFormula>Table_SourceData_Scope3_Feed[[#This Row],[Region of origin]]</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57476EE-7D02-4DA2-A781-F08D3BC75B80}"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93CFC47C-D0CD-4837-A33B-1E10FE0C0885}" name="Product">
      <calculatedColumnFormula>Table_SourceData_Scope3_Feed[[#This Row],[Product]]</calculatedColumnFormula>
    </tableColumn>
    <tableColumn id="2" xr3:uid="{8BEFEE99-884B-438A-AA6F-3A5C089D06EF}" name="Region">
      <calculatedColumnFormula>Table_SourceData_Scope3_Feed[[#This Row],[Region of origin]]</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83E33C3A-66D6-439D-BCCF-56E3E97A6DFE}" name="Table_ProductRegions_Maizegrain" displayName="Table_ProductRegions_Maizegrain" ref="K98:L105" totalsRowShown="0" headerRowDxfId="140" headerRowCellStyle="Content normal">
  <autoFilter ref="K98:L105" xr:uid="{70F320A7-5DBE-4A83-91E4-C9B3BDA564BD}">
    <filterColumn colId="0" hiddenButton="1"/>
    <filterColumn colId="1" hiddenButton="1"/>
  </autoFilter>
  <tableColumns count="2">
    <tableColumn id="1" xr3:uid="{AA572587-35D2-4129-9EBC-0DE802F9BA8E}" name="Product">
      <calculatedColumnFormula>Table_SourceData_Scope3_Feed[[#This Row],[Product]]</calculatedColumnFormula>
    </tableColumn>
    <tableColumn id="2" xr3:uid="{7914307E-1B6D-4B06-AFBF-D42C1F7B2DE6}" name="Region">
      <calculatedColumnFormula>Table_SourceData_Scope3_Feed[[#This Row],[Region of origin]]</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E8A9C6FD-D7E4-45D2-83D3-8D67436E47B3}" name="Table_ProductRegions_Sorghumgrain" displayName="Table_ProductRegions_Sorghumgrain" ref="N105:O110" totalsRowShown="0" headerRowDxfId="139" headerRowCellStyle="Content normal">
  <autoFilter ref="N105:O110" xr:uid="{90205417-8A77-41A3-A4E2-624BD92B7269}">
    <filterColumn colId="0" hiddenButton="1"/>
    <filterColumn colId="1" hiddenButton="1"/>
  </autoFilter>
  <tableColumns count="2">
    <tableColumn id="1" xr3:uid="{06884BFB-0BDD-45D3-B90C-0546F71EE7F2}" name="Product">
      <calculatedColumnFormula>Table_SourceData_Scope3_Feed[[#This Row],[Product]]</calculatedColumnFormula>
    </tableColumn>
    <tableColumn id="2" xr3:uid="{3506FE11-CAA1-4E72-80BD-D37E9C60CF46}" name="Region">
      <calculatedColumnFormula>Table_SourceData_Scope3_Feed[[#This Row],[Region of origin]]</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1D034050-08A3-4299-BC80-BC8F9017920D}" name="Table_ProductRegions_Wheatgrain" displayName="Table_ProductRegions_Wheatgrain" ref="K110:L118" totalsRowShown="0" headerRowDxfId="138" headerRowCellStyle="Content normal">
  <autoFilter ref="K110:L118" xr:uid="{9DD7D3AD-59A1-48FC-B80D-99C25A2A79F5}">
    <filterColumn colId="0" hiddenButton="1"/>
    <filterColumn colId="1" hiddenButton="1"/>
  </autoFilter>
  <tableColumns count="2">
    <tableColumn id="1" xr3:uid="{13E3C004-436A-4D5A-85DA-2BDB915FE9BD}" name="Product">
      <calculatedColumnFormula>Table_SourceData_Scope3_Feed[[#This Row],[Product]]</calculatedColumnFormula>
    </tableColumn>
    <tableColumn id="2" xr3:uid="{DC13A8C4-66FD-444F-AE5A-9CC749B47B4C}" name="Region">
      <calculatedColumnFormula>Table_SourceData_Scope3_Feed[[#This Row],[Region of origin]]</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38FE3C64-430D-4927-AABA-7405FA1F0411}"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58631BF8-2270-41A3-A304-CB6A9D31BD95}" name="Product">
      <calculatedColumnFormula>Table_SourceData_Scope3_Feed[[#This Row],[Product]]</calculatedColumnFormula>
    </tableColumn>
    <tableColumn id="2" xr3:uid="{161C9B7E-E722-498D-A091-94F6FA13D54D}" name="Region">
      <calculatedColumnFormula>Table_SourceData_Scope3_Feed[[#This Row],[Region of origin]]</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E3FFB7F5-901D-40B4-AED5-2C4D37D6C663}"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F2EBA37B-175E-48FC-84CD-D2BC7E5EA98B}" name="Product">
      <calculatedColumnFormula>Table_SourceData_Scope3_Feed[[#This Row],[Product]]</calculatedColumnFormula>
    </tableColumn>
    <tableColumn id="2" xr3:uid="{CCC7148B-988D-4BFF-8996-FAE5919B8F24}" name="Region">
      <calculatedColumnFormula>Table_SourceData_Scope3_Feed[[#This Row],[Region of origin]]</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8F376A0-D30A-414F-8CFF-4B932D94C934}"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ABC15688-C358-4213-B0B9-0247115CDD24}" name="Product">
      <calculatedColumnFormula>Table_SourceData_Scope3_Feed[[#This Row],[Product]]</calculatedColumnFormula>
    </tableColumn>
    <tableColumn id="2" xr3:uid="{DDDEE0A5-73C0-4311-BBF8-59434DFD6D2D}" name="Region">
      <calculatedColumnFormula>Table_SourceData_Scope3_Feed[[#This Row],[Region of origin]]</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5F2E0E05-A498-4231-AF7C-AFB7DCFF5F66}"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F62C2776-DBAA-4D8D-9062-86820D317E8E}" name="Product">
      <calculatedColumnFormula>Table_SourceData_Scope3_Feed[[#This Row],[Product]]</calculatedColumnFormula>
    </tableColumn>
    <tableColumn id="2" xr3:uid="{4235E999-02E2-46EA-B488-D7F26125F98A}" name="Region">
      <calculatedColumnFormula>Table_SourceData_Scope3_Feed[[#This Row],[Region of origin]]</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D16C355A-21F5-4944-A4C0-2548ECCF63DD}"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1FB18702-D8EF-4B06-9DAE-F5D9A3DB2A63}" name="Product">
      <calculatedColumnFormula>Table_SourceData_Scope3_Feed[[#This Row],[Product]]</calculatedColumnFormula>
    </tableColumn>
    <tableColumn id="2" xr3:uid="{2D7E086E-A508-48C7-AF59-FD6CA5C6FC03}" name="Region">
      <calculatedColumnFormula>Table_SourceData_Scope3_Feed[[#This Row],[Region of origin]]</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D3CF9821-5AF7-475B-8761-FCE6A52D69E7}" name="Table_ProductRegions_Canolameal" displayName="Table_ProductRegions_Canolameal" ref="K151:L152" totalsRowShown="0" headerRowDxfId="137" headerRowCellStyle="Content normal" dataCellStyle="Content normal">
  <autoFilter ref="K151:L152" xr:uid="{58F78B6F-294E-4D4E-8E3B-BFE4FA85583E}">
    <filterColumn colId="0" hiddenButton="1"/>
    <filterColumn colId="1" hiddenButton="1"/>
  </autoFilter>
  <tableColumns count="2">
    <tableColumn id="1" xr3:uid="{1F6CC00B-3D05-432D-8A4A-ED904111D787}" name="Product" dataCellStyle="Content normal">
      <calculatedColumnFormula>Table_SourceData_Scope3_Feed[[#This Row],[Product]]</calculatedColumnFormula>
    </tableColumn>
    <tableColumn id="2" xr3:uid="{0CA86809-D6FC-4190-8B43-769EB749BB41}"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ABD7E700-1288-472C-9119-5FEF530B40F6}"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FE377CFB-A28A-49B7-A52E-C543FCA0FEA1}" name="Product">
      <calculatedColumnFormula>Table_SourceData_Scope3_Feed[[#This Row],[Product]]</calculatedColumnFormula>
    </tableColumn>
    <tableColumn id="2" xr3:uid="{7B85CF96-3993-4CB2-89F9-27F7C02DAFB8}" name="Region">
      <calculatedColumnFormula>Table_SourceData_Scope3_Feed[[#This Row],[Region of origin]]</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916D9DB-B186-431B-BFFC-CFE892AFA95E}"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CEE09541-8918-4DE4-B5BA-800890C0CC34}" name="Product">
      <calculatedColumnFormula>Table_SourceData_Scope3_Feed[[#This Row],[Product]]</calculatedColumnFormula>
    </tableColumn>
    <tableColumn id="2" xr3:uid="{E46E3871-6FA7-4C9A-B6B7-EF3E972CB13F}" name="Region">
      <calculatedColumnFormula>Table_SourceData_Scope3_Feed[[#This Row],[Region of origin]]</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25ECDE88-A0DB-4431-BE7C-E83F01A479B9}"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51497975-C07E-4CFB-9911-2653844DE1A0}" name="Product">
      <calculatedColumnFormula>Table_SourceData_Scope3_Feed[[#This Row],[Product]]</calculatedColumnFormula>
    </tableColumn>
    <tableColumn id="2" xr3:uid="{CBDC6545-F8B2-49C9-833B-5F70AD056BA1}" name="Region">
      <calculatedColumnFormula>Table_SourceData_Scope3_Feed[[#This Row],[Region of origin]]</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4FE11BB2-EB35-45ED-865C-C9310E897A63}"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D77B2F1C-2970-464B-82D6-213E0E47CFE9}" name="Product">
      <calculatedColumnFormula>Table_SourceData_Scope3_Feed[[#This Row],[Product]]</calculatedColumnFormula>
    </tableColumn>
    <tableColumn id="2" xr3:uid="{E06164B0-EF2A-46FB-892C-CD4167F708D7}" name="Region">
      <calculatedColumnFormula>Table_SourceData_Scope3_Feed[[#This Row],[Region of origin]]</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6ECF392-5143-4817-B3A0-5BAC012A95F6}"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B4FB0307-359B-4FF8-ACA8-BB426AB7AEFC}" name="Product">
      <calculatedColumnFormula>Table_SourceData_Scope3_Feed[[#This Row],[Product]]</calculatedColumnFormula>
    </tableColumn>
    <tableColumn id="2" xr3:uid="{9C6411F0-A740-477B-99C1-2FFE826259E7}" name="Region">
      <calculatedColumnFormula>Table_SourceData_Scope3_Feed[[#This Row],[Region of origin]]</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D51A978B-F648-4D2C-8E2F-166BC8941B9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CAC8EADB-4866-4132-8567-65A15C639EBA}" name="Product">
      <calculatedColumnFormula>Table_SourceData_Scope3_Feed[[#This Row],[Product]]</calculatedColumnFormula>
    </tableColumn>
    <tableColumn id="2" xr3:uid="{C6ABE924-EF0D-4C65-8C40-32BA80174AF8}" name="Region">
      <calculatedColumnFormula>Table_SourceData_Scope3_Feed[[#This Row],[Region of origin]]</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CBA86ABA-E783-4346-BD12-6CF2C37D18B8}"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B7DB329A-1F85-4082-B1E7-4B0854AE3E64}" name="Product">
      <calculatedColumnFormula>Table_SourceData_Scope3_Feed[[#This Row],[Product]]</calculatedColumnFormula>
    </tableColumn>
    <tableColumn id="2" xr3:uid="{BD65AC45-EBF9-4D10-990D-01A23E4DD008}" name="Region">
      <calculatedColumnFormula>Table_SourceData_Scope3_Feed[[#This Row],[Region of origin]]</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FADE65C-EECB-4EC3-A72C-2F145DFF6D63}"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8550BA50-2BE0-473B-87EC-F1A45D854DD9}" name="Region"/>
    <tableColumn id="2" xr3:uid="{23E8475B-CC08-4A15-BE46-75B97514CE71}" name="Scope3 regio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A511D-1E33-4FA7-9E53-155741FDE4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717A66-4BDA-43C0-BFCD-4A6F29AEE8A3}" name="State/Territory">
      <calculatedColumnFormula array="1">Common_InputFunctions.Utility_DisplayArrayInTable(Common_SourceData.Common_SourceData_AustralianStatesTerritories_Data(),Table_AustralianStates[[#Headers],[State/Territory]],0)</calculatedColumnFormula>
    </tableColumn>
    <tableColumn id="2" xr3:uid="{D6D2A619-26C3-4096-9C5E-261DB4783E3F}" name="Common Name">
      <calculatedColumnFormula array="1">Common_InputFunctions.Utility_DisplayArrayInTable(Common_SourceData.Common_SourceData_AustralianStatesTerritories_Data(),Table_AustralianStates[[#Headers],[State/Territory]],0)</calculatedColumnFormula>
    </tableColumn>
    <tableColumn id="3" xr3:uid="{8F8F275A-708B-458E-9ABF-5295B622DDF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51EF82-BC21-4875-B405-6D0F230C2B8D}" name="Table_WASA4Areas" displayName="Table_WASA4Areas" ref="D20:D30" totalsRowShown="0">
  <autoFilter ref="D20:D30" xr:uid="{5FA81339-C6C8-4D36-BEEA-6C4AEDD9E676}">
    <filterColumn colId="0" hiddenButton="1"/>
  </autoFilter>
  <tableColumns count="1">
    <tableColumn id="1" xr3:uid="{0A16A557-CD1A-4230-A0E4-670FBDA4CD0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15B4B0-BD4E-4903-9096-ED3FE0A9167C}" name="Table_GWPData" displayName="Table_GWPData" ref="D36:E43" totalsRowShown="0">
  <autoFilter ref="D36:E43" xr:uid="{B8E87A66-3E41-4AD3-925D-01EE21B43D7A}">
    <filterColumn colId="0" hiddenButton="1"/>
    <filterColumn colId="1" hiddenButton="1"/>
  </autoFilter>
  <tableColumns count="2">
    <tableColumn id="1" xr3:uid="{9BFA3AA7-7549-47B7-8147-49CC22B23598}" name="Gas">
      <calculatedColumnFormula array="1">Common_InputFunctions.Utility_DisplayArrayInTable(Common_SourceData.Common_SourceData_GWP_Data(), Table_GWPData[[#Headers],[Gas]], 0)</calculatedColumnFormula>
    </tableColumn>
    <tableColumn id="2" xr3:uid="{56BBDB36-E3BB-4678-8824-A909AEED8E4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C67C36-18E1-4B8A-BFF1-35CF3DC4AC8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BBB9D5-7AA2-41EA-B99D-63DD8E7116D6}" name="Gas">
      <calculatedColumnFormula array="1">Common_InputFunctions.Utility_DisplayArrayInTable(Common_SourceData.Common_SourceData_ConvertGasElementalToMolecular_Data(),Table_GasToMolecularConversionFactor[[#Headers],[Gas]], 0)</calculatedColumnFormula>
    </tableColumn>
    <tableColumn id="5" xr3:uid="{1F10E85A-E8E7-4403-B922-7CD822BDAAAC}" name="Conversion factor">
      <calculatedColumnFormula array="1">Common_InputFunctions.Utility_DisplayArrayInTable(Common_SourceData.Common_SourceData_ConvertGasElementalToMolecular_Data(),Table_GasToMolecularConversionFactor[[#Headers],[Gas]], 0)</calculatedColumnFormula>
    </tableColumn>
    <tableColumn id="2" xr3:uid="{A186BBCE-16ED-4C60-8611-6582C90E465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1D6C7D2-A210-4091-8447-15F9317092F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B5653AF-5CD0-44F6-827E-4F17D013B02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6C8105-982C-4B9F-A603-F884FE56E1B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61DF3B-A431-4956-B923-158AD5BF455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7D098C-8B59-4F56-B373-2BF7AAA9A607}" name="MAT" totalsRowDxfId="136" totalsRowCellStyle="Content bold">
      <calculatedColumnFormula array="1">Common_InputFunctions.Utility_DisplayArrayInTable(Common_SourceData.Common_SourceData_ClimateZones_Data(), Table_SourceData_ClimateZones[[#Headers],[Climate zone]], 0)</calculatedColumnFormula>
    </tableColumn>
    <tableColumn id="3" xr3:uid="{827CC720-B781-4728-ABFA-68C972B57850}" name="MAP" totalsRowDxfId="135" totalsRowCellStyle="Content bold">
      <calculatedColumnFormula array="1">Common_InputFunctions.Utility_DisplayArrayInTable(Common_SourceData.Common_SourceData_ClimateZones_Data(), Table_SourceData_ClimateZones[[#Headers],[Climate zone]], 0)</calculatedColumnFormula>
    </tableColumn>
    <tableColumn id="4" xr3:uid="{38653B97-E186-444A-AFBD-15CE44DEBED7}" name="Frost days per year" totalsRowDxfId="134" totalsRowCellStyle="Content bold">
      <calculatedColumnFormula array="1">Common_InputFunctions.Utility_DisplayArrayInTable(Common_SourceData.Common_SourceData_ClimateZones_Data(), Table_SourceData_ClimateZones[[#Headers],[Climate zone]], 0)</calculatedColumnFormula>
    </tableColumn>
    <tableColumn id="5" xr3:uid="{735BA31E-1D4B-45A4-B9FF-7F8ED5243D20}" name="Elevation"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6" xr3:uid="{370BE1BB-C3DF-4E43-B8DD-B18D69884A4B}" name="MAP:PET" totalsRowDxfId="132" totalsRowCellStyle="Content bold">
      <calculatedColumnFormula array="1">Common_InputFunctions.Utility_DisplayArrayInTable(Common_SourceData.Common_SourceData_ClimateZones_Data(), Table_SourceData_ClimateZones[[#Headers],[Climate zone]], 0)</calculatedColumnFormula>
    </tableColumn>
    <tableColumn id="7" xr3:uid="{37A53713-47F8-4F27-9505-8BED300E0222}" name="Min temp"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8" xr3:uid="{D9399681-9FC5-41A0-A367-D4D41BBB28CA}" name="Max temp"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9" xr3:uid="{65211A71-1ABE-4E6D-843C-B0028543D400}" name="Min rainfall"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10" xr3:uid="{8ED03576-B413-4D12-B37A-5F11E15AA54D}" name="Max rainfall"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11" xr3:uid="{E749576A-EB5F-4709-BD15-9BD4E87548D5}" name="Min frost days"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15" xr3:uid="{61CC0B40-56FD-487C-A589-45456757E8A1}" name="Max frost days"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12" xr3:uid="{32B52E24-5576-47A4-A024-CDC090D88746}" name="Min elevation"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16" xr3:uid="{B4341912-AB7E-4E58-9B4D-9791D45FB352}" name="Max elevation"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3" xr3:uid="{67418986-6C11-45D0-A4DC-D7861BD61C09}" name="Min MAP:PET"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7" xr3:uid="{90614980-AE79-4306-A6ED-229525821D94}" name="Max MAP:PET" totalsRowDxfId="1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28FD2E-DAAA-4D4F-BEFF-0E68A1F33AA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EB61CA1-B375-461F-AD5A-5B01A03F7A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E3C7A00-6DDA-427C-9573-7908B05111FB}" name="Wet or Dry Zone" totalsRowDxfId="1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36A27C-11D9-4092-B110-DE3B0C7D7A9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E477FC1-0E60-467C-87C8-DC619003DA7D}" name="Temperature Zone">
      <calculatedColumnFormula array="1">Common_InputFunctions.Utility_DisplayArrayInTable(Common_SourceData.Common_SourceData_TemperatureZones_Data(),Table_SourceData_TemperatureZones[[#Headers],[Temperature Zone]],0)</calculatedColumnFormula>
    </tableColumn>
    <tableColumn id="2" xr3:uid="{CD029E58-AF67-4858-BEF6-937BB536E757}" name="MAT">
      <calculatedColumnFormula array="1">Common_InputFunctions.Utility_DisplayArrayInTable(Common_SourceData.Common_SourceData_TemperatureZones_Data(),Table_SourceData_TemperatureZones[[#Headers],[Temperature Zone]],0)</calculatedColumnFormula>
    </tableColumn>
    <tableColumn id="3" xr3:uid="{5195427E-32DD-4977-88C7-473D17A15EDE}" name="Min MAT">
      <calculatedColumnFormula array="1">Common_InputFunctions.Utility_DisplayArrayInTable(Common_SourceData.Common_SourceData_TemperatureZones_Data(),Table_SourceData_TemperatureZones[[#Headers],[Temperature Zone]],0)</calculatedColumnFormula>
    </tableColumn>
    <tableColumn id="4" xr3:uid="{4C8D6B45-65E8-4A84-9B64-B4D1E990BE7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D31FA-C10A-401A-A990-FD7418530E0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1896C80-5B23-4971-85DF-908C9411D636}" name="Rainfall Zone">
      <calculatedColumnFormula array="1">Common_InputFunctions.Utility_DisplayArrayInTable(Common_SourceData.Common_SourceData_RainfallZones_Data(),Table_SourceData_RainfallZones[[#Headers],[Rainfall Zone]],0)</calculatedColumnFormula>
    </tableColumn>
    <tableColumn id="2" xr3:uid="{776A729E-62FB-471E-9D55-F5C0C49DAFB1}" name="Annual rainfall">
      <calculatedColumnFormula array="1">Common_InputFunctions.Utility_DisplayArrayInTable(Common_SourceData.Common_SourceData_RainfallZones_Data(),Table_SourceData_RainfallZones[[#Headers],[Rainfall Zone]],0)</calculatedColumnFormula>
    </tableColumn>
    <tableColumn id="3" xr3:uid="{5C488583-1093-4920-BAEF-A4BD862E3623}" name="Min rainfall">
      <calculatedColumnFormula array="1">Common_InputFunctions.Utility_DisplayArrayInTable(Common_SourceData.Common_SourceData_RainfallZones_Data(),Table_SourceData_RainfallZones[[#Headers],[Rainfall Zone]],0)</calculatedColumnFormula>
    </tableColumn>
    <tableColumn id="4" xr3:uid="{EDCA589F-5D6E-4F25-A934-864B94D632C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0B98FF-3B1A-4F33-9028-A6B26A7E6CE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BC50AC7-FEC1-431E-AD41-7CB9E130FE72}" name="Leaching Zone">
      <calculatedColumnFormula array="1">Common_InputFunctions.Utility_DisplayArrayInTable(Common_SourceData.Common_SourceData_LeachingZones_Data(), Table_SourceData_LeachingZones[[#Headers],[Leaching Zone]], 0)</calculatedColumnFormula>
    </tableColumn>
    <tableColumn id="2" xr3:uid="{ED997B4B-69AA-458D-AD94-F4C79A1B94D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B321B1-DD2B-4EC5-AE20-D47C87F02BB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8CA1470-758E-4475-BE8B-25D35A86BE01}" name="Data source">
      <calculatedColumnFormula array="1">Common_InputFunctions.Utility_DisplayArrayInTable(Common_SourceData.Common_SourceData_DataScores_Scope3_Data(), Table_SourceData_DataScores_Scope3[[#Headers],[Data source]], 0)</calculatedColumnFormula>
    </tableColumn>
    <tableColumn id="2" xr3:uid="{1F17B60B-4C21-4D79-B503-2BB5C2CDDB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890C4-4A77-40EC-A6C1-19C0895BD309}" name="Table_SourceData_FracWET" displayName="Table_SourceData_FracWET" ref="D134:E136" totalsRowShown="0">
  <autoFilter ref="D134:E136" xr:uid="{308E99BE-FE1F-47A4-B2CA-97217277C4E9}">
    <filterColumn colId="0" hiddenButton="1"/>
    <filterColumn colId="1" hiddenButton="1"/>
  </autoFilter>
  <tableColumns count="2">
    <tableColumn id="1" xr3:uid="{AEB37CE8-5689-4CCA-AF1D-E45E37F37CC1}" name="Is in leaching zone">
      <calculatedColumnFormula array="1">Common_InputFunctions.Utility_DisplayArrayInTable(Common_SourceData.Common_SourceData_FracWET_Data(),Table_SourceData_FracWET[[#Headers],[Is in leaching zone]],0)</calculatedColumnFormula>
    </tableColumn>
    <tableColumn id="2" xr3:uid="{8ABB6BDF-FE17-4B3B-BDE2-B9AAF30FF3BD}" name="FracWET" dataDxfId="1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BB36C9A-81C9-4008-9621-02E7765F421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F8F31AC-00F6-4249-87C9-3FC6FE61BBC6}" name="Production system j">
      <calculatedColumnFormula array="1">Common_InputFunctions.Utility_DisplayArrayInTable(Common_SourceData.Common_SourceData_EFN2O_Data(), Table_SourceData_Common_EFN2O[[#Headers],[Production system j]], 0)</calculatedColumnFormula>
    </tableColumn>
    <tableColumn id="2" xr3:uid="{C297EA64-FE6E-4A07-A69E-528AF5291D69}" name="EFN2O">
      <calculatedColumnFormula array="1">Common_InputFunctions.Utility_DisplayArrayInTable(Common_SourceData.Common_SourceData_EFN2O_Data(), Table_SourceData_Common_EFN2O[[#Headers],[Production system j]], 0)</calculatedColumnFormula>
    </tableColumn>
    <tableColumn id="3" xr3:uid="{6AF2FB50-AEC5-4A97-85DD-5BA28FE67661}" name="Production system only">
      <calculatedColumnFormula array="1">Common_InputFunctions.Utility_DisplayArrayInTable(Common_SourceData.Common_SourceData_EFN2O_Data(), Table_SourceData_Common_EFN2O[[#Headers],[Production system j]], 0)</calculatedColumnFormula>
    </tableColumn>
    <tableColumn id="4" xr3:uid="{86FFBCC3-0C43-4C00-A2EE-6BE3F2E4BF06}" name="Irrigation method">
      <calculatedColumnFormula array="1">Common_InputFunctions.Utility_DisplayArrayInTable(Common_SourceData.Common_SourceData_EFN2O_Data(), Table_SourceData_Common_EFN2O[[#Headers],[Production system j]], 0)</calculatedColumnFormula>
    </tableColumn>
    <tableColumn id="5" xr3:uid="{149802D4-7D06-4288-AFC4-EA24F6C8F48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046769-5E78-4435-8902-BE2F7ED271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EE4C9C2-CE36-41D3-A67F-CC85678D8B80}" name="Irrigation type i">
      <calculatedColumnFormula array="1">Common_InputFunctions.Utility_DisplayArrayInTable(Common_SourceData.Common_SourceData_FracWETIrrigation_Data(), Table_SourceData_FracWETIrrigation[[#Headers],[Irrigation type i]], 0)</calculatedColumnFormula>
    </tableColumn>
    <tableColumn id="2" xr3:uid="{DD5CBEE2-8756-4D0C-9A90-6E931CF609D0}" name="FracWET" dataDxfId="1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2D24A9-44B5-40A8-9D93-5D127038E49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6483A9E-91D3-4695-AB70-E830E24596D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127A673-CAEF-41F9-A48A-D438D3FFF619}" name="EFPRP" dataDxfId="1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20A54E0-06E3-423D-998B-2E4A7C9A48F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2A66992-064C-4170-856F-B81D835CEE21}" name="Month">
      <calculatedColumnFormula array="1">Common_InputFunctions.Utility_DisplayArrayInTable(Common_SourceData.Common_SourceData_MonthsToSeasons_Data(), Table_SourceData_Common_MonthToSeason[[#Headers],[Month]], 0)</calculatedColumnFormula>
    </tableColumn>
    <tableColumn id="2" xr3:uid="{48B6FC8D-6503-4BB2-B07D-00597C808CB0}" name="Season" dataDxfId="1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6A63BFC-1602-47C1-AF55-49AA6B4633C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344A8E3-CBAD-4F7E-B0CA-85C4550A31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C26B9B4-F509-4ACF-A306-F52C2D83B94C}" name="MAT (ºC)" dataDxfId="1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6D3FCFB-672E-43AB-BAD6-C5F3A36DC255}" name="Anaerobic lagoon" dataDxfId="1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86B0E39-9F46-4519-A952-1FCC90F0A23E}" name="Digester / covered lagoons"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AB3566B-B894-433E-9D4A-4CA76B82C3BD}" name="Liquid systems"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655DEC-7C3C-4046-9046-7ABE03AF26CA}" name="Daily spread"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C01C908-9F78-404B-A8A9-081231B6DBAF}" name="Composting (passive windrow)"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16BC200-DE2E-4607-9A3A-E48F6A72FB0F}" name="Solid storage"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D073AF2-25E0-49BE-825D-D38FD86B34D8}" name="Pit storage"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C00D039-8FF7-4CF7-B97D-987BAE97BA35}" name="Deep litter"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3FD2E13-24D5-402A-8C77-E324B6925825}" name="Poultry manure with bedding"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CCAA4CD-85BD-481B-A987-0719DD47798C}" name="Poultry manure without bedding"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2540CA2-E51E-45F0-A036-45D45913194C}" name="Direct processing"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3A0B3F-42CD-412F-B1E5-79CF90491213}" name="Direct application"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4E9918F-2DF8-4DE9-AD76-C61362285599}" name="Pasture range and paddock"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E671AF8-F8E0-4322-B78A-1B6A3A96A4E0}" name="MAT raw"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9FFD0F-1699-4700-8323-CF2162C2663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DE88A1-FD3E-429F-81D0-81A0580D58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505652E-76CD-41ED-BC1F-830404A5E233}" name="EFNi &amp; EFN2Oi" dataDxfId="10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3D3DE7BC-FF47-402B-8CFE-060963759AD3}"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03A32BA1-E980-4F49-9122-62005BC41393}" name="Description"/>
    <tableColumn id="5" xr3:uid="{A5C4AE2C-6F57-4A06-9EF5-6F17B00886CA}" name="Treatment type (select)" dataCellStyle="Input select"/>
    <tableColumn id="2" xr3:uid="{F498E3F0-146F-45C1-BD90-E918BAA74026}" name="Waste type (select)" dataCellStyle="Input select"/>
    <tableColumn id="3" xr3:uid="{344593AE-F71B-4DA7-9A2C-AC154C809214}" name="Treatment location (select)" dataCellStyle="Input select"/>
    <tableColumn id="4" xr3:uid="{C886B951-3CCD-4AA9-AB4C-C025804591F0}" name="Amount" dataCellStyle="Input number general"/>
    <tableColumn id="7" xr3:uid="{F1621235-592C-4280-A73A-CEB3E695372A}" name="Amount unit (select)" dataCellStyle="Input select"/>
  </tableColumns>
  <tableStyleInfo name="Editable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943EBD76-8B7A-46DB-A5BF-F2EAA7288CA7}"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DF78EEE0-CFF8-4514-B490-F3EF97CFC8A8}"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582778E5-7D58-4B1F-A8BC-15404F1B562B}" name="Waste type w" dataDxfId="10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C4FDADE9-797B-41CB-BA34-40F65C4ADD54}" name="EFwt" dataDxfId="9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997CB171-F98C-4A9A-B17C-20A90534673D}" name="EF source" dataDxfId="9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AD95BCC6-9863-4747-BB93-04349685B661}"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E6FFA35D-76B1-4B1F-80F3-E3D796FD4A91}"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AC3158D5-27BC-401E-AA98-2C34C3F5E357}" name="VTMw" dataDxfId="97"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AA784984-9FA2-4FF8-8090-79B6671AA738}" name="Table_WasteTypes_Landfill" displayName="Table_WasteTypes_Landfill" ref="I16:I27" totalsRowShown="0">
  <autoFilter ref="I16:I27" xr:uid="{99B942E3-1D24-4166-921C-DCC10960718D}">
    <filterColumn colId="0" hiddenButton="1"/>
  </autoFilter>
  <tableColumns count="1">
    <tableColumn id="1" xr3:uid="{764D91DC-95FB-4FA3-8240-AECE00D04DDE}"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CC96C25-C9C1-4493-8FC3-A1F3C5971503}" name="Table_WasteTypes_Incineration" displayName="Table_WasteTypes_Incineration" ref="K16:K26" totalsRowShown="0" headerRowDxfId="96" headerRowCellStyle="Content normal" dataCellStyle="Content normal">
  <autoFilter ref="K16:K26" xr:uid="{9A900595-7035-4239-9059-ACC16835BF72}">
    <filterColumn colId="0" hiddenButton="1"/>
  </autoFilter>
  <tableColumns count="1">
    <tableColumn id="1" xr3:uid="{BADDCDAF-1E14-48DE-8B67-471D3439CC64}" name="Waste type w" dataCellStyle="Content normal">
      <calculatedColumnFormula>E29</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42E61399-4CB6-4A6B-952E-19FCB6787739}" name="Table_WasteTypes_Composting" displayName="Table_WasteTypes_Composting" ref="M16:M21" totalsRowShown="0" headerRowDxfId="95" headerRowCellStyle="Content normal" dataCellStyle="Content normal">
  <autoFilter ref="M16:M21" xr:uid="{5C8D39D3-1330-49EB-B431-1B2B8C8238DC}">
    <filterColumn colId="0" hiddenButton="1"/>
  </autoFilter>
  <tableColumns count="1">
    <tableColumn id="1" xr3:uid="{E501C0F3-791C-468B-80B3-5C1BBD61B8D9}" name="Waste type w" totalsRowDxfId="94" dataCellStyle="Content normal">
      <calculatedColumnFormula>E40</calculatedColumnFormula>
    </tableColum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8D053029-4E14-4214-AF6F-8023B4E084F7}" name="Table_WasteTypes_Anaerobicdigestion" displayName="Table_WasteTypes_Anaerobicdigestion" ref="O16:O21" totalsRowShown="0" headerRowDxfId="93" headerRowCellStyle="Content normal" dataCellStyle="Content normal">
  <autoFilter ref="O16:O21" xr:uid="{331EC43E-DF68-429F-A2A4-58BFE6216EC3}">
    <filterColumn colId="0" hiddenButton="1"/>
  </autoFilter>
  <tableColumns count="1">
    <tableColumn id="1" xr3:uid="{892794D0-9181-4BA7-AE5B-D235B1A0759E}" name="Waste type w" totalsRowDxfId="92" dataCellStyle="Content normal">
      <calculatedColumnFormula>E46</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A0A1CD-8E5B-46C1-9B1B-A6414BB18D09}" name="Table_Input_DataQuality" displayName="Table_Input_DataQuality" ref="D6:J7" totalsRowShown="0" headerRowCellStyle="Input table column header">
  <autoFilter ref="D6:J7" xr:uid="{13023411-FAD9-40B6-9366-7826422CBF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2D91677-2A2D-42DA-8119-4ECEF8794C8C}" name="Input"/>
    <tableColumn id="2" xr3:uid="{D0F60017-C58D-42ED-9BF1-8D01902E8D4D}" name="Temporal representativeness" dataCellStyle="Input select"/>
    <tableColumn id="3" xr3:uid="{08DBDF97-0155-4B2F-8291-54B61FF408BD}" name="Spatial resolution" dataCellStyle="Input select"/>
    <tableColumn id="4" xr3:uid="{022C6E4C-4A1B-4829-929A-D1AA689758A2}" name="Sample size" dataCellStyle="Input select"/>
    <tableColumn id="5" xr3:uid="{28F01E09-BECE-484C-81F3-93DFF53DC900}" name="Notes"/>
    <tableColumn id="6" xr3:uid="{DDF62FEF-8F18-4588-8C64-94585E6BFF74}" name="Evidence files"/>
    <tableColumn id="7" xr3:uid="{05442818-31FF-4B7D-911F-5A30BA48670D}" name="Score" dataCellStyle="Input number general calculated"/>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5.bin"/><Relationship Id="rId5" Type="http://schemas.openxmlformats.org/officeDocument/2006/relationships/table" Target="../tables/table6.xml"/><Relationship Id="rId4"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table" Target="../tables/table10.xml"/><Relationship Id="rId1" Type="http://schemas.openxmlformats.org/officeDocument/2006/relationships/printerSettings" Target="../printerSettings/printerSettings8.bin"/><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 Id="rId9" Type="http://schemas.openxmlformats.org/officeDocument/2006/relationships/table" Target="../tables/table17.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27.xml"/><Relationship Id="rId13" Type="http://schemas.openxmlformats.org/officeDocument/2006/relationships/table" Target="../tables/table32.xml"/><Relationship Id="rId3" Type="http://schemas.openxmlformats.org/officeDocument/2006/relationships/table" Target="../tables/table22.xml"/><Relationship Id="rId7" Type="http://schemas.openxmlformats.org/officeDocument/2006/relationships/table" Target="../tables/table26.xml"/><Relationship Id="rId12" Type="http://schemas.openxmlformats.org/officeDocument/2006/relationships/table" Target="../tables/table31.xml"/><Relationship Id="rId2" Type="http://schemas.openxmlformats.org/officeDocument/2006/relationships/table" Target="../tables/table21.xml"/><Relationship Id="rId16" Type="http://schemas.openxmlformats.org/officeDocument/2006/relationships/table" Target="../tables/table35.xml"/><Relationship Id="rId1" Type="http://schemas.openxmlformats.org/officeDocument/2006/relationships/table" Target="../tables/table20.xml"/><Relationship Id="rId6" Type="http://schemas.openxmlformats.org/officeDocument/2006/relationships/table" Target="../tables/table25.xml"/><Relationship Id="rId11" Type="http://schemas.openxmlformats.org/officeDocument/2006/relationships/table" Target="../tables/table30.xml"/><Relationship Id="rId5" Type="http://schemas.openxmlformats.org/officeDocument/2006/relationships/table" Target="../tables/table24.xml"/><Relationship Id="rId15" Type="http://schemas.openxmlformats.org/officeDocument/2006/relationships/table" Target="../tables/table3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 Id="rId14" Type="http://schemas.openxmlformats.org/officeDocument/2006/relationships/table" Target="../tables/table33.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42.xml"/><Relationship Id="rId3" Type="http://schemas.openxmlformats.org/officeDocument/2006/relationships/table" Target="../tables/table37.xml"/><Relationship Id="rId7" Type="http://schemas.openxmlformats.org/officeDocument/2006/relationships/table" Target="../tables/table41.xml"/><Relationship Id="rId2" Type="http://schemas.openxmlformats.org/officeDocument/2006/relationships/table" Target="../tables/table36.xml"/><Relationship Id="rId1" Type="http://schemas.openxmlformats.org/officeDocument/2006/relationships/printerSettings" Target="../printerSettings/printerSettings20.bin"/><Relationship Id="rId6" Type="http://schemas.openxmlformats.org/officeDocument/2006/relationships/table" Target="../tables/table40.xml"/><Relationship Id="rId5" Type="http://schemas.openxmlformats.org/officeDocument/2006/relationships/table" Target="../tables/table39.xml"/><Relationship Id="rId4" Type="http://schemas.openxmlformats.org/officeDocument/2006/relationships/table" Target="../tables/table38.xml"/><Relationship Id="rId9" Type="http://schemas.openxmlformats.org/officeDocument/2006/relationships/table" Target="../tables/table43.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table" Target="../tables/table45.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53.xml"/><Relationship Id="rId3" Type="http://schemas.openxmlformats.org/officeDocument/2006/relationships/table" Target="../tables/table48.xml"/><Relationship Id="rId7" Type="http://schemas.openxmlformats.org/officeDocument/2006/relationships/table" Target="../tables/table52.xml"/><Relationship Id="rId12" Type="http://schemas.openxmlformats.org/officeDocument/2006/relationships/table" Target="../tables/table57.xml"/><Relationship Id="rId2" Type="http://schemas.openxmlformats.org/officeDocument/2006/relationships/table" Target="../tables/table47.xml"/><Relationship Id="rId1" Type="http://schemas.openxmlformats.org/officeDocument/2006/relationships/printerSettings" Target="../printerSettings/printerSettings22.bin"/><Relationship Id="rId6" Type="http://schemas.openxmlformats.org/officeDocument/2006/relationships/table" Target="../tables/table51.xml"/><Relationship Id="rId11" Type="http://schemas.openxmlformats.org/officeDocument/2006/relationships/table" Target="../tables/table56.xml"/><Relationship Id="rId5" Type="http://schemas.openxmlformats.org/officeDocument/2006/relationships/table" Target="../tables/table50.xml"/><Relationship Id="rId10" Type="http://schemas.openxmlformats.org/officeDocument/2006/relationships/table" Target="../tables/table55.xml"/><Relationship Id="rId4" Type="http://schemas.openxmlformats.org/officeDocument/2006/relationships/table" Target="../tables/table49.xml"/><Relationship Id="rId9" Type="http://schemas.openxmlformats.org/officeDocument/2006/relationships/table" Target="../tables/table54.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36.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18" Type="http://schemas.openxmlformats.org/officeDocument/2006/relationships/table" Target="../tables/table82.xml"/><Relationship Id="rId26" Type="http://schemas.openxmlformats.org/officeDocument/2006/relationships/table" Target="../tables/table90.xml"/><Relationship Id="rId3" Type="http://schemas.openxmlformats.org/officeDocument/2006/relationships/table" Target="../tables/table67.xml"/><Relationship Id="rId21" Type="http://schemas.openxmlformats.org/officeDocument/2006/relationships/table" Target="../tables/table85.xml"/><Relationship Id="rId7" Type="http://schemas.openxmlformats.org/officeDocument/2006/relationships/table" Target="../tables/table71.xml"/><Relationship Id="rId12" Type="http://schemas.openxmlformats.org/officeDocument/2006/relationships/table" Target="../tables/table76.xml"/><Relationship Id="rId17" Type="http://schemas.openxmlformats.org/officeDocument/2006/relationships/table" Target="../tables/table81.xml"/><Relationship Id="rId25" Type="http://schemas.openxmlformats.org/officeDocument/2006/relationships/table" Target="../tables/table89.xml"/><Relationship Id="rId2" Type="http://schemas.openxmlformats.org/officeDocument/2006/relationships/table" Target="../tables/table66.xml"/><Relationship Id="rId16" Type="http://schemas.openxmlformats.org/officeDocument/2006/relationships/table" Target="../tables/table80.xml"/><Relationship Id="rId20" Type="http://schemas.openxmlformats.org/officeDocument/2006/relationships/table" Target="../tables/table84.xml"/><Relationship Id="rId29" Type="http://schemas.openxmlformats.org/officeDocument/2006/relationships/table" Target="../tables/table93.xml"/><Relationship Id="rId1" Type="http://schemas.openxmlformats.org/officeDocument/2006/relationships/table" Target="../tables/table65.xml"/><Relationship Id="rId6" Type="http://schemas.openxmlformats.org/officeDocument/2006/relationships/table" Target="../tables/table70.xml"/><Relationship Id="rId11" Type="http://schemas.openxmlformats.org/officeDocument/2006/relationships/table" Target="../tables/table75.xml"/><Relationship Id="rId24" Type="http://schemas.openxmlformats.org/officeDocument/2006/relationships/table" Target="../tables/table88.xml"/><Relationship Id="rId5" Type="http://schemas.openxmlformats.org/officeDocument/2006/relationships/table" Target="../tables/table69.xml"/><Relationship Id="rId15" Type="http://schemas.openxmlformats.org/officeDocument/2006/relationships/table" Target="../tables/table79.xml"/><Relationship Id="rId23" Type="http://schemas.openxmlformats.org/officeDocument/2006/relationships/table" Target="../tables/table87.xml"/><Relationship Id="rId28" Type="http://schemas.openxmlformats.org/officeDocument/2006/relationships/table" Target="../tables/table92.xml"/><Relationship Id="rId10" Type="http://schemas.openxmlformats.org/officeDocument/2006/relationships/table" Target="../tables/table74.xml"/><Relationship Id="rId19" Type="http://schemas.openxmlformats.org/officeDocument/2006/relationships/table" Target="../tables/table83.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 Id="rId22" Type="http://schemas.openxmlformats.org/officeDocument/2006/relationships/table" Target="../tables/table86.xml"/><Relationship Id="rId27" Type="http://schemas.openxmlformats.org/officeDocument/2006/relationships/table" Target="../tables/table91.xml"/><Relationship Id="rId30" Type="http://schemas.openxmlformats.org/officeDocument/2006/relationships/table" Target="../tables/table94.xml"/></Relationships>
</file>

<file path=xl/worksheets/_rels/sheet37.xml.rels><?xml version="1.0" encoding="UTF-8" standalone="yes"?>
<Relationships xmlns="http://schemas.openxmlformats.org/package/2006/relationships"><Relationship Id="rId8" Type="http://schemas.openxmlformats.org/officeDocument/2006/relationships/table" Target="../tables/table101.xml"/><Relationship Id="rId13" Type="http://schemas.openxmlformats.org/officeDocument/2006/relationships/table" Target="../tables/table106.xml"/><Relationship Id="rId18" Type="http://schemas.openxmlformats.org/officeDocument/2006/relationships/table" Target="../tables/table111.xml"/><Relationship Id="rId3" Type="http://schemas.openxmlformats.org/officeDocument/2006/relationships/table" Target="../tables/table96.xml"/><Relationship Id="rId7" Type="http://schemas.openxmlformats.org/officeDocument/2006/relationships/table" Target="../tables/table100.xml"/><Relationship Id="rId12" Type="http://schemas.openxmlformats.org/officeDocument/2006/relationships/table" Target="../tables/table105.xml"/><Relationship Id="rId17" Type="http://schemas.openxmlformats.org/officeDocument/2006/relationships/table" Target="../tables/table110.xml"/><Relationship Id="rId2" Type="http://schemas.openxmlformats.org/officeDocument/2006/relationships/table" Target="../tables/table95.xml"/><Relationship Id="rId16" Type="http://schemas.openxmlformats.org/officeDocument/2006/relationships/table" Target="../tables/table109.xml"/><Relationship Id="rId1" Type="http://schemas.openxmlformats.org/officeDocument/2006/relationships/printerSettings" Target="../printerSettings/printerSettings23.bin"/><Relationship Id="rId6" Type="http://schemas.openxmlformats.org/officeDocument/2006/relationships/table" Target="../tables/table99.xml"/><Relationship Id="rId11" Type="http://schemas.openxmlformats.org/officeDocument/2006/relationships/table" Target="../tables/table104.xml"/><Relationship Id="rId5" Type="http://schemas.openxmlformats.org/officeDocument/2006/relationships/table" Target="../tables/table98.xml"/><Relationship Id="rId15" Type="http://schemas.openxmlformats.org/officeDocument/2006/relationships/table" Target="../tables/table108.xml"/><Relationship Id="rId10" Type="http://schemas.openxmlformats.org/officeDocument/2006/relationships/table" Target="../tables/table103.xml"/><Relationship Id="rId4" Type="http://schemas.openxmlformats.org/officeDocument/2006/relationships/table" Target="../tables/table97.xml"/><Relationship Id="rId9" Type="http://schemas.openxmlformats.org/officeDocument/2006/relationships/table" Target="../tables/table102.xml"/><Relationship Id="rId14" Type="http://schemas.openxmlformats.org/officeDocument/2006/relationships/table" Target="../tables/table107.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112.xml"/><Relationship Id="rId1" Type="http://schemas.openxmlformats.org/officeDocument/2006/relationships/printerSettings" Target="../printerSettings/printerSettings24.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5.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6.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7.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2.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3.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4.bin"/></Relationships>
</file>

<file path=xl/worksheets/_rels/sheet50.xml.rels><?xml version="1.0" encoding="UTF-8" standalone="yes"?>
<Relationships xmlns="http://schemas.openxmlformats.org/package/2006/relationships"><Relationship Id="rId3" Type="http://schemas.openxmlformats.org/officeDocument/2006/relationships/table" Target="../tables/table114.xml"/><Relationship Id="rId7" Type="http://schemas.openxmlformats.org/officeDocument/2006/relationships/table" Target="../tables/table118.xml"/><Relationship Id="rId2" Type="http://schemas.openxmlformats.org/officeDocument/2006/relationships/table" Target="../tables/table113.xml"/><Relationship Id="rId1" Type="http://schemas.openxmlformats.org/officeDocument/2006/relationships/printerSettings" Target="../printerSettings/printerSettings35.bin"/><Relationship Id="rId6" Type="http://schemas.openxmlformats.org/officeDocument/2006/relationships/table" Target="../tables/table117.xml"/><Relationship Id="rId5" Type="http://schemas.openxmlformats.org/officeDocument/2006/relationships/table" Target="../tables/table116.xml"/><Relationship Id="rId4" Type="http://schemas.openxmlformats.org/officeDocument/2006/relationships/table" Target="../tables/table115.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1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63"/>
  <sheetViews>
    <sheetView zoomScaleNormal="100" workbookViewId="0">
      <selection activeCell="A63" sqref="A63"/>
    </sheetView>
  </sheetViews>
  <sheetFormatPr defaultRowHeight="15" x14ac:dyDescent="0.25"/>
  <sheetData>
    <row r="1" spans="1:1" ht="25.5" x14ac:dyDescent="0.35">
      <c r="A1" s="16" t="e" vm="1">
        <v>#VALUE!</v>
      </c>
    </row>
    <row r="3" spans="1:1" ht="15.75" x14ac:dyDescent="0.25">
      <c r="A3" s="284" t="str">
        <f>HYPERLINK("#'Home'!A1", "Home")</f>
        <v>Home</v>
      </c>
    </row>
    <row r="4" spans="1:1" ht="15.75" x14ac:dyDescent="0.25">
      <c r="A4" s="5" t="str">
        <f>HYPERLINK("#'Overview'!A1", "Overview")</f>
        <v>Overview</v>
      </c>
    </row>
    <row r="5" spans="1:1" ht="15.75" x14ac:dyDescent="0.25">
      <c r="A5" s="5" t="str">
        <f>HYPERLINK("#'Results'!A1", "Results")</f>
        <v>Results</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Dairy'!A1", "Dairy")</f>
        <v>Dairy</v>
      </c>
    </row>
    <row r="12" spans="1:1" ht="15.75" x14ac:dyDescent="0.25">
      <c r="A12" s="5" t="str">
        <f>HYPERLINK("#'Input - Dairy (Enteric)'!A1", "Dairy (Enteric)")</f>
        <v>Dairy (Enteric)</v>
      </c>
    </row>
    <row r="13" spans="1:1" ht="15.75" x14ac:dyDescent="0.25">
      <c r="A13" s="5" t="str">
        <f>HYPERLINK("#'Input - Livestock sales'!A1", "Livestock sales")</f>
        <v>Livestock sales</v>
      </c>
    </row>
    <row r="14" spans="1:1" ht="15.75" x14ac:dyDescent="0.25">
      <c r="A14" s="5" t="str">
        <f>HYPERLINK("#'Input - Dairy cattle purchases'!A1", "Dairy cattle purchases")</f>
        <v>Dairy cattle purchases</v>
      </c>
    </row>
    <row r="15" spans="1:1" ht="15.75" x14ac:dyDescent="0.25">
      <c r="A15" s="5" t="str">
        <f>HYPERLINK("#'Input - Pasture'!A1", "Pasture")</f>
        <v>Pasture</v>
      </c>
    </row>
    <row r="16" spans="1:1" ht="15.75" x14ac:dyDescent="0.25">
      <c r="A16" s="5" t="str">
        <f>HYPERLINK("#'Input - Fert Prod System'!A1", "Fert Prod System")</f>
        <v>Fert Prod System</v>
      </c>
    </row>
    <row r="17" spans="1:1" ht="15.75" x14ac:dyDescent="0.25">
      <c r="A17" s="5" t="str">
        <f>HYPERLINK("#'Input - Fertiliser'!A1", "Fertiliser")</f>
        <v>Fertiliser</v>
      </c>
    </row>
    <row r="18" spans="1:1" ht="15.75" x14ac:dyDescent="0.25">
      <c r="A18" s="5" t="str">
        <f>HYPERLINK("#'Input - Fuel'!A1", "Fuel")</f>
        <v>Fuel</v>
      </c>
    </row>
    <row r="19" spans="1:1" ht="15.75" x14ac:dyDescent="0.25">
      <c r="A19" s="5" t="str">
        <f>HYPERLINK("#'Input - Electricity'!A1", "Electricity")</f>
        <v>Electricity</v>
      </c>
    </row>
    <row r="20" spans="1:1" ht="15.75" x14ac:dyDescent="0.25">
      <c r="A20" s="5" t="str">
        <f>HYPERLINK("#'Input - Farm Inputs'!A1", "Farm Inputs")</f>
        <v>Farm Inputs</v>
      </c>
    </row>
    <row r="21" spans="1:1" ht="15.75" x14ac:dyDescent="0.25">
      <c r="A21" s="5" t="str">
        <f>HYPERLINK("#'Input - Freight'!A1", "Freight")</f>
        <v>Freight</v>
      </c>
    </row>
    <row r="22" spans="1:1" ht="15.75" x14ac:dyDescent="0.25">
      <c r="A22" s="5" t="str">
        <f>HYPERLINK("#'Input - Manure sent off-site'!A1", "Manure sent off-site")</f>
        <v>Manure sent off-site</v>
      </c>
    </row>
    <row r="23" spans="1:1" ht="15.75" x14ac:dyDescent="0.25">
      <c r="A23" s="5" t="str">
        <f>HYPERLINK("#'Input - Solid waste'!A1", "Solid waste")</f>
        <v>Solid waste</v>
      </c>
    </row>
    <row r="24" spans="1:1" ht="15.75" x14ac:dyDescent="0.25">
      <c r="A24" s="5" t="str">
        <f>HYPERLINK("#'Input - Data quality'!A1", "Data quality")</f>
        <v>Data quality</v>
      </c>
    </row>
    <row r="27" spans="1:1" x14ac:dyDescent="0.25">
      <c r="A27" s="6" t="s">
        <v>2</v>
      </c>
    </row>
    <row r="28" spans="1:1" ht="15.75" x14ac:dyDescent="0.25">
      <c r="A28" s="5" t="str">
        <f>HYPERLINK("#'5.1.1.1-2 Inorganic fert N2O'!A1", "5.1.1.1-2 Inorganic fert N2O")</f>
        <v>5.1.1.1-2 Inorganic fert N2O</v>
      </c>
    </row>
    <row r="29" spans="1:1" ht="15.75" x14ac:dyDescent="0.25">
      <c r="A29" s="5" t="str">
        <f>HYPERLINK("#'5.1.1.3-4 Inorganic fert CO2'!A1", "5.1.1.3-4 Inorganic fert CO2")</f>
        <v>5.1.1.3-4 Inorganic fert CO2</v>
      </c>
    </row>
    <row r="30" spans="1:1" ht="15.75" x14ac:dyDescent="0.25">
      <c r="A30" s="5" t="str">
        <f>HYPERLINK("#'5.2.1.1-2 Organic Fert N2O'!A1", "5.2.1.1-2 Organic fert N2O")</f>
        <v>5.2.1.1-2 Organic fert N2O</v>
      </c>
    </row>
    <row r="31" spans="1:1" ht="15.75" x14ac:dyDescent="0.25">
      <c r="A31" s="5" t="str">
        <f>HYPERLINK("#'5.3.1.1-2 Lime CO2'!A1", "5.3.1.1-2 Lime CO2")</f>
        <v>5.3.1.1-2 Lime CO2</v>
      </c>
    </row>
    <row r="32" spans="1:1" ht="15.75" x14ac:dyDescent="0.25">
      <c r="A32" s="5" t="str">
        <f>HYPERLINK("#'5.4.1.1-4 Atmos deposition'!A1", "5.4.1.1-4 Atmos. deposition")</f>
        <v>5.4.1.1-4 Atmos. deposition</v>
      </c>
    </row>
    <row r="33" spans="1:1" ht="15.75" x14ac:dyDescent="0.25">
      <c r="A33" s="5" t="str">
        <f>HYPERLINK("#'5.5.1.1-2 Leaching and runoff'!A1", "5.5.1.1-2 Leaching &amp; runoff")</f>
        <v>5.5.1.1-2 Leaching &amp; runoff</v>
      </c>
    </row>
    <row r="34" spans="1:1" ht="15.75" x14ac:dyDescent="0.25">
      <c r="A34" s="5" t="str">
        <f>HYPERLINK("#'6.2.1.1-2 Pasture residue N2O'!A1", "6.2.1.1-2 Pasture residue N2O")</f>
        <v>6.2.1.1-2 Pasture residue N2O</v>
      </c>
    </row>
    <row r="35" spans="1:1" ht="15.75" x14ac:dyDescent="0.25">
      <c r="A35" s="5" t="str">
        <f>HYPERLINK("#'6.3.1.1-2 Leach runoff pasture'!A1", "6.3.1.1-2 Leach &amp; runoff (pasture)")</f>
        <v>6.3.1.1-2 Leach &amp; runoff (pasture)</v>
      </c>
    </row>
    <row r="36" spans="1:1" ht="15.75" x14ac:dyDescent="0.25">
      <c r="A36" s="5" t="str">
        <f>HYPERLINK("#'8.1.1.1-2 Transport fuel'!A1", "8.1.1.1-2 Transport fuel")</f>
        <v>8.1.1.1-2 Transport fuel</v>
      </c>
    </row>
    <row r="37" spans="1:1" ht="15.75" x14ac:dyDescent="0.25">
      <c r="A37" s="5" t="str">
        <f>HYPERLINK("#'8.2.1.1-2 Stationary fuel'!A1", "8.2.1.1-2 Stationary fuel")</f>
        <v>8.2.1.1-2 Stationary fuel</v>
      </c>
    </row>
    <row r="38" spans="1:1" ht="15.75" x14ac:dyDescent="0.25">
      <c r="A38" s="5" t="str">
        <f>HYPERLINK("#'14.1.1-2 Purchased electricity'!A1", "14.1.1-2 Purchased electricity")</f>
        <v>14.1.1-2 Purchased electricity</v>
      </c>
    </row>
    <row r="39" spans="1:1" ht="15.75" x14ac:dyDescent="0.25">
      <c r="A39" s="5" t="str">
        <f>HYPERLINK("#'15 Scope 3'!A1", "15 Scope 3")</f>
        <v>15 Scope 3</v>
      </c>
    </row>
    <row r="40" spans="1:1" ht="15.75" x14ac:dyDescent="0.25">
      <c r="A40" s="5" t="str">
        <f>HYPERLINK("#'Calcs - Manure sent off-site'!A1", "Calcs - Manure sent off-site")</f>
        <v>Calcs - Manure sent off-site</v>
      </c>
    </row>
    <row r="41" spans="1:1" ht="15.75" x14ac:dyDescent="0.25">
      <c r="A41" s="5" t="str">
        <f>HYPERLINK("#'4.3.1.1-2 Methane'!A1", "4.3.1.1-2 Methane")</f>
        <v>4.3.1.1-2 Methane</v>
      </c>
    </row>
    <row r="42" spans="1:1" ht="15.75" x14ac:dyDescent="0.25">
      <c r="A42" s="5" t="str">
        <f>HYPERLINK("#'4.3.1.3-4 Direct N20'!A1", "4.3.1.3-4 Direct N20")</f>
        <v>4.3.1.3-4 Direct N20</v>
      </c>
    </row>
    <row r="43" spans="1:1" ht="15.75" x14ac:dyDescent="0.25">
      <c r="A43" s="5" t="str">
        <f>HYPERLINK("#'4.3.1.5 Atmos deposition'!A1", "4.3.1.5 Atmos deposition")</f>
        <v>4.3.1.5 Atmos deposition</v>
      </c>
    </row>
    <row r="44" spans="1:1" ht="15.75" x14ac:dyDescent="0.25">
      <c r="A44" s="5" t="str">
        <f>HYPERLINK("#'4.3.1.6-7 Leaching and runoff'!A1", "4.3.1.6-7 Leaching and runoff")</f>
        <v>4.3.1.6-7 Leaching and runoff</v>
      </c>
    </row>
    <row r="45" spans="1:1" ht="15.75" x14ac:dyDescent="0.25">
      <c r="A45" s="5" t="str">
        <f>HYPERLINK("#'4.3.1.8 Manure applied to soils'!A1", "4.3.1.8 Manure applied to soils")</f>
        <v>4.3.1.8 Manure applied to soils</v>
      </c>
    </row>
    <row r="46" spans="1:1" ht="15.75" x14ac:dyDescent="0.25">
      <c r="A46" s="5" t="str">
        <f>HYPERLINK("#'4.3.1.9 Soil direct N2O'!A1", "4.3.1.9 Soil direct N2O")</f>
        <v>4.3.1.9 Soil direct N2O</v>
      </c>
    </row>
    <row r="47" spans="1:1" ht="15.75" x14ac:dyDescent="0.25">
      <c r="A47" s="5" t="str">
        <f>HYPERLINK("#'4.3.1.10-11 Soil Atmos Dep'!A1", "4.3.1.10-11 Soil Atmos Dep")</f>
        <v>4.3.1.10-11 Soil Atmos Dep</v>
      </c>
    </row>
    <row r="48" spans="1:1" ht="15.75" x14ac:dyDescent="0.25">
      <c r="A48" s="5" t="str">
        <f>HYPERLINK("#'4.3.1.12-13 Soil leach runoff'!A1", "4.3.1.12-13 Soil leach runoff")</f>
        <v>4.3.1.12-13 Soil leach runoff</v>
      </c>
    </row>
    <row r="49" spans="1:1" ht="15.75" x14ac:dyDescent="0.25">
      <c r="A49" s="5" t="str">
        <f>HYPERLINK("#'3.3.1.1-2 Enteric Methane'!A1", "3.3.1.1-2 Enteric Methane")</f>
        <v>3.3.1.1-2 Enteric Methane</v>
      </c>
    </row>
    <row r="50" spans="1:1" ht="15.75" x14ac:dyDescent="0.25">
      <c r="A50" s="5" t="str">
        <f>HYPERLINK("#'10.1.1-2 Solid waste treatment'!A1", "10.1.1-2 Solid waste treatment")</f>
        <v>10.1.1-2 Solid waste treatment</v>
      </c>
    </row>
    <row r="53" spans="1:1" x14ac:dyDescent="0.25">
      <c r="A53" s="100" t="s">
        <v>1</v>
      </c>
    </row>
    <row r="54" spans="1:1" ht="15.75" x14ac:dyDescent="0.25">
      <c r="A54" s="5" t="str">
        <f>HYPERLINK("#'Constants - Dairy'!A1", "Constants - Dairy")</f>
        <v>Constants - Dairy</v>
      </c>
    </row>
    <row r="55" spans="1:1" ht="15.75" x14ac:dyDescent="0.25">
      <c r="A55" s="5" t="str">
        <f>HYPERLINK("#'Constants - Ag Residue'!A1", "Constants - Ag residue")</f>
        <v>Constants - Ag residue</v>
      </c>
    </row>
    <row r="56" spans="1:1" ht="15.75" x14ac:dyDescent="0.25">
      <c r="A56" s="5" t="str">
        <f>HYPERLINK("#'Constants - Common Livestock'!A1", "Constants - Common Livestock")</f>
        <v>Constants - Common Livestock</v>
      </c>
    </row>
    <row r="57" spans="1:1" ht="15.75" x14ac:dyDescent="0.25">
      <c r="A57" s="5" t="str">
        <f>HYPERLINK("#'Constants - Electricity'!A1", "Constants - Electricity")</f>
        <v>Constants - Electricity</v>
      </c>
    </row>
    <row r="58" spans="1:1" ht="15.75" x14ac:dyDescent="0.25">
      <c r="A58" s="5" t="str">
        <f>HYPERLINK("#'Constants - Fertiliser'!A1", "Constants - Fertiliser")</f>
        <v>Constants - Fertiliser</v>
      </c>
    </row>
    <row r="59" spans="1:1" ht="15.75" x14ac:dyDescent="0.25">
      <c r="A59" s="5" t="str">
        <f>HYPERLINK("#'Constants - Fuel'!A1", "Constants - Fuel")</f>
        <v>Constants - Fuel</v>
      </c>
    </row>
    <row r="60" spans="1:1" ht="15.75" x14ac:dyDescent="0.25">
      <c r="A60" s="5" t="str">
        <f>HYPERLINK("#'Constants - Scope 3'!A1", "Constants - Scope 3")</f>
        <v>Constants - Scope 3</v>
      </c>
    </row>
    <row r="61" spans="1:1" ht="15.75" x14ac:dyDescent="0.25">
      <c r="A61" s="5" t="str">
        <f>HYPERLINK("#'Constants - Common'!A1", "Constants - Common")</f>
        <v>Constants - Common</v>
      </c>
    </row>
    <row r="62" spans="1:1" ht="15.75" x14ac:dyDescent="0.25">
      <c r="A62" s="5" t="str">
        <f>HYPERLINK("#'Acknowledgements'!A1", "Acknowledgements")</f>
        <v>Acknowledgements</v>
      </c>
    </row>
    <row r="63" spans="1:1" ht="15.75" x14ac:dyDescent="0.25">
      <c r="A63" s="5" t="str">
        <f>HYPERLINK("#'Constants - Solid Waste'!A1", "Constants - Solid Waste")</f>
        <v>Constants - Solid Waste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4"/>
  <sheetViews>
    <sheetView showGridLines="0" tabSelected="1" topLeftCell="A30" zoomScaleNormal="100" workbookViewId="0">
      <selection activeCell="E57" sqref="E57"/>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16" t="e" vm="1">
        <v>#VALUE!</v>
      </c>
      <c r="C1" s="21" t="s">
        <v>173</v>
      </c>
    </row>
    <row r="2" spans="1:11" ht="20.100000000000001" customHeight="1" x14ac:dyDescent="0.25">
      <c r="C2" s="3"/>
    </row>
    <row r="3" spans="1:11" ht="20.100000000000001" customHeight="1" x14ac:dyDescent="0.25">
      <c r="A3" s="5" t="str">
        <f>HYPERLINK("#'Home'!A1", "Home")</f>
        <v>Home</v>
      </c>
      <c r="C3" s="8"/>
      <c r="D3" s="8"/>
      <c r="E3" s="8"/>
      <c r="F3" s="8"/>
      <c r="G3" s="8"/>
      <c r="H3" s="8"/>
      <c r="I3" s="8"/>
      <c r="J3" s="8"/>
      <c r="K3" s="8"/>
    </row>
    <row r="4" spans="1:11" ht="20.100000000000001" customHeight="1" x14ac:dyDescent="0.25">
      <c r="A4" s="5" t="str">
        <f>HYPERLINK("#'Overview'!A1", "Overview")</f>
        <v>Overview</v>
      </c>
      <c r="C4" s="8"/>
      <c r="D4" s="2" t="str">
        <f>"Emissions breakdown for activities running between " &amp; TEXT(X_Cell_Site_StartDate, "dd mmmm yyyy") &amp; " and " &amp; TEXT('Input - Enterprise'!E13, "dd mmmm yyyy")</f>
        <v>Emissions breakdown for activities running between 01 January 2024 and 31 December 2024</v>
      </c>
      <c r="E4" s="10"/>
      <c r="F4" s="10"/>
      <c r="G4" s="10"/>
      <c r="H4" s="2"/>
      <c r="I4" s="2"/>
      <c r="J4" s="2"/>
      <c r="K4" s="11"/>
    </row>
    <row r="5" spans="1:11" ht="20.100000000000001" customHeight="1" x14ac:dyDescent="0.3">
      <c r="A5" s="284" t="str">
        <f>HYPERLINK("#'Results'!A1", "Results")</f>
        <v>Results</v>
      </c>
      <c r="C5" s="8"/>
      <c r="D5" s="12"/>
      <c r="E5" s="13"/>
      <c r="F5" s="13"/>
      <c r="G5" s="13"/>
      <c r="H5" s="10"/>
      <c r="I5" s="8"/>
      <c r="J5" s="8"/>
      <c r="K5" s="8"/>
    </row>
    <row r="6" spans="1:11" ht="20.100000000000001" customHeight="1" x14ac:dyDescent="0.25">
      <c r="C6" s="8"/>
      <c r="D6" s="20" t="s">
        <v>3</v>
      </c>
      <c r="E6" s="20" t="s">
        <v>8</v>
      </c>
      <c r="F6" s="20" t="s">
        <v>9</v>
      </c>
      <c r="G6" s="20" t="s">
        <v>5</v>
      </c>
      <c r="H6" s="20" t="s">
        <v>10</v>
      </c>
      <c r="I6" s="20" t="s">
        <v>11</v>
      </c>
      <c r="J6" s="2"/>
      <c r="K6" s="8"/>
    </row>
    <row r="7" spans="1:11" ht="20.100000000000001" customHeight="1" x14ac:dyDescent="0.25">
      <c r="C7" s="8"/>
      <c r="D7" s="1" t="s">
        <v>174</v>
      </c>
      <c r="E7" s="18" cm="1">
        <f t="array" ref="E7">VEERG_3_3_1_1__1_TotalAnnualMethaneFromEntericFermentationVariation_Result_Method1</f>
        <v>32.464682683989999</v>
      </c>
      <c r="F7" s="18" cm="1">
        <f t="array" ref="F7">VEERG_3_3_1_1__1_TotalAnnualMethaneFromEntericFermentationVariation_Result_Method2</f>
        <v>32.464682683989999</v>
      </c>
      <c r="G7" s="15" t="s">
        <v>6</v>
      </c>
      <c r="H7" s="18" cm="1">
        <f t="array" ref="H7">Common_Equations.Common_ConvertCH4ToCO2e(E7,_xlfn.XLOOKUP("CH4", Table_GWPData[Gas],Table_GWPData[CO2-e factor]))</f>
        <v>909.01111515171999</v>
      </c>
      <c r="I7" s="18" cm="1">
        <f t="array" ref="I7">Common_Equations.Common_ConvertCH4ToCO2e(F7,_xlfn.XLOOKUP("CH4", Table_GWPData[Gas],Table_GWPData[CO2-e factor]))</f>
        <v>909.01111515171999</v>
      </c>
      <c r="J7" s="15" t="s">
        <v>7</v>
      </c>
      <c r="K7" s="8"/>
    </row>
    <row r="8" spans="1:11" ht="20.100000000000001" customHeight="1" x14ac:dyDescent="0.25">
      <c r="A8" s="7" t="s">
        <v>0</v>
      </c>
      <c r="C8" s="8"/>
      <c r="D8" s="1" t="s">
        <v>175</v>
      </c>
      <c r="E8" s="18" cm="1">
        <f t="array" aca="1" ref="E8" ca="1">VEERG_4_3_1_1__1_TotalAnnualMethaneFromManureManagement_Result_Method1</f>
        <v>10.314345551795777</v>
      </c>
      <c r="F8" s="18" cm="1">
        <f t="array" aca="1" ref="F8" ca="1">VEERG_4_3_1_1__1_TotalAnnualMethaneFromManureManagement_Result_Method2</f>
        <v>10.64070664267806</v>
      </c>
      <c r="G8" s="15" t="s">
        <v>6</v>
      </c>
      <c r="H8" s="18" cm="1">
        <f t="array" aca="1" ref="H8" ca="1">Common_Equations.Common_ConvertCH4ToCO2e(E8,_xlfn.XLOOKUP("CH4", Table_GWPData[Gas],Table_GWPData[CO2-e factor]))</f>
        <v>288.80167545028172</v>
      </c>
      <c r="I8" s="18" cm="1">
        <f t="array" aca="1" ref="I8" ca="1">Common_Equations.Common_ConvertCH4ToCO2e(F8,_xlfn.XLOOKUP("CH4", Table_GWPData[Gas],Table_GWPData[CO2-e factor]))</f>
        <v>297.9397859949857</v>
      </c>
      <c r="J8" s="15" t="s">
        <v>7</v>
      </c>
      <c r="K8" s="8"/>
    </row>
    <row r="9" spans="1:11" ht="20.100000000000001" customHeight="1" x14ac:dyDescent="0.25">
      <c r="A9" s="5" t="str">
        <f>HYPERLINK("#'Input - Enterprise'!A1", "Enterprise")</f>
        <v>Enterprise</v>
      </c>
      <c r="C9" s="8"/>
      <c r="D9" s="1" t="s">
        <v>176</v>
      </c>
      <c r="E9" s="18" cm="1">
        <f t="array" ref="E9">VEERG_4_3_1_3__1_TotalAnnualDirectNitrousOxideEmissionsFromMMS_Result_Method1</f>
        <v>5.8975625860183567E-2</v>
      </c>
      <c r="F9" s="18" cm="1">
        <f t="array" ref="F9">VEERG_4_3_1_3__1_TotalAnnualDirectNitrousOxideEmissionsFromMMS_Result_Method2</f>
        <v>5.8975625860183567E-2</v>
      </c>
      <c r="G9" s="15" t="s">
        <v>12</v>
      </c>
      <c r="H9" s="18" cm="1">
        <f t="array" ref="H9">Common_Equations.Common_ConvertN2OToCO2e(E9,_xlfn.XLOOKUP("N2O", Table_GWPData[Gas],Table_GWPData[CO2-e factor]))</f>
        <v>15.628540852948646</v>
      </c>
      <c r="I9" s="18" cm="1">
        <f t="array" ref="I9">Common_Equations.Common_ConvertN2OToCO2e(F9,_xlfn.XLOOKUP("N2O", Table_GWPData[Gas],Table_GWPData[CO2-e factor]))</f>
        <v>15.628540852948646</v>
      </c>
      <c r="J9" s="15" t="s">
        <v>7</v>
      </c>
      <c r="K9" s="8"/>
    </row>
    <row r="10" spans="1:11" ht="20.100000000000001" customHeight="1" x14ac:dyDescent="0.25">
      <c r="A10" s="5" t="str">
        <f>HYPERLINK("#'Input - Site'!A1", "Site")</f>
        <v>Site</v>
      </c>
      <c r="C10" s="8"/>
      <c r="D10" s="1" t="s">
        <v>177</v>
      </c>
      <c r="E10" s="18" cm="1">
        <f t="array" ref="E10">VEERG_4_3_1_5__1_AnnualAtmosphericDepositionEmissionsFromMMS_Result_Method1</f>
        <v>4.7299753181434263E-2</v>
      </c>
      <c r="F10" s="18" cm="1">
        <f t="array" ref="F10">VEERG_4_3_1_5__1_AnnualAtmosphericDepositionEmissionsFromMMS_Result_Method2</f>
        <v>4.7299753181434263E-2</v>
      </c>
      <c r="G10" s="15" t="s">
        <v>12</v>
      </c>
      <c r="H10" s="18" cm="1">
        <f t="array" ref="H10">Common_Equations.Common_ConvertN2OToCO2e(E10,_xlfn.XLOOKUP("N2O", Table_GWPData[Gas],Table_GWPData[CO2-e factor]))</f>
        <v>12.53443459308008</v>
      </c>
      <c r="I10" s="18" cm="1">
        <f t="array" ref="I10">Common_Equations.Common_ConvertN2OToCO2e(F10,_xlfn.XLOOKUP("N2O", Table_GWPData[Gas],Table_GWPData[CO2-e factor]))</f>
        <v>12.53443459308008</v>
      </c>
      <c r="J10" s="15" t="s">
        <v>7</v>
      </c>
      <c r="K10" s="8"/>
    </row>
    <row r="11" spans="1:11" ht="20.100000000000001" customHeight="1" x14ac:dyDescent="0.25">
      <c r="A11" s="5" t="str">
        <f>HYPERLINK("#'Input - Dairy'!A1", "Dairy")</f>
        <v>Dairy</v>
      </c>
      <c r="C11" s="8"/>
      <c r="D11" s="1" t="s">
        <v>178</v>
      </c>
      <c r="E11" s="18" cm="1">
        <f t="array" ref="E11">VEERG_4_3_1_6__1_AnnualEmissionsFromLeachingAndRunoffFromMMS_Result_Method1</f>
        <v>2.5949275378480772E-3</v>
      </c>
      <c r="F11" s="18" cm="1">
        <f t="array" ref="F11">VEERG_4_3_1_6__1_AnnualEmissionsFromLeachingAndRunoffFromMMS_Result_Method2</f>
        <v>2.5949275378480772E-3</v>
      </c>
      <c r="G11" s="15" t="s">
        <v>12</v>
      </c>
      <c r="H11" s="18" cm="1">
        <f t="array" ref="H11">Common_Equations.Common_ConvertN2OToCO2e(E11,_xlfn.XLOOKUP("N2O", Table_GWPData[Gas],Table_GWPData[CO2-e factor]))</f>
        <v>0.68765579752974049</v>
      </c>
      <c r="I11" s="18" cm="1">
        <f t="array" ref="I11">Common_Equations.Common_ConvertN2OToCO2e(F11,_xlfn.XLOOKUP("N2O", Table_GWPData[Gas],Table_GWPData[CO2-e factor]))</f>
        <v>0.68765579752974049</v>
      </c>
      <c r="J11" s="15" t="s">
        <v>7</v>
      </c>
      <c r="K11" s="8"/>
    </row>
    <row r="12" spans="1:11" ht="20.100000000000001" customHeight="1" x14ac:dyDescent="0.25">
      <c r="A12" s="5" t="str">
        <f>HYPERLINK("#'Input - Dairy (Enteric)'!A1", "Dairy (Enteric)")</f>
        <v>Dairy (Enteric)</v>
      </c>
      <c r="C12" s="8"/>
      <c r="D12" s="1" t="s">
        <v>179</v>
      </c>
      <c r="E12" s="18" cm="1">
        <f t="array" ref="E12">VEERG_4_3_1_9__1_DirectNitrousOxideEmissionsOnPasture_Result_Method1</f>
        <v>7.4716451267705888E-2</v>
      </c>
      <c r="F12" s="18" cm="1">
        <f t="array" ref="F12">VEERG_4_3_1_9__1_DirectNitrousOxideEmissionsOnPasture_Result_Method2</f>
        <v>7.4716451267705888E-2</v>
      </c>
      <c r="G12" s="15" t="s">
        <v>12</v>
      </c>
      <c r="H12" s="18" cm="1">
        <f t="array" ref="H12">Common_Equations.Common_ConvertN2OToCO2e(E12,_xlfn.XLOOKUP("N2O", Table_GWPData[Gas],Table_GWPData[CO2-e factor]))</f>
        <v>19.799859585942059</v>
      </c>
      <c r="I12" s="18" cm="1">
        <f t="array" ref="I12">Common_Equations.Common_ConvertN2OToCO2e(F12,_xlfn.XLOOKUP("N2O", Table_GWPData[Gas],Table_GWPData[CO2-e factor]))</f>
        <v>19.799859585942059</v>
      </c>
      <c r="J12" s="15" t="s">
        <v>7</v>
      </c>
      <c r="K12" s="8"/>
    </row>
    <row r="13" spans="1:11" ht="20.100000000000001" customHeight="1" x14ac:dyDescent="0.25">
      <c r="A13" s="5" t="str">
        <f>HYPERLINK("#'Input - Livestock sales'!A1", "Livestock sales")</f>
        <v>Livestock sales</v>
      </c>
      <c r="C13" s="8"/>
      <c r="D13" s="1" t="s">
        <v>180</v>
      </c>
      <c r="E13" s="18" cm="1">
        <f t="array" ref="E13">VEERG_4_3_1_10__1_AtmosphericDepositionEmissionsFromUrineAndDungOnPasture_Result_Method1</f>
        <v>4.6286841560343794E-2</v>
      </c>
      <c r="F13" s="18" cm="1">
        <f t="array" ref="F13">VEERG_4_3_1_10__1_AtmosphericDepositionEmissionsFromUrineAndDungOnPasture_Result_Method2</f>
        <v>4.6286841560343794E-2</v>
      </c>
      <c r="G13" s="15" t="s">
        <v>12</v>
      </c>
      <c r="H13" s="18" cm="1">
        <f t="array" ref="H13">Common_Equations.Common_ConvertN2OToCO2e(E13,_xlfn.XLOOKUP("N2O", Table_GWPData[Gas],Table_GWPData[CO2-e factor]))</f>
        <v>12.266013013491106</v>
      </c>
      <c r="I13" s="18" cm="1">
        <f t="array" ref="I13">Common_Equations.Common_ConvertN2OToCO2e(F13,_xlfn.XLOOKUP("N2O", Table_GWPData[Gas],Table_GWPData[CO2-e factor]))</f>
        <v>12.266013013491106</v>
      </c>
      <c r="J13" s="15" t="s">
        <v>7</v>
      </c>
      <c r="K13" s="8"/>
    </row>
    <row r="14" spans="1:11" ht="20.100000000000001" customHeight="1" x14ac:dyDescent="0.25">
      <c r="A14" s="5" t="str">
        <f>HYPERLINK("#'Input - Dairy cattle purchases'!A1", "Dairy cattle purchases")</f>
        <v>Dairy cattle purchases</v>
      </c>
      <c r="C14" s="8"/>
      <c r="D14" s="1" t="s">
        <v>181</v>
      </c>
      <c r="E14" s="18" cm="1">
        <f t="array" ref="E14">VEERG_4_3_1_12__1_LeachingAndRunoffEmissionsFromUrineAndDungOnPasture_Result_Method1</f>
        <v>9.8625715673371778E-2</v>
      </c>
      <c r="F14" s="18" cm="1">
        <f t="array" ref="F14">VEERG_4_3_1_12__1_LeachingAndRunoffEmissionsFromUrineAndDungOnPasture_Result_Method2</f>
        <v>9.8625715673371778E-2</v>
      </c>
      <c r="G14" s="15" t="s">
        <v>12</v>
      </c>
      <c r="H14" s="18" cm="1">
        <f t="array" ref="H14">Common_Equations.Common_ConvertN2OToCO2e(E14,_xlfn.XLOOKUP("N2O", Table_GWPData[Gas],Table_GWPData[CO2-e factor]))</f>
        <v>26.135814653443521</v>
      </c>
      <c r="I14" s="18" cm="1">
        <f t="array" ref="I14">Common_Equations.Common_ConvertN2OToCO2e(F14,_xlfn.XLOOKUP("N2O", Table_GWPData[Gas],Table_GWPData[CO2-e factor]))</f>
        <v>26.135814653443521</v>
      </c>
      <c r="J14" s="15" t="s">
        <v>7</v>
      </c>
      <c r="K14" s="8"/>
    </row>
    <row r="15" spans="1:11" ht="20.100000000000001" customHeight="1" x14ac:dyDescent="0.25">
      <c r="A15" s="5" t="str">
        <f>HYPERLINK("#'Input - Pasture'!A1", "Pasture")</f>
        <v>Pasture</v>
      </c>
      <c r="C15" s="8"/>
      <c r="D15" s="1" t="s">
        <v>139</v>
      </c>
      <c r="E15" s="18" cm="1">
        <f t="array" ref="E15">VEERG_5_1_1_1__1_InorganicFertiliserApplicationN2OEmissions_Result_Method1</f>
        <v>1.206185042857143</v>
      </c>
      <c r="F15" s="18" cm="1">
        <f t="array" ref="F15">VEERG_5_1_1_1__1_InorganicFertiliserApplicationN2OEmissions_Result_Method2</f>
        <v>1.2061850428571428</v>
      </c>
      <c r="G15" s="15" t="s">
        <v>12</v>
      </c>
      <c r="H15" s="18" cm="1">
        <f t="array" ref="H15">Common_Equations.Common_ConvertN2OToCO2e(E15,_xlfn.XLOOKUP("N2O", Table_GWPData[Gas],Table_GWPData[CO2-e factor]))</f>
        <v>319.63903635714291</v>
      </c>
      <c r="I15" s="18" cm="1">
        <f t="array" ref="I15">Common_Equations.Common_ConvertN2OToCO2e(F15,_xlfn.XLOOKUP("N2O", Table_GWPData[Gas],Table_GWPData[CO2-e factor]))</f>
        <v>319.63903635714286</v>
      </c>
      <c r="J15" s="15" t="s">
        <v>7</v>
      </c>
      <c r="K15" s="8"/>
    </row>
    <row r="16" spans="1:11" ht="20.100000000000001" customHeight="1" x14ac:dyDescent="0.25">
      <c r="A16" s="5" t="str">
        <f>HYPERLINK("#'Input - Fert Prod System'!A1", "Fert Prod System")</f>
        <v>Fert Prod System</v>
      </c>
      <c r="C16" s="8"/>
      <c r="D16" s="1" t="s">
        <v>140</v>
      </c>
      <c r="E16" s="18" cm="1">
        <f t="array" ref="E16">VEERG_5_1_1_3__1_InorganicFertiliserApplicationCO2Emissions_Result_Method1</f>
        <v>73.333333333333329</v>
      </c>
      <c r="F16" s="18">
        <f>E16</f>
        <v>73.333333333333329</v>
      </c>
      <c r="G16" s="15" t="s">
        <v>132</v>
      </c>
      <c r="H16" s="18">
        <f>E16</f>
        <v>73.333333333333329</v>
      </c>
      <c r="I16" s="18">
        <f>F16</f>
        <v>73.333333333333329</v>
      </c>
      <c r="J16" s="15" t="s">
        <v>7</v>
      </c>
      <c r="K16" s="8"/>
    </row>
    <row r="17" spans="1:11" ht="20.100000000000001" customHeight="1" x14ac:dyDescent="0.25">
      <c r="A17" s="5" t="str">
        <f>HYPERLINK("#'Input - Fertiliser'!A1", "Fertiliser")</f>
        <v>Fertiliser</v>
      </c>
      <c r="C17" s="8"/>
      <c r="D17" s="1" t="s">
        <v>141</v>
      </c>
      <c r="E17" s="18" cm="1">
        <f t="array" ref="E17">VEERG_5_2_1_1__2_MassOfNitrogenInOrganicFertiliser_Result_Method1</f>
        <v>5.5785714285714286E-2</v>
      </c>
      <c r="F17" s="18">
        <f>E17</f>
        <v>5.5785714285714286E-2</v>
      </c>
      <c r="G17" s="15" t="s">
        <v>12</v>
      </c>
      <c r="H17" s="18" cm="1">
        <f t="array" ref="H17">Common_Equations.Common_ConvertN2OToCO2e(E17,_xlfn.XLOOKUP("N2O", Table_GWPData[Gas],Table_GWPData[CO2-e factor]))</f>
        <v>14.783214285714285</v>
      </c>
      <c r="I17" s="18" cm="1">
        <f t="array" ref="I17">Common_Equations.Common_ConvertN2OToCO2e(F17,_xlfn.XLOOKUP("N2O", Table_GWPData[Gas],Table_GWPData[CO2-e factor]))</f>
        <v>14.783214285714285</v>
      </c>
      <c r="J17" s="15" t="s">
        <v>7</v>
      </c>
      <c r="K17" s="8"/>
    </row>
    <row r="18" spans="1:11" ht="20.100000000000001" customHeight="1" x14ac:dyDescent="0.25">
      <c r="A18" s="5" t="str">
        <f>HYPERLINK("#'Input - Fuel'!A1", "Fuel")</f>
        <v>Fuel</v>
      </c>
      <c r="C18" s="8"/>
      <c r="D18" s="1" t="s">
        <v>142</v>
      </c>
      <c r="E18" s="18" cm="1">
        <f t="array" ref="E18">VEERG_5_3_1_1__1_LimeApplicationCO2Emissions_Result_Method1</f>
        <v>758.08333333333326</v>
      </c>
      <c r="F18" s="18">
        <f>E18</f>
        <v>758.08333333333326</v>
      </c>
      <c r="G18" s="15" t="s">
        <v>132</v>
      </c>
      <c r="H18" s="18">
        <f>E18</f>
        <v>758.08333333333326</v>
      </c>
      <c r="I18" s="18">
        <f>F18</f>
        <v>758.08333333333326</v>
      </c>
      <c r="J18" s="15" t="s">
        <v>7</v>
      </c>
      <c r="K18" s="8"/>
    </row>
    <row r="19" spans="1:11" ht="20.100000000000001" customHeight="1" x14ac:dyDescent="0.25">
      <c r="A19" s="5" t="str">
        <f>HYPERLINK("#'Input - Electricity'!A1", "Electricity")</f>
        <v>Electricity</v>
      </c>
      <c r="C19" s="8"/>
      <c r="D19" s="1" t="s">
        <v>143</v>
      </c>
      <c r="E19" s="18" cm="1">
        <f t="array" ref="E19">VEERG_5_4_1_3__1_OrganicFertiliserAtmosphericDepositionN2OEmissions_Result_Method1</f>
        <v>1.38237E-2</v>
      </c>
      <c r="F19" s="18">
        <f>E19</f>
        <v>1.38237E-2</v>
      </c>
      <c r="G19" s="15" t="s">
        <v>12</v>
      </c>
      <c r="H19" s="18" cm="1">
        <f t="array" ref="H19">Common_Equations.Common_ConvertN2OToCO2e(E19,_xlfn.XLOOKUP("N2O", Table_GWPData[Gas],Table_GWPData[CO2-e factor]))</f>
        <v>3.6632804999999999</v>
      </c>
      <c r="I19" s="18" cm="1">
        <f t="array" ref="I19">Common_Equations.Common_ConvertN2OToCO2e(F19,_xlfn.XLOOKUP("N2O", Table_GWPData[Gas],Table_GWPData[CO2-e factor]))</f>
        <v>3.6632804999999999</v>
      </c>
      <c r="J19" s="15" t="s">
        <v>7</v>
      </c>
      <c r="K19" s="8"/>
    </row>
    <row r="20" spans="1:11" ht="20.100000000000001" customHeight="1" x14ac:dyDescent="0.25">
      <c r="A20" s="5" t="str">
        <f>HYPERLINK("#'Input - Farm Inputs'!A1", "Farm Inputs")</f>
        <v>Farm Inputs</v>
      </c>
      <c r="C20" s="8"/>
      <c r="D20" s="1" t="s">
        <v>144</v>
      </c>
      <c r="E20" s="18" cm="1">
        <f t="array" ref="E20">VEERG_5_5_1_1__1_FertiliserLeachingAndRunoffN2OEmissions_result_Method1</f>
        <v>0.56917155428571431</v>
      </c>
      <c r="F20" s="18">
        <f>E20</f>
        <v>0.56917155428571431</v>
      </c>
      <c r="G20" s="15" t="s">
        <v>12</v>
      </c>
      <c r="H20" s="18" cm="1">
        <f t="array" ref="H20">Common_Equations.Common_ConvertN2OToCO2e(E20,_xlfn.XLOOKUP("N2O", Table_GWPData[Gas],Table_GWPData[CO2-e factor]))</f>
        <v>150.8304618857143</v>
      </c>
      <c r="I20" s="18" cm="1">
        <f t="array" ref="I20">Common_Equations.Common_ConvertN2OToCO2e(F20,_xlfn.XLOOKUP("N2O", Table_GWPData[Gas],Table_GWPData[CO2-e factor]))</f>
        <v>150.8304618857143</v>
      </c>
      <c r="J20" s="15" t="s">
        <v>7</v>
      </c>
      <c r="K20" s="8"/>
    </row>
    <row r="21" spans="1:11" ht="20.100000000000001" customHeight="1" x14ac:dyDescent="0.25">
      <c r="A21" s="5" t="str">
        <f>HYPERLINK("#'Input - Freight'!A1", "Freight")</f>
        <v>Freight</v>
      </c>
      <c r="C21" s="8"/>
      <c r="D21" s="1" t="s">
        <v>145</v>
      </c>
      <c r="E21" s="18" cm="1">
        <f t="array" ref="E21">VEERG_6_2_1_1__1__NitrousOxideEmissionsFromPastureResidues_Result_Method1</f>
        <v>5.8320428571428569E-7</v>
      </c>
      <c r="F21" s="18" cm="1">
        <f t="array" ref="F21">VEERG_6_2_1_1__1__NitrousOxideEmissionsFromPastureResidues_Result_Method2</f>
        <v>5.8320428571428569E-7</v>
      </c>
      <c r="G21" s="15" t="s">
        <v>12</v>
      </c>
      <c r="H21" s="18" cm="1">
        <f t="array" ref="H21">Common_Equations.Common_ConvertN2OToCO2e(E21,_xlfn.XLOOKUP("N2O", Table_GWPData[Gas],Table_GWPData[CO2-e factor]))</f>
        <v>1.545491357142857E-4</v>
      </c>
      <c r="I21" s="18" cm="1">
        <f t="array" ref="I21">Common_Equations.Common_ConvertN2OToCO2e(F21,_xlfn.XLOOKUP("N2O", Table_GWPData[Gas],Table_GWPData[CO2-e factor]))</f>
        <v>1.545491357142857E-4</v>
      </c>
      <c r="J21" s="15" t="s">
        <v>7</v>
      </c>
      <c r="K21" s="8"/>
    </row>
    <row r="22" spans="1:11" ht="20.100000000000001" customHeight="1" x14ac:dyDescent="0.25">
      <c r="A22" s="5" t="str">
        <f>HYPERLINK("#'Input - Manure sent off-site'!A1", "Manure sent off-site")</f>
        <v>Manure sent off-site</v>
      </c>
      <c r="C22" s="8"/>
      <c r="D22" s="1" t="s">
        <v>146</v>
      </c>
      <c r="E22" s="18" cm="1">
        <f t="array" ref="E22">VEERG_6_3_1_1__1__LeachingAndRunoffEmissionsCropAndPastureResidue_PastureOnly_Result_Method1</f>
        <v>3.0793186285714277E-7</v>
      </c>
      <c r="F22" s="18" cm="1">
        <f t="array" ref="F22">VEERG_6_3_1_1__1__LeachingAndRunoffEmissionsCropAndPastureResidue_PastureOnly_Result_Method2</f>
        <v>3.0793186285714277E-7</v>
      </c>
      <c r="G22" s="15" t="s">
        <v>12</v>
      </c>
      <c r="H22" s="18" cm="1">
        <f t="array" ref="H22">Common_Equations.Common_ConvertN2OToCO2e(E22,_xlfn.XLOOKUP("N2O", Table_GWPData[Gas],Table_GWPData[CO2-e factor]))</f>
        <v>8.1601943657142831E-5</v>
      </c>
      <c r="I22" s="18" cm="1">
        <f t="array" ref="I22">Common_Equations.Common_ConvertN2OToCO2e(F22,_xlfn.XLOOKUP("N2O", Table_GWPData[Gas],Table_GWPData[CO2-e factor]))</f>
        <v>8.1601943657142831E-5</v>
      </c>
      <c r="J22" s="15" t="s">
        <v>7</v>
      </c>
      <c r="K22" s="8"/>
    </row>
    <row r="23" spans="1:11" ht="20.100000000000001" customHeight="1" x14ac:dyDescent="0.25">
      <c r="A23" s="5" t="str">
        <f>HYPERLINK("#'Input - Solid waste'!A1", "Solid waste")</f>
        <v>Solid waste</v>
      </c>
      <c r="C23" s="8"/>
      <c r="D23" s="1" t="s">
        <v>147</v>
      </c>
      <c r="E23" s="18" cm="1">
        <f t="array" ref="E23">VEERG_8_1_1_1__1_FuelCombustionTransport_Result_CO2</f>
        <v>83.182000000000002</v>
      </c>
      <c r="F23" s="18">
        <f>E23</f>
        <v>83.182000000000002</v>
      </c>
      <c r="G23" s="15" t="s">
        <v>132</v>
      </c>
      <c r="H23" s="18">
        <f>E23</f>
        <v>83.182000000000002</v>
      </c>
      <c r="I23" s="18">
        <f>F23</f>
        <v>83.182000000000002</v>
      </c>
      <c r="J23" s="15" t="s">
        <v>7</v>
      </c>
      <c r="K23" s="8"/>
    </row>
    <row r="24" spans="1:11" ht="20.100000000000001" customHeight="1" x14ac:dyDescent="0.25">
      <c r="A24" s="5" t="str">
        <f>HYPERLINK("#'Input - Data quality'!A1", "Data quality")</f>
        <v>Data quality</v>
      </c>
      <c r="C24" s="8"/>
      <c r="D24" s="1" t="s">
        <v>149</v>
      </c>
      <c r="E24" s="18" cm="1">
        <f t="array" ref="E24">VEERG_8_1_1_1__1_FuelCombustionTransport_Result_CH4</f>
        <v>0.19906000000000001</v>
      </c>
      <c r="F24" s="18">
        <f>E24</f>
        <v>0.19906000000000001</v>
      </c>
      <c r="G24" s="15" t="s">
        <v>6</v>
      </c>
      <c r="H24" s="18" cm="1">
        <f t="array" ref="H24">Common_Equations.Common_ConvertCH4ToCO2e(E24,_xlfn.XLOOKUP("CH4", Table_GWPData[Gas],Table_GWPData[CO2-e factor]))</f>
        <v>5.5736800000000004</v>
      </c>
      <c r="I24" s="18" cm="1">
        <f t="array" ref="I24">Common_Equations.Common_ConvertCH4ToCO2e(F24,_xlfn.XLOOKUP("CH4", Table_GWPData[Gas],Table_GWPData[CO2-e factor]))</f>
        <v>5.5736800000000004</v>
      </c>
      <c r="J24" s="15" t="s">
        <v>7</v>
      </c>
      <c r="K24" s="8"/>
    </row>
    <row r="25" spans="1:11" ht="20.100000000000001" customHeight="1" x14ac:dyDescent="0.25">
      <c r="C25" s="8"/>
      <c r="D25" s="1" t="s">
        <v>148</v>
      </c>
      <c r="E25" s="18" cm="1">
        <f t="array" ref="E25">VEERG_8_1_1_1__1_FuelCombustionTransport_Result_N2O</f>
        <v>0.58450000000000002</v>
      </c>
      <c r="F25" s="18">
        <f>E25</f>
        <v>0.58450000000000002</v>
      </c>
      <c r="G25" s="15" t="s">
        <v>12</v>
      </c>
      <c r="H25" s="18" cm="1">
        <f t="array" ref="H25">Common_Equations.Common_ConvertN2OToCO2e(E25,_xlfn.XLOOKUP("N2O", Table_GWPData[Gas],Table_GWPData[CO2-e factor]))</f>
        <v>154.89250000000001</v>
      </c>
      <c r="I25" s="18" cm="1">
        <f t="array" ref="I25">Common_Equations.Common_ConvertN2OToCO2e(F25,_xlfn.XLOOKUP("N2O", Table_GWPData[Gas],Table_GWPData[CO2-e factor]))</f>
        <v>154.89250000000001</v>
      </c>
      <c r="J25" s="15" t="s">
        <v>7</v>
      </c>
      <c r="K25" s="8"/>
    </row>
    <row r="26" spans="1:11" ht="20.100000000000001" customHeight="1" x14ac:dyDescent="0.25">
      <c r="C26" s="8"/>
      <c r="D26" s="1" t="s">
        <v>150</v>
      </c>
      <c r="E26" s="18" cm="1">
        <f t="array" ref="E26">VEERG_8_2_1_1__1_FuelCombustionStationary_Result_CO2</f>
        <v>29.070800000000002</v>
      </c>
      <c r="F26" s="18">
        <f>E26</f>
        <v>29.070800000000002</v>
      </c>
      <c r="G26" s="15" t="s">
        <v>132</v>
      </c>
      <c r="H26" s="18">
        <f>E26</f>
        <v>29.070800000000002</v>
      </c>
      <c r="I26" s="18">
        <f>F26</f>
        <v>29.070800000000002</v>
      </c>
      <c r="J26" s="15" t="s">
        <v>7</v>
      </c>
      <c r="K26" s="8"/>
    </row>
    <row r="27" spans="1:11" ht="20.100000000000001" customHeight="1" x14ac:dyDescent="0.25">
      <c r="A27" s="6" t="s">
        <v>2</v>
      </c>
      <c r="C27" s="8"/>
      <c r="D27" s="1" t="s">
        <v>151</v>
      </c>
      <c r="E27" s="18" cm="1">
        <f t="array" ref="E27">VEERG_8_2_1_1__1_FuelCombustionStationary_Result_CH4</f>
        <v>7.2400000000000006E-2</v>
      </c>
      <c r="F27" s="18">
        <f t="shared" ref="F27:F30" si="0">E27</f>
        <v>7.2400000000000006E-2</v>
      </c>
      <c r="G27" s="15" t="s">
        <v>6</v>
      </c>
      <c r="H27" s="18" cm="1">
        <f t="array" ref="H27">Common_Equations.Common_ConvertCH4ToCO2e(E27,_xlfn.XLOOKUP("CH4", Table_GWPData[Gas],Table_GWPData[CO2-e factor]))</f>
        <v>2.0272000000000001</v>
      </c>
      <c r="I27" s="18" cm="1">
        <f t="array" ref="I27">Common_Equations.Common_ConvertCH4ToCO2e(F27,_xlfn.XLOOKUP("CH4", Table_GWPData[Gas],Table_GWPData[CO2-e factor]))</f>
        <v>2.0272000000000001</v>
      </c>
      <c r="J27" s="15" t="s">
        <v>7</v>
      </c>
      <c r="K27" s="8"/>
    </row>
    <row r="28" spans="1:11" ht="20.100000000000001" customHeight="1" x14ac:dyDescent="0.25">
      <c r="A28" s="5" t="str">
        <f>HYPERLINK("#'5.1.1.1-2 Inorganic fert N2O'!A1", "5.1.1.1-2 Inorganic fert N2O")</f>
        <v>5.1.1.1-2 Inorganic fert N2O</v>
      </c>
      <c r="C28" s="8"/>
      <c r="D28" s="1" t="s">
        <v>152</v>
      </c>
      <c r="E28" s="18" cm="1">
        <f t="array" ref="E28">VEERG_8_2_1_1__1_FuelCombustionStationary_Result_N2O</f>
        <v>7.1400000000000005E-2</v>
      </c>
      <c r="F28" s="18">
        <f t="shared" si="0"/>
        <v>7.1400000000000005E-2</v>
      </c>
      <c r="G28" s="15" t="s">
        <v>12</v>
      </c>
      <c r="H28" s="18" cm="1">
        <f t="array" ref="H28">Common_Equations.Common_ConvertN2OToCO2e(E28,_xlfn.XLOOKUP("N2O", Table_GWPData[Gas],Table_GWPData[CO2-e factor]))</f>
        <v>18.921000000000003</v>
      </c>
      <c r="I28" s="18" cm="1">
        <f t="array" ref="I28">Common_Equations.Common_ConvertN2OToCO2e(F28,_xlfn.XLOOKUP("N2O", Table_GWPData[Gas],Table_GWPData[CO2-e factor]))</f>
        <v>18.921000000000003</v>
      </c>
      <c r="J28" s="15" t="s">
        <v>7</v>
      </c>
      <c r="K28" s="8"/>
    </row>
    <row r="29" spans="1:11" ht="20.100000000000001" customHeight="1" x14ac:dyDescent="0.25">
      <c r="A29" s="5" t="str">
        <f>HYPERLINK("#'5.1.1.3-4 Inorganic fert CO2'!A1", "5.1.1.3-4 Inorganic fert CO2")</f>
        <v>5.1.1.3-4 Inorganic fert CO2</v>
      </c>
      <c r="C29" s="8"/>
      <c r="D29" s="1" t="s">
        <v>153</v>
      </c>
      <c r="E29" s="18" cm="1">
        <f t="array" ref="E29">VEERG_14_1_1__1_LocationBasedScopeElectricityEmissions_Result_Method1</f>
        <v>16.8</v>
      </c>
      <c r="F29" s="18">
        <f t="shared" si="0"/>
        <v>16.8</v>
      </c>
      <c r="G29" s="15" t="s">
        <v>7</v>
      </c>
      <c r="H29" s="18">
        <f>E29</f>
        <v>16.8</v>
      </c>
      <c r="I29" s="18">
        <f>F29</f>
        <v>16.8</v>
      </c>
      <c r="J29" s="15" t="s">
        <v>7</v>
      </c>
      <c r="K29" s="8"/>
    </row>
    <row r="30" spans="1:11" ht="20.100000000000001" customHeight="1" x14ac:dyDescent="0.25">
      <c r="A30" s="5" t="str">
        <f>HYPERLINK("#'5.2.1.1-2 Organic Fert N2O'!A1", "5.2.1.1-2 Organic fert N2O")</f>
        <v>5.2.1.1-2 Organic fert N2O</v>
      </c>
      <c r="C30" s="8"/>
      <c r="D30" s="1" t="s">
        <v>154</v>
      </c>
      <c r="E30" s="18" cm="1">
        <f t="array" ref="E30">VEERG_14_1_2__1_MarketBasedScopeElectricityEmissionsVariation_Result_Method1</f>
        <v>14.580000000000002</v>
      </c>
      <c r="F30" s="18">
        <f t="shared" si="0"/>
        <v>14.580000000000002</v>
      </c>
      <c r="G30" s="15" t="s">
        <v>7</v>
      </c>
      <c r="H30" s="18">
        <f>E30</f>
        <v>14.580000000000002</v>
      </c>
      <c r="I30" s="18">
        <f>F30</f>
        <v>14.580000000000002</v>
      </c>
      <c r="J30" s="15" t="s">
        <v>7</v>
      </c>
      <c r="K30" s="8"/>
    </row>
    <row r="31" spans="1:11" ht="20.100000000000001" customHeight="1" x14ac:dyDescent="0.3">
      <c r="A31" s="5" t="str">
        <f>HYPERLINK("#'5.3.1.1-2 Lime CO2'!A1", "5.3.1.1-2 Lime CO2")</f>
        <v>5.3.1.1-2 Lime CO2</v>
      </c>
      <c r="C31" s="8"/>
      <c r="D31" s="14" t="s">
        <v>4</v>
      </c>
      <c r="E31" s="9"/>
      <c r="F31" s="9"/>
      <c r="G31" s="14"/>
      <c r="H31" s="19">
        <f ca="1">SUM(H7:H30)</f>
        <v>2930.2451849447539</v>
      </c>
      <c r="I31" s="19">
        <f ca="1">SUM(I7:I30)</f>
        <v>2939.3832954894583</v>
      </c>
      <c r="J31" s="15" t="s">
        <v>7</v>
      </c>
      <c r="K31" s="8"/>
    </row>
    <row r="32" spans="1:11" ht="20.100000000000001" customHeight="1" x14ac:dyDescent="0.3">
      <c r="A32" s="5" t="str">
        <f>HYPERLINK("#'5.4.1.1-4 Atmos deposition'!A1", "5.4.1.1-4 Atmos. deposition")</f>
        <v>5.4.1.1-4 Atmos. deposition</v>
      </c>
      <c r="C32" s="8"/>
      <c r="D32" s="1"/>
      <c r="E32" s="1"/>
      <c r="F32" s="1"/>
      <c r="G32" s="1"/>
      <c r="H32" s="13"/>
      <c r="I32" s="8"/>
      <c r="J32" s="8"/>
      <c r="K32" s="8"/>
    </row>
    <row r="33" spans="1:11" ht="20.100000000000001" customHeight="1" x14ac:dyDescent="0.3">
      <c r="A33" s="5" t="str">
        <f>HYPERLINK("#'5.5.1.1-2 Leaching and runoff'!A1", "5.5.1.1-2 Leaching &amp; runoff")</f>
        <v>5.5.1.1-2 Leaching &amp; runoff</v>
      </c>
      <c r="C33" s="8"/>
      <c r="D33" s="1"/>
      <c r="E33" s="1"/>
      <c r="F33" s="1"/>
      <c r="G33" s="1"/>
      <c r="H33" s="13"/>
      <c r="I33" s="8"/>
      <c r="J33" s="8"/>
      <c r="K33" s="8"/>
    </row>
    <row r="34" spans="1:11" ht="20.100000000000001" customHeight="1" x14ac:dyDescent="0.3">
      <c r="A34" s="5" t="str">
        <f>HYPERLINK("#'6.2.1.1-2 Pasture residue N2O'!A1", "6.2.1.1-2 Pasture residue N2O")</f>
        <v>6.2.1.1-2 Pasture residue N2O</v>
      </c>
      <c r="C34" s="8"/>
      <c r="D34" s="1"/>
      <c r="E34" s="1"/>
      <c r="F34" s="1"/>
      <c r="G34" s="1"/>
      <c r="H34" s="13"/>
      <c r="I34" s="8"/>
      <c r="J34" s="8"/>
      <c r="K34" s="8"/>
    </row>
    <row r="35" spans="1:11" ht="20.100000000000001" customHeight="1" x14ac:dyDescent="0.3">
      <c r="A35" s="5" t="str">
        <f>HYPERLINK("#'6.3.1.1-2 Leach runoff pasture'!A1", "6.3.1.1-2 Leach &amp; runoff (pasture)")</f>
        <v>6.3.1.1-2 Leach &amp; runoff (pasture)</v>
      </c>
      <c r="C35" s="8"/>
      <c r="D35" s="2" t="s">
        <v>116</v>
      </c>
      <c r="E35" s="1"/>
      <c r="F35" s="1"/>
      <c r="G35" s="1"/>
      <c r="H35" s="13"/>
      <c r="I35" s="8"/>
      <c r="J35" s="8"/>
      <c r="K35" s="8"/>
    </row>
    <row r="36" spans="1:11" ht="20.100000000000001" customHeight="1" x14ac:dyDescent="0.3">
      <c r="A36" s="5" t="str">
        <f>HYPERLINK("#'8.1.1.1-2 Transport fuel'!A1", "8.1.1.1-2 Transport fuel")</f>
        <v>8.1.1.1-2 Transport fuel</v>
      </c>
      <c r="C36" s="8"/>
      <c r="D36" s="87" t="str" cm="1">
        <f t="array" ref="D36">"There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c r="E36" s="1"/>
      <c r="F36" s="1"/>
      <c r="G36" s="1"/>
      <c r="H36" s="13"/>
      <c r="I36" s="8"/>
      <c r="J36" s="8"/>
      <c r="K36" s="8"/>
    </row>
    <row r="37" spans="1:11" ht="20.100000000000001" customHeight="1" x14ac:dyDescent="0.3">
      <c r="A37" s="5" t="str">
        <f>HYPERLINK("#'8.2.1.1-2 Stationary fuel'!A1", "8.2.1.1-2 Stationary fuel")</f>
        <v>8.2.1.1-2 Stationary fuel</v>
      </c>
      <c r="C37" s="8"/>
      <c r="D37" s="1" t="s">
        <v>118</v>
      </c>
      <c r="E37" s="1"/>
      <c r="F37" s="1"/>
      <c r="G37" s="1"/>
      <c r="H37" s="13"/>
      <c r="I37" s="8"/>
      <c r="J37" s="8"/>
      <c r="K37" s="8"/>
    </row>
    <row r="38" spans="1:11" ht="20.100000000000001" customHeight="1" x14ac:dyDescent="0.3">
      <c r="A38" s="5" t="str">
        <f>HYPERLINK("#'14.1.1-2 Purchased electricity'!A1", "14.1.1-2 Purchased electricity")</f>
        <v>14.1.1-2 Purchased electricity</v>
      </c>
      <c r="C38" s="8"/>
      <c r="D38" s="1"/>
      <c r="E38" s="1"/>
      <c r="F38" s="1"/>
      <c r="G38" s="1"/>
      <c r="H38" s="13"/>
      <c r="I38" s="8"/>
      <c r="J38" s="8"/>
      <c r="K38" s="8"/>
    </row>
    <row r="39" spans="1:11" ht="20.100000000000001" customHeight="1" x14ac:dyDescent="0.3">
      <c r="A39" s="5" t="str">
        <f>HYPERLINK("#'15 Scope 3'!A1", "15 Scope 3")</f>
        <v>15 Scope 3</v>
      </c>
      <c r="C39" s="8"/>
      <c r="D39" s="20" t="s">
        <v>117</v>
      </c>
      <c r="E39" s="20" t="s">
        <v>10</v>
      </c>
      <c r="F39" s="20" t="s">
        <v>11</v>
      </c>
      <c r="G39" s="1"/>
      <c r="H39" s="13"/>
      <c r="I39" s="8"/>
      <c r="J39" s="8"/>
      <c r="K39" s="8"/>
    </row>
    <row r="40" spans="1:11" ht="20.100000000000001" customHeight="1" x14ac:dyDescent="0.3">
      <c r="A40" s="5" t="str">
        <f>HYPERLINK("#'Calcs - Manure sent off-site'!A1", "Calcs - Manure sent off-site")</f>
        <v>Calcs - Manure sent off-site</v>
      </c>
      <c r="C40" s="8"/>
      <c r="D40" s="1" t="str" cm="1">
        <f t="array" ref="D40:D42">Common_InputFunctions.getOverlappingReportingPeriods(X_Cell_Enterprise_ProductionTimeframeStart,X_Cell_Enterprise_ProductionTimeframeEnd,X_Cell_Site_StartDate)</f>
        <v>01 Jan 2023 to 31 Dec 2023</v>
      </c>
      <c r="E40" s="85" t="str">
        <f>IF(ISBLANK($D40), 0, IF(ISNUMBER(SEARCH("reporting", $D40)), Result_Enterprise_Method1, "Enter value"))</f>
        <v>Enter value</v>
      </c>
      <c r="F40" s="85" t="str">
        <f>IF(ISBLANK($D40), 0, IF(ISNUMBER(SEARCH("reporting", $D40)), Result_Enterprise_Method2, "Enter value"))</f>
        <v>Enter value</v>
      </c>
      <c r="G40" s="15" t="s">
        <v>7</v>
      </c>
      <c r="H40" s="13"/>
      <c r="I40" s="8"/>
      <c r="J40" s="8"/>
      <c r="K40" s="8"/>
    </row>
    <row r="41" spans="1:11" ht="20.100000000000001" customHeight="1" x14ac:dyDescent="0.3">
      <c r="A41" s="5" t="str">
        <f>HYPERLINK("#'4.3.1.1-2 Methane'!A1", "4.3.1.1-2 Methane")</f>
        <v>4.3.1.1-2 Methane</v>
      </c>
      <c r="C41" s="8"/>
      <c r="D41" s="1" t="str">
        <v>01 Jan 2024 to 31 Dec 2024 (This reporting cycle)</v>
      </c>
      <c r="E41" s="85">
        <f ca="1">IF(ISBLANK($D41), 0, IF(ISNUMBER(SEARCH("reporting", $D41)), Result_Enterprise_Method1, "Enter value"))</f>
        <v>2930.2451849447539</v>
      </c>
      <c r="F41" s="85">
        <f ca="1">IF(ISBLANK($D41), 0, IF(ISNUMBER(SEARCH("reporting", $D41)), Result_Enterprise_Method2, "Enter value"))</f>
        <v>2939.3832954894583</v>
      </c>
      <c r="G41" s="15" t="s">
        <v>7</v>
      </c>
      <c r="H41" s="13"/>
      <c r="I41" s="8"/>
      <c r="J41" s="8"/>
      <c r="K41" s="8"/>
    </row>
    <row r="42" spans="1:11" ht="20.100000000000001" customHeight="1" x14ac:dyDescent="0.3">
      <c r="A42" s="5" t="str">
        <f>HYPERLINK("#'4.3.1.3-4 Direct N20'!A1", "4.3.1.3-4 Direct N20")</f>
        <v>4.3.1.3-4 Direct N20</v>
      </c>
      <c r="C42" s="8"/>
      <c r="D42" s="1" t="str">
        <v>01 Jan 2025 to 31 Dec 2025</v>
      </c>
      <c r="E42" s="85" t="str">
        <f>IF(ISBLANK($D42), 0, IF(ISNUMBER(SEARCH("reporting", $D42)), Result_Enterprise_Method1, "Enter value"))</f>
        <v>Enter value</v>
      </c>
      <c r="F42" s="85" t="str">
        <f>IF(ISBLANK($D42), 0, IF(ISNUMBER(SEARCH("reporting", $D42)), Result_Enterprise_Method2, "Enter value"))</f>
        <v>Enter value</v>
      </c>
      <c r="G42" s="15" t="s">
        <v>7</v>
      </c>
      <c r="H42" s="13"/>
      <c r="I42" s="8"/>
      <c r="J42" s="8"/>
      <c r="K42" s="8"/>
    </row>
    <row r="43" spans="1:11" ht="20.100000000000001" customHeight="1" x14ac:dyDescent="0.3">
      <c r="A43" s="5" t="str">
        <f>HYPERLINK("#'4.3.1.5 Atmos deposition'!A1", "4.3.1.5 Atmos deposition")</f>
        <v>4.3.1.5 Atmos deposition</v>
      </c>
      <c r="C43" s="8"/>
      <c r="D43" s="1"/>
      <c r="E43" s="85">
        <f>IF(ISBLANK($D43), 0, IF(ISNUMBER(SEARCH("reporting", $D43)), Result_Enterprise_Method1, "Enter value"))</f>
        <v>0</v>
      </c>
      <c r="F43" s="85">
        <f>IF(ISBLANK($D43), 0, IF(ISNUMBER(SEARCH("reporting", $D43)), Result_Enterprise_Method2, "Enter value"))</f>
        <v>0</v>
      </c>
      <c r="G43" s="15" t="s">
        <v>7</v>
      </c>
      <c r="H43" s="13"/>
      <c r="I43" s="8"/>
      <c r="J43" s="8"/>
      <c r="K43" s="8"/>
    </row>
    <row r="44" spans="1:11" ht="20.100000000000001" customHeight="1" x14ac:dyDescent="0.3">
      <c r="A44" s="5" t="str">
        <f>HYPERLINK("#'4.3.1.6-7 Leaching and runoff'!A1", "4.3.1.6-7 Leaching and runoff")</f>
        <v>4.3.1.6-7 Leaching and runoff</v>
      </c>
      <c r="C44" s="8"/>
      <c r="D44" s="87"/>
      <c r="E44" s="85">
        <f>IF(ISBLANK($D44), 0, IF(ISNUMBER(SEARCH("reporting", $D44)), Result_Enterprise_Method1, "Enter value"))</f>
        <v>0</v>
      </c>
      <c r="F44" s="85">
        <f>IF(ISBLANK($D44), 0, IF(ISNUMBER(SEARCH("reporting", $D44)), Result_Enterprise_Method2, "Enter value"))</f>
        <v>0</v>
      </c>
      <c r="G44" s="15" t="s">
        <v>7</v>
      </c>
      <c r="H44" s="13"/>
      <c r="I44" s="8"/>
      <c r="J44" s="8"/>
      <c r="K44" s="8"/>
    </row>
    <row r="45" spans="1:11" ht="20.100000000000001" customHeight="1" x14ac:dyDescent="0.3">
      <c r="A45" s="5" t="str">
        <f>HYPERLINK("#'4.3.1.8 Manure applied to soils'!A1", "4.3.1.8 Manure applied to soils")</f>
        <v>4.3.1.8 Manure applied to soils</v>
      </c>
      <c r="C45" s="8"/>
      <c r="D45" s="14" t="s">
        <v>133</v>
      </c>
      <c r="E45" s="19">
        <f ca="1">SUM(E40:E44)</f>
        <v>2930.2451849447539</v>
      </c>
      <c r="F45" s="19">
        <f ca="1">SUM(F40:F44)</f>
        <v>2939.3832954894583</v>
      </c>
      <c r="G45" s="1"/>
      <c r="H45" s="1"/>
      <c r="I45" s="1"/>
      <c r="J45" s="8"/>
      <c r="K45" s="8"/>
    </row>
    <row r="46" spans="1:11" ht="20.100000000000001" customHeight="1" x14ac:dyDescent="0.25">
      <c r="A46" s="5" t="str">
        <f>HYPERLINK("#'4.3.1.9 Soil direct N2O'!A1", "4.3.1.9 Soil direct N2O")</f>
        <v>4.3.1.9 Soil direct N2O</v>
      </c>
      <c r="C46" s="8"/>
      <c r="D46" s="1"/>
      <c r="E46" s="1"/>
      <c r="F46" s="1"/>
      <c r="G46" s="1"/>
      <c r="H46" s="1"/>
      <c r="I46" s="1"/>
      <c r="J46" s="8"/>
      <c r="K46" s="8"/>
    </row>
    <row r="47" spans="1:11" ht="20.100000000000001" customHeight="1" x14ac:dyDescent="0.25">
      <c r="A47" s="5" t="str">
        <f>HYPERLINK("#'4.3.1.10-11 Soil Atmos Dep'!A1", "4.3.1.10-11 Soil Atmos Dep")</f>
        <v>4.3.1.10-11 Soil Atmos Dep</v>
      </c>
      <c r="C47" s="8"/>
      <c r="D47" s="1"/>
      <c r="E47" s="1"/>
      <c r="F47" s="1"/>
      <c r="G47" s="1"/>
      <c r="H47" s="1"/>
      <c r="I47" s="1"/>
      <c r="J47" s="8"/>
      <c r="K47" s="8"/>
    </row>
    <row r="48" spans="1:11" ht="20.100000000000001" customHeight="1" x14ac:dyDescent="0.25">
      <c r="A48" s="5" t="str">
        <f>HYPERLINK("#'4.3.1.12-13 Soil leach runoff'!A1", "4.3.1.12-13 Soil leach runoff")</f>
        <v>4.3.1.12-13 Soil leach runoff</v>
      </c>
      <c r="C48" s="8"/>
      <c r="D48" s="2" t="s">
        <v>130</v>
      </c>
      <c r="E48" s="1"/>
      <c r="F48" s="1"/>
      <c r="G48" s="1"/>
      <c r="H48" s="1"/>
      <c r="I48" s="1"/>
      <c r="J48" s="8"/>
      <c r="K48" s="8"/>
    </row>
    <row r="49" spans="1:11" ht="20.100000000000001" customHeight="1" x14ac:dyDescent="0.25">
      <c r="A49" s="5" t="str">
        <f>HYPERLINK("#'3.3.1.1-2 Enteric Methane'!A1", "3.3.1.1-2 Enteric Methane")</f>
        <v>3.3.1.1-2 Enteric Methane</v>
      </c>
      <c r="C49" s="8"/>
      <c r="D49" s="1"/>
      <c r="E49" s="1"/>
      <c r="F49" s="1"/>
      <c r="G49" s="1"/>
      <c r="H49" s="1"/>
      <c r="I49" s="1"/>
      <c r="J49" s="1"/>
      <c r="K49" s="8"/>
    </row>
    <row r="50" spans="1:11" ht="20.100000000000001" customHeight="1" x14ac:dyDescent="0.25">
      <c r="A50" s="5" t="str">
        <f>HYPERLINK("#'10.1.1-2 Solid waste treatment'!A1", "10.1.1-2 Solid waste treatment")</f>
        <v>10.1.1-2 Solid waste treatment</v>
      </c>
      <c r="C50" s="8"/>
      <c r="D50" s="20" t="s">
        <v>117</v>
      </c>
      <c r="E50" s="20" t="s">
        <v>131</v>
      </c>
      <c r="F50" s="1"/>
      <c r="G50" s="1"/>
      <c r="H50" s="1"/>
      <c r="I50" s="1"/>
      <c r="J50" s="1"/>
      <c r="K50" s="8"/>
    </row>
    <row r="51" spans="1:11" ht="20.100000000000001" customHeight="1" x14ac:dyDescent="0.25">
      <c r="C51" s="8"/>
      <c r="D51" s="1" t="str" cm="1">
        <f t="array" ref="D51:D53">Common_InputFunctions.getOverlappingReportingPeriods(X_Cell_Enterprise_ProductionTimeframeStart,X_Cell_Enterprise_ProductionTimeframeEnd,X_Cell_Site_StartDate)</f>
        <v>01 Jan 2023 to 31 Dec 2023</v>
      </c>
      <c r="E51" s="85" t="str">
        <f>IF(ISBLANK(D51), 0, "Enter value")</f>
        <v>Enter value</v>
      </c>
      <c r="F51" s="15" t="s">
        <v>132</v>
      </c>
      <c r="G51" s="1"/>
      <c r="H51" s="1"/>
      <c r="I51" s="1"/>
      <c r="J51" s="1"/>
      <c r="K51" s="8"/>
    </row>
    <row r="52" spans="1:11" ht="20.100000000000001" customHeight="1" x14ac:dyDescent="0.25">
      <c r="C52" s="8"/>
      <c r="D52" s="1" t="str">
        <v>01 Jan 2024 to 31 Dec 2024 (This reporting cycle)</v>
      </c>
      <c r="E52" s="85" t="str">
        <f t="shared" ref="E52:E55" si="1">IF(ISBLANK(D52), 0, "Enter value")</f>
        <v>Enter value</v>
      </c>
      <c r="F52" s="15" t="s">
        <v>132</v>
      </c>
      <c r="G52" s="1"/>
      <c r="H52" s="1"/>
      <c r="I52" s="1"/>
      <c r="J52" s="1"/>
      <c r="K52" s="8"/>
    </row>
    <row r="53" spans="1:11" ht="20.100000000000001" customHeight="1" x14ac:dyDescent="0.25">
      <c r="A53" s="100" t="s">
        <v>1</v>
      </c>
      <c r="C53" s="8"/>
      <c r="D53" s="1" t="str">
        <v>01 Jan 2025 to 31 Dec 2025</v>
      </c>
      <c r="E53" s="85" t="str">
        <f t="shared" si="1"/>
        <v>Enter value</v>
      </c>
      <c r="F53" s="15" t="s">
        <v>132</v>
      </c>
      <c r="G53" s="1"/>
      <c r="H53" s="1"/>
      <c r="I53" s="1"/>
      <c r="J53" s="1"/>
      <c r="K53" s="8"/>
    </row>
    <row r="54" spans="1:11" ht="20.100000000000001" customHeight="1" x14ac:dyDescent="0.25">
      <c r="A54" s="5" t="str">
        <f>HYPERLINK("#'Constants - Dairy'!A1", "Constants - Dairy")</f>
        <v>Constants - Dairy</v>
      </c>
      <c r="C54" s="8"/>
      <c r="D54" s="1"/>
      <c r="E54" s="85">
        <f t="shared" si="1"/>
        <v>0</v>
      </c>
      <c r="F54" s="15" t="s">
        <v>132</v>
      </c>
      <c r="G54" s="1"/>
      <c r="H54" s="1"/>
      <c r="I54" s="1"/>
      <c r="J54" s="1"/>
      <c r="K54" s="8"/>
    </row>
    <row r="55" spans="1:11" ht="20.100000000000001" customHeight="1" x14ac:dyDescent="0.25">
      <c r="A55" s="5" t="str">
        <f>HYPERLINK("#'Constants - Ag Residue'!A1", "Constants - Ag residue")</f>
        <v>Constants - Ag residue</v>
      </c>
      <c r="C55" s="8"/>
      <c r="D55" s="1"/>
      <c r="E55" s="85">
        <f t="shared" si="1"/>
        <v>0</v>
      </c>
      <c r="F55" s="15" t="s">
        <v>132</v>
      </c>
      <c r="G55" s="1"/>
      <c r="H55" s="1"/>
      <c r="I55" s="8"/>
      <c r="J55" s="8"/>
      <c r="K55" s="8"/>
    </row>
    <row r="56" spans="1:11" ht="20.100000000000001" customHeight="1" x14ac:dyDescent="0.3">
      <c r="A56" s="5" t="str">
        <f>HYPERLINK("#'Constants - Common Livestock'!A1", "Constants - Common Livestock")</f>
        <v>Constants - Common Livestock</v>
      </c>
      <c r="C56" s="8"/>
      <c r="D56" s="14" t="s">
        <v>134</v>
      </c>
      <c r="E56" s="19">
        <f>SUM(E51:E55)</f>
        <v>0</v>
      </c>
      <c r="F56" s="1"/>
      <c r="G56" s="1"/>
      <c r="H56" s="1"/>
      <c r="I56" s="1"/>
      <c r="J56" s="1"/>
      <c r="K56" s="8"/>
    </row>
    <row r="57" spans="1:11" ht="20.100000000000001" customHeight="1" x14ac:dyDescent="0.25">
      <c r="A57" s="5" t="str">
        <f>HYPERLINK("#'Constants - Electricity'!A1", "Constants - Electricity")</f>
        <v>Constants - Electricity</v>
      </c>
      <c r="C57" s="8"/>
      <c r="D57" s="1"/>
      <c r="E57" s="1"/>
      <c r="F57" s="1"/>
      <c r="G57" s="1"/>
      <c r="H57" s="1"/>
      <c r="I57" s="1"/>
      <c r="J57" s="1"/>
      <c r="K57" s="8"/>
    </row>
    <row r="58" spans="1:11" ht="20.100000000000001" customHeight="1" x14ac:dyDescent="0.25">
      <c r="A58" s="5" t="str">
        <f>HYPERLINK("#'Constants - Fertiliser'!A1", "Constants - Fertiliser")</f>
        <v>Constants - Fertiliser</v>
      </c>
      <c r="C58" s="8"/>
      <c r="D58" s="1"/>
      <c r="E58" s="1"/>
      <c r="F58" s="1"/>
      <c r="G58" s="1"/>
      <c r="H58" s="1"/>
      <c r="I58" s="1"/>
      <c r="J58" s="1"/>
      <c r="K58" s="8"/>
    </row>
    <row r="59" spans="1:11" ht="20.100000000000001" customHeight="1" x14ac:dyDescent="0.25">
      <c r="A59" s="5" t="str">
        <f>HYPERLINK("#'Constants - Fuel'!A1", "Constants - Fuel")</f>
        <v>Constants - Fuel</v>
      </c>
      <c r="C59" s="8"/>
      <c r="D59" s="2" t="s">
        <v>120</v>
      </c>
      <c r="E59" s="1"/>
      <c r="F59" s="1"/>
      <c r="G59" s="1"/>
      <c r="H59" s="1"/>
      <c r="I59" s="1"/>
      <c r="J59" s="8"/>
      <c r="K59" s="8"/>
    </row>
    <row r="60" spans="1:11" ht="20.100000000000001" customHeight="1" x14ac:dyDescent="0.25">
      <c r="A60" s="5" t="str">
        <f>HYPERLINK("#'Constants - Scope 3'!A1", "Constants - Scope 3")</f>
        <v>Constants - Scope 3</v>
      </c>
      <c r="C60" s="8"/>
      <c r="D60" s="1"/>
      <c r="E60" s="1"/>
      <c r="F60" s="1"/>
      <c r="G60" s="1"/>
      <c r="H60" s="1"/>
      <c r="I60" s="1"/>
      <c r="J60" s="1"/>
      <c r="K60" s="8"/>
    </row>
    <row r="61" spans="1:11" ht="20.100000000000001" customHeight="1" x14ac:dyDescent="0.25">
      <c r="A61" s="5" t="str">
        <f>HYPERLINK("#'Constants - Common'!A1", "Constants - Common")</f>
        <v>Constants - Common</v>
      </c>
      <c r="C61" s="8"/>
      <c r="D61" s="20"/>
      <c r="E61" s="20" t="s">
        <v>136</v>
      </c>
      <c r="F61" s="20" t="s">
        <v>137</v>
      </c>
      <c r="G61" s="1"/>
      <c r="H61" s="1"/>
      <c r="I61" s="1"/>
      <c r="J61" s="1"/>
      <c r="K61" s="8"/>
    </row>
    <row r="62" spans="1:11" ht="20.100000000000001" customHeight="1" x14ac:dyDescent="0.3">
      <c r="A62" s="5" t="str">
        <f>HYPERLINK("#'Acknowledgements'!A1", "Acknowledgements")</f>
        <v>Acknowledgements</v>
      </c>
      <c r="C62" s="8"/>
      <c r="D62" s="88" t="s">
        <v>135</v>
      </c>
      <c r="E62" s="86">
        <f ca="1">E45-E56</f>
        <v>2930.2451849447539</v>
      </c>
      <c r="F62" s="86">
        <f ca="1">F45-E56</f>
        <v>2939.3832954894583</v>
      </c>
      <c r="G62" s="1"/>
      <c r="H62" s="1"/>
      <c r="I62" s="1"/>
      <c r="J62" s="1"/>
      <c r="K62" s="8"/>
    </row>
    <row r="63" spans="1:11" ht="20.100000000000001" customHeight="1" x14ac:dyDescent="0.25">
      <c r="A63" s="5" t="str">
        <f>HYPERLINK("#'Constants - Solid Waste'!A1", "Constants - Solid Waste")</f>
        <v>Constants - Solid Waste</v>
      </c>
      <c r="C63" s="8"/>
      <c r="D63" s="1"/>
      <c r="E63" s="1"/>
      <c r="F63" s="1"/>
      <c r="G63" s="1"/>
      <c r="H63" s="1"/>
      <c r="I63" s="1"/>
      <c r="J63" s="1"/>
      <c r="K63" s="8"/>
    </row>
    <row r="64" spans="1:11" ht="20.100000000000001" customHeight="1" x14ac:dyDescent="0.25">
      <c r="C64" s="8"/>
      <c r="D64" s="1"/>
      <c r="E64" s="1"/>
      <c r="F64" s="1"/>
      <c r="G64" s="1"/>
      <c r="H64" s="1"/>
      <c r="I64" s="1"/>
      <c r="J64" s="1"/>
      <c r="K64" s="8"/>
    </row>
    <row r="65" spans="3:11" ht="20.100000000000001" customHeight="1" x14ac:dyDescent="0.25">
      <c r="C65" s="8"/>
      <c r="D65" s="90" t="s">
        <v>159</v>
      </c>
      <c r="E65" s="1"/>
      <c r="F65" s="1"/>
      <c r="G65" s="1"/>
      <c r="H65" s="1"/>
      <c r="I65" s="1"/>
      <c r="J65" s="1"/>
      <c r="K65" s="8"/>
    </row>
    <row r="66" spans="3:11" ht="20.100000000000001" customHeight="1" x14ac:dyDescent="0.25">
      <c r="C66" s="8"/>
      <c r="D66" s="20" t="s">
        <v>138</v>
      </c>
      <c r="E66" s="20" t="s">
        <v>127</v>
      </c>
      <c r="F66" s="20" t="s">
        <v>121</v>
      </c>
      <c r="G66" s="20" t="s">
        <v>161</v>
      </c>
      <c r="H66" s="20" t="s">
        <v>125</v>
      </c>
      <c r="I66" s="20" t="s">
        <v>126</v>
      </c>
      <c r="J66" s="20" t="s">
        <v>122</v>
      </c>
      <c r="K66" s="8"/>
    </row>
    <row r="67" spans="3:11" ht="20.100000000000001" customHeight="1" x14ac:dyDescent="0.25">
      <c r="C67" s="8"/>
      <c r="D67" s="1" t="s">
        <v>194</v>
      </c>
      <c r="E67" s="1" t="s">
        <v>128</v>
      </c>
      <c r="F67" s="18">
        <f>'Input - Enterprise'!E24</f>
        <v>7519</v>
      </c>
      <c r="G67" s="18">
        <f>F67/(F67+F69+F71)</f>
        <v>0.99920265780730899</v>
      </c>
      <c r="H67" s="18">
        <f ca="1">(Result_EmissionsForWholeProductionCycle_Method1/F67)*G67</f>
        <v>0.38940135348103044</v>
      </c>
      <c r="I67" s="18">
        <f ca="1">(Result_EmissionsForWholeProductionCycle_Method2/F67)*G67</f>
        <v>0.39061572033082503</v>
      </c>
      <c r="J67" s="15" t="s">
        <v>196</v>
      </c>
      <c r="K67" s="8"/>
    </row>
    <row r="68" spans="3:11" ht="20.100000000000001" customHeight="1" x14ac:dyDescent="0.25">
      <c r="C68" s="8"/>
      <c r="D68" s="1" t="s">
        <v>195</v>
      </c>
      <c r="E68" s="1" t="s">
        <v>128</v>
      </c>
      <c r="F68" s="18">
        <f>F67</f>
        <v>7519</v>
      </c>
      <c r="G68" s="18">
        <f>G67</f>
        <v>0.99920265780730899</v>
      </c>
      <c r="H68" s="18">
        <f ca="1">(Result_NetEmissions_Method1/F68)*G68</f>
        <v>0.38940135348103044</v>
      </c>
      <c r="I68" s="18">
        <f ca="1">(Result_NetEmissions_Method2/F68)*G68</f>
        <v>0.39061572033082503</v>
      </c>
      <c r="J68" s="15" t="s">
        <v>196</v>
      </c>
      <c r="K68" s="8"/>
    </row>
    <row r="69" spans="3:11" ht="20.100000000000001" customHeight="1" x14ac:dyDescent="0.25">
      <c r="C69" s="8"/>
      <c r="D69" s="1" t="s">
        <v>163</v>
      </c>
      <c r="E69" s="1" t="s">
        <v>128</v>
      </c>
      <c r="F69" s="18">
        <f>'Input - Enterprise'!E22</f>
        <v>5</v>
      </c>
      <c r="G69" s="18">
        <f>F69/(F67+F69+F71)</f>
        <v>6.6445182724252495E-4</v>
      </c>
      <c r="H69" s="18">
        <f ca="1">(Result_EmissionsForWholeProductionCycle_Method1/F69)*G69</f>
        <v>0.38940135348103044</v>
      </c>
      <c r="I69" s="18">
        <f ca="1">(Result_EmissionsForWholeProductionCycle_Method2/F69)*G69</f>
        <v>0.39061572033082503</v>
      </c>
      <c r="J69" s="15" t="s">
        <v>123</v>
      </c>
      <c r="K69" s="8"/>
    </row>
    <row r="70" spans="3:11" ht="20.100000000000001" customHeight="1" x14ac:dyDescent="0.25">
      <c r="C70" s="8"/>
      <c r="D70" s="1" t="s">
        <v>164</v>
      </c>
      <c r="E70" s="1" t="s">
        <v>128</v>
      </c>
      <c r="F70" s="18">
        <f>F69</f>
        <v>5</v>
      </c>
      <c r="G70" s="18">
        <f>G69</f>
        <v>6.6445182724252495E-4</v>
      </c>
      <c r="H70" s="18">
        <f ca="1">(Result_NetEmissions_Method1/F70)*G70</f>
        <v>0.38940135348103044</v>
      </c>
      <c r="I70" s="18">
        <f ca="1">(Result_NetEmissions_Method2/F70)*G70</f>
        <v>0.39061572033082503</v>
      </c>
      <c r="J70" s="15" t="s">
        <v>123</v>
      </c>
      <c r="K70" s="8"/>
    </row>
    <row r="71" spans="3:11" ht="20.100000000000001" customHeight="1" x14ac:dyDescent="0.25">
      <c r="C71" s="8"/>
      <c r="D71" s="1" t="s">
        <v>165</v>
      </c>
      <c r="E71" s="1" t="s">
        <v>129</v>
      </c>
      <c r="F71" s="18">
        <f>'Input - Enterprise'!E25</f>
        <v>1</v>
      </c>
      <c r="G71" s="18">
        <f>F71/(F67+F69+F71)</f>
        <v>1.3289036544850499E-4</v>
      </c>
      <c r="H71" s="18">
        <f ca="1">(Result_EmissionsForWholeProductionCycle_Method1/F71)*G71</f>
        <v>0.38940135348103044</v>
      </c>
      <c r="I71" s="18">
        <f ca="1">(Result_EmissionsForWholeProductionCycle_Method2/F71)*G71</f>
        <v>0.39061572033082503</v>
      </c>
      <c r="J71" s="15" t="s">
        <v>124</v>
      </c>
      <c r="K71" s="8"/>
    </row>
    <row r="72" spans="3:11" ht="20.100000000000001" customHeight="1" x14ac:dyDescent="0.25">
      <c r="C72" s="8"/>
      <c r="D72" s="1" t="s">
        <v>166</v>
      </c>
      <c r="E72" s="1" t="s">
        <v>129</v>
      </c>
      <c r="F72" s="18">
        <f>F71</f>
        <v>1</v>
      </c>
      <c r="G72" s="18">
        <f>G71</f>
        <v>1.3289036544850499E-4</v>
      </c>
      <c r="H72" s="18">
        <f ca="1">(Result_NetEmissions_Method1/F72)*G72</f>
        <v>0.38940135348103044</v>
      </c>
      <c r="I72" s="18">
        <f ca="1">(Result_NetEmissions_Method2/F72)*G72</f>
        <v>0.39061572033082503</v>
      </c>
      <c r="J72" s="15" t="s">
        <v>124</v>
      </c>
      <c r="K72" s="8"/>
    </row>
    <row r="73" spans="3:11" ht="20.100000000000001" customHeight="1" x14ac:dyDescent="0.25">
      <c r="C73" s="8"/>
      <c r="D73" s="1"/>
      <c r="E73" s="1"/>
      <c r="F73" s="18"/>
      <c r="G73" s="18"/>
      <c r="H73" s="18"/>
      <c r="I73" s="18"/>
      <c r="J73" s="8"/>
      <c r="K73" s="8"/>
    </row>
    <row r="74" spans="3:11" ht="20.100000000000001" customHeight="1" x14ac:dyDescent="0.25">
      <c r="C74" s="8"/>
      <c r="D74" s="1"/>
      <c r="E74" s="1"/>
      <c r="F74" s="18"/>
      <c r="G74" s="18"/>
      <c r="H74" s="18"/>
      <c r="I74" s="18"/>
      <c r="J74" s="17"/>
      <c r="K74" s="8"/>
    </row>
    <row r="75" spans="3:11" ht="20.100000000000001" customHeight="1" x14ac:dyDescent="0.25">
      <c r="C75" s="8"/>
      <c r="D75" s="90" t="s">
        <v>160</v>
      </c>
      <c r="E75" s="1"/>
      <c r="F75" s="1"/>
      <c r="G75" s="1"/>
      <c r="H75" s="1"/>
      <c r="I75" s="1"/>
      <c r="J75" s="1"/>
      <c r="K75" s="8"/>
    </row>
    <row r="76" spans="3:11" ht="15.75" x14ac:dyDescent="0.25">
      <c r="C76" s="8"/>
      <c r="D76" s="20" t="s">
        <v>138</v>
      </c>
      <c r="E76" s="20" t="s">
        <v>127</v>
      </c>
      <c r="F76" s="20" t="s">
        <v>121</v>
      </c>
      <c r="G76" s="20" t="s">
        <v>162</v>
      </c>
      <c r="H76" s="20" t="s">
        <v>125</v>
      </c>
      <c r="I76" s="20" t="s">
        <v>126</v>
      </c>
      <c r="J76" s="20" t="s">
        <v>122</v>
      </c>
      <c r="K76" s="8"/>
    </row>
    <row r="77" spans="3:11" ht="15.75" x14ac:dyDescent="0.25">
      <c r="C77" s="8"/>
      <c r="D77" s="1" t="s">
        <v>194</v>
      </c>
      <c r="E77" s="1" t="s">
        <v>128</v>
      </c>
      <c r="F77" s="93">
        <f>F67</f>
        <v>7519</v>
      </c>
      <c r="G77" s="18">
        <f>'Input - Enterprise'!E29</f>
        <v>0.8</v>
      </c>
      <c r="H77" s="18">
        <f ca="1">(Result_EmissionsForWholeProductionCycle_Method1/F77)*G77</f>
        <v>0.31176966989703464</v>
      </c>
      <c r="I77" s="18">
        <f ca="1">(Result_EmissionsForWholeProductionCycle_Method2/F77)*G77</f>
        <v>0.31274193860773597</v>
      </c>
      <c r="J77" s="15" t="s">
        <v>196</v>
      </c>
      <c r="K77" s="8"/>
    </row>
    <row r="78" spans="3:11" ht="15.75" x14ac:dyDescent="0.25">
      <c r="C78" s="8"/>
      <c r="D78" s="1" t="s">
        <v>195</v>
      </c>
      <c r="E78" s="1" t="s">
        <v>128</v>
      </c>
      <c r="F78" s="93">
        <f t="shared" ref="F78" si="2">F68</f>
        <v>7519</v>
      </c>
      <c r="G78" s="18">
        <f>G77</f>
        <v>0.8</v>
      </c>
      <c r="H78" s="18">
        <f ca="1">(Result_NetEmissions_Method1/F78)*G78</f>
        <v>0.31176966989703464</v>
      </c>
      <c r="I78" s="18">
        <f ca="1">(Result_NetEmissions_Method2/F78)*G78</f>
        <v>0.31274193860773597</v>
      </c>
      <c r="J78" s="15" t="s">
        <v>196</v>
      </c>
      <c r="K78" s="8"/>
    </row>
    <row r="79" spans="3:11" ht="15.75" x14ac:dyDescent="0.25">
      <c r="C79" s="8"/>
      <c r="D79" s="1" t="s">
        <v>163</v>
      </c>
      <c r="E79" s="1" t="s">
        <v>128</v>
      </c>
      <c r="F79" s="18">
        <f>F69</f>
        <v>5</v>
      </c>
      <c r="G79" s="18">
        <f>'Input - Enterprise'!E27</f>
        <v>0.15</v>
      </c>
      <c r="H79" s="18">
        <f ca="1">(Result_EmissionsForWholeProductionCycle_Method1/F79)*G79</f>
        <v>87.907355548342608</v>
      </c>
      <c r="I79" s="18">
        <f ca="1">(Result_EmissionsForWholeProductionCycle_Method2/F79)*G79</f>
        <v>88.181498864683746</v>
      </c>
      <c r="J79" s="15" t="s">
        <v>123</v>
      </c>
      <c r="K79" s="8"/>
    </row>
    <row r="80" spans="3:11" ht="15.75" x14ac:dyDescent="0.25">
      <c r="C80" s="8"/>
      <c r="D80" s="1" t="s">
        <v>164</v>
      </c>
      <c r="E80" s="1" t="s">
        <v>128</v>
      </c>
      <c r="F80" s="18">
        <f>F69</f>
        <v>5</v>
      </c>
      <c r="G80" s="18">
        <f>G79</f>
        <v>0.15</v>
      </c>
      <c r="H80" s="18">
        <f ca="1">(Result_NetEmissions_Method1/F80)*G80</f>
        <v>87.907355548342608</v>
      </c>
      <c r="I80" s="18">
        <f ca="1">(Result_NetEmissions_Method2/F80)*G80</f>
        <v>88.181498864683746</v>
      </c>
      <c r="J80" s="15" t="s">
        <v>123</v>
      </c>
      <c r="K80" s="8"/>
    </row>
    <row r="81" spans="3:11" ht="15.75" x14ac:dyDescent="0.25">
      <c r="C81" s="8"/>
      <c r="D81" s="1" t="s">
        <v>165</v>
      </c>
      <c r="E81" s="1" t="s">
        <v>129</v>
      </c>
      <c r="F81" s="18">
        <f>F71</f>
        <v>1</v>
      </c>
      <c r="G81" s="18">
        <f>'Input - Enterprise'!E28</f>
        <v>0.05</v>
      </c>
      <c r="H81" s="18">
        <f ca="1">(Result_EmissionsForWholeProductionCycle_Method1/F81)*G81</f>
        <v>146.51225924723769</v>
      </c>
      <c r="I81" s="18">
        <f ca="1">(Result_EmissionsForWholeProductionCycle_Method2/F81)*G81</f>
        <v>146.96916477447292</v>
      </c>
      <c r="J81" s="15" t="s">
        <v>124</v>
      </c>
      <c r="K81" s="8"/>
    </row>
    <row r="82" spans="3:11" ht="15.75" x14ac:dyDescent="0.25">
      <c r="C82" s="8"/>
      <c r="D82" s="1" t="s">
        <v>166</v>
      </c>
      <c r="E82" s="1" t="s">
        <v>129</v>
      </c>
      <c r="F82" s="18">
        <f>F72</f>
        <v>1</v>
      </c>
      <c r="G82" s="18">
        <f>G81</f>
        <v>0.05</v>
      </c>
      <c r="H82" s="18">
        <f ca="1">(Result_NetEmissions_Method1/F82)*G82</f>
        <v>146.51225924723769</v>
      </c>
      <c r="I82" s="18">
        <f ca="1">(Result_NetEmissions_Method2/F82)*G82</f>
        <v>146.96916477447292</v>
      </c>
      <c r="J82" s="15" t="s">
        <v>124</v>
      </c>
      <c r="K82" s="8"/>
    </row>
    <row r="83" spans="3:11" ht="15.75" x14ac:dyDescent="0.25">
      <c r="C83" s="8"/>
      <c r="D83" s="1"/>
      <c r="E83" s="1"/>
      <c r="F83" s="18"/>
      <c r="G83" s="18"/>
      <c r="H83" s="18"/>
      <c r="I83" s="18"/>
      <c r="J83" s="8"/>
      <c r="K83" s="8"/>
    </row>
    <row r="84" spans="3:11" ht="15.75" x14ac:dyDescent="0.25">
      <c r="C84" s="8"/>
      <c r="D84" s="1"/>
      <c r="E84" s="1"/>
      <c r="F84" s="1"/>
      <c r="G84" s="1"/>
      <c r="H84" s="1"/>
      <c r="I84" s="1"/>
      <c r="J84" s="1"/>
      <c r="K84" s="8"/>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63"/>
  <sheetViews>
    <sheetView showGridLines="0" topLeftCell="A3" zoomScaleNormal="100" workbookViewId="0">
      <selection activeCell="A63" sqref="A63"/>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25.5" x14ac:dyDescent="0.35">
      <c r="A1" s="16" t="e" vm="1">
        <v>#VALUE!</v>
      </c>
      <c r="C1" s="37" t="s">
        <v>155</v>
      </c>
      <c r="D1" s="31"/>
      <c r="E1" s="31"/>
      <c r="F1" s="31"/>
      <c r="G1" s="31"/>
      <c r="H1" s="31"/>
      <c r="I1" s="31"/>
      <c r="J1" s="31"/>
    </row>
    <row r="2" spans="1:10" x14ac:dyDescent="0.25">
      <c r="C2" s="3"/>
      <c r="D2" s="3"/>
      <c r="E2" s="3"/>
      <c r="F2" s="3"/>
      <c r="G2" s="3"/>
      <c r="H2" s="3"/>
      <c r="I2" s="3"/>
      <c r="J2" s="3"/>
    </row>
    <row r="3" spans="1:10" ht="20.25" x14ac:dyDescent="0.25">
      <c r="A3" s="5" t="str">
        <f>HYPERLINK("#'Home'!A1", "Home")</f>
        <v>Home</v>
      </c>
      <c r="C3" s="38"/>
      <c r="D3" s="38"/>
      <c r="E3" s="38"/>
      <c r="F3" s="38"/>
      <c r="G3" s="38"/>
      <c r="H3" s="38"/>
      <c r="I3" s="38"/>
      <c r="J3" s="38"/>
    </row>
    <row r="4" spans="1:10" x14ac:dyDescent="0.25">
      <c r="A4" s="5" t="str">
        <f>HYPERLINK("#'Overview'!A1", "Overview")</f>
        <v>Overview</v>
      </c>
    </row>
    <row r="5" spans="1:10" ht="23.25" x14ac:dyDescent="0.25">
      <c r="A5" s="5" t="str">
        <f>HYPERLINK("#'Results'!A1", "Results")</f>
        <v>Results</v>
      </c>
      <c r="D5" s="2" t="s">
        <v>88</v>
      </c>
      <c r="E5" s="34"/>
      <c r="F5" s="34"/>
      <c r="G5" s="34"/>
    </row>
    <row r="6" spans="1:10" x14ac:dyDescent="0.25">
      <c r="D6" s="41"/>
      <c r="E6" s="34"/>
      <c r="F6" s="34"/>
      <c r="G6" s="34"/>
    </row>
    <row r="7" spans="1:10" x14ac:dyDescent="0.25">
      <c r="D7" s="1" t="s">
        <v>89</v>
      </c>
      <c r="E7" s="43" t="s">
        <v>90</v>
      </c>
      <c r="F7" s="26"/>
      <c r="G7" s="34"/>
    </row>
    <row r="8" spans="1:10" x14ac:dyDescent="0.25">
      <c r="A8" s="7" t="s">
        <v>0</v>
      </c>
      <c r="D8" s="22" t="s">
        <v>91</v>
      </c>
      <c r="E8" s="43" t="s">
        <v>92</v>
      </c>
      <c r="F8" s="34"/>
      <c r="G8" s="34"/>
    </row>
    <row r="9" spans="1:10" x14ac:dyDescent="0.25">
      <c r="A9" s="98" t="str">
        <f>HYPERLINK("#'Input - Enterprise'!A1", "Enterprise")</f>
        <v>Enterprise</v>
      </c>
      <c r="D9" s="34"/>
      <c r="E9" s="34"/>
      <c r="F9" s="34"/>
      <c r="G9" s="34"/>
    </row>
    <row r="10" spans="1:10" x14ac:dyDescent="0.25">
      <c r="A10" s="5" t="str">
        <f>HYPERLINK("#'Input - Site'!A1", "Site")</f>
        <v>Site</v>
      </c>
      <c r="D10" s="45" t="s">
        <v>93</v>
      </c>
      <c r="E10" s="46"/>
      <c r="F10" s="47"/>
      <c r="G10" s="48"/>
    </row>
    <row r="11" spans="1:10" x14ac:dyDescent="0.25">
      <c r="A11" s="5" t="str">
        <f>HYPERLINK("#'Input - Dairy'!A1", "Dairy")</f>
        <v>Dairy</v>
      </c>
      <c r="D11" s="34"/>
      <c r="E11" s="34"/>
      <c r="F11" s="34"/>
      <c r="G11" s="34"/>
    </row>
    <row r="12" spans="1:10" x14ac:dyDescent="0.25">
      <c r="A12" s="5" t="str">
        <f>HYPERLINK("#'Input - Dairy (Enteric)'!A1", "Dairy (Enteric)")</f>
        <v>Dairy (Enteric)</v>
      </c>
      <c r="D12" s="22" t="s">
        <v>16</v>
      </c>
      <c r="E12" s="24">
        <v>45292</v>
      </c>
      <c r="F12" s="26" t="s">
        <v>94</v>
      </c>
      <c r="G12" s="34"/>
    </row>
    <row r="13" spans="1:10" x14ac:dyDescent="0.25">
      <c r="A13" s="5" t="str">
        <f>HYPERLINK("#'Input - Livestock sales'!A1", "Livestock sales")</f>
        <v>Livestock sales</v>
      </c>
      <c r="D13" s="22" t="s">
        <v>17</v>
      </c>
      <c r="E13" s="50">
        <f>DATE(YEAR(E12)+1,MONTH(E12),DAY(E12))-1</f>
        <v>45657</v>
      </c>
      <c r="F13" s="26" t="s">
        <v>95</v>
      </c>
      <c r="G13" s="34"/>
    </row>
    <row r="14" spans="1:10" x14ac:dyDescent="0.25">
      <c r="A14" s="5" t="str">
        <f>HYPERLINK("#'Input - Dairy cattle purchases'!A1", "Dairy cattle purchases")</f>
        <v>Dairy cattle purchases</v>
      </c>
      <c r="F14" s="34"/>
      <c r="G14" s="34"/>
    </row>
    <row r="15" spans="1:10" x14ac:dyDescent="0.25">
      <c r="A15" s="5" t="str">
        <f>HYPERLINK("#'Input - Pasture'!A1", "Pasture")</f>
        <v>Pasture</v>
      </c>
    </row>
    <row r="16" spans="1:10" ht="23.25" x14ac:dyDescent="0.25">
      <c r="A16" s="5" t="str">
        <f>HYPERLINK("#'Input - Fert Prod System'!A1", "Fert Prod System")</f>
        <v>Fert Prod System</v>
      </c>
      <c r="D16" s="2" t="s">
        <v>18</v>
      </c>
    </row>
    <row r="17" spans="1:7" x14ac:dyDescent="0.25">
      <c r="A17" s="5" t="str">
        <f>HYPERLINK("#'Input - Fertiliser'!A1", "Fertiliser")</f>
        <v>Fertiliser</v>
      </c>
    </row>
    <row r="18" spans="1:7" x14ac:dyDescent="0.25">
      <c r="A18" s="5" t="str">
        <f>HYPERLINK("#'Input - Fuel'!A1", "Fuel")</f>
        <v>Fuel</v>
      </c>
      <c r="D18" s="1" t="s">
        <v>13</v>
      </c>
      <c r="E18" s="24">
        <v>45231</v>
      </c>
      <c r="F18" s="26" t="s">
        <v>94</v>
      </c>
    </row>
    <row r="19" spans="1:7" x14ac:dyDescent="0.25">
      <c r="A19" s="5" t="str">
        <f>HYPERLINK("#'Input - Electricity'!A1", "Electricity")</f>
        <v>Electricity</v>
      </c>
      <c r="D19" s="1" t="s">
        <v>14</v>
      </c>
      <c r="E19" s="24">
        <v>45747</v>
      </c>
      <c r="F19" s="26" t="s">
        <v>94</v>
      </c>
    </row>
    <row r="20" spans="1:7" x14ac:dyDescent="0.25">
      <c r="A20" s="5" t="str">
        <f>HYPERLINK("#'Input - Farm Inputs'!A1", "Farm Inputs")</f>
        <v>Farm Inputs</v>
      </c>
      <c r="D20" s="1" t="s">
        <v>15</v>
      </c>
      <c r="E20" s="25">
        <f>DATEDIF(E18,E19+1,"m")</f>
        <v>17</v>
      </c>
      <c r="F20" s="26" t="s">
        <v>119</v>
      </c>
    </row>
    <row r="21" spans="1:7" x14ac:dyDescent="0.25">
      <c r="A21" s="5" t="str">
        <f>HYPERLINK("#'Input - Freight'!A1", "Freight")</f>
        <v>Freight</v>
      </c>
    </row>
    <row r="22" spans="1:7" x14ac:dyDescent="0.25">
      <c r="A22" s="5" t="str">
        <f>HYPERLINK("#'Input - Manure sent off-site'!A1", "Manure sent off-site")</f>
        <v>Manure sent off-site</v>
      </c>
      <c r="D22" s="1" t="s">
        <v>19</v>
      </c>
      <c r="E22" s="89">
        <f>SUM(Table_Input_LivestockSales[Total liveweight sold])*10^-3</f>
        <v>5</v>
      </c>
      <c r="G22" s="26" t="s">
        <v>20</v>
      </c>
    </row>
    <row r="23" spans="1:7" x14ac:dyDescent="0.25">
      <c r="A23" s="5" t="str">
        <f>HYPERLINK("#'Input - Solid waste'!A1", "Solid waste")</f>
        <v>Solid waste</v>
      </c>
      <c r="D23" s="1" t="s">
        <v>191</v>
      </c>
      <c r="E23" s="89" t="str" cm="1">
        <f t="array" ref="E23">X_Cell_Dairy_MilkProductionUnit</f>
        <v>Litres of milk</v>
      </c>
      <c r="G23" s="26"/>
    </row>
    <row r="24" spans="1:7" x14ac:dyDescent="0.25">
      <c r="A24" s="5" t="str">
        <f>HYPERLINK("#'Input - Data quality'!A1", "Data quality")</f>
        <v>Data quality</v>
      </c>
      <c r="D24" s="1" t="s">
        <v>190</v>
      </c>
      <c r="E24" s="89" cm="1">
        <f t="array" ref="E24">X_Cell_Dairy_MilkProductionAmount*365*IF(E23="Milk solds", 1, 1.03)</f>
        <v>7519</v>
      </c>
      <c r="G24" s="26" t="s">
        <v>20</v>
      </c>
    </row>
    <row r="25" spans="1:7" x14ac:dyDescent="0.25">
      <c r="D25" s="1" t="s">
        <v>193</v>
      </c>
      <c r="E25" s="85">
        <v>1</v>
      </c>
      <c r="G25" s="26" t="s">
        <v>20</v>
      </c>
    </row>
    <row r="27" spans="1:7" x14ac:dyDescent="0.25">
      <c r="A27" s="6" t="s">
        <v>2</v>
      </c>
      <c r="D27" s="1" t="s">
        <v>157</v>
      </c>
      <c r="E27" s="28">
        <v>0.15</v>
      </c>
      <c r="G27" s="26" t="s">
        <v>156</v>
      </c>
    </row>
    <row r="28" spans="1:7" x14ac:dyDescent="0.25">
      <c r="A28" s="5" t="str">
        <f>HYPERLINK("#'5.1.1.1-2 Inorganic fert N2O'!A1", "5.1.1.1-2 Inorganic fert N2O")</f>
        <v>5.1.1.1-2 Inorganic fert N2O</v>
      </c>
      <c r="D28" s="1" t="s">
        <v>158</v>
      </c>
      <c r="E28" s="28">
        <v>0.05</v>
      </c>
      <c r="G28" s="26" t="s">
        <v>156</v>
      </c>
    </row>
    <row r="29" spans="1:7" x14ac:dyDescent="0.25">
      <c r="A29" s="5" t="str">
        <f>HYPERLINK("#'5.1.1.3-4 Inorganic fert CO2'!A1", "5.1.1.3-4 Inorganic fert CO2")</f>
        <v>5.1.1.3-4 Inorganic fert CO2</v>
      </c>
      <c r="D29" s="1" t="s">
        <v>192</v>
      </c>
      <c r="E29" s="28">
        <v>0.8</v>
      </c>
      <c r="G29" s="26" t="s">
        <v>156</v>
      </c>
    </row>
    <row r="30" spans="1:7" x14ac:dyDescent="0.25">
      <c r="A30" s="5" t="str">
        <f>HYPERLINK("#'5.2.1.1-2 Organic Fert N2O'!A1", "5.2.1.1-2 Organic fert N2O")</f>
        <v>5.2.1.1-2 Organic fert N2O</v>
      </c>
    </row>
    <row r="31" spans="1:7" x14ac:dyDescent="0.25">
      <c r="A31" s="5" t="str">
        <f>HYPERLINK("#'5.3.1.1-2 Lime CO2'!A1", "5.3.1.1-2 Lime CO2")</f>
        <v>5.3.1.1-2 Lime CO2</v>
      </c>
    </row>
    <row r="32" spans="1:7" x14ac:dyDescent="0.25">
      <c r="A32" s="5" t="str">
        <f>HYPERLINK("#'5.4.1.1-4 Atmos deposition'!A1", "5.4.1.1-4 Atmos. deposition")</f>
        <v>5.4.1.1-4 Atmos. deposition</v>
      </c>
    </row>
    <row r="33" spans="1:1" x14ac:dyDescent="0.25">
      <c r="A33" s="5" t="str">
        <f>HYPERLINK("#'5.5.1.1-2 Leaching and runoff'!A1", "5.5.1.1-2 Leaching &amp; runoff")</f>
        <v>5.5.1.1-2 Leaching &amp; runoff</v>
      </c>
    </row>
    <row r="34" spans="1:1" x14ac:dyDescent="0.25">
      <c r="A34" s="5" t="str">
        <f>HYPERLINK("#'6.2.1.1-2 Pasture residue N2O'!A1", "6.2.1.1-2 Pasture residue N2O")</f>
        <v>6.2.1.1-2 Pasture residue N2O</v>
      </c>
    </row>
    <row r="35" spans="1:1" x14ac:dyDescent="0.25">
      <c r="A35" s="5" t="str">
        <f>HYPERLINK("#'6.3.1.1-2 Leach runoff pasture'!A1", "6.3.1.1-2 Leach &amp; runoff (pasture)")</f>
        <v>6.3.1.1-2 Leach &amp; runoff (pasture)</v>
      </c>
    </row>
    <row r="36" spans="1:1" x14ac:dyDescent="0.25">
      <c r="A36" s="5" t="str">
        <f>HYPERLINK("#'8.1.1.1-2 Transport fuel'!A1", "8.1.1.1-2 Transport fuel")</f>
        <v>8.1.1.1-2 Transport fuel</v>
      </c>
    </row>
    <row r="37" spans="1:1" x14ac:dyDescent="0.25">
      <c r="A37" s="5" t="str">
        <f>HYPERLINK("#'8.2.1.1-2 Stationary fuel'!A1", "8.2.1.1-2 Stationary fuel")</f>
        <v>8.2.1.1-2 Stationary fuel</v>
      </c>
    </row>
    <row r="38" spans="1:1" x14ac:dyDescent="0.25">
      <c r="A38" s="5" t="str">
        <f>HYPERLINK("#'14.1.1-2 Purchased electricity'!A1", "14.1.1-2 Purchased electricity")</f>
        <v>14.1.1-2 Purchased electricity</v>
      </c>
    </row>
    <row r="39" spans="1:1" x14ac:dyDescent="0.25">
      <c r="A39" s="5" t="str">
        <f>HYPERLINK("#'15 Scope 3'!A1", "15 Scope 3")</f>
        <v>15 Scope 3</v>
      </c>
    </row>
    <row r="40" spans="1:1" x14ac:dyDescent="0.25">
      <c r="A40" s="5" t="str">
        <f>HYPERLINK("#'Calcs - Manure sent off-site'!A1", "Calcs - Manure sent off-site")</f>
        <v>Calcs - Manure sent off-site</v>
      </c>
    </row>
    <row r="41" spans="1:1" x14ac:dyDescent="0.25">
      <c r="A41" s="5" t="str">
        <f>HYPERLINK("#'4.3.1.1-2 Methane'!A1", "4.3.1.1-2 Methane")</f>
        <v>4.3.1.1-2 Methane</v>
      </c>
    </row>
    <row r="42" spans="1:1" x14ac:dyDescent="0.25">
      <c r="A42" s="5" t="str">
        <f>HYPERLINK("#'4.3.1.3-4 Direct N20'!A1", "4.3.1.3-4 Direct N20")</f>
        <v>4.3.1.3-4 Direct N20</v>
      </c>
    </row>
    <row r="43" spans="1:1" x14ac:dyDescent="0.25">
      <c r="A43" s="5" t="str">
        <f>HYPERLINK("#'4.3.1.5 Atmos deposition'!A1", "4.3.1.5 Atmos deposition")</f>
        <v>4.3.1.5 Atmos deposition</v>
      </c>
    </row>
    <row r="44" spans="1:1" x14ac:dyDescent="0.25">
      <c r="A44" s="5" t="str">
        <f>HYPERLINK("#'4.3.1.6-7 Leaching and runoff'!A1", "4.3.1.6-7 Leaching and runoff")</f>
        <v>4.3.1.6-7 Leaching and runoff</v>
      </c>
    </row>
    <row r="45" spans="1:1" x14ac:dyDescent="0.25">
      <c r="A45" s="5" t="str">
        <f>HYPERLINK("#'4.3.1.8 Manure applied to soils'!A1", "4.3.1.8 Manure applied to soils")</f>
        <v>4.3.1.8 Manure applied to soils</v>
      </c>
    </row>
    <row r="46" spans="1:1" x14ac:dyDescent="0.25">
      <c r="A46" s="5" t="str">
        <f>HYPERLINK("#'4.3.1.9 Soil direct N2O'!A1", "4.3.1.9 Soil direct N2O")</f>
        <v>4.3.1.9 Soil direct N2O</v>
      </c>
    </row>
    <row r="47" spans="1:1" x14ac:dyDescent="0.25">
      <c r="A47" s="5" t="str">
        <f>HYPERLINK("#'4.3.1.10-11 Soil Atmos Dep'!A1", "4.3.1.10-11 Soil Atmos Dep")</f>
        <v>4.3.1.10-11 Soil Atmos Dep</v>
      </c>
    </row>
    <row r="48" spans="1:1" x14ac:dyDescent="0.25">
      <c r="A48" s="5" t="str">
        <f>HYPERLINK("#'4.3.1.12-13 Soil leach runoff'!A1", "4.3.1.12-13 Soil leach runoff")</f>
        <v>4.3.1.12-13 Soil leach runoff</v>
      </c>
    </row>
    <row r="49" spans="1:1" x14ac:dyDescent="0.25">
      <c r="A49" s="5" t="str">
        <f>HYPERLINK("#'3.3.1.1-2 Enteric Methane'!A1", "3.3.1.1-2 Enteric Methane")</f>
        <v>3.3.1.1-2 Enteric Methane</v>
      </c>
    </row>
    <row r="50" spans="1:1" x14ac:dyDescent="0.25">
      <c r="A50" s="5" t="str">
        <f>HYPERLINK("#'10.1.1-2 Solid waste treatment'!A1", "10.1.1-2 Solid waste treatment")</f>
        <v>10.1.1-2 Solid waste treatment</v>
      </c>
    </row>
    <row r="53" spans="1:1" x14ac:dyDescent="0.25">
      <c r="A53" s="100" t="s">
        <v>1</v>
      </c>
    </row>
    <row r="54" spans="1:1" x14ac:dyDescent="0.25">
      <c r="A54" s="5" t="str">
        <f>HYPERLINK("#'Constants - Dairy'!A1", "Constants - Dairy")</f>
        <v>Constants - Dairy</v>
      </c>
    </row>
    <row r="55" spans="1:1" x14ac:dyDescent="0.25">
      <c r="A55" s="5" t="str">
        <f>HYPERLINK("#'Constants - Ag Residue'!A1", "Constants - Ag residue")</f>
        <v>Constants - Ag residue</v>
      </c>
    </row>
    <row r="56" spans="1:1" x14ac:dyDescent="0.25">
      <c r="A56" s="5" t="str">
        <f>HYPERLINK("#'Constants - Common Livestock'!A1", "Constants - Common Livestock")</f>
        <v>Constants - Common Livestock</v>
      </c>
    </row>
    <row r="57" spans="1:1" x14ac:dyDescent="0.25">
      <c r="A57" s="5" t="str">
        <f>HYPERLINK("#'Constants - Electricity'!A1", "Constants - Electricity")</f>
        <v>Constants - Electricity</v>
      </c>
    </row>
    <row r="58" spans="1:1" x14ac:dyDescent="0.25">
      <c r="A58" s="5" t="str">
        <f>HYPERLINK("#'Constants - Fertiliser'!A1", "Constants - Fertiliser")</f>
        <v>Constants - Fertiliser</v>
      </c>
    </row>
    <row r="59" spans="1:1" x14ac:dyDescent="0.25">
      <c r="A59" s="5" t="str">
        <f>HYPERLINK("#'Constants - Fuel'!A1", "Constants - Fuel")</f>
        <v>Constants - Fuel</v>
      </c>
    </row>
    <row r="60" spans="1:1" x14ac:dyDescent="0.25">
      <c r="A60" s="5" t="str">
        <f>HYPERLINK("#'Constants - Scope 3'!A1", "Constants - Scope 3")</f>
        <v>Constants - Scope 3</v>
      </c>
    </row>
    <row r="61" spans="1:1" x14ac:dyDescent="0.25">
      <c r="A61" s="5" t="str">
        <f>HYPERLINK("#'Constants - Common'!A1", "Constants - Common")</f>
        <v>Constants - Common</v>
      </c>
    </row>
    <row r="62" spans="1:1" x14ac:dyDescent="0.25">
      <c r="A62" s="5" t="str">
        <f>HYPERLINK("#'Acknowledgements'!A1", "Acknowledgements")</f>
        <v>Acknowledgements</v>
      </c>
    </row>
    <row r="63" spans="1:1" x14ac:dyDescent="0.25">
      <c r="A63" s="5" t="str">
        <f>HYPERLINK("#'Constants - Solid Waste'!A1", "Constants - Solid Waste")</f>
        <v>Constants - Solid Waste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60"/>
  <sheetViews>
    <sheetView showGridLines="0" zoomScaleNormal="100" workbookViewId="0">
      <selection activeCell="A63" sqref="A63"/>
    </sheetView>
  </sheetViews>
  <sheetFormatPr defaultColWidth="9.140625" defaultRowHeight="15.75" x14ac:dyDescent="0.25"/>
  <cols>
    <col min="1" max="1" width="30.7109375" style="4" customWidth="1"/>
    <col min="2" max="2" width="4.7109375" style="31" customWidth="1"/>
    <col min="3" max="3" width="4.7109375" style="34" customWidth="1"/>
    <col min="4" max="4" width="60.7109375" style="34" customWidth="1"/>
    <col min="5" max="5" width="50.7109375" style="34" customWidth="1"/>
    <col min="6" max="11" width="28.7109375" style="34" customWidth="1"/>
    <col min="12" max="25" width="28.7109375" style="31" customWidth="1"/>
    <col min="26" max="27" width="9.140625" style="31"/>
    <col min="28" max="16384" width="9.140625" style="34"/>
  </cols>
  <sheetData>
    <row r="1" spans="1:24" s="31" customFormat="1" ht="30" customHeight="1" x14ac:dyDescent="0.35">
      <c r="A1" s="16" t="e" vm="1">
        <v>#VALUE!</v>
      </c>
      <c r="C1" s="37" t="s">
        <v>87</v>
      </c>
    </row>
    <row r="2" spans="1:24" s="31" customFormat="1" ht="20.100000000000001" customHeight="1" x14ac:dyDescent="0.25">
      <c r="A2"/>
      <c r="C2" s="3"/>
      <c r="D2" s="3"/>
      <c r="E2" s="3"/>
      <c r="F2" s="3"/>
      <c r="G2" s="3"/>
      <c r="H2" s="3"/>
      <c r="I2" s="3"/>
      <c r="J2" s="3"/>
    </row>
    <row r="3" spans="1:24" ht="20.100000000000001" customHeight="1" x14ac:dyDescent="0.25">
      <c r="A3" s="5" t="str">
        <f>HYPERLINK("#'Home'!A1", "Home")</f>
        <v>Home</v>
      </c>
      <c r="C3" s="38"/>
      <c r="D3" s="38"/>
      <c r="E3" s="38"/>
      <c r="F3" s="38"/>
      <c r="G3" s="38"/>
      <c r="H3" s="38"/>
      <c r="I3" s="38"/>
      <c r="J3" s="38"/>
      <c r="K3" s="38"/>
      <c r="M3" s="33"/>
      <c r="N3" s="33"/>
      <c r="O3" s="33"/>
      <c r="P3" s="33"/>
      <c r="Q3" s="33"/>
      <c r="R3" s="33"/>
      <c r="S3" s="33"/>
      <c r="T3" s="33"/>
      <c r="U3" s="33"/>
      <c r="V3" s="33"/>
      <c r="W3" s="33"/>
      <c r="X3" s="33"/>
    </row>
    <row r="4" spans="1:24" ht="20.100000000000001" customHeight="1" x14ac:dyDescent="0.25">
      <c r="A4" s="5" t="str">
        <f>HYPERLINK("#'Overview'!A1", "Overview")</f>
        <v>Overview</v>
      </c>
      <c r="C4" s="39"/>
      <c r="D4" s="39"/>
      <c r="E4" s="39"/>
      <c r="F4" s="39"/>
      <c r="G4" s="39"/>
      <c r="H4" s="39"/>
      <c r="I4" s="39"/>
      <c r="J4" s="39"/>
      <c r="K4" s="39"/>
    </row>
    <row r="5" spans="1:24" ht="20.100000000000001" customHeight="1" x14ac:dyDescent="0.25">
      <c r="A5" s="5" t="str">
        <f>HYPERLINK("#'Results'!A1", "Results")</f>
        <v>Results</v>
      </c>
      <c r="D5" s="2" t="s">
        <v>96</v>
      </c>
      <c r="N5" s="40"/>
    </row>
    <row r="6" spans="1:24" ht="20.100000000000001" customHeight="1" x14ac:dyDescent="0.25">
      <c r="A6"/>
      <c r="N6" s="42"/>
    </row>
    <row r="7" spans="1:24" ht="20.100000000000001" customHeight="1" x14ac:dyDescent="0.25">
      <c r="A7"/>
      <c r="D7" s="52" t="s">
        <v>97</v>
      </c>
      <c r="E7" s="53"/>
      <c r="F7" s="53"/>
      <c r="G7" s="54"/>
    </row>
    <row r="8" spans="1:24" ht="20.100000000000001" customHeight="1" x14ac:dyDescent="0.25">
      <c r="A8" s="7" t="s">
        <v>0</v>
      </c>
      <c r="D8" s="55" t="s">
        <v>98</v>
      </c>
      <c r="E8" s="56"/>
      <c r="F8" s="56"/>
      <c r="G8" s="57"/>
    </row>
    <row r="9" spans="1:24" ht="20.100000000000001" customHeight="1" x14ac:dyDescent="0.25">
      <c r="A9" s="5" t="str">
        <f>HYPERLINK("#'Input - Enterprise'!A1", "Enterprise")</f>
        <v>Enterprise</v>
      </c>
      <c r="D9" s="1"/>
      <c r="E9" s="58"/>
      <c r="F9" s="26"/>
      <c r="N9" s="44"/>
    </row>
    <row r="10" spans="1:24" ht="20.100000000000001" customHeight="1" x14ac:dyDescent="0.25">
      <c r="A10" s="98" t="str">
        <f>HYPERLINK("#'Input - Site'!A1", "Site")</f>
        <v>Site</v>
      </c>
      <c r="D10" s="1" t="s">
        <v>99</v>
      </c>
      <c r="E10" s="23" t="s">
        <v>100</v>
      </c>
      <c r="F10" s="26" t="s">
        <v>101</v>
      </c>
      <c r="N10" s="44"/>
    </row>
    <row r="11" spans="1:24" ht="20.100000000000001" customHeight="1" x14ac:dyDescent="0.25">
      <c r="A11" s="5" t="str">
        <f>HYPERLINK("#'Input - Dairy'!A1", "Dairy")</f>
        <v>Dairy</v>
      </c>
      <c r="D11" s="1" t="s">
        <v>102</v>
      </c>
      <c r="E11" s="23" t="s">
        <v>103</v>
      </c>
      <c r="F11" s="26" t="s">
        <v>101</v>
      </c>
      <c r="G11" s="1"/>
      <c r="N11" s="49"/>
    </row>
    <row r="12" spans="1:24" ht="20.100000000000001" customHeight="1" x14ac:dyDescent="0.25">
      <c r="A12" s="5" t="str">
        <f>HYPERLINK("#'Input - Dairy (Enteric)'!A1", "Dairy (Enteric)")</f>
        <v>Dairy (Enteric)</v>
      </c>
      <c r="D12" s="1" t="s">
        <v>104</v>
      </c>
      <c r="E12" s="23" t="s">
        <v>105</v>
      </c>
      <c r="F12" s="26" t="s">
        <v>101</v>
      </c>
    </row>
    <row r="13" spans="1:24" ht="20.100000000000001" customHeight="1" x14ac:dyDescent="0.25">
      <c r="A13" s="5" t="str">
        <f>HYPERLINK("#'Input - Livestock sales'!A1", "Livestock sales")</f>
        <v>Livestock sales</v>
      </c>
      <c r="D13" s="1" t="s">
        <v>37</v>
      </c>
      <c r="E13" s="43">
        <v>307.7</v>
      </c>
      <c r="F13" s="26" t="s">
        <v>106</v>
      </c>
      <c r="N13" s="51"/>
      <c r="O13" s="51"/>
    </row>
    <row r="14" spans="1:24" ht="20.100000000000001" customHeight="1" x14ac:dyDescent="0.25">
      <c r="A14" s="5" t="str">
        <f>HYPERLINK("#'Input - Dairy cattle purchases'!A1", "Dairy cattle purchases")</f>
        <v>Dairy cattle purchases</v>
      </c>
      <c r="D14" s="1" t="s">
        <v>107</v>
      </c>
      <c r="E14" s="43">
        <v>18</v>
      </c>
      <c r="F14" s="26" t="s">
        <v>108</v>
      </c>
      <c r="N14" s="51"/>
      <c r="O14" s="51"/>
    </row>
    <row r="15" spans="1:24" ht="20.100000000000001" customHeight="1" x14ac:dyDescent="0.25">
      <c r="A15" s="5" t="str">
        <f>HYPERLINK("#'Input - Pasture'!A1", "Pasture")</f>
        <v>Pasture</v>
      </c>
      <c r="D15" s="1" t="s">
        <v>109</v>
      </c>
      <c r="E15" s="43">
        <v>601</v>
      </c>
      <c r="F15" s="26" t="s">
        <v>110</v>
      </c>
      <c r="N15" s="51"/>
      <c r="O15" s="51"/>
    </row>
    <row r="16" spans="1:24" ht="20.100000000000001" customHeight="1" x14ac:dyDescent="0.25">
      <c r="A16" s="5" t="str">
        <f>HYPERLINK("#'Input - Fert Prod System'!A1", "Fert Prod System")</f>
        <v>Fert Prod System</v>
      </c>
      <c r="D16" s="22" t="s">
        <v>111</v>
      </c>
      <c r="E16" s="43">
        <v>1326</v>
      </c>
      <c r="F16" s="26" t="s">
        <v>110</v>
      </c>
      <c r="N16" s="51"/>
      <c r="O16" s="51"/>
    </row>
    <row r="17" spans="1:25" ht="20.100000000000001" customHeight="1" x14ac:dyDescent="0.25">
      <c r="A17" s="5" t="str">
        <f>HYPERLINK("#'Input - Fertiliser'!A1", "Fertiliser")</f>
        <v>Fertiliser</v>
      </c>
      <c r="D17" s="1" t="s">
        <v>112</v>
      </c>
      <c r="E17" s="43">
        <v>7</v>
      </c>
      <c r="F17" s="26" t="s">
        <v>113</v>
      </c>
    </row>
    <row r="18" spans="1:25" ht="20.100000000000001" customHeight="1" x14ac:dyDescent="0.25">
      <c r="A18" s="5" t="str">
        <f>HYPERLINK("#'Input - Fuel'!A1", "Fuel")</f>
        <v>Fuel</v>
      </c>
      <c r="D18" s="22" t="s">
        <v>114</v>
      </c>
      <c r="E18" s="25">
        <f>E15/E16</f>
        <v>0.45324283559577677</v>
      </c>
      <c r="F18" s="26"/>
    </row>
    <row r="19" spans="1:25" ht="20.100000000000001" customHeight="1" x14ac:dyDescent="0.25">
      <c r="A19" s="5" t="str">
        <f>HYPERLINK("#'Input - Electricity'!A1", "Electricity")</f>
        <v>Electricity</v>
      </c>
      <c r="D19" s="22" t="s">
        <v>65</v>
      </c>
      <c r="E19" s="25" t="str">
        <f>Common_InputFunctions.Utility_LookupItemFromMinMax(E15,Table_SourceData_RainfallZones[Min rainfall],Table_SourceData_RainfallZones[Max rainfall],Table_SourceData_RainfallZones[Rainfall Zone])</f>
        <v>High rainfall</v>
      </c>
      <c r="G19" s="59"/>
      <c r="N19" s="40"/>
    </row>
    <row r="20" spans="1:25" ht="20.100000000000001" customHeight="1" x14ac:dyDescent="0.25">
      <c r="A20" s="5" t="str">
        <f>HYPERLINK("#'Input - Farm Inputs'!A1", "Farm Inputs")</f>
        <v>Farm Inputs</v>
      </c>
      <c r="D20" s="1" t="s">
        <v>32</v>
      </c>
      <c r="E20" s="2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8"/>
      <c r="N20" s="42"/>
    </row>
    <row r="21" spans="1:25" ht="20.100000000000001" customHeight="1" x14ac:dyDescent="0.25">
      <c r="A21" s="5" t="str">
        <f>HYPERLINK("#'Input - Freight'!A1", "Freight")</f>
        <v>Freight</v>
      </c>
      <c r="D21" s="1" t="s">
        <v>115</v>
      </c>
      <c r="E21" s="25" t="str">
        <f>Common_InputFunctions.Utility_LookupValueInTable($E$20,Table_SourceData_WetDryZones[Climate zone],Table_SourceData_WetDryZones[Wet or Dry Zone])</f>
        <v>Dry climate zone</v>
      </c>
      <c r="F21" s="1"/>
      <c r="G21" s="58"/>
    </row>
    <row r="22" spans="1:25" ht="20.100000000000001" customHeight="1" x14ac:dyDescent="0.25">
      <c r="A22" s="5" t="str">
        <f>HYPERLINK("#'Input - Manure sent off-site'!A1", "Manure sent off-site")</f>
        <v>Manure sent off-site</v>
      </c>
      <c r="D22" s="1" t="s">
        <v>69</v>
      </c>
      <c r="E22" s="25" t="str">
        <f>Common_InputFunctions.Utility_LookupItemFromMinMax(E14,Table_SourceData_TemperatureZones[Min MAT],Table_SourceData_TemperatureZones[Max MAT],Table_SourceData_TemperatureZones[Temperature Zone])</f>
        <v>Temperate</v>
      </c>
      <c r="G22" s="62"/>
    </row>
    <row r="23" spans="1:25" ht="20.100000000000001" customHeight="1" x14ac:dyDescent="0.25">
      <c r="A23" s="5" t="str">
        <f>HYPERLINK("#'Input - Solid waste'!A1", "Solid waste")</f>
        <v>Solid waste</v>
      </c>
    </row>
    <row r="24" spans="1:25" ht="20.100000000000001" customHeight="1" x14ac:dyDescent="0.25">
      <c r="A24" s="5" t="str">
        <f>HYPERLINK("#'Input - Data quality'!A1", "Data quality")</f>
        <v>Data quality</v>
      </c>
    </row>
    <row r="25" spans="1:25" ht="20.100000000000001" customHeight="1" x14ac:dyDescent="0.25">
      <c r="A25"/>
      <c r="N25" s="42"/>
    </row>
    <row r="26" spans="1:25" ht="20.100000000000001" customHeight="1" x14ac:dyDescent="0.25">
      <c r="A26"/>
    </row>
    <row r="27" spans="1:25" ht="20.100000000000001" customHeight="1" x14ac:dyDescent="0.25">
      <c r="A27" s="6" t="s">
        <v>2</v>
      </c>
    </row>
    <row r="28" spans="1:25" ht="20.100000000000001" customHeight="1" x14ac:dyDescent="0.25">
      <c r="A28" s="5" t="str">
        <f>HYPERLINK("#'5.1.1.1-2 Inorganic fert N2O'!A1", "5.1.1.1-2 Inorganic fert N2O")</f>
        <v>5.1.1.1-2 Inorganic fert N2O</v>
      </c>
    </row>
    <row r="29" spans="1:25" ht="20.100000000000001" customHeight="1" x14ac:dyDescent="0.25">
      <c r="A29" s="5" t="str">
        <f>HYPERLINK("#'5.1.1.3-4 Inorganic fert CO2'!A1", "5.1.1.3-4 Inorganic fert CO2")</f>
        <v>5.1.1.3-4 Inorganic fert CO2</v>
      </c>
    </row>
    <row r="30" spans="1:25" ht="20.100000000000001" customHeight="1" x14ac:dyDescent="0.25">
      <c r="A30" s="5" t="str">
        <f>HYPERLINK("#'5.2.1.1-2 Organic Fert N2O'!A1", "5.2.1.1-2 Organic fert N2O")</f>
        <v>5.2.1.1-2 Organic fert N2O</v>
      </c>
      <c r="L30" s="60"/>
      <c r="M30" s="60"/>
      <c r="N30" s="60"/>
      <c r="O30" s="60"/>
      <c r="P30" s="60"/>
      <c r="Q30" s="60"/>
      <c r="R30" s="60"/>
      <c r="S30" s="60"/>
      <c r="T30" s="60"/>
      <c r="U30" s="60"/>
      <c r="V30" s="60"/>
      <c r="W30" s="60"/>
      <c r="X30" s="60"/>
      <c r="Y30" s="60"/>
    </row>
    <row r="31" spans="1:25" ht="20.100000000000001" customHeight="1" x14ac:dyDescent="0.25">
      <c r="A31" s="5" t="str">
        <f>HYPERLINK("#'5.3.1.1-2 Lime CO2'!A1", "5.3.1.1-2 Lime CO2")</f>
        <v>5.3.1.1-2 Lime CO2</v>
      </c>
      <c r="L31" s="61"/>
      <c r="M31" s="61"/>
      <c r="N31" s="61"/>
      <c r="O31" s="61"/>
      <c r="P31" s="61"/>
      <c r="Q31" s="61"/>
      <c r="R31" s="61"/>
      <c r="S31" s="61"/>
      <c r="T31" s="61"/>
      <c r="U31" s="61"/>
      <c r="V31" s="61"/>
      <c r="W31" s="61"/>
      <c r="X31" s="61"/>
      <c r="Y31" s="61"/>
    </row>
    <row r="32" spans="1:25" ht="20.100000000000001" customHeight="1" x14ac:dyDescent="0.25">
      <c r="A32" s="5" t="str">
        <f>HYPERLINK("#'5.4.1.1-4 Atmos deposition'!A1", "5.4.1.1-4 Atmos. deposition")</f>
        <v>5.4.1.1-4 Atmos. deposition</v>
      </c>
      <c r="L32" s="61"/>
      <c r="M32" s="61"/>
      <c r="N32" s="61"/>
      <c r="O32" s="61"/>
      <c r="P32" s="61"/>
      <c r="Q32" s="61"/>
      <c r="R32" s="61"/>
      <c r="S32" s="61"/>
      <c r="T32" s="61"/>
      <c r="U32" s="61"/>
      <c r="V32" s="61"/>
      <c r="W32" s="61"/>
      <c r="X32" s="61"/>
      <c r="Y32" s="61"/>
    </row>
    <row r="33" spans="1:25" ht="20.100000000000001" customHeight="1" x14ac:dyDescent="0.25">
      <c r="A33" s="5" t="str">
        <f>HYPERLINK("#'5.5.1.1-2 Leaching and runoff'!A1", "5.5.1.1-2 Leaching &amp; runoff")</f>
        <v>5.5.1.1-2 Leaching &amp; runoff</v>
      </c>
      <c r="L33" s="61"/>
      <c r="M33" s="61"/>
      <c r="N33" s="61"/>
      <c r="O33" s="61"/>
      <c r="P33" s="61"/>
      <c r="Q33" s="61"/>
      <c r="R33" s="61"/>
      <c r="S33" s="61"/>
      <c r="T33" s="61"/>
      <c r="U33" s="61"/>
      <c r="V33" s="61"/>
      <c r="W33" s="61"/>
      <c r="X33" s="61"/>
      <c r="Y33" s="61"/>
    </row>
    <row r="34" spans="1:25" ht="20.100000000000001" customHeight="1" x14ac:dyDescent="0.25">
      <c r="A34" s="5" t="str">
        <f>HYPERLINK("#'6.2.1.1-2 Pasture residue N2O'!A1", "6.2.1.1-2 Pasture residue N2O")</f>
        <v>6.2.1.1-2 Pasture residue N2O</v>
      </c>
      <c r="J34" s="63"/>
      <c r="K34" s="64"/>
      <c r="L34" s="61"/>
      <c r="M34" s="61"/>
      <c r="N34" s="61"/>
      <c r="O34" s="61"/>
      <c r="P34" s="61"/>
      <c r="Q34" s="61"/>
      <c r="R34" s="61"/>
      <c r="S34" s="61"/>
      <c r="T34" s="61"/>
      <c r="U34" s="61"/>
      <c r="V34" s="61"/>
      <c r="W34" s="61"/>
      <c r="X34" s="61"/>
      <c r="Y34" s="61"/>
    </row>
    <row r="35" spans="1:25" ht="20.100000000000001" customHeight="1" x14ac:dyDescent="0.25">
      <c r="A35" s="5" t="str">
        <f>HYPERLINK("#'6.3.1.1-2 Leach runoff pasture'!A1", "6.3.1.1-2 Leach &amp; runoff (pasture)")</f>
        <v>6.3.1.1-2 Leach &amp; runoff (pasture)</v>
      </c>
      <c r="J35" s="63"/>
      <c r="K35" s="64"/>
      <c r="L35" s="61"/>
      <c r="M35" s="61"/>
      <c r="N35" s="61"/>
      <c r="O35" s="61"/>
      <c r="P35" s="61"/>
      <c r="Q35" s="61"/>
      <c r="R35" s="61"/>
      <c r="S35" s="61"/>
      <c r="T35" s="61"/>
      <c r="U35" s="61"/>
      <c r="V35" s="61"/>
      <c r="W35" s="61"/>
      <c r="X35" s="61"/>
      <c r="Y35" s="61"/>
    </row>
    <row r="36" spans="1:25" ht="20.100000000000001" customHeight="1" x14ac:dyDescent="0.25">
      <c r="A36" s="5" t="str">
        <f>HYPERLINK("#'8.1.1.1-2 Transport fuel'!A1", "8.1.1.1-2 Transport fuel")</f>
        <v>8.1.1.1-2 Transport fuel</v>
      </c>
      <c r="D36" s="65"/>
      <c r="E36" s="65"/>
      <c r="F36" s="66"/>
      <c r="G36" s="63"/>
      <c r="H36" s="63"/>
      <c r="I36" s="67"/>
      <c r="J36" s="63"/>
      <c r="K36" s="64"/>
      <c r="L36" s="61"/>
      <c r="M36" s="61"/>
      <c r="N36" s="61"/>
      <c r="O36" s="61"/>
      <c r="P36" s="61"/>
      <c r="Q36" s="61"/>
      <c r="R36" s="61"/>
      <c r="S36" s="61"/>
      <c r="T36" s="61"/>
      <c r="U36" s="61"/>
      <c r="V36" s="61"/>
      <c r="W36" s="61"/>
      <c r="X36" s="61"/>
      <c r="Y36" s="61"/>
    </row>
    <row r="37" spans="1:25" ht="20.100000000000001" customHeight="1" x14ac:dyDescent="0.25">
      <c r="A37" s="5" t="str">
        <f>HYPERLINK("#'8.2.1.1-2 Stationary fuel'!A1", "8.2.1.1-2 Stationary fuel")</f>
        <v>8.2.1.1-2 Stationary fuel</v>
      </c>
      <c r="D37" s="65"/>
      <c r="E37" s="65"/>
      <c r="F37" s="66"/>
      <c r="G37" s="63"/>
      <c r="H37" s="63"/>
      <c r="I37" s="67"/>
      <c r="J37" s="63"/>
      <c r="K37" s="64"/>
      <c r="L37" s="61"/>
      <c r="M37" s="61"/>
      <c r="N37" s="61"/>
      <c r="O37" s="61"/>
      <c r="P37" s="61"/>
      <c r="Q37" s="61"/>
      <c r="R37" s="61"/>
      <c r="S37" s="61"/>
      <c r="T37" s="61"/>
      <c r="U37" s="61"/>
      <c r="V37" s="61"/>
      <c r="W37" s="61"/>
      <c r="X37" s="61"/>
      <c r="Y37" s="61"/>
    </row>
    <row r="38" spans="1:25" ht="20.100000000000001" customHeight="1" x14ac:dyDescent="0.25">
      <c r="A38" s="5" t="str">
        <f>HYPERLINK("#'14.1.1-2 Purchased electricity'!A1", "14.1.1-2 Purchased electricity")</f>
        <v>14.1.1-2 Purchased electricity</v>
      </c>
      <c r="D38" s="65"/>
      <c r="E38" s="65"/>
      <c r="F38" s="66"/>
      <c r="G38" s="63"/>
      <c r="H38" s="63"/>
      <c r="I38" s="67"/>
      <c r="J38" s="63"/>
      <c r="K38" s="64"/>
      <c r="L38" s="61"/>
      <c r="M38" s="61"/>
      <c r="N38" s="61"/>
      <c r="O38" s="61"/>
      <c r="P38" s="61"/>
      <c r="Q38" s="61"/>
      <c r="R38" s="61"/>
      <c r="S38" s="61"/>
      <c r="T38" s="61"/>
      <c r="U38" s="61"/>
      <c r="V38" s="61"/>
      <c r="W38" s="61"/>
      <c r="X38" s="61"/>
      <c r="Y38" s="61"/>
    </row>
    <row r="39" spans="1:25" ht="20.100000000000001" customHeight="1" x14ac:dyDescent="0.25">
      <c r="A39" s="5" t="str">
        <f>HYPERLINK("#'15 Scope 3'!A1", "15 Scope 3")</f>
        <v>15 Scope 3</v>
      </c>
      <c r="D39" s="65"/>
      <c r="E39" s="65"/>
      <c r="F39" s="66"/>
      <c r="G39" s="63"/>
      <c r="H39" s="63"/>
      <c r="I39" s="67"/>
      <c r="J39" s="63"/>
      <c r="K39" s="64"/>
      <c r="L39" s="61"/>
      <c r="M39" s="61"/>
      <c r="N39" s="61"/>
      <c r="O39" s="61"/>
      <c r="P39" s="61"/>
      <c r="Q39" s="61"/>
      <c r="R39" s="61"/>
      <c r="S39" s="61"/>
      <c r="T39" s="61"/>
      <c r="U39" s="61"/>
      <c r="V39" s="61"/>
      <c r="W39" s="61"/>
      <c r="X39" s="61"/>
      <c r="Y39" s="61"/>
    </row>
    <row r="40" spans="1:25" ht="20.100000000000001" customHeight="1" x14ac:dyDescent="0.25">
      <c r="A40" s="5" t="str">
        <f>HYPERLINK("#'Calcs - Manure sent off-site'!A1", "Calcs - Manure sent off-site")</f>
        <v>Calcs - Manure sent off-site</v>
      </c>
      <c r="D40" s="68"/>
      <c r="E40" s="68"/>
      <c r="F40" s="68"/>
      <c r="G40" s="69"/>
      <c r="H40" s="70"/>
      <c r="I40" s="70"/>
      <c r="J40" s="70"/>
      <c r="K40" s="70"/>
      <c r="L40" s="71"/>
      <c r="M40" s="71"/>
      <c r="N40" s="71"/>
      <c r="O40" s="71"/>
      <c r="P40" s="71"/>
      <c r="Q40" s="71"/>
      <c r="R40" s="71"/>
      <c r="S40" s="71"/>
      <c r="T40" s="71"/>
      <c r="U40" s="71"/>
      <c r="V40" s="71"/>
      <c r="W40" s="71"/>
      <c r="X40" s="71"/>
      <c r="Y40" s="71"/>
    </row>
    <row r="41" spans="1:25" ht="20.100000000000001" customHeight="1" x14ac:dyDescent="0.25">
      <c r="A41" s="5" t="str">
        <f>HYPERLINK("#'4.3.1.1-2 Methane'!A1", "4.3.1.1-2 Methane")</f>
        <v>4.3.1.1-2 Methane</v>
      </c>
    </row>
    <row r="42" spans="1:25" ht="20.100000000000001" customHeight="1" x14ac:dyDescent="0.25">
      <c r="A42" s="5" t="str">
        <f>HYPERLINK("#'4.3.1.3-4 Direct N20'!A1", "4.3.1.3-4 Direct N20")</f>
        <v>4.3.1.3-4 Direct N20</v>
      </c>
    </row>
    <row r="43" spans="1:25" ht="20.100000000000001" customHeight="1" x14ac:dyDescent="0.25">
      <c r="A43" s="5" t="str">
        <f>HYPERLINK("#'4.3.1.5 Atmos deposition'!A1", "4.3.1.5 Atmos deposition")</f>
        <v>4.3.1.5 Atmos deposition</v>
      </c>
    </row>
    <row r="44" spans="1:25" ht="20.100000000000001" customHeight="1" x14ac:dyDescent="0.25">
      <c r="A44" s="5" t="str">
        <f>HYPERLINK("#'4.3.1.6-7 Leaching and runoff'!A1", "4.3.1.6-7 Leaching and runoff")</f>
        <v>4.3.1.6-7 Leaching and runoff</v>
      </c>
    </row>
    <row r="45" spans="1:25" ht="20.100000000000001" customHeight="1" x14ac:dyDescent="0.25">
      <c r="A45" s="5" t="str">
        <f>HYPERLINK("#'4.3.1.8 Manure applied to soils'!A1", "4.3.1.8 Manure applied to soils")</f>
        <v>4.3.1.8 Manure applied to soils</v>
      </c>
      <c r="D45" s="2"/>
    </row>
    <row r="46" spans="1:25" ht="20.100000000000001" customHeight="1" x14ac:dyDescent="0.25">
      <c r="A46" s="5" t="str">
        <f>HYPERLINK("#'4.3.1.9 Soil direct N2O'!A1", "4.3.1.9 Soil direct N2O")</f>
        <v>4.3.1.9 Soil direct N2O</v>
      </c>
      <c r="D46" s="2"/>
    </row>
    <row r="47" spans="1:25" ht="20.100000000000001" customHeight="1" x14ac:dyDescent="0.25">
      <c r="A47" s="5" t="str">
        <f>HYPERLINK("#'4.3.1.10-11 Soil Atmos Dep'!A1", "4.3.1.10-11 Soil Atmos Dep")</f>
        <v>4.3.1.10-11 Soil Atmos Dep</v>
      </c>
      <c r="D47" s="72"/>
      <c r="E47" s="72"/>
      <c r="F47" s="72"/>
      <c r="G47" s="72"/>
      <c r="H47" s="72"/>
    </row>
    <row r="48" spans="1:25" ht="20.100000000000001" customHeight="1" x14ac:dyDescent="0.25">
      <c r="A48" s="5" t="str">
        <f>HYPERLINK("#'4.3.1.12-13 Soil leach runoff'!A1", "4.3.1.12-13 Soil leach runoff")</f>
        <v>4.3.1.12-13 Soil leach runoff</v>
      </c>
      <c r="D48" s="73"/>
      <c r="E48" s="73"/>
      <c r="F48" s="74"/>
      <c r="G48" s="74"/>
      <c r="H48" s="73"/>
    </row>
    <row r="49" spans="1:8" ht="20.100000000000001" customHeight="1" x14ac:dyDescent="0.25">
      <c r="A49" s="5" t="str">
        <f>HYPERLINK("#'3.3.1.1-2 Enteric Methane'!A1", "3.3.1.1-2 Enteric Methane")</f>
        <v>3.3.1.1-2 Enteric Methane</v>
      </c>
      <c r="D49" s="73"/>
      <c r="E49" s="73"/>
      <c r="F49" s="74"/>
      <c r="G49" s="74"/>
      <c r="H49" s="73"/>
    </row>
    <row r="50" spans="1:8" ht="20.100000000000001" customHeight="1" x14ac:dyDescent="0.25">
      <c r="A50" s="5" t="str">
        <f>HYPERLINK("#'10.1.1-2 Solid waste treatment'!A1", "10.1.1-2 Solid waste treatment")</f>
        <v>10.1.1-2 Solid waste treatment</v>
      </c>
      <c r="D50" s="73"/>
      <c r="E50" s="73"/>
      <c r="F50" s="74"/>
      <c r="G50" s="74"/>
      <c r="H50" s="73"/>
    </row>
    <row r="51" spans="1:8" ht="20.100000000000001" customHeight="1" x14ac:dyDescent="0.25">
      <c r="A51"/>
      <c r="D51" s="75"/>
      <c r="E51" s="76"/>
      <c r="F51" s="76"/>
      <c r="G51" s="76"/>
      <c r="H51" s="77"/>
    </row>
    <row r="52" spans="1:8" ht="20.100000000000001" customHeight="1" x14ac:dyDescent="0.25">
      <c r="A52"/>
    </row>
    <row r="53" spans="1:8" ht="20.100000000000001" customHeight="1" x14ac:dyDescent="0.25">
      <c r="A53" s="100" t="s">
        <v>1</v>
      </c>
    </row>
    <row r="54" spans="1:8" ht="20.100000000000001" customHeight="1" x14ac:dyDescent="0.25">
      <c r="A54" s="5" t="str">
        <f>HYPERLINK("#'Constants - Dairy'!A1", "Constants - Dairy")</f>
        <v>Constants - Dairy</v>
      </c>
      <c r="G54" s="78"/>
    </row>
    <row r="55" spans="1:8" ht="20.100000000000001" customHeight="1" x14ac:dyDescent="0.25">
      <c r="A55" s="5" t="str">
        <f>HYPERLINK("#'Constants - Ag Residue'!A1", "Constants - Ag residue")</f>
        <v>Constants - Ag residue</v>
      </c>
      <c r="D55" s="2"/>
    </row>
    <row r="56" spans="1:8" ht="20.100000000000001" customHeight="1" x14ac:dyDescent="0.25">
      <c r="A56" s="5" t="str">
        <f>HYPERLINK("#'Constants - Common Livestock'!A1", "Constants - Common Livestock")</f>
        <v>Constants - Common Livestock</v>
      </c>
    </row>
    <row r="57" spans="1:8" ht="20.100000000000001" customHeight="1" x14ac:dyDescent="0.25">
      <c r="A57" s="5" t="str">
        <f>HYPERLINK("#'Constants - Electricity'!A1", "Constants - Electricity")</f>
        <v>Constants - Electricity</v>
      </c>
      <c r="D57" s="79"/>
      <c r="F57" s="80"/>
    </row>
    <row r="58" spans="1:8" ht="20.100000000000001" customHeight="1" x14ac:dyDescent="0.25">
      <c r="A58" s="5" t="str">
        <f>HYPERLINK("#'Constants - Fertiliser'!A1", "Constants - Fertiliser")</f>
        <v>Constants - Fertiliser</v>
      </c>
      <c r="D58" s="1"/>
      <c r="E58" s="81"/>
    </row>
    <row r="59" spans="1:8" ht="20.100000000000001" customHeight="1" x14ac:dyDescent="0.25">
      <c r="A59" s="5" t="str">
        <f>HYPERLINK("#'Constants - Fuel'!A1", "Constants - Fuel")</f>
        <v>Constants - Fuel</v>
      </c>
      <c r="D59" s="1"/>
      <c r="E59" s="81"/>
    </row>
    <row r="60" spans="1:8" ht="20.100000000000001" customHeight="1" x14ac:dyDescent="0.25">
      <c r="A60" s="5" t="str">
        <f>HYPERLINK("#'Constants - Scope 3'!A1", "Constants - Scope 3")</f>
        <v>Constants - Scope 3</v>
      </c>
      <c r="D60" s="1"/>
      <c r="E60" s="82"/>
    </row>
    <row r="61" spans="1:8" ht="20.100000000000001" customHeight="1" x14ac:dyDescent="0.25">
      <c r="A61" s="5" t="str">
        <f>HYPERLINK("#'Constants - Common'!A1", "Constants - Common")</f>
        <v>Constants - Common</v>
      </c>
      <c r="D61" s="1"/>
    </row>
    <row r="62" spans="1:8" ht="20.100000000000001" customHeight="1" x14ac:dyDescent="0.25">
      <c r="A62" s="5" t="str">
        <f>HYPERLINK("#'Acknowledgements'!A1", "Acknowledgements")</f>
        <v>Acknowledgements</v>
      </c>
    </row>
    <row r="63" spans="1:8" ht="20.100000000000001" customHeight="1" x14ac:dyDescent="0.25">
      <c r="A63" s="5" t="str">
        <f>HYPERLINK("#'Constants - Solid Waste'!A1", "Constants - Solid Waste")</f>
        <v>Constants - Solid Waste</v>
      </c>
      <c r="D63" s="79"/>
    </row>
    <row r="64" spans="1:8" ht="20.100000000000001" customHeight="1" x14ac:dyDescent="0.25">
      <c r="A64"/>
      <c r="D64" s="1"/>
      <c r="E64" s="81"/>
    </row>
    <row r="65" spans="1:9" ht="20.100000000000001" customHeight="1" x14ac:dyDescent="0.25">
      <c r="A65"/>
      <c r="D65" s="1"/>
      <c r="E65" s="81"/>
    </row>
    <row r="66" spans="1:9" ht="20.100000000000001" customHeight="1" x14ac:dyDescent="0.25">
      <c r="A66"/>
      <c r="D66" s="1"/>
      <c r="E66" s="82"/>
    </row>
    <row r="67" spans="1:9" ht="20.100000000000001" customHeight="1" x14ac:dyDescent="0.25">
      <c r="A67"/>
    </row>
    <row r="68" spans="1:9" ht="20.100000000000001" customHeight="1" x14ac:dyDescent="0.25">
      <c r="A68"/>
    </row>
    <row r="69" spans="1:9" ht="20.100000000000001" customHeight="1" x14ac:dyDescent="0.25">
      <c r="A69"/>
      <c r="D69" s="83"/>
      <c r="E69" s="83"/>
      <c r="F69" s="83"/>
      <c r="G69" s="83"/>
      <c r="H69" s="83"/>
      <c r="I69" s="83"/>
    </row>
    <row r="70" spans="1:9" ht="20.100000000000001" customHeight="1" x14ac:dyDescent="0.25">
      <c r="A70"/>
      <c r="D70" s="83"/>
      <c r="E70" s="83"/>
      <c r="F70" s="83"/>
      <c r="G70" s="83"/>
      <c r="H70" s="83"/>
      <c r="I70" s="83"/>
    </row>
    <row r="71" spans="1:9" ht="20.100000000000001" customHeight="1" x14ac:dyDescent="0.25">
      <c r="A71"/>
      <c r="D71" s="83"/>
      <c r="E71" s="83"/>
      <c r="F71" s="83"/>
      <c r="G71" s="83"/>
      <c r="H71" s="83"/>
      <c r="I71" s="83"/>
    </row>
    <row r="72" spans="1:9" ht="20.100000000000001" customHeight="1" x14ac:dyDescent="0.25">
      <c r="A72"/>
      <c r="D72" s="83"/>
      <c r="E72" s="83"/>
      <c r="F72" s="83"/>
      <c r="G72" s="83"/>
      <c r="H72" s="83"/>
      <c r="I72" s="83"/>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4"/>
    </row>
    <row r="79" spans="1:9" ht="20.100000000000001" customHeight="1" x14ac:dyDescent="0.25">
      <c r="A79"/>
      <c r="D79" s="84"/>
    </row>
    <row r="80" spans="1:9" ht="20.100000000000001" customHeight="1" x14ac:dyDescent="0.25">
      <c r="A80"/>
      <c r="D80" s="84"/>
    </row>
    <row r="81" spans="1:4" ht="20.100000000000001" customHeight="1" x14ac:dyDescent="0.25">
      <c r="A81"/>
      <c r="D81" s="84"/>
    </row>
    <row r="82" spans="1:4" ht="20.100000000000001" customHeight="1" x14ac:dyDescent="0.25">
      <c r="A82"/>
      <c r="D82" s="84"/>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A58CF-389C-4719-A47C-41444BB66C2C}">
  <dimension ref="A1:X178"/>
  <sheetViews>
    <sheetView showGridLines="0" topLeftCell="D58"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96" customWidth="1"/>
    <col min="18" max="23" width="30.7109375" style="96" customWidth="1"/>
    <col min="24" max="24" width="4.7109375" style="96" customWidth="1"/>
  </cols>
  <sheetData>
    <row r="1" spans="1:24" s="16" customFormat="1" ht="30" customHeight="1" x14ac:dyDescent="0.35">
      <c r="A1" s="16" t="e" vm="1">
        <v>#VALUE!</v>
      </c>
      <c r="C1" s="16" t="s">
        <v>209</v>
      </c>
      <c r="P1" s="96"/>
      <c r="Q1" s="96"/>
      <c r="R1" s="96"/>
      <c r="S1" s="96"/>
      <c r="T1" s="96"/>
      <c r="U1" s="96"/>
      <c r="V1" s="96"/>
      <c r="W1" s="96"/>
      <c r="X1" s="96"/>
    </row>
    <row r="2" spans="1:24" s="3" customFormat="1" ht="20.100000000000001" customHeight="1" x14ac:dyDescent="0.25">
      <c r="A2"/>
      <c r="P2" s="96"/>
      <c r="Q2" s="96"/>
      <c r="R2" s="96"/>
      <c r="S2" s="96"/>
      <c r="T2" s="96"/>
      <c r="U2" s="96"/>
      <c r="V2" s="96"/>
      <c r="W2" s="96"/>
      <c r="X2" s="96"/>
    </row>
    <row r="3" spans="1:24" ht="20.100000000000001" customHeight="1" x14ac:dyDescent="0.25">
      <c r="A3" s="5" t="str">
        <f>HYPERLINK("#'Home'!A1", "Home")</f>
        <v>Home</v>
      </c>
      <c r="C3" s="38"/>
      <c r="D3" s="38"/>
      <c r="E3" s="38"/>
      <c r="F3" s="38"/>
      <c r="G3" s="38"/>
      <c r="H3" s="38"/>
      <c r="I3" s="38"/>
      <c r="J3" s="38"/>
      <c r="K3" s="38"/>
      <c r="L3" s="38"/>
      <c r="M3" s="38"/>
      <c r="N3" s="38"/>
      <c r="O3" s="38"/>
    </row>
    <row r="4" spans="1:24" ht="20.100000000000001" customHeight="1" x14ac:dyDescent="0.25">
      <c r="A4" s="5" t="str">
        <f>HYPERLINK("#'Overview'!A1", "Overview")</f>
        <v>Overview</v>
      </c>
    </row>
    <row r="5" spans="1:24" ht="20.100000000000001" customHeight="1" x14ac:dyDescent="0.25">
      <c r="A5" s="5" t="str">
        <f>HYPERLINK("#'Results'!A1", "Results")</f>
        <v>Results</v>
      </c>
      <c r="D5" s="2" t="s">
        <v>210</v>
      </c>
      <c r="O5" s="34"/>
      <c r="S5" s="31"/>
    </row>
    <row r="6" spans="1:24" ht="20.100000000000001" customHeight="1" x14ac:dyDescent="0.25">
      <c r="O6" s="34"/>
      <c r="S6" s="31"/>
    </row>
    <row r="7" spans="1:24" ht="20.100000000000001" customHeight="1" x14ac:dyDescent="0.25">
      <c r="D7" s="1" t="s">
        <v>211</v>
      </c>
      <c r="E7" s="23" t="s">
        <v>212</v>
      </c>
      <c r="F7" s="26" t="s">
        <v>101</v>
      </c>
      <c r="O7" s="34"/>
      <c r="S7" s="31"/>
    </row>
    <row r="8" spans="1:24" ht="20.100000000000001" customHeight="1" x14ac:dyDescent="0.25">
      <c r="A8" s="7" t="s">
        <v>0</v>
      </c>
      <c r="O8" s="34"/>
      <c r="S8" s="31"/>
    </row>
    <row r="9" spans="1:24" ht="20.100000000000001" customHeight="1" x14ac:dyDescent="0.25">
      <c r="A9" s="5" t="str">
        <f>HYPERLINK("#'Input - Enterprise'!A1", "Enterprise")</f>
        <v>Enterprise</v>
      </c>
      <c r="D9" s="97"/>
      <c r="E9" s="94" t="s">
        <v>213</v>
      </c>
      <c r="F9" s="94" t="s">
        <v>214</v>
      </c>
      <c r="G9" s="94" t="s">
        <v>215</v>
      </c>
      <c r="H9" s="94" t="s">
        <v>216</v>
      </c>
      <c r="I9" s="94" t="s">
        <v>217</v>
      </c>
      <c r="S9" s="31"/>
    </row>
    <row r="10" spans="1:24" ht="20.100000000000001" customHeight="1" x14ac:dyDescent="0.25">
      <c r="A10" s="5" t="str">
        <f>HYPERLINK("#'Input - Site'!A1", "Site")</f>
        <v>Site</v>
      </c>
      <c r="D10" s="1" t="str">
        <f>"Average number of head between " &amp; TEXT(X_Cell_Site_StartDate, "dd mmm yy") &amp; " and " &amp; TEXT(X_Cell_Site_EndDate, "dd mmm yy")</f>
        <v>Average number of head between 01 Jan 24 and 31 Dec 24</v>
      </c>
      <c r="E10" s="99">
        <v>100</v>
      </c>
      <c r="F10" s="99">
        <v>100</v>
      </c>
      <c r="G10" s="99">
        <v>100</v>
      </c>
      <c r="H10" s="99">
        <v>100</v>
      </c>
      <c r="I10" s="99">
        <v>100</v>
      </c>
      <c r="J10" s="26" t="s">
        <v>218</v>
      </c>
      <c r="K10" s="26"/>
      <c r="L10" s="26"/>
      <c r="M10" s="26"/>
      <c r="N10" s="26"/>
      <c r="S10" s="31"/>
    </row>
    <row r="11" spans="1:24" ht="20.100000000000001" customHeight="1" x14ac:dyDescent="0.25">
      <c r="A11" s="98" t="str">
        <f>HYPERLINK("#'Input - Dairy'!A1", "Dairy")</f>
        <v>Dairy</v>
      </c>
      <c r="S11" s="31"/>
    </row>
    <row r="12" spans="1:24" ht="20.100000000000001" customHeight="1" x14ac:dyDescent="0.25">
      <c r="A12" s="5" t="str">
        <f>HYPERLINK("#'Input - Dairy (Enteric)'!A1", "Dairy (Enteric)")</f>
        <v>Dairy (Enteric)</v>
      </c>
      <c r="D12" s="90" t="s">
        <v>219</v>
      </c>
      <c r="S12" s="31"/>
    </row>
    <row r="13" spans="1:24" ht="20.100000000000001" customHeight="1" x14ac:dyDescent="0.25">
      <c r="A13" s="5" t="str">
        <f>HYPERLINK("#'Input - Livestock sales'!A1", "Livestock sales")</f>
        <v>Livestock sales</v>
      </c>
      <c r="D13" s="97" t="s">
        <v>220</v>
      </c>
      <c r="E13" s="94" t="s">
        <v>213</v>
      </c>
      <c r="F13" s="94" t="s">
        <v>214</v>
      </c>
      <c r="G13" s="94" t="s">
        <v>215</v>
      </c>
      <c r="H13" s="94" t="s">
        <v>216</v>
      </c>
      <c r="I13" s="94" t="s">
        <v>217</v>
      </c>
      <c r="S13" s="51"/>
    </row>
    <row r="14" spans="1:24" ht="20.100000000000001" customHeight="1" x14ac:dyDescent="0.25">
      <c r="A14" s="5" t="str">
        <f>HYPERLINK("#'Input - Dairy cattle purchases'!A1", "Dairy cattle purchases")</f>
        <v>Dairy cattle purchases</v>
      </c>
      <c r="D14" s="1" t="s">
        <v>221</v>
      </c>
      <c r="E14" s="25">
        <f>Common_InputFunctions.Utility_LookupValueInTableNumber(X_Cell_Dairy_Breed, Table_SourceData_Dairy_WjCowsHeifers[Breed],Table_SourceData_Dairy_WjCowsHeifers[Milking cows])</f>
        <v>550</v>
      </c>
      <c r="F14" s="25">
        <f>Common_InputFunctions.Utility_LookupValueInTableNumber(X_Cell_Dairy_Breed, Table_SourceData_Dairy_WjCowsHeifers[Breed],Table_SourceData_Dairy_WjCowsHeifers[Heifers &gt; 1])</f>
        <v>380</v>
      </c>
      <c r="G14" s="25">
        <f>Common_InputFunctions.Utility_LookupValueInTableNumber(X_Cell_Dairy_Breed, Table_SourceData_Dairy_WjCowsHeifers[Breed],Table_SourceData_Dairy_WjCowsHeifers[Heifers &lt; 1 (weaned)])</f>
        <v>155</v>
      </c>
      <c r="H14" s="25" cm="1">
        <f t="array" ref="H14">Table_SourceData_Dairy_WjBulls[Bulls &gt; 1]</f>
        <v>600</v>
      </c>
      <c r="I14" s="25" cm="1">
        <f t="array" ref="I14">Table_SourceData_Dairy_WjBulls[Bulls &lt; 1 (weaned)]</f>
        <v>225</v>
      </c>
      <c r="J14" s="26" t="s">
        <v>222</v>
      </c>
      <c r="K14" s="26"/>
      <c r="L14" s="26"/>
      <c r="M14" s="26"/>
      <c r="N14" s="26"/>
      <c r="S14" s="51"/>
    </row>
    <row r="15" spans="1:24" ht="20.100000000000001" customHeight="1" x14ac:dyDescent="0.25">
      <c r="A15" s="5" t="str">
        <f>HYPERLINK("#'Input - Pasture'!A1", "Pasture")</f>
        <v>Pasture</v>
      </c>
      <c r="D15" s="1" t="s">
        <v>223</v>
      </c>
      <c r="E15" s="25" cm="1">
        <f t="array" ref="E15">Table_SourceData_Dairy_LWGj[Milking cows]</f>
        <v>1.6E-2</v>
      </c>
      <c r="F15" s="25" cm="1">
        <f t="array" ref="F15">Table_SourceData_Dairy_LWGj[Heifers &gt; 1]</f>
        <v>0.6</v>
      </c>
      <c r="G15" s="25" cm="1">
        <f t="array" ref="G15">Table_SourceData_Dairy_LWGj[Heifers &lt; 1 (weaned)]</f>
        <v>0.56999999999999995</v>
      </c>
      <c r="H15" s="25" cm="1">
        <f t="array" ref="H15">Table_SourceData_Dairy_LWGj[Bulls &gt; 1]</f>
        <v>0.1</v>
      </c>
      <c r="I15" s="25" cm="1">
        <f t="array" ref="I15">Table_SourceData_Dairy_LWGj[Bulls &lt; 1 (weaned)]</f>
        <v>0.8</v>
      </c>
      <c r="J15" s="26" t="s">
        <v>224</v>
      </c>
      <c r="K15" s="26"/>
      <c r="L15" s="26"/>
      <c r="M15" s="26"/>
      <c r="N15" s="26"/>
      <c r="S15" s="51"/>
    </row>
    <row r="16" spans="1:24" ht="20.100000000000001" customHeight="1" x14ac:dyDescent="0.25">
      <c r="A16" s="5" t="str">
        <f>HYPERLINK("#'Input - Fert Prod System'!A1", "Fert Prod System")</f>
        <v>Fert Prod System</v>
      </c>
      <c r="S16" s="51"/>
    </row>
    <row r="17" spans="1:19" ht="20.100000000000001" customHeight="1" x14ac:dyDescent="0.25">
      <c r="A17" s="5" t="str">
        <f>HYPERLINK("#'Input - Fertiliser'!A1", "Fertiliser")</f>
        <v>Fertiliser</v>
      </c>
      <c r="D17" s="97" t="s">
        <v>225</v>
      </c>
      <c r="E17" s="94" t="s">
        <v>213</v>
      </c>
      <c r="F17" s="94" t="s">
        <v>214</v>
      </c>
      <c r="G17" s="94" t="s">
        <v>215</v>
      </c>
      <c r="H17" s="94" t="s">
        <v>216</v>
      </c>
      <c r="I17" s="94" t="s">
        <v>217</v>
      </c>
      <c r="S17" s="31"/>
    </row>
    <row r="18" spans="1:19" ht="20.100000000000001" customHeight="1" x14ac:dyDescent="0.25">
      <c r="A18" s="5" t="str">
        <f>HYPERLINK("#'Input - Fuel'!A1", "Fuel")</f>
        <v>Fuel</v>
      </c>
      <c r="D18" s="1" t="s">
        <v>221</v>
      </c>
      <c r="E18" s="85">
        <f>Common_InputFunctions.Utility_LookupValueInTableNumber(X_Cell_Dairy_Breed, Table_SourceData_Dairy_WjCowsHeifers[Breed],Table_SourceData_Dairy_WjCowsHeifers[Milking cows])</f>
        <v>550</v>
      </c>
      <c r="F18" s="85">
        <f>Common_InputFunctions.Utility_LookupValueInTableNumber(X_Cell_Dairy_Breed, Table_SourceData_Dairy_WjCowsHeifers[Breed],Table_SourceData_Dairy_WjCowsHeifers[Heifers &gt; 1])</f>
        <v>380</v>
      </c>
      <c r="G18" s="85">
        <f>Common_InputFunctions.Utility_LookupValueInTableNumber(X_Cell_Dairy_Breed, Table_SourceData_Dairy_WjCowsHeifers[Breed],Table_SourceData_Dairy_WjCowsHeifers[Heifers &lt; 1 (weaned)])</f>
        <v>155</v>
      </c>
      <c r="H18" s="85" cm="1">
        <f t="array" ref="H18">Table_SourceData_Dairy_WjBulls[Bulls &gt; 1]</f>
        <v>600</v>
      </c>
      <c r="I18" s="85" cm="1">
        <f t="array" ref="I18">Table_SourceData_Dairy_WjBulls[Bulls &lt; 1 (weaned)]</f>
        <v>225</v>
      </c>
      <c r="J18" s="26" t="s">
        <v>222</v>
      </c>
      <c r="K18" s="26"/>
      <c r="L18" s="26"/>
      <c r="M18" s="26"/>
      <c r="N18" s="26"/>
      <c r="S18" s="31"/>
    </row>
    <row r="19" spans="1:19" ht="20.100000000000001" customHeight="1" x14ac:dyDescent="0.25">
      <c r="A19" s="5" t="str">
        <f>HYPERLINK("#'Input - Electricity'!A1", "Electricity")</f>
        <v>Electricity</v>
      </c>
      <c r="D19" s="1" t="s">
        <v>223</v>
      </c>
      <c r="E19" s="85" cm="1">
        <f t="array" ref="E19">Table_SourceData_Dairy_LWGj[Milking cows]</f>
        <v>1.6E-2</v>
      </c>
      <c r="F19" s="85" cm="1">
        <f t="array" ref="F19">Table_SourceData_Dairy_LWGj[Heifers &gt; 1]</f>
        <v>0.6</v>
      </c>
      <c r="G19" s="85" cm="1">
        <f t="array" ref="G19">Table_SourceData_Dairy_LWGj[Heifers &lt; 1 (weaned)]</f>
        <v>0.56999999999999995</v>
      </c>
      <c r="H19" s="85" cm="1">
        <f t="array" ref="H19">Table_SourceData_Dairy_LWGj[Bulls &gt; 1]</f>
        <v>0.1</v>
      </c>
      <c r="I19" s="85" cm="1">
        <f t="array" ref="I19">Table_SourceData_Dairy_LWGj[Bulls &lt; 1 (weaned)]</f>
        <v>0.8</v>
      </c>
      <c r="J19" s="26" t="s">
        <v>224</v>
      </c>
      <c r="K19" s="26"/>
      <c r="L19" s="26"/>
      <c r="M19" s="26"/>
      <c r="N19" s="26"/>
      <c r="S19" s="31"/>
    </row>
    <row r="20" spans="1:19" ht="20.100000000000001" customHeight="1" x14ac:dyDescent="0.25">
      <c r="A20" s="5" t="str">
        <f>HYPERLINK("#'Input - Farm Inputs'!A1", "Farm Inputs")</f>
        <v>Farm Inputs</v>
      </c>
      <c r="S20" s="31"/>
    </row>
    <row r="21" spans="1:19" ht="20.100000000000001" customHeight="1" x14ac:dyDescent="0.25">
      <c r="A21" s="5" t="str">
        <f>HYPERLINK("#'Input - Freight'!A1", "Freight")</f>
        <v>Freight</v>
      </c>
      <c r="D21" s="90" t="s">
        <v>226</v>
      </c>
      <c r="S21" s="31"/>
    </row>
    <row r="22" spans="1:19" ht="20.100000000000001" customHeight="1" x14ac:dyDescent="0.25">
      <c r="A22" s="5" t="str">
        <f>HYPERLINK("#'Input - Manure sent off-site'!A1", "Manure sent off-site")</f>
        <v>Manure sent off-site</v>
      </c>
      <c r="S22" s="31"/>
    </row>
    <row r="23" spans="1:19" ht="20.100000000000001" customHeight="1" x14ac:dyDescent="0.25">
      <c r="A23" s="5" t="str">
        <f>HYPERLINK("#'Input - Solid waste'!A1", "Solid waste")</f>
        <v>Solid waste</v>
      </c>
      <c r="D23" s="97" t="s">
        <v>220</v>
      </c>
      <c r="E23" s="94" t="s">
        <v>213</v>
      </c>
      <c r="F23" s="94" t="s">
        <v>214</v>
      </c>
      <c r="G23" s="94" t="s">
        <v>215</v>
      </c>
      <c r="H23" s="94" t="s">
        <v>216</v>
      </c>
      <c r="I23" s="94" t="s">
        <v>217</v>
      </c>
      <c r="S23" s="31"/>
    </row>
    <row r="24" spans="1:19" ht="20.100000000000001" customHeight="1" x14ac:dyDescent="0.25">
      <c r="A24" s="5" t="str">
        <f>HYPERLINK("#'Input - Data quality'!A1", "Data quality")</f>
        <v>Data quality</v>
      </c>
      <c r="D24" s="1" t="str">
        <f>"Average duration of stay between " &amp; TEXT(X_Cell_Site_StartDate, "dd mmm yy") &amp; " and " &amp; TEXT(X_Cell_Site_EndDate, "dd mmm yy") &amp; " weaned livestock"</f>
        <v>Average duration of stay between 01 Jan 24 and 31 Dec 24 weaned livestock</v>
      </c>
      <c r="E24" s="25" cm="1">
        <f t="array" ref="E24">Common_InputFunctions.Utility_LookupValueInTableNumber(E23,Table_SourceData_Dairy_Duration[Animal class j],Table_SourceData_Dairy_Duration[Duration (weaned)])</f>
        <v>365</v>
      </c>
      <c r="F24" s="25" cm="1">
        <f t="array" ref="F24">Common_InputFunctions.Utility_LookupValueInTableNumber(F23,Table_SourceData_Dairy_Duration[Animal class j],Table_SourceData_Dairy_Duration[Duration (weaned)])</f>
        <v>365</v>
      </c>
      <c r="G24" s="25" cm="1">
        <f t="array" ref="G24">Common_InputFunctions.Utility_LookupValueInTableNumber(G23,Table_SourceData_Dairy_Duration[Animal class j],Table_SourceData_Dairy_Duration[Duration (weaned)])</f>
        <v>281</v>
      </c>
      <c r="H24" s="25" cm="1">
        <f t="array" ref="H24">Common_InputFunctions.Utility_LookupValueInTableNumber(H23,Table_SourceData_Dairy_Duration[Animal class j],Table_SourceData_Dairy_Duration[Duration (weaned)])</f>
        <v>365</v>
      </c>
      <c r="I24" s="25" cm="1">
        <f t="array" ref="I24">Common_InputFunctions.Utility_LookupValueInTableNumber(I23,Table_SourceData_Dairy_Duration[Animal class j],Table_SourceData_Dairy_Duration[Duration (weaned)])</f>
        <v>281</v>
      </c>
      <c r="J24" s="26" t="s">
        <v>113</v>
      </c>
      <c r="K24" s="26"/>
      <c r="L24" s="26"/>
      <c r="M24" s="26"/>
      <c r="N24" s="26"/>
      <c r="S24" s="31"/>
    </row>
    <row r="25" spans="1:19" ht="20.100000000000001" customHeight="1" x14ac:dyDescent="0.25">
      <c r="D25" s="1" t="str">
        <f>"Average duration of stay between " &amp; TEXT(X_Cell_Site_StartDate, "dd mmm yy") &amp; " and " &amp; TEXT(X_Cell_Site_EndDate, "dd mmm yy") &amp; " pre-weaned livestock"</f>
        <v>Average duration of stay between 01 Jan 24 and 31 Dec 24 pre-weaned livestock</v>
      </c>
      <c r="E25" s="25" cm="1">
        <f t="array" ref="E25">Common_InputFunctions.Utility_LookupValueInTableNumber(E23,Table_SourceData_Dairy_Duration[Animal class j],Table_SourceData_Dairy_Duration[Duration (pre-weaned)])</f>
        <v>0</v>
      </c>
      <c r="F25" s="25" cm="1">
        <f t="array" ref="F25">Common_InputFunctions.Utility_LookupValueInTableNumber(F23,Table_SourceData_Dairy_Duration[Animal class j],Table_SourceData_Dairy_Duration[Duration (pre-weaned)])</f>
        <v>0</v>
      </c>
      <c r="G25" s="25" cm="1">
        <f t="array" ref="G25">Common_InputFunctions.Utility_LookupValueInTableNumber(G23,Table_SourceData_Dairy_Duration[Animal class j],Table_SourceData_Dairy_Duration[Duration (pre-weaned)])</f>
        <v>84</v>
      </c>
      <c r="H25" s="25" cm="1">
        <f t="array" ref="H25">Common_InputFunctions.Utility_LookupValueInTableNumber(H23,Table_SourceData_Dairy_Duration[Animal class j],Table_SourceData_Dairy_Duration[Duration (pre-weaned)])</f>
        <v>0</v>
      </c>
      <c r="I25" s="25" cm="1">
        <f t="array" ref="I25">Common_InputFunctions.Utility_LookupValueInTableNumber(I23,Table_SourceData_Dairy_Duration[Animal class j],Table_SourceData_Dairy_Duration[Duration (pre-weaned)])</f>
        <v>84</v>
      </c>
      <c r="J25" s="26" t="s">
        <v>113</v>
      </c>
      <c r="K25" s="26"/>
      <c r="L25" s="26"/>
      <c r="M25" s="26"/>
      <c r="N25" s="26"/>
      <c r="S25" s="31"/>
    </row>
    <row r="26" spans="1:19" ht="20.100000000000001" customHeight="1" x14ac:dyDescent="0.25">
      <c r="S26" s="31"/>
    </row>
    <row r="27" spans="1:19" ht="20.100000000000001" customHeight="1" x14ac:dyDescent="0.25">
      <c r="A27" s="6" t="s">
        <v>2</v>
      </c>
      <c r="D27" s="97" t="s">
        <v>225</v>
      </c>
      <c r="E27" s="94" t="s">
        <v>213</v>
      </c>
      <c r="F27" s="94" t="s">
        <v>214</v>
      </c>
      <c r="G27" s="94" t="s">
        <v>215</v>
      </c>
      <c r="H27" s="94" t="s">
        <v>216</v>
      </c>
      <c r="I27" s="94" t="s">
        <v>217</v>
      </c>
      <c r="S27" s="31"/>
    </row>
    <row r="28" spans="1:19" ht="20.100000000000001" customHeight="1" x14ac:dyDescent="0.25">
      <c r="A28" s="5" t="str">
        <f>HYPERLINK("#'5.1.1.1-2 Inorganic fert N2O'!A1", "5.1.1.1-2 Inorganic fert N2O")</f>
        <v>5.1.1.1-2 Inorganic fert N2O</v>
      </c>
      <c r="D28" s="1" t="str">
        <f>"Average duration of stay between " &amp; TEXT(X_Cell_Site_StartDate, "dd mmm yy") &amp; " and " &amp; TEXT(X_Cell_Site_EndDate, "dd mmm yy") &amp; " weaned livestock"</f>
        <v>Average duration of stay between 01 Jan 24 and 31 Dec 24 weaned livestock</v>
      </c>
      <c r="E28" s="85" cm="1">
        <f t="array" ref="E28">Common_InputFunctions.Utility_LookupValueInTableNumber(E27,Table_SourceData_Dairy_Duration[Animal class j],Table_SourceData_Dairy_Duration[Duration (weaned)])</f>
        <v>365</v>
      </c>
      <c r="F28" s="85" cm="1">
        <f t="array" ref="F28">Common_InputFunctions.Utility_LookupValueInTableNumber(F27,Table_SourceData_Dairy_Duration[Animal class j],Table_SourceData_Dairy_Duration[Duration (weaned)])</f>
        <v>365</v>
      </c>
      <c r="G28" s="85" cm="1">
        <f t="array" ref="G28">Common_InputFunctions.Utility_LookupValueInTableNumber(G27,Table_SourceData_Dairy_Duration[Animal class j],Table_SourceData_Dairy_Duration[Duration (weaned)])</f>
        <v>281</v>
      </c>
      <c r="H28" s="85" cm="1">
        <f t="array" ref="H28">Common_InputFunctions.Utility_LookupValueInTableNumber(H27,Table_SourceData_Dairy_Duration[Animal class j],Table_SourceData_Dairy_Duration[Duration (weaned)])</f>
        <v>365</v>
      </c>
      <c r="I28" s="85" cm="1">
        <f t="array" ref="I28">Common_InputFunctions.Utility_LookupValueInTableNumber(I27,Table_SourceData_Dairy_Duration[Animal class j],Table_SourceData_Dairy_Duration[Duration (weaned)])</f>
        <v>281</v>
      </c>
      <c r="J28" s="26" t="s">
        <v>113</v>
      </c>
      <c r="K28" s="26"/>
      <c r="L28" s="26"/>
      <c r="M28" s="26"/>
      <c r="N28" s="26"/>
      <c r="S28" s="31"/>
    </row>
    <row r="29" spans="1:19" ht="20.100000000000001" customHeight="1" x14ac:dyDescent="0.25">
      <c r="A29" s="5" t="str">
        <f>HYPERLINK("#'5.1.1.3-4 Inorganic fert CO2'!A1", "5.1.1.3-4 Inorganic fert CO2")</f>
        <v>5.1.1.3-4 Inorganic fert CO2</v>
      </c>
      <c r="D29" s="1" t="str">
        <f>"Average duration of stay between " &amp; TEXT(X_Cell_Site_StartDate, "dd mmm yy") &amp; " and " &amp; TEXT(X_Cell_Site_EndDate, "dd mmm yy") &amp; " pre-weaned livestock"</f>
        <v>Average duration of stay between 01 Jan 24 and 31 Dec 24 pre-weaned livestock</v>
      </c>
      <c r="E29" s="25">
        <f>365-E28</f>
        <v>0</v>
      </c>
      <c r="F29" s="25">
        <f t="shared" ref="F29:I29" si="0">365-F28</f>
        <v>0</v>
      </c>
      <c r="G29" s="25">
        <f t="shared" si="0"/>
        <v>84</v>
      </c>
      <c r="H29" s="25">
        <f t="shared" si="0"/>
        <v>0</v>
      </c>
      <c r="I29" s="25">
        <f t="shared" si="0"/>
        <v>84</v>
      </c>
      <c r="J29" s="26" t="s">
        <v>113</v>
      </c>
      <c r="K29" s="26"/>
      <c r="L29" s="26"/>
      <c r="M29" s="26"/>
      <c r="N29" s="26"/>
      <c r="S29" s="31"/>
    </row>
    <row r="30" spans="1:19" ht="20.100000000000001" customHeight="1" x14ac:dyDescent="0.25">
      <c r="A30" s="5" t="str">
        <f>HYPERLINK("#'5.2.1.1-2 Organic Fert N2O'!A1", "5.2.1.1-2 Organic fert N2O")</f>
        <v>5.2.1.1-2 Organic fert N2O</v>
      </c>
      <c r="S30" s="31"/>
    </row>
    <row r="31" spans="1:19" ht="20.100000000000001" customHeight="1" x14ac:dyDescent="0.25">
      <c r="A31" s="5" t="str">
        <f>HYPERLINK("#'5.3.1.1-2 Lime CO2'!A1", "5.3.1.1-2 Lime CO2")</f>
        <v>5.3.1.1-2 Lime CO2</v>
      </c>
      <c r="S31" s="31"/>
    </row>
    <row r="32" spans="1:19" ht="20.100000000000001" customHeight="1" x14ac:dyDescent="0.25">
      <c r="A32" s="5" t="str">
        <f>HYPERLINK("#'5.4.1.1-4 Atmos deposition'!A1", "5.4.1.1-4 Atmos. deposition")</f>
        <v>5.4.1.1-4 Atmos. deposition</v>
      </c>
      <c r="C32" s="101"/>
      <c r="D32" s="101"/>
      <c r="E32" s="101"/>
      <c r="F32" s="101"/>
      <c r="G32" s="101"/>
      <c r="H32" s="101"/>
      <c r="I32" s="101"/>
      <c r="J32" s="101"/>
      <c r="K32" s="101"/>
      <c r="L32" s="101"/>
      <c r="M32" s="101"/>
      <c r="N32" s="101"/>
      <c r="O32" s="101"/>
      <c r="S32" s="31"/>
    </row>
    <row r="33" spans="1:19" ht="20.100000000000001" customHeight="1" x14ac:dyDescent="0.25">
      <c r="A33" s="5" t="str">
        <f>HYPERLINK("#'5.5.1.1-2 Leaching and runoff'!A1", "5.5.1.1-2 Leaching &amp; runoff")</f>
        <v>5.5.1.1-2 Leaching &amp; runoff</v>
      </c>
      <c r="D33" s="2" t="s">
        <v>227</v>
      </c>
      <c r="S33" s="31"/>
    </row>
    <row r="34" spans="1:19" ht="20.100000000000001" customHeight="1" x14ac:dyDescent="0.25">
      <c r="A34" s="5" t="str">
        <f>HYPERLINK("#'6.2.1.1-2 Pasture residue N2O'!A1", "6.2.1.1-2 Pasture residue N2O")</f>
        <v>6.2.1.1-2 Pasture residue N2O</v>
      </c>
      <c r="D34" s="90"/>
      <c r="S34" s="31"/>
    </row>
    <row r="35" spans="1:19" ht="20.100000000000001" customHeight="1" x14ac:dyDescent="0.25">
      <c r="A35" s="5" t="str">
        <f>HYPERLINK("#'6.3.1.1-2 Leach runoff pasture'!A1", "6.3.1.1-2 Leach &amp; runoff (pasture)")</f>
        <v>6.3.1.1-2 Leach &amp; runoff (pasture)</v>
      </c>
      <c r="D35" s="97" t="s">
        <v>220</v>
      </c>
      <c r="E35" s="94" t="s">
        <v>213</v>
      </c>
      <c r="F35" s="94" t="s">
        <v>214</v>
      </c>
      <c r="G35" s="94" t="s">
        <v>215</v>
      </c>
      <c r="H35" s="94" t="s">
        <v>216</v>
      </c>
      <c r="I35" s="94" t="s">
        <v>217</v>
      </c>
      <c r="S35" s="31"/>
    </row>
    <row r="36" spans="1:19" ht="20.100000000000001" customHeight="1" x14ac:dyDescent="0.25">
      <c r="A36" s="5" t="str">
        <f>HYPERLINK("#'8.1.1.1-2 Transport fuel'!A1", "8.1.1.1-2 Transport fuel")</f>
        <v>8.1.1.1-2 Transport fuel</v>
      </c>
      <c r="D36" s="1" t="s">
        <v>228</v>
      </c>
      <c r="E36" s="25">
        <f>SourceData_Dairy_DryMatterDigestibility_Data</f>
        <v>0.75</v>
      </c>
      <c r="F36" s="25">
        <f>SourceData_Dairy_DryMatterDigestibility_Data</f>
        <v>0.75</v>
      </c>
      <c r="G36" s="25">
        <f>SourceData_Dairy_DryMatterDigestibility_Data</f>
        <v>0.75</v>
      </c>
      <c r="H36" s="25">
        <f>SourceData_Dairy_DryMatterDigestibility_Data</f>
        <v>0.75</v>
      </c>
      <c r="I36" s="25">
        <f>SourceData_Dairy_DryMatterDigestibility_Data</f>
        <v>0.75</v>
      </c>
      <c r="J36" s="26" t="s">
        <v>229</v>
      </c>
      <c r="K36" s="26"/>
      <c r="L36" s="26"/>
      <c r="M36" s="26"/>
      <c r="N36" s="26"/>
      <c r="S36" s="31"/>
    </row>
    <row r="37" spans="1:19" ht="20.100000000000001" customHeight="1" x14ac:dyDescent="0.25">
      <c r="A37" s="5" t="str">
        <f>HYPERLINK("#'8.2.1.1-2 Stationary fuel'!A1", "8.2.1.1-2 Stationary fuel")</f>
        <v>8.2.1.1-2 Stationary fuel</v>
      </c>
      <c r="D37" s="1" t="s">
        <v>230</v>
      </c>
      <c r="E37" s="25">
        <f>SourceData_Dairy_CrudeProtein_Data</f>
        <v>0.2</v>
      </c>
      <c r="F37" s="25">
        <f>SourceData_Dairy_CrudeProtein_Data</f>
        <v>0.2</v>
      </c>
      <c r="G37" s="25">
        <f>SourceData_Dairy_CrudeProtein_Data</f>
        <v>0.2</v>
      </c>
      <c r="H37" s="25">
        <f>SourceData_Dairy_CrudeProtein_Data</f>
        <v>0.2</v>
      </c>
      <c r="I37" s="25">
        <f>SourceData_Dairy_CrudeProtein_Data</f>
        <v>0.2</v>
      </c>
      <c r="J37" s="26" t="s">
        <v>229</v>
      </c>
      <c r="L37" s="26"/>
      <c r="M37" s="26"/>
      <c r="N37" s="26"/>
      <c r="S37" s="31"/>
    </row>
    <row r="38" spans="1:19" ht="20.100000000000001" customHeight="1" x14ac:dyDescent="0.25">
      <c r="A38" s="5" t="str">
        <f>HYPERLINK("#'14.1.1-2 Purchased electricity'!A1", "14.1.1-2 Purchased electricity")</f>
        <v>14.1.1-2 Purchased electricity</v>
      </c>
      <c r="M38" s="26"/>
      <c r="N38" s="26"/>
      <c r="S38" s="31"/>
    </row>
    <row r="39" spans="1:19" ht="20.100000000000001" customHeight="1" x14ac:dyDescent="0.25">
      <c r="A39" s="5" t="str">
        <f>HYPERLINK("#'15 Scope 3'!A1", "15 Scope 3")</f>
        <v>15 Scope 3</v>
      </c>
      <c r="D39" s="97" t="s">
        <v>225</v>
      </c>
      <c r="E39" s="94" t="s">
        <v>213</v>
      </c>
      <c r="F39" s="94" t="s">
        <v>214</v>
      </c>
      <c r="G39" s="94" t="s">
        <v>215</v>
      </c>
      <c r="H39" s="94" t="s">
        <v>216</v>
      </c>
      <c r="I39" s="94" t="s">
        <v>217</v>
      </c>
      <c r="S39" s="31"/>
    </row>
    <row r="40" spans="1:19" ht="20.100000000000001" customHeight="1" x14ac:dyDescent="0.25">
      <c r="A40" s="5" t="str">
        <f>HYPERLINK("#'Calcs - Manure sent off-site'!A1", "Calcs - Manure sent off-site")</f>
        <v>Calcs - Manure sent off-site</v>
      </c>
      <c r="D40" s="1" t="s">
        <v>228</v>
      </c>
      <c r="E40" s="85">
        <f>SourceData_Dairy_DryMatterDigestibility_Data</f>
        <v>0.75</v>
      </c>
      <c r="F40" s="85">
        <f>SourceData_Dairy_DryMatterDigestibility_Data</f>
        <v>0.75</v>
      </c>
      <c r="G40" s="85">
        <f>SourceData_Dairy_DryMatterDigestibility_Data</f>
        <v>0.75</v>
      </c>
      <c r="H40" s="85">
        <f>SourceData_Dairy_DryMatterDigestibility_Data</f>
        <v>0.75</v>
      </c>
      <c r="I40" s="85">
        <f>SourceData_Dairy_DryMatterDigestibility_Data</f>
        <v>0.75</v>
      </c>
      <c r="J40" s="26" t="s">
        <v>229</v>
      </c>
      <c r="K40" s="26"/>
      <c r="S40" s="31"/>
    </row>
    <row r="41" spans="1:19" ht="20.100000000000001" customHeight="1" x14ac:dyDescent="0.25">
      <c r="A41" s="5" t="str">
        <f>HYPERLINK("#'4.3.1.1-2 Methane'!A1", "4.3.1.1-2 Methane")</f>
        <v>4.3.1.1-2 Methane</v>
      </c>
      <c r="D41" s="1" t="s">
        <v>230</v>
      </c>
      <c r="E41" s="85">
        <f>SourceData_Dairy_CrudeProtein_Data</f>
        <v>0.2</v>
      </c>
      <c r="F41" s="85">
        <f>SourceData_Dairy_CrudeProtein_Data</f>
        <v>0.2</v>
      </c>
      <c r="G41" s="85">
        <f>SourceData_Dairy_CrudeProtein_Data</f>
        <v>0.2</v>
      </c>
      <c r="H41" s="85">
        <f>SourceData_Dairy_CrudeProtein_Data</f>
        <v>0.2</v>
      </c>
      <c r="I41" s="85">
        <f>SourceData_Dairy_CrudeProtein_Data</f>
        <v>0.2</v>
      </c>
      <c r="J41" s="26" t="s">
        <v>229</v>
      </c>
      <c r="L41" s="26"/>
      <c r="S41" s="31"/>
    </row>
    <row r="42" spans="1:19" ht="20.100000000000001" customHeight="1" x14ac:dyDescent="0.25">
      <c r="A42" s="5" t="str">
        <f>HYPERLINK("#'4.3.1.3-4 Direct N20'!A1", "4.3.1.3-4 Direct N20")</f>
        <v>4.3.1.3-4 Direct N20</v>
      </c>
      <c r="L42" s="26"/>
      <c r="M42" s="26"/>
      <c r="N42" s="26"/>
      <c r="S42" s="31"/>
    </row>
    <row r="43" spans="1:19" ht="20.100000000000001" customHeight="1" x14ac:dyDescent="0.25">
      <c r="A43" s="5" t="str">
        <f>HYPERLINK("#'4.3.1.5 Atmos deposition'!A1", "4.3.1.5 Atmos deposition")</f>
        <v>4.3.1.5 Atmos deposition</v>
      </c>
      <c r="S43" s="31"/>
    </row>
    <row r="44" spans="1:19" ht="20.100000000000001" customHeight="1" x14ac:dyDescent="0.25">
      <c r="A44" s="5" t="str">
        <f>HYPERLINK("#'4.3.1.6-7 Leaching and runoff'!A1", "4.3.1.6-7 Leaching and runoff")</f>
        <v>4.3.1.6-7 Leaching and runoff</v>
      </c>
      <c r="C44" s="101"/>
      <c r="D44" s="101"/>
      <c r="E44" s="101"/>
      <c r="F44" s="101"/>
      <c r="G44" s="101"/>
      <c r="H44" s="101"/>
      <c r="I44" s="101"/>
      <c r="J44" s="101"/>
      <c r="K44" s="101"/>
      <c r="L44" s="101"/>
      <c r="M44" s="101"/>
      <c r="N44" s="101"/>
      <c r="O44" s="101"/>
      <c r="S44" s="31"/>
    </row>
    <row r="45" spans="1:19" ht="20.100000000000001" customHeight="1" x14ac:dyDescent="0.25">
      <c r="A45" s="5" t="str">
        <f>HYPERLINK("#'4.3.1.8 Manure applied to soils'!A1", "4.3.1.8 Manure applied to soils")</f>
        <v>4.3.1.8 Manure applied to soils</v>
      </c>
      <c r="D45" s="2" t="s">
        <v>231</v>
      </c>
      <c r="E45" s="34"/>
      <c r="F45" s="34"/>
      <c r="G45" s="34"/>
      <c r="H45" s="34"/>
      <c r="I45" s="34"/>
      <c r="J45" s="34"/>
      <c r="K45" s="34"/>
      <c r="L45" s="34"/>
      <c r="M45" s="34"/>
      <c r="N45" s="34"/>
      <c r="S45" s="31"/>
    </row>
    <row r="46" spans="1:19" ht="20.100000000000001" customHeight="1" x14ac:dyDescent="0.25">
      <c r="A46" s="5" t="str">
        <f>HYPERLINK("#'4.3.1.9 Soil direct N2O'!A1", "4.3.1.9 Soil direct N2O")</f>
        <v>4.3.1.9 Soil direct N2O</v>
      </c>
      <c r="D46" s="79" t="s">
        <v>232</v>
      </c>
      <c r="G46" s="2"/>
      <c r="H46" s="2"/>
      <c r="I46" s="2"/>
      <c r="J46" s="102"/>
      <c r="K46" s="102"/>
      <c r="L46" s="102"/>
      <c r="M46" s="102"/>
      <c r="N46" s="102"/>
      <c r="S46" s="31"/>
    </row>
    <row r="47" spans="1:19" ht="20.100000000000001" customHeight="1" x14ac:dyDescent="0.25">
      <c r="A47" s="5" t="str">
        <f>HYPERLINK("#'4.3.1.10-11 Soil Atmos Dep'!A1", "4.3.1.10-11 Soil Atmos Dep")</f>
        <v>4.3.1.10-11 Soil Atmos Dep</v>
      </c>
      <c r="D47" s="1" t="s">
        <v>233</v>
      </c>
      <c r="E47" s="23" t="s">
        <v>234</v>
      </c>
      <c r="F47" s="26" t="s">
        <v>101</v>
      </c>
      <c r="S47" s="31"/>
    </row>
    <row r="48" spans="1:19" ht="20.100000000000001" customHeight="1" x14ac:dyDescent="0.25">
      <c r="A48" s="5" t="str">
        <f>HYPERLINK("#'4.3.1.12-13 Soil leach runoff'!A1", "4.3.1.12-13 Soil leach runoff")</f>
        <v>4.3.1.12-13 Soil leach runoff</v>
      </c>
      <c r="S48" s="31"/>
    </row>
    <row r="49" spans="1:19" ht="20.100000000000001" customHeight="1" x14ac:dyDescent="0.25">
      <c r="A49" s="5" t="str">
        <f>HYPERLINK("#'3.3.1.1-2 Enteric Methane'!A1", "3.3.1.1-2 Enteric Methane")</f>
        <v>3.3.1.1-2 Enteric Methane</v>
      </c>
      <c r="E49" s="94" t="s">
        <v>213</v>
      </c>
      <c r="S49" s="31"/>
    </row>
    <row r="50" spans="1:19" ht="20.100000000000001" customHeight="1" x14ac:dyDescent="0.25">
      <c r="A50" s="5" t="str">
        <f>HYPERLINK("#'10.1.1-2 Solid waste treatment'!A1", "10.1.1-2 Solid waste treatment")</f>
        <v>10.1.1-2 Solid waste treatment</v>
      </c>
      <c r="D50" s="1" t="s">
        <v>235</v>
      </c>
      <c r="E50" s="85">
        <v>20</v>
      </c>
      <c r="F50" s="26" t="str">
        <f>IF(X_Cell_Dairy_MilkProductionUnit="Litres of milk", "litres/head/day", "kg milk solids/head/day")</f>
        <v>litres/head/day</v>
      </c>
      <c r="S50" s="31"/>
    </row>
    <row r="51" spans="1:19" ht="20.100000000000001" customHeight="1" x14ac:dyDescent="0.25">
      <c r="E51" s="2"/>
      <c r="F51" s="2"/>
      <c r="S51" s="31"/>
    </row>
    <row r="52" spans="1:19" ht="20.100000000000001" customHeight="1" x14ac:dyDescent="0.25">
      <c r="D52" s="87" t="s">
        <v>236</v>
      </c>
      <c r="E52" s="94" t="s">
        <v>237</v>
      </c>
      <c r="F52" s="94" t="s">
        <v>238</v>
      </c>
      <c r="S52" s="31"/>
    </row>
    <row r="53" spans="1:19" ht="20.100000000000001" customHeight="1" x14ac:dyDescent="0.25">
      <c r="A53" s="100" t="s">
        <v>1</v>
      </c>
      <c r="D53" s="1" t="s">
        <v>239</v>
      </c>
      <c r="E53" s="103">
        <f>SourceData_Dairy_FatContentInMilk_Data/100</f>
        <v>0.04</v>
      </c>
      <c r="F53" s="104">
        <f>SourceData_Dairy_FatContentInMilk_Data/100</f>
        <v>0.04</v>
      </c>
      <c r="G53" s="26" t="s">
        <v>156</v>
      </c>
      <c r="S53" s="31"/>
    </row>
    <row r="54" spans="1:19" ht="20.100000000000001" customHeight="1" x14ac:dyDescent="0.25">
      <c r="A54" s="5" t="str">
        <f>HYPERLINK("#'Constants - Dairy'!A1", "Constants - Dairy")</f>
        <v>Constants - Dairy</v>
      </c>
      <c r="D54" s="1" t="s">
        <v>240</v>
      </c>
      <c r="E54" s="103">
        <f>SourceData_Dairy_ProteinContentInMilk_Data/100</f>
        <v>3.3000000000000002E-2</v>
      </c>
      <c r="F54" s="104">
        <f>SourceData_Dairy_ProteinContentInMilk_Data/100</f>
        <v>3.3000000000000002E-2</v>
      </c>
      <c r="G54" s="26" t="s">
        <v>156</v>
      </c>
      <c r="S54" s="31"/>
    </row>
    <row r="55" spans="1:19" ht="20.100000000000001" customHeight="1" x14ac:dyDescent="0.25">
      <c r="A55" s="5" t="str">
        <f>HYPERLINK("#'Constants - Ag Residue'!A1", "Constants - Ag residue")</f>
        <v>Constants - Ag residue</v>
      </c>
      <c r="S55" s="31"/>
    </row>
    <row r="56" spans="1:19" ht="20.100000000000001" customHeight="1" x14ac:dyDescent="0.25">
      <c r="A56" s="5" t="str">
        <f>HYPERLINK("#'Constants - Common Livestock'!A1", "Constants - Common Livestock")</f>
        <v>Constants - Common Livestock</v>
      </c>
      <c r="S56" s="31"/>
    </row>
    <row r="57" spans="1:19" ht="20.100000000000001" customHeight="1" x14ac:dyDescent="0.25">
      <c r="A57" s="5" t="str">
        <f>HYPERLINK("#'Constants - Electricity'!A1", "Constants - Electricity")</f>
        <v>Constants - Electricity</v>
      </c>
      <c r="C57" s="101"/>
      <c r="D57" s="101"/>
      <c r="E57" s="101"/>
      <c r="F57" s="101"/>
      <c r="G57" s="101"/>
      <c r="H57" s="101"/>
      <c r="I57" s="101"/>
      <c r="J57" s="101"/>
      <c r="K57" s="101"/>
      <c r="L57" s="101"/>
      <c r="M57" s="101"/>
      <c r="N57" s="101"/>
      <c r="O57" s="101"/>
      <c r="S57" s="31"/>
    </row>
    <row r="58" spans="1:19" ht="20.100000000000001" customHeight="1" x14ac:dyDescent="0.25">
      <c r="A58" s="5" t="str">
        <f>HYPERLINK("#'Constants - Fertiliser'!A1", "Constants - Fertiliser")</f>
        <v>Constants - Fertiliser</v>
      </c>
      <c r="D58" s="2" t="s">
        <v>241</v>
      </c>
      <c r="S58" s="31"/>
    </row>
    <row r="59" spans="1:19" ht="20.100000000000001" customHeight="1" x14ac:dyDescent="0.25">
      <c r="A59" s="5" t="str">
        <f>HYPERLINK("#'Constants - Fuel'!A1", "Constants - Fuel")</f>
        <v>Constants - Fuel</v>
      </c>
      <c r="D59" s="90" t="s">
        <v>242</v>
      </c>
      <c r="S59" s="31"/>
    </row>
    <row r="60" spans="1:19" ht="20.100000000000001" customHeight="1" x14ac:dyDescent="0.25">
      <c r="A60" s="5" t="str">
        <f>HYPERLINK("#'Constants - Scope 3'!A1", "Constants - Scope 3")</f>
        <v>Constants - Scope 3</v>
      </c>
      <c r="D60" s="1" t="s">
        <v>243</v>
      </c>
      <c r="E60" s="23" t="s">
        <v>244</v>
      </c>
      <c r="F60" s="26" t="s">
        <v>101</v>
      </c>
      <c r="O60" s="34"/>
      <c r="S60" s="31"/>
    </row>
    <row r="61" spans="1:19" ht="20.100000000000001" customHeight="1" x14ac:dyDescent="0.25">
      <c r="A61" s="5" t="str">
        <f>HYPERLINK("#'Constants - Common'!A1", "Constants - Common")</f>
        <v>Constants - Common</v>
      </c>
      <c r="O61" s="34"/>
      <c r="S61" s="31"/>
    </row>
    <row r="62" spans="1:19" ht="20.100000000000001" customHeight="1" x14ac:dyDescent="0.25">
      <c r="A62" s="5" t="str">
        <f>HYPERLINK("#'Acknowledgements'!A1", "Acknowledgements")</f>
        <v>Acknowledgements</v>
      </c>
      <c r="D62" s="97" t="s">
        <v>220</v>
      </c>
      <c r="E62" s="94" t="s">
        <v>213</v>
      </c>
      <c r="F62" s="94" t="s">
        <v>214</v>
      </c>
      <c r="G62" s="94" t="s">
        <v>215</v>
      </c>
      <c r="H62" s="94" t="s">
        <v>216</v>
      </c>
      <c r="I62" s="94" t="s">
        <v>217</v>
      </c>
      <c r="O62" s="34"/>
      <c r="S62" s="31"/>
    </row>
    <row r="63" spans="1:19" ht="20.100000000000001" customHeight="1" x14ac:dyDescent="0.25">
      <c r="A63" s="5" t="str">
        <f>HYPERLINK("#'Constants - Solid Waste'!A1", "Constants - Solid Waste")</f>
        <v>Constants - Solid Waste</v>
      </c>
      <c r="D63" s="1" t="s">
        <v>171</v>
      </c>
      <c r="E63" s="103">
        <f>Common_InputFunctions.Utility_LookupValueInTableNumber(X_Cell_Dairy_ProductionSystemTemplate, Table_SourceData_Dairy_ProductionSystemTemplates[Area],Table_SourceData_Dairy_ProductionSystemTemplates[Pasture])</f>
        <v>0.53400000000000003</v>
      </c>
      <c r="F63" s="103">
        <f>Common_InputFunctions.Utility_LookupValueInTableNumber(X_Cell_Dairy_ProductionSystemTemplate, Table_SourceData_Dairy_ProductionSystemTemplates[Area],Table_SourceData_Dairy_ProductionSystemTemplates[Pasture])</f>
        <v>0.53400000000000003</v>
      </c>
      <c r="G63" s="103">
        <f>Common_InputFunctions.Utility_LookupValueInTableNumber(X_Cell_Dairy_ProductionSystemTemplate, Table_SourceData_Dairy_ProductionSystemTemplates[Area],Table_SourceData_Dairy_ProductionSystemTemplates[Pasture])</f>
        <v>0.53400000000000003</v>
      </c>
      <c r="H63" s="103">
        <f>Common_InputFunctions.Utility_LookupValueInTableNumber(X_Cell_Dairy_ProductionSystemTemplate, Table_SourceData_Dairy_ProductionSystemTemplates[Area],Table_SourceData_Dairy_ProductionSystemTemplates[Pasture])</f>
        <v>0.53400000000000003</v>
      </c>
      <c r="I63" s="103">
        <f>Common_InputFunctions.Utility_LookupValueInTableNumber(X_Cell_Dairy_ProductionSystemTemplate, Table_SourceData_Dairy_ProductionSystemTemplates[Area],Table_SourceData_Dairy_ProductionSystemTemplates[Pasture])</f>
        <v>0.53400000000000003</v>
      </c>
      <c r="J63" s="26" t="s">
        <v>245</v>
      </c>
      <c r="K63" s="26"/>
      <c r="L63" s="26"/>
      <c r="M63" s="26"/>
      <c r="N63" s="26"/>
      <c r="O63" s="34"/>
      <c r="S63" s="31"/>
    </row>
    <row r="64" spans="1:19" ht="20.100000000000001" customHeight="1" x14ac:dyDescent="0.25">
      <c r="D64" s="1" t="s">
        <v>246</v>
      </c>
      <c r="E64" s="103">
        <f>Common_InputFunctions.Utility_LookupValueInTableNumber(X_Cell_Dairy_ProductionSystemTemplate, Table_SourceData_Dairy_ProductionSystemTemplates[Area],Table_SourceData_Dairy_ProductionSystemTemplates[Milking shed])</f>
        <v>0.11</v>
      </c>
      <c r="F64" s="103">
        <f>Common_InputFunctions.Utility_LookupValueInTableNumber(X_Cell_Dairy_ProductionSystemTemplate, Table_SourceData_Dairy_ProductionSystemTemplates[Area],Table_SourceData_Dairy_ProductionSystemTemplates[Milking shed])</f>
        <v>0.11</v>
      </c>
      <c r="G64" s="103">
        <f>Common_InputFunctions.Utility_LookupValueInTableNumber(X_Cell_Dairy_ProductionSystemTemplate, Table_SourceData_Dairy_ProductionSystemTemplates[Area],Table_SourceData_Dairy_ProductionSystemTemplates[Milking shed])</f>
        <v>0.11</v>
      </c>
      <c r="H64" s="103">
        <f>Common_InputFunctions.Utility_LookupValueInTableNumber(X_Cell_Dairy_ProductionSystemTemplate, Table_SourceData_Dairy_ProductionSystemTemplates[Area],Table_SourceData_Dairy_ProductionSystemTemplates[Milking shed])</f>
        <v>0.11</v>
      </c>
      <c r="I64" s="103">
        <f>Common_InputFunctions.Utility_LookupValueInTableNumber(X_Cell_Dairy_ProductionSystemTemplate, Table_SourceData_Dairy_ProductionSystemTemplates[Area],Table_SourceData_Dairy_ProductionSystemTemplates[Milking shed])</f>
        <v>0.11</v>
      </c>
      <c r="J64" s="26" t="s">
        <v>245</v>
      </c>
      <c r="K64" s="26"/>
      <c r="L64" s="26"/>
      <c r="M64" s="26"/>
      <c r="N64" s="26"/>
      <c r="O64" s="34"/>
      <c r="S64" s="31"/>
    </row>
    <row r="65" spans="3:19" ht="20.100000000000001" customHeight="1" x14ac:dyDescent="0.25">
      <c r="D65" s="1" t="s">
        <v>247</v>
      </c>
      <c r="E65" s="103">
        <f>Common_InputFunctions.Utility_LookupValueInTableNumber(X_Cell_Dairy_ProductionSystemTemplate, Table_SourceData_Dairy_ProductionSystemTemplates[Area],Table_SourceData_Dairy_ProductionSystemTemplates[Feedpad])</f>
        <v>0.35599999999999998</v>
      </c>
      <c r="F65" s="103">
        <f>Common_InputFunctions.Utility_LookupValueInTableNumber(X_Cell_Dairy_ProductionSystemTemplate, Table_SourceData_Dairy_ProductionSystemTemplates[Area],Table_SourceData_Dairy_ProductionSystemTemplates[Feedpad])</f>
        <v>0.35599999999999998</v>
      </c>
      <c r="G65" s="103">
        <f>Common_InputFunctions.Utility_LookupValueInTableNumber(X_Cell_Dairy_ProductionSystemTemplate, Table_SourceData_Dairy_ProductionSystemTemplates[Area],Table_SourceData_Dairy_ProductionSystemTemplates[Feedpad])</f>
        <v>0.35599999999999998</v>
      </c>
      <c r="H65" s="103">
        <f>Common_InputFunctions.Utility_LookupValueInTableNumber(X_Cell_Dairy_ProductionSystemTemplate, Table_SourceData_Dairy_ProductionSystemTemplates[Area],Table_SourceData_Dairy_ProductionSystemTemplates[Feedpad])</f>
        <v>0.35599999999999998</v>
      </c>
      <c r="I65" s="103">
        <f>Common_InputFunctions.Utility_LookupValueInTableNumber(X_Cell_Dairy_ProductionSystemTemplate, Table_SourceData_Dairy_ProductionSystemTemplates[Area],Table_SourceData_Dairy_ProductionSystemTemplates[Feedpad])</f>
        <v>0.35599999999999998</v>
      </c>
      <c r="J65" s="26" t="s">
        <v>245</v>
      </c>
      <c r="K65" s="26"/>
      <c r="L65" s="26"/>
      <c r="M65" s="26"/>
      <c r="N65" s="26"/>
      <c r="O65" s="34"/>
    </row>
    <row r="66" spans="3:19" ht="20.100000000000001" customHeight="1" x14ac:dyDescent="0.25">
      <c r="O66" s="34"/>
    </row>
    <row r="67" spans="3:19" ht="20.100000000000001" customHeight="1" x14ac:dyDescent="0.25">
      <c r="D67" s="97" t="s">
        <v>225</v>
      </c>
      <c r="E67" s="94" t="s">
        <v>213</v>
      </c>
      <c r="F67" s="94" t="s">
        <v>214</v>
      </c>
      <c r="G67" s="94" t="s">
        <v>215</v>
      </c>
      <c r="H67" s="94" t="s">
        <v>216</v>
      </c>
      <c r="I67" s="94" t="s">
        <v>217</v>
      </c>
      <c r="O67" s="34"/>
    </row>
    <row r="68" spans="3:19" ht="20.100000000000001" customHeight="1" x14ac:dyDescent="0.25">
      <c r="D68" s="1" t="s">
        <v>171</v>
      </c>
      <c r="E68" s="105">
        <f>Common_InputFunctions.Utility_LookupValueInTableNumber(X_Cell_Dairy_ProductionSystemTemplate, Table_SourceData_Dairy_ProductionSystemTemplates[Area],Table_SourceData_Dairy_ProductionSystemTemplates[Pasture])</f>
        <v>0.53400000000000003</v>
      </c>
      <c r="F68" s="105">
        <f>Common_InputFunctions.Utility_LookupValueInTableNumber(X_Cell_Dairy_ProductionSystemTemplate, Table_SourceData_Dairy_ProductionSystemTemplates[Area],Table_SourceData_Dairy_ProductionSystemTemplates[Pasture])</f>
        <v>0.53400000000000003</v>
      </c>
      <c r="G68" s="105">
        <f>Common_InputFunctions.Utility_LookupValueInTableNumber(X_Cell_Dairy_ProductionSystemTemplate, Table_SourceData_Dairy_ProductionSystemTemplates[Area],Table_SourceData_Dairy_ProductionSystemTemplates[Pasture])</f>
        <v>0.53400000000000003</v>
      </c>
      <c r="H68" s="105">
        <f>Common_InputFunctions.Utility_LookupValueInTableNumber(X_Cell_Dairy_ProductionSystemTemplate, Table_SourceData_Dairy_ProductionSystemTemplates[Area],Table_SourceData_Dairy_ProductionSystemTemplates[Pasture])</f>
        <v>0.53400000000000003</v>
      </c>
      <c r="I68" s="105">
        <f>Common_InputFunctions.Utility_LookupValueInTableNumber(X_Cell_Dairy_ProductionSystemTemplate, Table_SourceData_Dairy_ProductionSystemTemplates[Area],Table_SourceData_Dairy_ProductionSystemTemplates[Pasture])</f>
        <v>0.53400000000000003</v>
      </c>
      <c r="J68" s="26" t="s">
        <v>245</v>
      </c>
      <c r="K68" s="26"/>
      <c r="L68" s="26"/>
      <c r="M68" s="26"/>
      <c r="N68" s="26"/>
      <c r="O68" s="34"/>
    </row>
    <row r="69" spans="3:19" ht="20.100000000000001" customHeight="1" x14ac:dyDescent="0.25">
      <c r="D69" s="1" t="s">
        <v>246</v>
      </c>
      <c r="E69" s="105">
        <f>Common_InputFunctions.Utility_LookupValueInTableNumber(X_Cell_Dairy_ProductionSystemTemplate, Table_SourceData_Dairy_ProductionSystemTemplates[Area],Table_SourceData_Dairy_ProductionSystemTemplates[Milking shed])</f>
        <v>0.11</v>
      </c>
      <c r="F69" s="105">
        <f>Common_InputFunctions.Utility_LookupValueInTableNumber(X_Cell_Dairy_ProductionSystemTemplate, Table_SourceData_Dairy_ProductionSystemTemplates[Area],Table_SourceData_Dairy_ProductionSystemTemplates[Milking shed])</f>
        <v>0.11</v>
      </c>
      <c r="G69" s="105">
        <f>Common_InputFunctions.Utility_LookupValueInTableNumber(X_Cell_Dairy_ProductionSystemTemplate, Table_SourceData_Dairy_ProductionSystemTemplates[Area],Table_SourceData_Dairy_ProductionSystemTemplates[Milking shed])</f>
        <v>0.11</v>
      </c>
      <c r="H69" s="105">
        <f>Common_InputFunctions.Utility_LookupValueInTableNumber(X_Cell_Dairy_ProductionSystemTemplate, Table_SourceData_Dairy_ProductionSystemTemplates[Area],Table_SourceData_Dairy_ProductionSystemTemplates[Milking shed])</f>
        <v>0.11</v>
      </c>
      <c r="I69" s="105">
        <f>Common_InputFunctions.Utility_LookupValueInTableNumber(X_Cell_Dairy_ProductionSystemTemplate, Table_SourceData_Dairy_ProductionSystemTemplates[Area],Table_SourceData_Dairy_ProductionSystemTemplates[Milking shed])</f>
        <v>0.11</v>
      </c>
      <c r="J69" s="26" t="s">
        <v>245</v>
      </c>
      <c r="K69" s="26"/>
      <c r="L69" s="26"/>
      <c r="M69" s="26"/>
      <c r="N69" s="26"/>
      <c r="O69" s="34"/>
    </row>
    <row r="70" spans="3:19" ht="20.100000000000001" customHeight="1" x14ac:dyDescent="0.25">
      <c r="D70" s="1" t="s">
        <v>247</v>
      </c>
      <c r="E70" s="105">
        <f>Common_InputFunctions.Utility_LookupValueInTableNumber(X_Cell_Dairy_ProductionSystemTemplate, Table_SourceData_Dairy_ProductionSystemTemplates[Area],Table_SourceData_Dairy_ProductionSystemTemplates[Feedpad])</f>
        <v>0.35599999999999998</v>
      </c>
      <c r="F70" s="105">
        <f>Common_InputFunctions.Utility_LookupValueInTableNumber(X_Cell_Dairy_ProductionSystemTemplate, Table_SourceData_Dairy_ProductionSystemTemplates[Area],Table_SourceData_Dairy_ProductionSystemTemplates[Feedpad])</f>
        <v>0.35599999999999998</v>
      </c>
      <c r="G70" s="105">
        <f>Common_InputFunctions.Utility_LookupValueInTableNumber(X_Cell_Dairy_ProductionSystemTemplate, Table_SourceData_Dairy_ProductionSystemTemplates[Area],Table_SourceData_Dairy_ProductionSystemTemplates[Feedpad])</f>
        <v>0.35599999999999998</v>
      </c>
      <c r="H70" s="105">
        <f>Common_InputFunctions.Utility_LookupValueInTableNumber(X_Cell_Dairy_ProductionSystemTemplate, Table_SourceData_Dairy_ProductionSystemTemplates[Area],Table_SourceData_Dairy_ProductionSystemTemplates[Feedpad])</f>
        <v>0.35599999999999998</v>
      </c>
      <c r="I70" s="105">
        <f>Common_InputFunctions.Utility_LookupValueInTableNumber(X_Cell_Dairy_ProductionSystemTemplate, Table_SourceData_Dairy_ProductionSystemTemplates[Area],Table_SourceData_Dairy_ProductionSystemTemplates[Feedpad])</f>
        <v>0.35599999999999998</v>
      </c>
      <c r="J70" s="26" t="s">
        <v>245</v>
      </c>
      <c r="K70" s="26"/>
      <c r="L70" s="26"/>
      <c r="M70" s="26"/>
      <c r="N70" s="26"/>
      <c r="O70" s="34"/>
    </row>
    <row r="71" spans="3:19" ht="20.100000000000001" customHeight="1" x14ac:dyDescent="0.25">
      <c r="E71" s="106"/>
      <c r="O71" s="34"/>
    </row>
    <row r="72" spans="3:19" ht="20.100000000000001" customHeight="1" x14ac:dyDescent="0.25"/>
    <row r="73" spans="3:19" ht="20.100000000000001" customHeight="1" x14ac:dyDescent="0.25">
      <c r="C73" s="101"/>
      <c r="D73" s="101"/>
      <c r="E73" s="101"/>
      <c r="F73" s="101"/>
      <c r="G73" s="101"/>
      <c r="H73" s="101"/>
      <c r="I73" s="101"/>
      <c r="J73" s="101"/>
      <c r="K73" s="101"/>
      <c r="L73" s="101"/>
      <c r="M73" s="101"/>
      <c r="N73" s="101"/>
      <c r="O73" s="101"/>
    </row>
    <row r="74" spans="3:19" ht="20.100000000000001" customHeight="1" x14ac:dyDescent="0.25">
      <c r="D74" s="2" t="s">
        <v>248</v>
      </c>
      <c r="F74" s="107"/>
    </row>
    <row r="75" spans="3:19" ht="20.100000000000001" customHeight="1" x14ac:dyDescent="0.25">
      <c r="D75" s="90" t="str">
        <f>"From " &amp; $D$64</f>
        <v>From Milking shed</v>
      </c>
      <c r="O75" s="34"/>
    </row>
    <row r="76" spans="3:19" ht="20.100000000000001" customHeight="1" x14ac:dyDescent="0.25">
      <c r="O76" s="34"/>
    </row>
    <row r="77" spans="3:19" ht="20.100000000000001" customHeight="1" x14ac:dyDescent="0.25">
      <c r="D77" s="108" t="s">
        <v>249</v>
      </c>
      <c r="E77" s="94" t="s">
        <v>213</v>
      </c>
      <c r="F77" s="94" t="s">
        <v>214</v>
      </c>
      <c r="G77" s="94" t="s">
        <v>215</v>
      </c>
      <c r="H77" s="94" t="s">
        <v>216</v>
      </c>
      <c r="I77" s="94" t="s">
        <v>217</v>
      </c>
      <c r="J77" s="109" t="s">
        <v>250</v>
      </c>
      <c r="K77" s="109"/>
      <c r="L77" s="97" t="s">
        <v>251</v>
      </c>
      <c r="M77" s="97"/>
      <c r="N77" s="94"/>
      <c r="O77" s="34"/>
    </row>
    <row r="78" spans="3:19" ht="20.100000000000001" customHeight="1" x14ac:dyDescent="0.25">
      <c r="L78" s="110" t="s">
        <v>252</v>
      </c>
      <c r="M78" s="110" t="s">
        <v>253</v>
      </c>
      <c r="N78" s="110" t="s">
        <v>254</v>
      </c>
      <c r="O78" s="34"/>
    </row>
    <row r="79" spans="3:19" ht="20.100000000000001" customHeight="1" x14ac:dyDescent="0.25">
      <c r="D79" s="87" t="str">
        <f>'Constants - Dairy'!$D$8</f>
        <v>Anaerobic lagoon</v>
      </c>
      <c r="E79" s="28">
        <v>0.25</v>
      </c>
      <c r="F79" s="28">
        <v>0.25</v>
      </c>
      <c r="G79" s="28">
        <v>0.25</v>
      </c>
      <c r="H79" s="28">
        <v>0.25</v>
      </c>
      <c r="I79" s="28">
        <v>0.25</v>
      </c>
      <c r="J79" s="26" t="s">
        <v>245</v>
      </c>
      <c r="K79" s="26"/>
      <c r="L79" s="28">
        <v>0.25</v>
      </c>
      <c r="M79" s="28">
        <v>0.25</v>
      </c>
      <c r="N79" s="111">
        <f>1-SUM(L79:M79)</f>
        <v>0.5</v>
      </c>
      <c r="O79" s="34"/>
    </row>
    <row r="80" spans="3:19" ht="20.100000000000001" customHeight="1" x14ac:dyDescent="0.25">
      <c r="D80" s="112" t="str">
        <f>"Were solids separated from " &amp; D79 &amp; "?"</f>
        <v>Were solids separated from Anaerobic lagoon?</v>
      </c>
      <c r="E80" s="23" t="s">
        <v>255</v>
      </c>
      <c r="O80" s="34"/>
      <c r="S80" s="31"/>
    </row>
    <row r="81" spans="4:19" ht="20.100000000000001" customHeight="1" x14ac:dyDescent="0.25">
      <c r="D81" s="112" t="str">
        <f>"Percent solids separated from " &amp; D79 &amp; " (Method 1)"</f>
        <v>Percent solids separated from Anaerobic lagoon (Method 1)</v>
      </c>
      <c r="E81" s="111">
        <f>IF(X_Cell_Dairy_Stage1MMS_1_AnaerobicLagoon_SolidsSeparated="Yes", 20%, 0)</f>
        <v>0.2</v>
      </c>
      <c r="O81" s="34"/>
      <c r="S81" s="31"/>
    </row>
    <row r="82" spans="4:19" ht="20.100000000000001" customHeight="1" x14ac:dyDescent="0.25">
      <c r="D82" s="112" t="str">
        <f>"Percent solids separated from " &amp; D79 &amp; " (Method 2)"</f>
        <v>Percent solids separated from Anaerobic lagoon (Method 2)</v>
      </c>
      <c r="E82" s="28">
        <v>0.2</v>
      </c>
      <c r="O82" s="34"/>
      <c r="S82" s="31"/>
    </row>
    <row r="83" spans="4:19" ht="20.100000000000001" customHeight="1" x14ac:dyDescent="0.25">
      <c r="S83" s="31"/>
    </row>
    <row r="84" spans="4:19" ht="20.100000000000001" customHeight="1" x14ac:dyDescent="0.25">
      <c r="D84" s="87" t="str">
        <f>'Constants - Dairy'!$D$9</f>
        <v>Sump and dispersal system</v>
      </c>
      <c r="E84" s="28">
        <v>0.25</v>
      </c>
      <c r="F84" s="28">
        <v>0.25</v>
      </c>
      <c r="G84" s="28">
        <v>0.25</v>
      </c>
      <c r="H84" s="28">
        <v>0.25</v>
      </c>
      <c r="I84" s="28">
        <v>0.25</v>
      </c>
      <c r="J84" s="26" t="s">
        <v>245</v>
      </c>
      <c r="K84" s="26"/>
      <c r="L84" s="28">
        <v>0.25</v>
      </c>
      <c r="M84" s="28">
        <v>0.25</v>
      </c>
      <c r="N84" s="111">
        <f t="shared" ref="N84" si="1">1-SUM(L84:M84)</f>
        <v>0.5</v>
      </c>
      <c r="S84" s="31"/>
    </row>
    <row r="85" spans="4:19" ht="20.100000000000001" customHeight="1" x14ac:dyDescent="0.25">
      <c r="D85" s="112" t="str">
        <f>"Were solids separated from " &amp; D84 &amp; "?"</f>
        <v>Were solids separated from Sump and dispersal system?</v>
      </c>
      <c r="E85" s="23" t="s">
        <v>255</v>
      </c>
      <c r="S85" s="31"/>
    </row>
    <row r="86" spans="4:19" ht="20.100000000000001" customHeight="1" x14ac:dyDescent="0.25">
      <c r="D86" s="112" t="str">
        <f>"Percent solids separated from " &amp; D84 &amp; " (Method 1)"</f>
        <v>Percent solids separated from Sump and dispersal system (Method 1)</v>
      </c>
      <c r="E86" s="111">
        <f>IF(X_Cell_Dairy_Stage1MMS_1_SumpAndDispersal_SolidsSeparated="Yes", 20%, 0)</f>
        <v>0.2</v>
      </c>
      <c r="S86" s="31"/>
    </row>
    <row r="87" spans="4:19" ht="20.100000000000001" customHeight="1" x14ac:dyDescent="0.25">
      <c r="D87" s="112" t="str">
        <f>"Percent solids separated from " &amp; D84 &amp; " (Method 2)"</f>
        <v>Percent solids separated from Sump and dispersal system (Method 2)</v>
      </c>
      <c r="E87" s="28">
        <v>0.2</v>
      </c>
      <c r="S87" s="31"/>
    </row>
    <row r="88" spans="4:19" ht="20.100000000000001" customHeight="1" x14ac:dyDescent="0.25">
      <c r="S88" s="31"/>
    </row>
    <row r="89" spans="4:19" ht="20.100000000000001" customHeight="1" x14ac:dyDescent="0.25">
      <c r="D89" s="87" t="str">
        <f>'Constants - Dairy'!$D$10</f>
        <v>Drains to paddock</v>
      </c>
      <c r="E89" s="28">
        <v>0.25</v>
      </c>
      <c r="F89" s="28">
        <v>0.25</v>
      </c>
      <c r="G89" s="28">
        <v>0.25</v>
      </c>
      <c r="H89" s="28">
        <v>0.25</v>
      </c>
      <c r="I89" s="28">
        <v>0.25</v>
      </c>
      <c r="J89" s="26" t="s">
        <v>245</v>
      </c>
      <c r="K89" s="26"/>
      <c r="L89" s="28">
        <v>0.25</v>
      </c>
      <c r="M89" s="28">
        <v>0.25</v>
      </c>
      <c r="N89" s="111">
        <f>1-SUM(L89:M89)</f>
        <v>0.5</v>
      </c>
      <c r="S89" s="31"/>
    </row>
    <row r="90" spans="4:19" ht="20.100000000000001" customHeight="1" x14ac:dyDescent="0.25">
      <c r="D90" s="112" t="str">
        <f>"Were solids separated from " &amp; D89 &amp; "?"</f>
        <v>Were solids separated from Drains to paddock?</v>
      </c>
      <c r="E90" s="23" t="s">
        <v>255</v>
      </c>
      <c r="S90" s="31"/>
    </row>
    <row r="91" spans="4:19" ht="20.100000000000001" customHeight="1" x14ac:dyDescent="0.25">
      <c r="D91" s="112" t="str">
        <f>"Percent solids separated from " &amp; D89 &amp; " (Method 1)"</f>
        <v>Percent solids separated from Drains to paddock (Method 1)</v>
      </c>
      <c r="E91" s="111">
        <f>IF(X_Cell_Dairy_Stage1MMS_1_DrainsToPaddock_SolidsSeparated="Yes", 20%, 0)</f>
        <v>0.2</v>
      </c>
      <c r="S91" s="31"/>
    </row>
    <row r="92" spans="4:19" ht="20.100000000000001" customHeight="1" x14ac:dyDescent="0.25">
      <c r="D92" s="112" t="str">
        <f>"Percent solids separated from " &amp; D89 &amp; " (Method 2)"</f>
        <v>Percent solids separated from Drains to paddock (Method 2)</v>
      </c>
      <c r="E92" s="28">
        <v>0.2</v>
      </c>
      <c r="S92" s="31"/>
    </row>
    <row r="93" spans="4:19" ht="20.100000000000001" customHeight="1" x14ac:dyDescent="0.25">
      <c r="S93" s="31"/>
    </row>
    <row r="94" spans="4:19" ht="20.100000000000001" customHeight="1" x14ac:dyDescent="0.25">
      <c r="D94" s="87" t="str">
        <f>'Constants - Dairy'!$D$11 &amp; " (before solid separation)"</f>
        <v>Solid storage (before solid separation)</v>
      </c>
      <c r="E94" s="28">
        <v>0.25</v>
      </c>
      <c r="F94" s="28">
        <v>0.25</v>
      </c>
      <c r="G94" s="28">
        <v>0.25</v>
      </c>
      <c r="H94" s="28">
        <v>0.25</v>
      </c>
      <c r="I94" s="28">
        <v>0.25</v>
      </c>
      <c r="J94" s="26" t="s">
        <v>245</v>
      </c>
      <c r="K94" s="26"/>
      <c r="L94" s="28">
        <v>0.25</v>
      </c>
      <c r="M94" s="28">
        <v>0.25</v>
      </c>
      <c r="N94" s="111">
        <f t="shared" ref="N94" si="2">1-SUM(L94:M94)</f>
        <v>0.5</v>
      </c>
      <c r="S94" s="31"/>
    </row>
    <row r="95" spans="4:19" ht="20.100000000000001" customHeight="1" x14ac:dyDescent="0.25">
      <c r="D95" s="1" t="s">
        <v>256</v>
      </c>
      <c r="E95" s="111">
        <f>E94+(E79*X_Cell_Dairy_Stage1MMS_1_AnaerobicLagoon_AmountSeparated_Method1)+(E84*X_Cell_Dairy_Stage1MMS_1_SumpAndDispersal_AmountSeparated_Method1)+(E89*X_Cell_Dairy_Stage1MMS_1_DrainsToPaddock_AmountSeparated_Method1)</f>
        <v>0.39999999999999997</v>
      </c>
      <c r="F95" s="111">
        <f>F94+(F79*X_Cell_Dairy_Stage1MMS_1_AnaerobicLagoon_AmountSeparated_Method1)+(F84*X_Cell_Dairy_Stage1MMS_1_SumpAndDispersal_AmountSeparated_Method1)+(F89*X_Cell_Dairy_Stage1MMS_1_DrainsToPaddock_AmountSeparated_Method1)</f>
        <v>0.39999999999999997</v>
      </c>
      <c r="G95" s="111">
        <f>G94+(G79*X_Cell_Dairy_Stage1MMS_1_AnaerobicLagoon_AmountSeparated_Method1)+(G84*X_Cell_Dairy_Stage1MMS_1_SumpAndDispersal_AmountSeparated_Method1)+(G89*X_Cell_Dairy_Stage1MMS_1_DrainsToPaddock_AmountSeparated_Method1)</f>
        <v>0.39999999999999997</v>
      </c>
      <c r="H95" s="111">
        <f>H94+(H79*X_Cell_Dairy_Stage1MMS_1_AnaerobicLagoon_AmountSeparated_Method1)+(H84*X_Cell_Dairy_Stage1MMS_1_SumpAndDispersal_AmountSeparated_Method1)+(H89*X_Cell_Dairy_Stage1MMS_1_DrainsToPaddock_AmountSeparated_Method1)</f>
        <v>0.39999999999999997</v>
      </c>
      <c r="I95" s="111">
        <f>I94+(I79*X_Cell_Dairy_Stage1MMS_1_AnaerobicLagoon_AmountSeparated_Method1)+(I84*X_Cell_Dairy_Stage1MMS_1_SumpAndDispersal_AmountSeparated_Method1)+(I89*X_Cell_Dairy_Stage1MMS_1_DrainsToPaddock_AmountSeparated_Method1)</f>
        <v>0.39999999999999997</v>
      </c>
      <c r="J95" s="26" t="s">
        <v>245</v>
      </c>
      <c r="K95" s="26"/>
      <c r="L95" s="26"/>
      <c r="M95" s="26"/>
      <c r="N95" s="26"/>
      <c r="S95" s="31"/>
    </row>
    <row r="96" spans="4:19" ht="20.100000000000001" customHeight="1" x14ac:dyDescent="0.25">
      <c r="D96" s="1" t="s">
        <v>257</v>
      </c>
      <c r="E96" s="111">
        <f>E94+(E79*X_Cell_Dairy_Stage1MMS_1_AnaerobicLagoon_AmountSeparated_Method2)+(E84*X_Cell_Dairy_Stage1MMS_1_SumpAndDispersal_AmountSeparated_Method2)+(E89*X_Cell_Dairy_Stage1MMS_1_DrainsToPaddock_AmountSeparated_Method2)</f>
        <v>0.39999999999999997</v>
      </c>
      <c r="F96" s="111">
        <f>F94+(F79*X_Cell_Dairy_Stage1MMS_1_AnaerobicLagoon_AmountSeparated_Method2)+(F84*X_Cell_Dairy_Stage1MMS_1_SumpAndDispersal_AmountSeparated_Method2)+(F89*X_Cell_Dairy_Stage1MMS_1_DrainsToPaddock_AmountSeparated_Method2)</f>
        <v>0.39999999999999997</v>
      </c>
      <c r="G96" s="111">
        <f>G94+(G79*X_Cell_Dairy_Stage1MMS_1_AnaerobicLagoon_AmountSeparated_Method2)+(G84*X_Cell_Dairy_Stage1MMS_1_SumpAndDispersal_AmountSeparated_Method2)+(G89*X_Cell_Dairy_Stage1MMS_1_DrainsToPaddock_AmountSeparated_Method2)</f>
        <v>0.39999999999999997</v>
      </c>
      <c r="H96" s="111">
        <f>H94+(H79*X_Cell_Dairy_Stage1MMS_1_AnaerobicLagoon_AmountSeparated_Method2)+(H84*X_Cell_Dairy_Stage1MMS_1_SumpAndDispersal_AmountSeparated_Method2)+(H89*X_Cell_Dairy_Stage1MMS_1_DrainsToPaddock_AmountSeparated_Method2)</f>
        <v>0.39999999999999997</v>
      </c>
      <c r="I96" s="111">
        <f>I94+(I79*X_Cell_Dairy_Stage1MMS_1_AnaerobicLagoon_AmountSeparated_Method2)+(I84*X_Cell_Dairy_Stage1MMS_1_SumpAndDispersal_AmountSeparated_Method2)+(I89*X_Cell_Dairy_Stage1MMS_1_DrainsToPaddock_AmountSeparated_Method2)</f>
        <v>0.39999999999999997</v>
      </c>
      <c r="J96" s="26" t="s">
        <v>245</v>
      </c>
      <c r="K96" s="26"/>
      <c r="S96" s="31"/>
    </row>
    <row r="97" spans="4:19" ht="20.100000000000001" customHeight="1" x14ac:dyDescent="0.25">
      <c r="F97" s="26"/>
      <c r="S97" s="31"/>
    </row>
    <row r="98" spans="4:19" ht="20.100000000000001" customHeight="1" x14ac:dyDescent="0.25">
      <c r="F98" s="113"/>
      <c r="S98" s="31"/>
    </row>
    <row r="99" spans="4:19" ht="20.100000000000001" customHeight="1" x14ac:dyDescent="0.25">
      <c r="D99" s="90" t="str">
        <f>"From " &amp; $D$65</f>
        <v>From Feed pad</v>
      </c>
      <c r="S99" s="31"/>
    </row>
    <row r="100" spans="4:19" ht="20.100000000000001" customHeight="1" x14ac:dyDescent="0.25">
      <c r="S100" s="31"/>
    </row>
    <row r="101" spans="4:19" ht="20.100000000000001" customHeight="1" x14ac:dyDescent="0.25">
      <c r="D101" s="114" t="s">
        <v>249</v>
      </c>
      <c r="E101" s="94" t="s">
        <v>213</v>
      </c>
      <c r="F101" s="94" t="s">
        <v>214</v>
      </c>
      <c r="G101" s="94" t="s">
        <v>215</v>
      </c>
      <c r="H101" s="94" t="s">
        <v>216</v>
      </c>
      <c r="I101" s="94" t="s">
        <v>217</v>
      </c>
      <c r="J101" s="109" t="s">
        <v>250</v>
      </c>
      <c r="K101" s="109"/>
      <c r="L101" s="97" t="s">
        <v>251</v>
      </c>
      <c r="M101" s="97"/>
      <c r="N101" s="94"/>
      <c r="S101" s="31"/>
    </row>
    <row r="102" spans="4:19" ht="20.100000000000001" customHeight="1" x14ac:dyDescent="0.25">
      <c r="D102" s="115"/>
      <c r="L102" s="110" t="s">
        <v>252</v>
      </c>
      <c r="M102" s="110" t="s">
        <v>253</v>
      </c>
      <c r="N102" s="110" t="s">
        <v>254</v>
      </c>
      <c r="S102" s="31"/>
    </row>
    <row r="103" spans="4:19" ht="20.100000000000001" customHeight="1" x14ac:dyDescent="0.25">
      <c r="D103" s="116" t="str">
        <f>'Constants - Dairy'!$D$8</f>
        <v>Anaerobic lagoon</v>
      </c>
      <c r="E103" s="28">
        <v>0.25</v>
      </c>
      <c r="F103" s="28">
        <v>0.25</v>
      </c>
      <c r="G103" s="28">
        <v>0.25</v>
      </c>
      <c r="H103" s="28">
        <v>0.25</v>
      </c>
      <c r="I103" s="28">
        <v>0.25</v>
      </c>
      <c r="J103" s="26" t="s">
        <v>245</v>
      </c>
      <c r="K103" s="26"/>
      <c r="L103" s="28">
        <v>0.25</v>
      </c>
      <c r="M103" s="28">
        <v>0.25</v>
      </c>
      <c r="N103" s="111">
        <f>1-SUM(L103:M103)</f>
        <v>0.5</v>
      </c>
      <c r="S103" s="31"/>
    </row>
    <row r="104" spans="4:19" ht="20.100000000000001" customHeight="1" x14ac:dyDescent="0.25">
      <c r="D104" s="117" t="str">
        <f>"Were solids separated from " &amp; D103 &amp; "?"</f>
        <v>Were solids separated from Anaerobic lagoon?</v>
      </c>
      <c r="E104" s="23" t="s">
        <v>258</v>
      </c>
      <c r="S104" s="31"/>
    </row>
    <row r="105" spans="4:19" ht="20.100000000000001" customHeight="1" x14ac:dyDescent="0.25">
      <c r="D105" s="117" t="str">
        <f>"Percent solids separated from " &amp; D103 &amp; " (Method 1)"</f>
        <v>Percent solids separated from Anaerobic lagoon (Method 1)</v>
      </c>
      <c r="E105" s="111">
        <f>IF(X_Cell_Dairy_Stage1MMS_2_AnaerobicLagoon_SolidsSeparated="Yes", 20%, 0)</f>
        <v>0</v>
      </c>
      <c r="S105" s="31"/>
    </row>
    <row r="106" spans="4:19" ht="20.100000000000001" customHeight="1" x14ac:dyDescent="0.25">
      <c r="D106" s="117" t="str">
        <f>"Percent solids separated from " &amp; D103 &amp; " (Method 2)"</f>
        <v>Percent solids separated from Anaerobic lagoon (Method 2)</v>
      </c>
      <c r="E106" s="28">
        <f>IF(X_Cell_Dairy_Stage1MMS_2_AnaerobicLagoon_SolidsSeparated="Yes", 20%, 0)</f>
        <v>0</v>
      </c>
      <c r="S106" s="31"/>
    </row>
    <row r="107" spans="4:19" ht="20.100000000000001" customHeight="1" x14ac:dyDescent="0.25"/>
    <row r="108" spans="4:19" ht="20.100000000000001" customHeight="1" x14ac:dyDescent="0.25">
      <c r="D108" s="116" t="str">
        <f>'Constants - Dairy'!$D$9</f>
        <v>Sump and dispersal system</v>
      </c>
      <c r="E108" s="28">
        <v>0.25</v>
      </c>
      <c r="F108" s="28">
        <v>0.25</v>
      </c>
      <c r="G108" s="28">
        <v>0.25</v>
      </c>
      <c r="H108" s="28">
        <v>0.25</v>
      </c>
      <c r="I108" s="28">
        <v>0.25</v>
      </c>
      <c r="J108" s="26" t="s">
        <v>245</v>
      </c>
      <c r="K108" s="26"/>
      <c r="L108" s="28">
        <v>0.25</v>
      </c>
      <c r="M108" s="28">
        <v>0.25</v>
      </c>
      <c r="N108" s="111">
        <f t="shared" ref="N108" si="3">1-SUM(L108:M108)</f>
        <v>0.5</v>
      </c>
    </row>
    <row r="109" spans="4:19" ht="20.100000000000001" customHeight="1" x14ac:dyDescent="0.25">
      <c r="D109" s="117" t="str">
        <f>"Were solids separated from " &amp; D108 &amp; "?"</f>
        <v>Were solids separated from Sump and dispersal system?</v>
      </c>
      <c r="E109" s="23" t="s">
        <v>255</v>
      </c>
    </row>
    <row r="110" spans="4:19" ht="20.100000000000001" customHeight="1" x14ac:dyDescent="0.25">
      <c r="D110" s="117" t="str">
        <f>"Percent solids separated from " &amp; D108 &amp; " (Method 1)"</f>
        <v>Percent solids separated from Sump and dispersal system (Method 1)</v>
      </c>
      <c r="E110" s="111">
        <f>IF(X_Cell_Dairy_Stage1MMS_2_SumpAndDispersal_SolidsSeparated="Yes", 20%, 0)</f>
        <v>0.2</v>
      </c>
    </row>
    <row r="111" spans="4:19" ht="20.100000000000001" customHeight="1" x14ac:dyDescent="0.25">
      <c r="D111" s="117" t="str">
        <f>"Percent solids separated from " &amp; D108 &amp; " (Method 2)"</f>
        <v>Percent solids separated from Sump and dispersal system (Method 2)</v>
      </c>
      <c r="E111" s="28">
        <f>IF(X_Cell_Dairy_Stage1MMS_2_SumpAndDispersal_SolidsSeparated="Yes", 20%, 0)</f>
        <v>0.2</v>
      </c>
    </row>
    <row r="112" spans="4:19" ht="20.100000000000001" customHeight="1" x14ac:dyDescent="0.25"/>
    <row r="113" spans="4:14" ht="20.100000000000001" customHeight="1" x14ac:dyDescent="0.25">
      <c r="D113" s="116" t="str">
        <f>'Constants - Dairy'!$D$10</f>
        <v>Drains to paddock</v>
      </c>
      <c r="E113" s="28">
        <v>0.25</v>
      </c>
      <c r="F113" s="28">
        <v>0.25</v>
      </c>
      <c r="G113" s="28">
        <v>0.25</v>
      </c>
      <c r="H113" s="28">
        <v>0.25</v>
      </c>
      <c r="I113" s="28">
        <v>0.25</v>
      </c>
      <c r="J113" s="26" t="s">
        <v>245</v>
      </c>
      <c r="K113" s="26"/>
      <c r="L113" s="28">
        <v>0.25</v>
      </c>
      <c r="M113" s="28">
        <v>0.25</v>
      </c>
      <c r="N113" s="111">
        <f>1-SUM(L113:M113)</f>
        <v>0.5</v>
      </c>
    </row>
    <row r="114" spans="4:14" ht="20.100000000000001" customHeight="1" x14ac:dyDescent="0.25">
      <c r="D114" s="117" t="str">
        <f>"Were solids separated from " &amp; D113 &amp; "?"</f>
        <v>Were solids separated from Drains to paddock?</v>
      </c>
      <c r="E114" s="23" t="s">
        <v>255</v>
      </c>
    </row>
    <row r="115" spans="4:14" ht="20.100000000000001" customHeight="1" x14ac:dyDescent="0.25">
      <c r="D115" s="117" t="str">
        <f>"Percent solids separated from " &amp; D113 &amp; " (Method 1)"</f>
        <v>Percent solids separated from Drains to paddock (Method 1)</v>
      </c>
      <c r="E115" s="111">
        <f>IF(X_Cell_Dairy_Stage1MMS_2_DrainsToPaddock_SolidsSeparated="Yes", 20%, 0)</f>
        <v>0.2</v>
      </c>
    </row>
    <row r="116" spans="4:14" ht="20.100000000000001" customHeight="1" x14ac:dyDescent="0.25">
      <c r="D116" s="117" t="str">
        <f>"Percent solids separated from " &amp; D113 &amp; " (Method 2)"</f>
        <v>Percent solids separated from Drains to paddock (Method 2)</v>
      </c>
      <c r="E116" s="28">
        <f>IF(X_Cell_Dairy_Stage1MMS_2_DrainsToPaddock_SolidsSeparated="Yes", 20%, 0)</f>
        <v>0.2</v>
      </c>
    </row>
    <row r="117" spans="4:14" ht="20.100000000000001" customHeight="1" x14ac:dyDescent="0.25"/>
    <row r="118" spans="4:14" ht="20.100000000000001" customHeight="1" x14ac:dyDescent="0.25">
      <c r="D118" s="116" t="str">
        <f>'Constants - Dairy'!$D$11 &amp; " (before solid separation)"</f>
        <v>Solid storage (before solid separation)</v>
      </c>
      <c r="E118" s="28">
        <v>0.25</v>
      </c>
      <c r="F118" s="28">
        <v>0.25</v>
      </c>
      <c r="G118" s="28">
        <v>0.25</v>
      </c>
      <c r="H118" s="28">
        <v>0.25</v>
      </c>
      <c r="I118" s="28">
        <v>0.25</v>
      </c>
      <c r="J118" s="26" t="s">
        <v>245</v>
      </c>
      <c r="K118" s="26"/>
      <c r="L118" s="28">
        <v>0.25</v>
      </c>
      <c r="M118" s="28">
        <v>0.25</v>
      </c>
      <c r="N118" s="111">
        <f>1-SUM(L118:M118)</f>
        <v>0.5</v>
      </c>
    </row>
    <row r="119" spans="4:14" ht="20.100000000000001" customHeight="1" x14ac:dyDescent="0.25">
      <c r="D119" s="115" t="s">
        <v>256</v>
      </c>
      <c r="E119" s="111">
        <f>E118+(E103*X_Cell_Dairy_Stage1MMS_2_AnaerobicLagoon_AmountSeparated_Method1)+(E108*X_Cell_Dairy_Stage1MMS_2_SumpAndDispersal_AmountSeparated_Method1)+(E113*X_Cell_Dairy_Stage1MMS_2_DrainsToPaddock_AmountSeparated_Method1)</f>
        <v>0.35</v>
      </c>
      <c r="F119" s="111">
        <f>F118+(F103*X_Cell_Dairy_Stage1MMS_2_AnaerobicLagoon_AmountSeparated_Method1)+(F108*X_Cell_Dairy_Stage1MMS_2_SumpAndDispersal_AmountSeparated_Method1)+(F113*X_Cell_Dairy_Stage1MMS_2_DrainsToPaddock_AmountSeparated_Method1)</f>
        <v>0.35</v>
      </c>
      <c r="G119" s="111">
        <f>G118+(G103*X_Cell_Dairy_Stage1MMS_2_AnaerobicLagoon_AmountSeparated_Method1)+(G108*X_Cell_Dairy_Stage1MMS_2_SumpAndDispersal_AmountSeparated_Method1)+(G113*X_Cell_Dairy_Stage1MMS_2_DrainsToPaddock_AmountSeparated_Method1)</f>
        <v>0.35</v>
      </c>
      <c r="H119" s="111">
        <f>H118+(H103*X_Cell_Dairy_Stage1MMS_2_AnaerobicLagoon_AmountSeparated_Method1)+(H108*X_Cell_Dairy_Stage1MMS_2_SumpAndDispersal_AmountSeparated_Method1)+(H113*X_Cell_Dairy_Stage1MMS_2_DrainsToPaddock_AmountSeparated_Method1)</f>
        <v>0.35</v>
      </c>
      <c r="I119" s="111">
        <f>I118+(I103*X_Cell_Dairy_Stage1MMS_2_AnaerobicLagoon_AmountSeparated_Method1)+(I108*X_Cell_Dairy_Stage1MMS_2_SumpAndDispersal_AmountSeparated_Method1)+(I113*X_Cell_Dairy_Stage1MMS_2_DrainsToPaddock_AmountSeparated_Method1)</f>
        <v>0.35</v>
      </c>
      <c r="J119" s="26" t="s">
        <v>245</v>
      </c>
      <c r="K119" s="26"/>
      <c r="L119" s="26"/>
      <c r="M119" s="26"/>
      <c r="N119" s="26"/>
    </row>
    <row r="120" spans="4:14" ht="20.100000000000001" customHeight="1" x14ac:dyDescent="0.25">
      <c r="D120" s="115" t="s">
        <v>257</v>
      </c>
      <c r="E120" s="111">
        <f>E118+(E103*X_Cell_Dairy_Stage1MMS_2_AnaerobicLagoon_AmountSeparated_Method2)+(E108*X_Cell_Dairy_Stage1MMS_2_SumpAndDispersal_AmountSeparated_Method2)+(E113*X_Cell_Dairy_Stage1MMS_2_DrainsToPaddock_AmountSeparated_Method2)</f>
        <v>0.35</v>
      </c>
      <c r="F120" s="111">
        <f>F118+(F103*X_Cell_Dairy_Stage1MMS_2_AnaerobicLagoon_AmountSeparated_Method2)+(F108*X_Cell_Dairy_Stage1MMS_2_SumpAndDispersal_AmountSeparated_Method2)+(F113*X_Cell_Dairy_Stage1MMS_2_DrainsToPaddock_AmountSeparated_Method2)</f>
        <v>0.35</v>
      </c>
      <c r="G120" s="111">
        <f>G118+(G103*X_Cell_Dairy_Stage1MMS_2_AnaerobicLagoon_AmountSeparated_Method2)+(G108*X_Cell_Dairy_Stage1MMS_2_SumpAndDispersal_AmountSeparated_Method2)+(G113*X_Cell_Dairy_Stage1MMS_2_DrainsToPaddock_AmountSeparated_Method2)</f>
        <v>0.35</v>
      </c>
      <c r="H120" s="111">
        <f>H118+(H103*X_Cell_Dairy_Stage1MMS_2_AnaerobicLagoon_AmountSeparated_Method2)+(H108*X_Cell_Dairy_Stage1MMS_2_SumpAndDispersal_AmountSeparated_Method2)+(H113*X_Cell_Dairy_Stage1MMS_2_DrainsToPaddock_AmountSeparated_Method2)</f>
        <v>0.35</v>
      </c>
      <c r="I120" s="111">
        <f>I118+(I103*X_Cell_Dairy_Stage1MMS_2_AnaerobicLagoon_AmountSeparated_Method2)+(I108*X_Cell_Dairy_Stage1MMS_2_SumpAndDispersal_AmountSeparated_Method2)+(I113*X_Cell_Dairy_Stage1MMS_2_DrainsToPaddock_AmountSeparated_Method2)</f>
        <v>0.35</v>
      </c>
      <c r="J120" s="26" t="s">
        <v>245</v>
      </c>
      <c r="K120" s="26"/>
    </row>
    <row r="121" spans="4:14" ht="20.100000000000001" customHeight="1" x14ac:dyDescent="0.25"/>
    <row r="122" spans="4:14" ht="20.100000000000001" customHeight="1" x14ac:dyDescent="0.25"/>
    <row r="123" spans="4:14" ht="20.100000000000001" customHeight="1" x14ac:dyDescent="0.25">
      <c r="D123" s="1" t="s">
        <v>259</v>
      </c>
      <c r="E123" s="23" t="s">
        <v>171</v>
      </c>
      <c r="F123" s="26" t="s">
        <v>101</v>
      </c>
    </row>
    <row r="124" spans="4:14" ht="20.100000000000001" customHeight="1" x14ac:dyDescent="0.25">
      <c r="E124" s="23" t="s">
        <v>260</v>
      </c>
      <c r="F124" s="26" t="s">
        <v>101</v>
      </c>
      <c r="L124" s="26"/>
      <c r="M124" s="26"/>
      <c r="N124" s="26"/>
    </row>
    <row r="125" spans="4:14" ht="20.100000000000001" customHeight="1" x14ac:dyDescent="0.25"/>
    <row r="126" spans="4:14" ht="20.100000000000001" customHeight="1" x14ac:dyDescent="0.25"/>
    <row r="127" spans="4:14" ht="20.100000000000001" customHeight="1" x14ac:dyDescent="0.25"/>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6"/>
      <c r="N142" s="26"/>
    </row>
    <row r="143" spans="13:14" ht="20.100000000000001" customHeight="1" x14ac:dyDescent="0.25">
      <c r="M143" s="26"/>
      <c r="N143" s="26"/>
    </row>
    <row r="144" spans="13:14" ht="20.100000000000001" customHeight="1" x14ac:dyDescent="0.25">
      <c r="M144" s="26"/>
      <c r="N144" s="26"/>
    </row>
    <row r="145" spans="13:14" ht="20.100000000000001" customHeight="1" x14ac:dyDescent="0.25"/>
    <row r="146" spans="13:14" ht="20.100000000000001" customHeight="1" x14ac:dyDescent="0.25"/>
    <row r="147" spans="13:14" ht="20.100000000000001" customHeight="1" x14ac:dyDescent="0.25">
      <c r="M147" s="26"/>
      <c r="N147" s="26"/>
    </row>
    <row r="148" spans="13:14" ht="20.100000000000001" customHeight="1" x14ac:dyDescent="0.25">
      <c r="M148" s="26"/>
      <c r="N148" s="26"/>
    </row>
    <row r="149" spans="13:14" ht="20.100000000000001" customHeight="1" x14ac:dyDescent="0.25">
      <c r="M149" s="26"/>
      <c r="N149" s="26"/>
    </row>
    <row r="150" spans="13:14" ht="20.100000000000001" customHeight="1" x14ac:dyDescent="0.25"/>
    <row r="151" spans="13:14" ht="20.100000000000001" customHeight="1" x14ac:dyDescent="0.25"/>
    <row r="152" spans="13:14" ht="20.100000000000001" customHeight="1" x14ac:dyDescent="0.25">
      <c r="M152" s="26"/>
      <c r="N152" s="26"/>
    </row>
    <row r="153" spans="13:14" ht="20.100000000000001" customHeight="1" x14ac:dyDescent="0.25">
      <c r="M153" s="26"/>
      <c r="N153" s="26"/>
    </row>
    <row r="154" spans="13:14" ht="20.100000000000001" customHeight="1" x14ac:dyDescent="0.25">
      <c r="M154" s="26"/>
      <c r="N154" s="26"/>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6"/>
      <c r="N161" s="26"/>
    </row>
    <row r="162" spans="13:14" ht="20.100000000000001" customHeight="1" x14ac:dyDescent="0.25">
      <c r="M162" s="26"/>
      <c r="N162" s="26"/>
    </row>
    <row r="163" spans="13:14" ht="20.100000000000001" customHeight="1" x14ac:dyDescent="0.25">
      <c r="M163" s="26"/>
      <c r="N163" s="26"/>
    </row>
    <row r="164" spans="13:14" ht="20.100000000000001" customHeight="1" x14ac:dyDescent="0.25"/>
    <row r="165" spans="13:14" ht="20.100000000000001" customHeight="1" x14ac:dyDescent="0.25"/>
    <row r="166" spans="13:14" x14ac:dyDescent="0.25">
      <c r="M166" s="26"/>
      <c r="N166" s="26"/>
    </row>
    <row r="167" spans="13:14" x14ac:dyDescent="0.25">
      <c r="M167" s="26"/>
      <c r="N167" s="26"/>
    </row>
    <row r="168" spans="13:14" x14ac:dyDescent="0.25">
      <c r="M168" s="26"/>
      <c r="N168" s="26"/>
    </row>
    <row r="171" spans="13:14" x14ac:dyDescent="0.25">
      <c r="M171" s="26"/>
      <c r="N171" s="26"/>
    </row>
    <row r="172" spans="13:14" x14ac:dyDescent="0.25">
      <c r="M172" s="26"/>
      <c r="N172" s="26"/>
    </row>
    <row r="173" spans="13:14" x14ac:dyDescent="0.25">
      <c r="M173" s="26"/>
      <c r="N173" s="26"/>
    </row>
    <row r="176" spans="13:14" x14ac:dyDescent="0.25">
      <c r="M176" s="26"/>
      <c r="N176" s="26"/>
    </row>
    <row r="177" spans="13:14" x14ac:dyDescent="0.25">
      <c r="M177" s="26"/>
      <c r="N177" s="26"/>
    </row>
    <row r="178" spans="13:14" x14ac:dyDescent="0.25">
      <c r="M178" s="26"/>
      <c r="N178" s="26"/>
    </row>
  </sheetData>
  <conditionalFormatting sqref="E10:N10 E24:N25 E28:N29 K36:L36 E36:J37 M36:N38 L37 K40 E40:J41 L41:L42 M42:N42 P43:Q43 J79:K79 J84:K84 F89 J89:K89 F94 J94:K96 L95:N95 F100 J103:K103 J108:K108 J113:K113 J118:K120 L119:N119 L124:N124">
    <cfRule type="cellIs" dxfId="91" priority="6" operator="lessThan">
      <formula>0</formula>
    </cfRule>
  </conditionalFormatting>
  <conditionalFormatting sqref="E14:N15">
    <cfRule type="cellIs" dxfId="90" priority="2" operator="lessThan">
      <formula>0</formula>
    </cfRule>
  </conditionalFormatting>
  <conditionalFormatting sqref="E18:N19">
    <cfRule type="cellIs" dxfId="89" priority="1" operator="lessThan">
      <formula>0</formula>
    </cfRule>
  </conditionalFormatting>
  <conditionalFormatting sqref="F97">
    <cfRule type="cellIs" dxfId="88" priority="3" operator="lessThan">
      <formula>0</formula>
    </cfRule>
  </conditionalFormatting>
  <conditionalFormatting sqref="J63:N65">
    <cfRule type="cellIs" dxfId="87" priority="5" operator="lessThan">
      <formula>0</formula>
    </cfRule>
  </conditionalFormatting>
  <conditionalFormatting sqref="J68:N70">
    <cfRule type="cellIs" dxfId="86" priority="4" operator="lessThan">
      <formula>0</formula>
    </cfRule>
  </conditionalFormatting>
  <dataValidations count="6">
    <dataValidation type="list" allowBlank="1" showInputMessage="1" showErrorMessage="1" sqref="E47" xr:uid="{8B5ACD67-0213-4521-8ADD-DFAE18293C71}">
      <formula1>"Litres of milk, Milk solids"</formula1>
    </dataValidation>
    <dataValidation type="list" allowBlank="1" showInputMessage="1" showErrorMessage="1" sqref="E7" xr:uid="{10250B91-C268-4174-8D87-707EC50EFBFB}">
      <formula1>INDIRECT("Table_SourceData_Dairy_WjCowsHeifers[Breed]")</formula1>
    </dataValidation>
    <dataValidation type="list" allowBlank="1" showInputMessage="1" showErrorMessage="1" sqref="E80 E85 E90 E104 E109 E114" xr:uid="{3B0C782A-6621-4F68-973B-CC0949750F23}">
      <formula1>"Yes, No"</formula1>
    </dataValidation>
    <dataValidation type="list" allowBlank="1" showInputMessage="1" showErrorMessage="1" sqref="E60" xr:uid="{09DA6152-AF7B-4384-AE9A-53924B3B6E08}">
      <formula1>INDIRECT("Table_SourceData_Dairy_ProductionSystemTemplates[Area]")</formula1>
    </dataValidation>
    <dataValidation type="list" allowBlank="1" showInputMessage="1" showErrorMessage="1" sqref="E124" xr:uid="{7462204D-B456-4809-B9E2-D52FB118A8D7}">
      <formula1>INDIRECT("Table_SourceData_Dairy_IrrigationMethods[Irrigation method]")</formula1>
    </dataValidation>
    <dataValidation type="list" allowBlank="1" showInputMessage="1" showErrorMessage="1" sqref="E123" xr:uid="{46093A5D-955A-4D4C-BF65-75E54A242E3E}">
      <formula1>INDIRECT("Table_SourceData_Dairy_CropProdSystems[Production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CCE60-795D-4C9C-9973-24040F398C84}">
  <dimension ref="A1:W178"/>
  <sheetViews>
    <sheetView showGridLines="0" topLeftCell="A36"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96" customWidth="1"/>
    <col min="17" max="22" width="30.7109375" style="96" customWidth="1"/>
    <col min="23" max="23" width="4.7109375" style="96" customWidth="1"/>
  </cols>
  <sheetData>
    <row r="1" spans="1:23" s="16" customFormat="1" ht="30" customHeight="1" x14ac:dyDescent="0.35">
      <c r="A1" s="16" t="e" vm="1">
        <v>#VALUE!</v>
      </c>
      <c r="C1" s="16" t="s">
        <v>209</v>
      </c>
      <c r="O1" s="96"/>
      <c r="P1" s="96"/>
      <c r="Q1" s="96"/>
      <c r="R1" s="96"/>
      <c r="S1" s="96"/>
      <c r="T1" s="96"/>
      <c r="U1" s="96"/>
      <c r="V1" s="96"/>
      <c r="W1" s="96"/>
    </row>
    <row r="2" spans="1:23" s="3" customFormat="1" ht="20.100000000000001" customHeight="1" x14ac:dyDescent="0.25">
      <c r="A2"/>
      <c r="O2" s="96"/>
      <c r="P2" s="96"/>
      <c r="Q2" s="96"/>
      <c r="R2" s="96"/>
      <c r="S2" s="96"/>
      <c r="T2" s="96"/>
      <c r="U2" s="96"/>
      <c r="V2" s="96"/>
      <c r="W2" s="96"/>
    </row>
    <row r="3" spans="1:23" ht="20.100000000000001" customHeight="1" x14ac:dyDescent="0.25">
      <c r="A3" s="5" t="str">
        <f>HYPERLINK("#'Home'!A1", "Home")</f>
        <v>Home</v>
      </c>
      <c r="C3" s="38"/>
      <c r="D3" s="38"/>
      <c r="E3" s="38"/>
      <c r="F3" s="38"/>
      <c r="G3" s="38"/>
      <c r="H3" s="38"/>
      <c r="I3" s="38"/>
      <c r="J3" s="38"/>
      <c r="K3" s="38"/>
      <c r="L3" s="38"/>
      <c r="M3" s="38"/>
      <c r="N3" s="38"/>
    </row>
    <row r="4" spans="1:23" ht="20.100000000000001" customHeight="1" x14ac:dyDescent="0.25">
      <c r="A4" s="5" t="str">
        <f>HYPERLINK("#'Overview'!A1", "Overview")</f>
        <v>Overview</v>
      </c>
    </row>
    <row r="5" spans="1:23" ht="20.100000000000001" customHeight="1" x14ac:dyDescent="0.25">
      <c r="A5" s="5" t="str">
        <f>HYPERLINK("#'Results'!A1", "Results")</f>
        <v>Results</v>
      </c>
      <c r="D5" s="2" t="s">
        <v>210</v>
      </c>
      <c r="N5" s="34"/>
      <c r="R5" s="31"/>
    </row>
    <row r="6" spans="1:23" ht="20.100000000000001" customHeight="1" x14ac:dyDescent="0.25">
      <c r="N6" s="34"/>
      <c r="R6" s="31"/>
    </row>
    <row r="7" spans="1:23" ht="20.100000000000001" customHeight="1" x14ac:dyDescent="0.25">
      <c r="D7" s="1" t="s">
        <v>211</v>
      </c>
      <c r="E7" s="23" t="s">
        <v>212</v>
      </c>
      <c r="F7" s="26" t="s">
        <v>101</v>
      </c>
      <c r="N7" s="34"/>
      <c r="R7" s="31"/>
    </row>
    <row r="8" spans="1:23" ht="20.100000000000001" customHeight="1" x14ac:dyDescent="0.25">
      <c r="A8" s="7" t="s">
        <v>0</v>
      </c>
      <c r="N8" s="34"/>
      <c r="R8" s="31"/>
    </row>
    <row r="9" spans="1:23" ht="20.100000000000001" customHeight="1" x14ac:dyDescent="0.25">
      <c r="A9" s="5" t="str">
        <f>HYPERLINK("#'Input - Enterprise'!A1", "Enterprise")</f>
        <v>Enterprise</v>
      </c>
      <c r="D9" s="97"/>
      <c r="E9" s="94" t="s">
        <v>213</v>
      </c>
      <c r="F9" s="94" t="s">
        <v>214</v>
      </c>
      <c r="G9" s="94" t="s">
        <v>215</v>
      </c>
      <c r="H9" s="94" t="s">
        <v>216</v>
      </c>
      <c r="I9" s="94" t="s">
        <v>217</v>
      </c>
      <c r="R9" s="31"/>
    </row>
    <row r="10" spans="1:23" ht="20.100000000000001" customHeight="1" x14ac:dyDescent="0.25">
      <c r="A10" s="5" t="str">
        <f>HYPERLINK("#'Input - Site'!A1", "Site")</f>
        <v>Site</v>
      </c>
      <c r="D10" s="1" t="str">
        <f>"Average number of head between " &amp; TEXT(X_Cell_Site_StartDate, "dd mmm yy") &amp; " and " &amp; TEXT(X_Cell_Site_EndDate, "dd mmm yy")</f>
        <v>Average number of head between 01 Jan 24 and 31 Dec 24</v>
      </c>
      <c r="E10" s="99">
        <v>100</v>
      </c>
      <c r="F10" s="99">
        <v>100</v>
      </c>
      <c r="G10" s="99">
        <v>100</v>
      </c>
      <c r="H10" s="99">
        <v>100</v>
      </c>
      <c r="I10" s="99">
        <v>100</v>
      </c>
      <c r="J10" s="26" t="s">
        <v>218</v>
      </c>
      <c r="K10" s="26"/>
      <c r="L10" s="26"/>
      <c r="M10" s="26"/>
      <c r="R10" s="31"/>
    </row>
    <row r="11" spans="1:23" ht="20.100000000000001" customHeight="1" x14ac:dyDescent="0.25">
      <c r="A11" s="5" t="str">
        <f>HYPERLINK("#'Input - Dairy'!A1", "Dairy")</f>
        <v>Dairy</v>
      </c>
      <c r="R11" s="31"/>
    </row>
    <row r="12" spans="1:23" ht="20.100000000000001" customHeight="1" x14ac:dyDescent="0.25">
      <c r="A12" s="98" t="str">
        <f>HYPERLINK("#'Input - Dairy (Enteric)'!A1", "Dairy (Enteric)")</f>
        <v>Dairy (Enteric)</v>
      </c>
      <c r="D12" s="90" t="s">
        <v>219</v>
      </c>
      <c r="R12" s="31"/>
    </row>
    <row r="13" spans="1:23" ht="20.100000000000001" customHeight="1" x14ac:dyDescent="0.25">
      <c r="A13" s="5" t="str">
        <f>HYPERLINK("#'Input - Livestock sales'!A1", "Livestock sales")</f>
        <v>Livestock sales</v>
      </c>
      <c r="D13" s="97" t="s">
        <v>220</v>
      </c>
      <c r="E13" s="94" t="s">
        <v>213</v>
      </c>
      <c r="F13" s="94" t="s">
        <v>214</v>
      </c>
      <c r="G13" s="94" t="s">
        <v>215</v>
      </c>
      <c r="H13" s="94" t="s">
        <v>216</v>
      </c>
      <c r="I13" s="94" t="s">
        <v>217</v>
      </c>
      <c r="R13" s="51"/>
    </row>
    <row r="14" spans="1:23" ht="20.100000000000001" customHeight="1" x14ac:dyDescent="0.25">
      <c r="A14" s="5" t="str">
        <f>HYPERLINK("#'Input - Dairy cattle purchases'!A1", "Dairy cattle purchases")</f>
        <v>Dairy cattle purchases</v>
      </c>
      <c r="D14" s="1" t="s">
        <v>221</v>
      </c>
      <c r="E14" s="25">
        <f>Common_InputFunctions.Utility_LookupValueInTableNumber(X_Cell_Dairy_Breed, Table_SourceData_Dairy_WjCowsHeifers[Breed],Table_SourceData_Dairy_WjCowsHeifers[Milking cows])</f>
        <v>550</v>
      </c>
      <c r="F14" s="25">
        <f>Common_InputFunctions.Utility_LookupValueInTableNumber(X_Cell_Dairy_Breed, Table_SourceData_Dairy_WjCowsHeifers[Breed],Table_SourceData_Dairy_WjCowsHeifers[Heifers &gt; 1])</f>
        <v>380</v>
      </c>
      <c r="G14" s="25">
        <f>Common_InputFunctions.Utility_LookupValueInTableNumber(X_Cell_Dairy_Breed, Table_SourceData_Dairy_WjCowsHeifers[Breed],Table_SourceData_Dairy_WjCowsHeifers[Heifers &lt; 1 (weaned)])</f>
        <v>155</v>
      </c>
      <c r="H14" s="25" cm="1">
        <f t="array" ref="H14">Table_SourceData_Dairy_WjBulls[Bulls &gt; 1]</f>
        <v>600</v>
      </c>
      <c r="I14" s="25" cm="1">
        <f t="array" ref="I14">Table_SourceData_Dairy_WjBulls[Bulls &lt; 1 (weaned)]</f>
        <v>225</v>
      </c>
      <c r="J14" s="26" t="s">
        <v>222</v>
      </c>
      <c r="K14" s="26"/>
      <c r="L14" s="26"/>
      <c r="M14" s="26"/>
      <c r="R14" s="51"/>
    </row>
    <row r="15" spans="1:23" ht="20.100000000000001" customHeight="1" x14ac:dyDescent="0.25">
      <c r="A15" s="5" t="str">
        <f>HYPERLINK("#'Input - Pasture'!A1", "Pasture")</f>
        <v>Pasture</v>
      </c>
      <c r="D15" s="1" t="s">
        <v>223</v>
      </c>
      <c r="E15" s="25" cm="1">
        <f t="array" ref="E15">Table_SourceData_Dairy_LWGj[Milking cows]</f>
        <v>1.6E-2</v>
      </c>
      <c r="F15" s="25" cm="1">
        <f t="array" ref="F15">Table_SourceData_Dairy_LWGj[Heifers &gt; 1]</f>
        <v>0.6</v>
      </c>
      <c r="G15" s="25" cm="1">
        <f t="array" ref="G15">Table_SourceData_Dairy_LWGj[Heifers &lt; 1 (weaned)]</f>
        <v>0.56999999999999995</v>
      </c>
      <c r="H15" s="25" cm="1">
        <f t="array" ref="H15">Table_SourceData_Dairy_LWGj[Bulls &gt; 1]</f>
        <v>0.1</v>
      </c>
      <c r="I15" s="25" cm="1">
        <f t="array" ref="I15">Table_SourceData_Dairy_LWGj[Bulls &lt; 1 (weaned)]</f>
        <v>0.8</v>
      </c>
      <c r="J15" s="26" t="s">
        <v>224</v>
      </c>
      <c r="K15" s="26"/>
      <c r="L15" s="26"/>
      <c r="M15" s="26"/>
      <c r="R15" s="51"/>
    </row>
    <row r="16" spans="1:23" ht="20.100000000000001" customHeight="1" x14ac:dyDescent="0.25">
      <c r="A16" s="5" t="str">
        <f>HYPERLINK("#'Input - Fert Prod System'!A1", "Fert Prod System")</f>
        <v>Fert Prod System</v>
      </c>
      <c r="R16" s="51"/>
    </row>
    <row r="17" spans="1:18" ht="20.100000000000001" customHeight="1" x14ac:dyDescent="0.25">
      <c r="A17" s="5" t="str">
        <f>HYPERLINK("#'Input - Fertiliser'!A1", "Fertiliser")</f>
        <v>Fertiliser</v>
      </c>
      <c r="D17" s="97" t="s">
        <v>225</v>
      </c>
      <c r="E17" s="94" t="s">
        <v>213</v>
      </c>
      <c r="F17" s="94" t="s">
        <v>214</v>
      </c>
      <c r="G17" s="94" t="s">
        <v>215</v>
      </c>
      <c r="H17" s="94" t="s">
        <v>216</v>
      </c>
      <c r="I17" s="94" t="s">
        <v>217</v>
      </c>
      <c r="R17" s="31"/>
    </row>
    <row r="18" spans="1:18" ht="20.100000000000001" customHeight="1" x14ac:dyDescent="0.25">
      <c r="A18" s="5" t="str">
        <f>HYPERLINK("#'Input - Fuel'!A1", "Fuel")</f>
        <v>Fuel</v>
      </c>
      <c r="D18" s="1" t="s">
        <v>221</v>
      </c>
      <c r="E18" s="85">
        <f>Common_InputFunctions.Utility_LookupValueInTableNumber(X_Cell_Dairy_Breed, Table_SourceData_Dairy_WjCowsHeifers[Breed],Table_SourceData_Dairy_WjCowsHeifers[Milking cows])</f>
        <v>550</v>
      </c>
      <c r="F18" s="85">
        <f>Common_InputFunctions.Utility_LookupValueInTableNumber(X_Cell_Dairy_Breed, Table_SourceData_Dairy_WjCowsHeifers[Breed],Table_SourceData_Dairy_WjCowsHeifers[Heifers &gt; 1])</f>
        <v>380</v>
      </c>
      <c r="G18" s="85">
        <f>Common_InputFunctions.Utility_LookupValueInTableNumber(X_Cell_Dairy_Breed, Table_SourceData_Dairy_WjCowsHeifers[Breed],Table_SourceData_Dairy_WjCowsHeifers[Heifers &lt; 1 (weaned)])</f>
        <v>155</v>
      </c>
      <c r="H18" s="85" cm="1">
        <f t="array" ref="H18">Table_SourceData_Dairy_WjBulls[Bulls &gt; 1]</f>
        <v>600</v>
      </c>
      <c r="I18" s="85" cm="1">
        <f t="array" ref="I18">Table_SourceData_Dairy_WjBulls[Bulls &lt; 1 (weaned)]</f>
        <v>225</v>
      </c>
      <c r="J18" s="26" t="s">
        <v>222</v>
      </c>
      <c r="K18" s="26"/>
      <c r="L18" s="26"/>
      <c r="M18" s="26"/>
      <c r="R18" s="31"/>
    </row>
    <row r="19" spans="1:18" ht="20.100000000000001" customHeight="1" x14ac:dyDescent="0.25">
      <c r="A19" s="5" t="str">
        <f>HYPERLINK("#'Input - Electricity'!A1", "Electricity")</f>
        <v>Electricity</v>
      </c>
      <c r="D19" s="1" t="s">
        <v>223</v>
      </c>
      <c r="E19" s="85" cm="1">
        <f t="array" ref="E19">Table_SourceData_Dairy_LWGj[Milking cows]</f>
        <v>1.6E-2</v>
      </c>
      <c r="F19" s="85" cm="1">
        <f t="array" ref="F19">Table_SourceData_Dairy_LWGj[Heifers &gt; 1]</f>
        <v>0.6</v>
      </c>
      <c r="G19" s="85" cm="1">
        <f t="array" ref="G19">Table_SourceData_Dairy_LWGj[Heifers &lt; 1 (weaned)]</f>
        <v>0.56999999999999995</v>
      </c>
      <c r="H19" s="85" cm="1">
        <f t="array" ref="H19">Table_SourceData_Dairy_LWGj[Bulls &gt; 1]</f>
        <v>0.1</v>
      </c>
      <c r="I19" s="85" cm="1">
        <f t="array" ref="I19">Table_SourceData_Dairy_LWGj[Bulls &lt; 1 (weaned)]</f>
        <v>0.8</v>
      </c>
      <c r="J19" s="26" t="s">
        <v>224</v>
      </c>
      <c r="K19" s="26"/>
      <c r="L19" s="26"/>
      <c r="M19" s="26"/>
      <c r="R19" s="31"/>
    </row>
    <row r="20" spans="1:18" ht="20.100000000000001" customHeight="1" x14ac:dyDescent="0.25">
      <c r="A20" s="5" t="str">
        <f>HYPERLINK("#'Input - Farm Inputs'!A1", "Farm Inputs")</f>
        <v>Farm Inputs</v>
      </c>
      <c r="R20" s="31"/>
    </row>
    <row r="21" spans="1:18" ht="20.100000000000001" customHeight="1" x14ac:dyDescent="0.25">
      <c r="A21" s="5" t="str">
        <f>HYPERLINK("#'Input - Freight'!A1", "Freight")</f>
        <v>Freight</v>
      </c>
      <c r="D21" s="90" t="s">
        <v>226</v>
      </c>
      <c r="R21" s="31"/>
    </row>
    <row r="22" spans="1:18" ht="20.100000000000001" customHeight="1" x14ac:dyDescent="0.25">
      <c r="A22" s="5" t="str">
        <f>HYPERLINK("#'Input - Manure sent off-site'!A1", "Manure sent off-site")</f>
        <v>Manure sent off-site</v>
      </c>
      <c r="R22" s="31"/>
    </row>
    <row r="23" spans="1:18" ht="20.100000000000001" customHeight="1" x14ac:dyDescent="0.25">
      <c r="A23" s="5" t="str">
        <f>HYPERLINK("#'Input - Solid waste'!A1", "Solid waste")</f>
        <v>Solid waste</v>
      </c>
      <c r="D23" s="97" t="s">
        <v>220</v>
      </c>
      <c r="E23" s="94" t="s">
        <v>213</v>
      </c>
      <c r="F23" s="94" t="s">
        <v>214</v>
      </c>
      <c r="G23" s="94" t="s">
        <v>215</v>
      </c>
      <c r="H23" s="94" t="s">
        <v>216</v>
      </c>
      <c r="I23" s="94" t="s">
        <v>217</v>
      </c>
      <c r="R23" s="31"/>
    </row>
    <row r="24" spans="1:18" ht="20.100000000000001" customHeight="1" x14ac:dyDescent="0.25">
      <c r="A24" s="5" t="str">
        <f>HYPERLINK("#'Input - Data quality'!A1", "Data quality")</f>
        <v>Data quality</v>
      </c>
      <c r="D24" s="1" t="str">
        <f>"Average duration of stay between " &amp; TEXT(X_Cell_Site_StartDate, "dd mmm yy") &amp; " and " &amp; TEXT(X_Cell_Site_EndDate, "dd mmm yy") &amp; " weaned livestock"</f>
        <v>Average duration of stay between 01 Jan 24 and 31 Dec 24 weaned livestock</v>
      </c>
      <c r="E24" s="25" cm="1">
        <f t="array" ref="E24">Common_InputFunctions.Utility_LookupValueInTableNumber(E23,Table_SourceData_Dairy_Duration[Animal class j],Table_SourceData_Dairy_Duration[Duration (weaned)])</f>
        <v>365</v>
      </c>
      <c r="F24" s="25" cm="1">
        <f t="array" ref="F24">Common_InputFunctions.Utility_LookupValueInTableNumber(F23,Table_SourceData_Dairy_Duration[Animal class j],Table_SourceData_Dairy_Duration[Duration (weaned)])</f>
        <v>365</v>
      </c>
      <c r="G24" s="25" cm="1">
        <f t="array" ref="G24">Common_InputFunctions.Utility_LookupValueInTableNumber(G23,Table_SourceData_Dairy_Duration[Animal class j],Table_SourceData_Dairy_Duration[Duration (weaned)])</f>
        <v>281</v>
      </c>
      <c r="H24" s="25" cm="1">
        <f t="array" ref="H24">Common_InputFunctions.Utility_LookupValueInTableNumber(H23,Table_SourceData_Dairy_Duration[Animal class j],Table_SourceData_Dairy_Duration[Duration (weaned)])</f>
        <v>365</v>
      </c>
      <c r="I24" s="25" cm="1">
        <f t="array" ref="I24">Common_InputFunctions.Utility_LookupValueInTableNumber(I23,Table_SourceData_Dairy_Duration[Animal class j],Table_SourceData_Dairy_Duration[Duration (weaned)])</f>
        <v>281</v>
      </c>
      <c r="J24" s="26" t="s">
        <v>113</v>
      </c>
      <c r="K24" s="26"/>
      <c r="L24" s="26"/>
      <c r="M24" s="26"/>
      <c r="R24" s="31"/>
    </row>
    <row r="25" spans="1:18" ht="20.100000000000001" customHeight="1" x14ac:dyDescent="0.25">
      <c r="D25" s="1" t="str">
        <f>"Average duration of stay between " &amp; TEXT(X_Cell_Site_StartDate, "dd mmm yy") &amp; " and " &amp; TEXT(X_Cell_Site_EndDate, "dd mmm yy") &amp; " pre-weaned livestock"</f>
        <v>Average duration of stay between 01 Jan 24 and 31 Dec 24 pre-weaned livestock</v>
      </c>
      <c r="E25" s="25" cm="1">
        <f t="array" ref="E25">Common_InputFunctions.Utility_LookupValueInTableNumber(E23,Table_SourceData_Dairy_Duration[Animal class j],Table_SourceData_Dairy_Duration[Duration (pre-weaned)])</f>
        <v>0</v>
      </c>
      <c r="F25" s="25" cm="1">
        <f t="array" ref="F25">Common_InputFunctions.Utility_LookupValueInTableNumber(F23,Table_SourceData_Dairy_Duration[Animal class j],Table_SourceData_Dairy_Duration[Duration (pre-weaned)])</f>
        <v>0</v>
      </c>
      <c r="G25" s="25" cm="1">
        <f t="array" ref="G25">Common_InputFunctions.Utility_LookupValueInTableNumber(G23,Table_SourceData_Dairy_Duration[Animal class j],Table_SourceData_Dairy_Duration[Duration (pre-weaned)])</f>
        <v>84</v>
      </c>
      <c r="H25" s="25" cm="1">
        <f t="array" ref="H25">Common_InputFunctions.Utility_LookupValueInTableNumber(H23,Table_SourceData_Dairy_Duration[Animal class j],Table_SourceData_Dairy_Duration[Duration (pre-weaned)])</f>
        <v>0</v>
      </c>
      <c r="I25" s="25" cm="1">
        <f t="array" ref="I25">Common_InputFunctions.Utility_LookupValueInTableNumber(I23,Table_SourceData_Dairy_Duration[Animal class j],Table_SourceData_Dairy_Duration[Duration (pre-weaned)])</f>
        <v>84</v>
      </c>
      <c r="J25" s="26" t="s">
        <v>113</v>
      </c>
      <c r="K25" s="26"/>
      <c r="L25" s="26"/>
      <c r="M25" s="26"/>
      <c r="R25" s="31"/>
    </row>
    <row r="26" spans="1:18" ht="20.100000000000001" customHeight="1" x14ac:dyDescent="0.25">
      <c r="R26" s="31"/>
    </row>
    <row r="27" spans="1:18" ht="20.100000000000001" customHeight="1" x14ac:dyDescent="0.25">
      <c r="A27" s="6" t="s">
        <v>2</v>
      </c>
      <c r="D27" s="97" t="s">
        <v>225</v>
      </c>
      <c r="E27" s="94" t="s">
        <v>213</v>
      </c>
      <c r="F27" s="94" t="s">
        <v>214</v>
      </c>
      <c r="G27" s="94" t="s">
        <v>215</v>
      </c>
      <c r="H27" s="94" t="s">
        <v>216</v>
      </c>
      <c r="I27" s="94" t="s">
        <v>217</v>
      </c>
      <c r="R27" s="31"/>
    </row>
    <row r="28" spans="1:18" ht="20.100000000000001" customHeight="1" x14ac:dyDescent="0.25">
      <c r="A28" s="5" t="str">
        <f>HYPERLINK("#'5.1.1.1-2 Inorganic fert N2O'!A1", "5.1.1.1-2 Inorganic fert N2O")</f>
        <v>5.1.1.1-2 Inorganic fert N2O</v>
      </c>
      <c r="D28" s="1" t="str">
        <f>"Average duration of stay between " &amp; TEXT(X_Cell_Site_StartDate, "dd mmm yy") &amp; " and " &amp; TEXT(X_Cell_Site_EndDate, "dd mmm yy") &amp; " weaned livestock"</f>
        <v>Average duration of stay between 01 Jan 24 and 31 Dec 24 weaned livestock</v>
      </c>
      <c r="E28" s="85" cm="1">
        <f t="array" ref="E28">Common_InputFunctions.Utility_LookupValueInTableNumber(E27,Table_SourceData_Dairy_Duration[Animal class j],Table_SourceData_Dairy_Duration[Duration (weaned)])</f>
        <v>365</v>
      </c>
      <c r="F28" s="85" cm="1">
        <f t="array" ref="F28">Common_InputFunctions.Utility_LookupValueInTableNumber(F27,Table_SourceData_Dairy_Duration[Animal class j],Table_SourceData_Dairy_Duration[Duration (weaned)])</f>
        <v>365</v>
      </c>
      <c r="G28" s="85" cm="1">
        <f t="array" ref="G28">Common_InputFunctions.Utility_LookupValueInTableNumber(G27,Table_SourceData_Dairy_Duration[Animal class j],Table_SourceData_Dairy_Duration[Duration (weaned)])</f>
        <v>281</v>
      </c>
      <c r="H28" s="85" cm="1">
        <f t="array" ref="H28">Common_InputFunctions.Utility_LookupValueInTableNumber(H27,Table_SourceData_Dairy_Duration[Animal class j],Table_SourceData_Dairy_Duration[Duration (weaned)])</f>
        <v>365</v>
      </c>
      <c r="I28" s="85" cm="1">
        <f t="array" ref="I28">Common_InputFunctions.Utility_LookupValueInTableNumber(I27,Table_SourceData_Dairy_Duration[Animal class j],Table_SourceData_Dairy_Duration[Duration (weaned)])</f>
        <v>281</v>
      </c>
      <c r="J28" s="26" t="s">
        <v>113</v>
      </c>
      <c r="K28" s="26"/>
      <c r="L28" s="26"/>
      <c r="M28" s="26"/>
      <c r="R28" s="31"/>
    </row>
    <row r="29" spans="1:18" ht="20.100000000000001" customHeight="1" x14ac:dyDescent="0.25">
      <c r="A29" s="5" t="str">
        <f>HYPERLINK("#'5.1.1.3-4 Inorganic fert CO2'!A1", "5.1.1.3-4 Inorganic fert CO2")</f>
        <v>5.1.1.3-4 Inorganic fert CO2</v>
      </c>
      <c r="D29" s="1" t="str">
        <f>"Average duration of stay between " &amp; TEXT(X_Cell_Site_StartDate, "dd mmm yy") &amp; " and " &amp; TEXT(X_Cell_Site_EndDate, "dd mmm yy") &amp; " pre-weaned livestock"</f>
        <v>Average duration of stay between 01 Jan 24 and 31 Dec 24 pre-weaned livestock</v>
      </c>
      <c r="E29" s="25">
        <f>365-E28</f>
        <v>0</v>
      </c>
      <c r="F29" s="25">
        <f t="shared" ref="F29:I29" si="0">365-F28</f>
        <v>0</v>
      </c>
      <c r="G29" s="25">
        <f t="shared" si="0"/>
        <v>84</v>
      </c>
      <c r="H29" s="25">
        <f t="shared" si="0"/>
        <v>0</v>
      </c>
      <c r="I29" s="25">
        <f t="shared" si="0"/>
        <v>84</v>
      </c>
      <c r="J29" s="26" t="s">
        <v>113</v>
      </c>
      <c r="K29" s="26"/>
      <c r="L29" s="26"/>
      <c r="M29" s="26"/>
      <c r="R29" s="31"/>
    </row>
    <row r="30" spans="1:18" ht="20.100000000000001" customHeight="1" x14ac:dyDescent="0.25">
      <c r="A30" s="5" t="str">
        <f>HYPERLINK("#'5.2.1.1-2 Organic Fert N2O'!A1", "5.2.1.1-2 Organic fert N2O")</f>
        <v>5.2.1.1-2 Organic fert N2O</v>
      </c>
      <c r="R30" s="31"/>
    </row>
    <row r="31" spans="1:18" ht="20.100000000000001" customHeight="1" x14ac:dyDescent="0.25">
      <c r="A31" s="5" t="str">
        <f>HYPERLINK("#'5.3.1.1-2 Lime CO2'!A1", "5.3.1.1-2 Lime CO2")</f>
        <v>5.3.1.1-2 Lime CO2</v>
      </c>
      <c r="R31" s="31"/>
    </row>
    <row r="32" spans="1:18" ht="20.100000000000001" customHeight="1" x14ac:dyDescent="0.25">
      <c r="A32" s="5" t="str">
        <f>HYPERLINK("#'5.4.1.1-4 Atmos deposition'!A1", "5.4.1.1-4 Atmos. deposition")</f>
        <v>5.4.1.1-4 Atmos. deposition</v>
      </c>
      <c r="C32" s="101"/>
      <c r="D32" s="101"/>
      <c r="E32" s="101"/>
      <c r="F32" s="101"/>
      <c r="G32" s="101"/>
      <c r="H32" s="101"/>
      <c r="I32" s="101"/>
      <c r="J32" s="101"/>
      <c r="K32" s="101"/>
      <c r="L32" s="101"/>
      <c r="M32" s="101"/>
      <c r="N32" s="101"/>
      <c r="R32" s="31"/>
    </row>
    <row r="33" spans="1:18" ht="20.100000000000001" customHeight="1" x14ac:dyDescent="0.25">
      <c r="A33" s="5" t="str">
        <f>HYPERLINK("#'5.5.1.1-2 Leaching and runoff'!A1", "5.5.1.1-2 Leaching &amp; runoff")</f>
        <v>5.5.1.1-2 Leaching &amp; runoff</v>
      </c>
      <c r="D33" s="2" t="s">
        <v>227</v>
      </c>
      <c r="R33" s="31"/>
    </row>
    <row r="34" spans="1:18" ht="20.100000000000001" customHeight="1" x14ac:dyDescent="0.25">
      <c r="A34" s="5" t="str">
        <f>HYPERLINK("#'6.2.1.1-2 Pasture residue N2O'!A1", "6.2.1.1-2 Pasture residue N2O")</f>
        <v>6.2.1.1-2 Pasture residue N2O</v>
      </c>
      <c r="D34" s="90"/>
      <c r="R34" s="31"/>
    </row>
    <row r="35" spans="1:18" ht="20.100000000000001" customHeight="1" x14ac:dyDescent="0.25">
      <c r="A35" s="5" t="str">
        <f>HYPERLINK("#'6.3.1.1-2 Leach runoff pasture'!A1", "6.3.1.1-2 Leach &amp; runoff (pasture)")</f>
        <v>6.3.1.1-2 Leach &amp; runoff (pasture)</v>
      </c>
      <c r="D35" s="97" t="s">
        <v>220</v>
      </c>
      <c r="E35" s="94" t="s">
        <v>213</v>
      </c>
      <c r="F35" s="94" t="s">
        <v>214</v>
      </c>
      <c r="G35" s="94" t="s">
        <v>215</v>
      </c>
      <c r="H35" s="94" t="s">
        <v>216</v>
      </c>
      <c r="I35" s="94" t="s">
        <v>217</v>
      </c>
      <c r="R35" s="31"/>
    </row>
    <row r="36" spans="1:18" ht="20.100000000000001" customHeight="1" x14ac:dyDescent="0.25">
      <c r="A36" s="5" t="str">
        <f>HYPERLINK("#'8.1.1.1-2 Transport fuel'!A1", "8.1.1.1-2 Transport fuel")</f>
        <v>8.1.1.1-2 Transport fuel</v>
      </c>
      <c r="D36" s="1" t="s">
        <v>228</v>
      </c>
      <c r="E36" s="25">
        <f>SourceData_Dairy_DryMatterDigestibility_Data</f>
        <v>0.75</v>
      </c>
      <c r="F36" s="25">
        <f>SourceData_Dairy_DryMatterDigestibility_Data</f>
        <v>0.75</v>
      </c>
      <c r="G36" s="25">
        <f>SourceData_Dairy_DryMatterDigestibility_Data</f>
        <v>0.75</v>
      </c>
      <c r="H36" s="25">
        <f>SourceData_Dairy_DryMatterDigestibility_Data</f>
        <v>0.75</v>
      </c>
      <c r="I36" s="25">
        <f>SourceData_Dairy_DryMatterDigestibility_Data</f>
        <v>0.75</v>
      </c>
      <c r="J36" s="26" t="s">
        <v>229</v>
      </c>
      <c r="K36" s="26"/>
      <c r="L36" s="26"/>
      <c r="M36" s="26"/>
      <c r="R36" s="31"/>
    </row>
    <row r="37" spans="1:18" ht="20.100000000000001" customHeight="1" x14ac:dyDescent="0.25">
      <c r="A37" s="5" t="str">
        <f>HYPERLINK("#'8.2.1.1-2 Stationary fuel'!A1", "8.2.1.1-2 Stationary fuel")</f>
        <v>8.2.1.1-2 Stationary fuel</v>
      </c>
      <c r="D37" s="1" t="s">
        <v>230</v>
      </c>
      <c r="E37" s="25">
        <f>SourceData_Dairy_CrudeProtein_Data</f>
        <v>0.2</v>
      </c>
      <c r="F37" s="25">
        <f>SourceData_Dairy_CrudeProtein_Data</f>
        <v>0.2</v>
      </c>
      <c r="G37" s="25">
        <f>SourceData_Dairy_CrudeProtein_Data</f>
        <v>0.2</v>
      </c>
      <c r="H37" s="25">
        <f>SourceData_Dairy_CrudeProtein_Data</f>
        <v>0.2</v>
      </c>
      <c r="I37" s="25">
        <f>SourceData_Dairy_CrudeProtein_Data</f>
        <v>0.2</v>
      </c>
      <c r="J37" s="26" t="s">
        <v>229</v>
      </c>
      <c r="K37" s="26"/>
      <c r="L37" s="26"/>
      <c r="M37" s="26"/>
      <c r="R37" s="31"/>
    </row>
    <row r="38" spans="1:18" ht="20.100000000000001" customHeight="1" x14ac:dyDescent="0.25">
      <c r="A38" s="5" t="str">
        <f>HYPERLINK("#'14.1.1-2 Purchased electricity'!A1", "14.1.1-2 Purchased electricity")</f>
        <v>14.1.1-2 Purchased electricity</v>
      </c>
      <c r="K38" s="26"/>
      <c r="L38" s="26"/>
      <c r="M38" s="26"/>
      <c r="R38" s="31"/>
    </row>
    <row r="39" spans="1:18" ht="20.100000000000001" customHeight="1" x14ac:dyDescent="0.25">
      <c r="A39" s="5" t="str">
        <f>HYPERLINK("#'15 Scope 3'!A1", "15 Scope 3")</f>
        <v>15 Scope 3</v>
      </c>
      <c r="D39" s="97" t="s">
        <v>225</v>
      </c>
      <c r="E39" s="94" t="s">
        <v>213</v>
      </c>
      <c r="F39" s="94" t="s">
        <v>214</v>
      </c>
      <c r="G39" s="94" t="s">
        <v>215</v>
      </c>
      <c r="H39" s="94" t="s">
        <v>216</v>
      </c>
      <c r="I39" s="94" t="s">
        <v>217</v>
      </c>
      <c r="R39" s="31"/>
    </row>
    <row r="40" spans="1:18" ht="20.100000000000001" customHeight="1" x14ac:dyDescent="0.25">
      <c r="A40" s="5" t="str">
        <f>HYPERLINK("#'Calcs - Manure sent off-site'!A1", "Calcs - Manure sent off-site")</f>
        <v>Calcs - Manure sent off-site</v>
      </c>
      <c r="D40" s="1" t="s">
        <v>228</v>
      </c>
      <c r="E40" s="85">
        <f>SourceData_Dairy_DryMatterDigestibility_Data</f>
        <v>0.75</v>
      </c>
      <c r="F40" s="85">
        <f>SourceData_Dairy_DryMatterDigestibility_Data</f>
        <v>0.75</v>
      </c>
      <c r="G40" s="85">
        <f>SourceData_Dairy_DryMatterDigestibility_Data</f>
        <v>0.75</v>
      </c>
      <c r="H40" s="85">
        <f>SourceData_Dairy_DryMatterDigestibility_Data</f>
        <v>0.75</v>
      </c>
      <c r="I40" s="85">
        <f>SourceData_Dairy_DryMatterDigestibility_Data</f>
        <v>0.75</v>
      </c>
      <c r="J40" s="26" t="s">
        <v>229</v>
      </c>
      <c r="K40" s="26"/>
      <c r="R40" s="31"/>
    </row>
    <row r="41" spans="1:18" ht="20.100000000000001" customHeight="1" x14ac:dyDescent="0.25">
      <c r="A41" s="5" t="str">
        <f>HYPERLINK("#'4.3.1.1-2 Methane'!A1", "4.3.1.1-2 Methane")</f>
        <v>4.3.1.1-2 Methane</v>
      </c>
      <c r="D41" s="1" t="s">
        <v>230</v>
      </c>
      <c r="E41" s="85">
        <f>SourceData_Dairy_CrudeProtein_Data</f>
        <v>0.2</v>
      </c>
      <c r="F41" s="85">
        <f>SourceData_Dairy_CrudeProtein_Data</f>
        <v>0.2</v>
      </c>
      <c r="G41" s="85">
        <f>SourceData_Dairy_CrudeProtein_Data</f>
        <v>0.2</v>
      </c>
      <c r="H41" s="85">
        <f>SourceData_Dairy_CrudeProtein_Data</f>
        <v>0.2</v>
      </c>
      <c r="I41" s="85">
        <f>SourceData_Dairy_CrudeProtein_Data</f>
        <v>0.2</v>
      </c>
      <c r="J41" s="26" t="s">
        <v>229</v>
      </c>
      <c r="K41" s="26"/>
      <c r="L41" s="26"/>
      <c r="M41" s="26"/>
      <c r="R41" s="31"/>
    </row>
    <row r="42" spans="1:18" ht="20.100000000000001" customHeight="1" x14ac:dyDescent="0.25">
      <c r="A42" s="5" t="str">
        <f>HYPERLINK("#'4.3.1.3-4 Direct N20'!A1", "4.3.1.3-4 Direct N20")</f>
        <v>4.3.1.3-4 Direct N20</v>
      </c>
      <c r="K42" s="26"/>
      <c r="L42" s="26"/>
      <c r="M42" s="26"/>
      <c r="R42" s="31"/>
    </row>
    <row r="43" spans="1:18" ht="20.100000000000001" customHeight="1" x14ac:dyDescent="0.25">
      <c r="A43" s="5" t="str">
        <f>HYPERLINK("#'4.3.1.5 Atmos deposition'!A1", "4.3.1.5 Atmos deposition")</f>
        <v>4.3.1.5 Atmos deposition</v>
      </c>
      <c r="R43" s="31"/>
    </row>
    <row r="44" spans="1:18" ht="20.100000000000001" customHeight="1" x14ac:dyDescent="0.25">
      <c r="A44" s="5" t="str">
        <f>HYPERLINK("#'4.3.1.6-7 Leaching and runoff'!A1", "4.3.1.6-7 Leaching and runoff")</f>
        <v>4.3.1.6-7 Leaching and runoff</v>
      </c>
      <c r="C44" s="101"/>
      <c r="D44" s="101"/>
      <c r="E44" s="101"/>
      <c r="F44" s="101"/>
      <c r="G44" s="101"/>
      <c r="H44" s="101"/>
      <c r="I44" s="101"/>
      <c r="J44" s="101"/>
      <c r="K44" s="101"/>
      <c r="L44" s="101"/>
      <c r="M44" s="101"/>
      <c r="N44" s="101"/>
      <c r="R44" s="31"/>
    </row>
    <row r="45" spans="1:18" ht="20.100000000000001" customHeight="1" x14ac:dyDescent="0.25">
      <c r="A45" s="5" t="str">
        <f>HYPERLINK("#'4.3.1.8 Manure applied to soils'!A1", "4.3.1.8 Manure applied to soils")</f>
        <v>4.3.1.8 Manure applied to soils</v>
      </c>
      <c r="D45" s="2" t="s">
        <v>231</v>
      </c>
      <c r="E45" s="34"/>
      <c r="F45" s="34"/>
      <c r="G45" s="34"/>
      <c r="H45" s="34"/>
      <c r="I45" s="34"/>
      <c r="J45" s="34"/>
      <c r="K45" s="34"/>
      <c r="L45" s="34"/>
      <c r="M45" s="34"/>
      <c r="R45" s="31"/>
    </row>
    <row r="46" spans="1:18" ht="20.100000000000001" customHeight="1" x14ac:dyDescent="0.25">
      <c r="A46" s="5" t="str">
        <f>HYPERLINK("#'4.3.1.9 Soil direct N2O'!A1", "4.3.1.9 Soil direct N2O")</f>
        <v>4.3.1.9 Soil direct N2O</v>
      </c>
      <c r="G46" s="2"/>
      <c r="H46" s="2"/>
      <c r="I46" s="2"/>
      <c r="J46" s="102"/>
      <c r="K46" s="102"/>
      <c r="L46" s="102"/>
      <c r="M46" s="102"/>
      <c r="R46" s="31"/>
    </row>
    <row r="47" spans="1:18" ht="20.100000000000001" customHeight="1" x14ac:dyDescent="0.25">
      <c r="A47" s="5" t="str">
        <f>HYPERLINK("#'4.3.1.10-11 Soil Atmos Dep'!A1", "4.3.1.10-11 Soil Atmos Dep")</f>
        <v>4.3.1.10-11 Soil Atmos Dep</v>
      </c>
      <c r="D47" s="1" t="s">
        <v>233</v>
      </c>
      <c r="E47" s="23" t="s">
        <v>234</v>
      </c>
      <c r="F47" s="26" t="s">
        <v>101</v>
      </c>
      <c r="H47" s="34"/>
      <c r="I47" s="34"/>
      <c r="J47" s="34"/>
      <c r="K47" s="34"/>
      <c r="L47" s="34"/>
      <c r="M47" s="34"/>
      <c r="R47" s="31"/>
    </row>
    <row r="48" spans="1:18" ht="20.100000000000001" customHeight="1" x14ac:dyDescent="0.25">
      <c r="A48" s="5" t="str">
        <f>HYPERLINK("#'4.3.1.12-13 Soil leach runoff'!A1", "4.3.1.12-13 Soil leach runoff")</f>
        <v>4.3.1.12-13 Soil leach runoff</v>
      </c>
      <c r="R48" s="31"/>
    </row>
    <row r="49" spans="1:18" ht="20.100000000000001" customHeight="1" x14ac:dyDescent="0.25">
      <c r="A49" s="5" t="str">
        <f>HYPERLINK("#'3.3.1.1-2 Enteric Methane'!A1", "3.3.1.1-2 Enteric Methane")</f>
        <v>3.3.1.1-2 Enteric Methane</v>
      </c>
      <c r="E49" s="94" t="s">
        <v>213</v>
      </c>
      <c r="R49" s="31"/>
    </row>
    <row r="50" spans="1:18" ht="20.100000000000001" customHeight="1" x14ac:dyDescent="0.25">
      <c r="A50" s="5" t="str">
        <f>HYPERLINK("#'10.1.1-2 Solid waste treatment'!A1", "10.1.1-2 Solid waste treatment")</f>
        <v>10.1.1-2 Solid waste treatment</v>
      </c>
      <c r="D50" s="1" t="s">
        <v>235</v>
      </c>
      <c r="E50" s="85">
        <v>20</v>
      </c>
      <c r="F50" s="26" t="str">
        <f>IF(X_Cell_Dairy_MilkProductionUnit="Litres of milk", "litres/head/day", "kg milk solids/head/day")</f>
        <v>litres/head/day</v>
      </c>
      <c r="R50" s="31"/>
    </row>
    <row r="51" spans="1:18" ht="20.100000000000001" customHeight="1" x14ac:dyDescent="0.25">
      <c r="E51" s="2"/>
      <c r="F51" s="2"/>
      <c r="R51" s="31"/>
    </row>
    <row r="52" spans="1:18" ht="20.100000000000001" customHeight="1" x14ac:dyDescent="0.25">
      <c r="D52" s="87" t="s">
        <v>236</v>
      </c>
      <c r="E52" s="94" t="s">
        <v>237</v>
      </c>
      <c r="F52" s="94" t="s">
        <v>238</v>
      </c>
      <c r="R52" s="31"/>
    </row>
    <row r="53" spans="1:18" ht="20.100000000000001" customHeight="1" x14ac:dyDescent="0.25">
      <c r="A53" s="100" t="s">
        <v>1</v>
      </c>
      <c r="D53" s="1" t="s">
        <v>239</v>
      </c>
      <c r="E53" s="103">
        <f>SourceData_Dairy_FatContentInMilk_Data/100</f>
        <v>2.0999999999999999E-3</v>
      </c>
      <c r="F53" s="104">
        <f>SourceData_Dairy_FatContentInMilk_Data/100</f>
        <v>2.0999999999999999E-3</v>
      </c>
      <c r="G53" s="26" t="s">
        <v>156</v>
      </c>
      <c r="R53" s="31"/>
    </row>
    <row r="54" spans="1:18" ht="20.100000000000001" customHeight="1" x14ac:dyDescent="0.25">
      <c r="A54" s="5" t="str">
        <f>HYPERLINK("#'Constants - Dairy'!A1", "Constants - Dairy")</f>
        <v>Constants - Dairy</v>
      </c>
      <c r="D54" s="1" t="s">
        <v>240</v>
      </c>
      <c r="E54" s="103">
        <f>SourceData_Dairy_ProteinContentInMilk_Data/100</f>
        <v>0.04</v>
      </c>
      <c r="F54" s="104">
        <f>SourceData_Dairy_ProteinContentInMilk_Data/100</f>
        <v>0.04</v>
      </c>
      <c r="G54" s="26" t="s">
        <v>156</v>
      </c>
      <c r="R54" s="31"/>
    </row>
    <row r="55" spans="1:18" ht="20.100000000000001" customHeight="1" x14ac:dyDescent="0.25">
      <c r="A55" s="5" t="str">
        <f>HYPERLINK("#'Constants - Ag Residue'!A1", "Constants - Ag residue")</f>
        <v>Constants - Ag residue</v>
      </c>
      <c r="R55" s="31"/>
    </row>
    <row r="56" spans="1:18" ht="20.100000000000001" customHeight="1" x14ac:dyDescent="0.25">
      <c r="A56" s="5" t="str">
        <f>HYPERLINK("#'Constants - Common Livestock'!A1", "Constants - Common Livestock")</f>
        <v>Constants - Common Livestock</v>
      </c>
      <c r="R56" s="31"/>
    </row>
    <row r="57" spans="1:18" ht="20.100000000000001" customHeight="1" x14ac:dyDescent="0.25">
      <c r="A57" s="5" t="str">
        <f>HYPERLINK("#'Constants - Electricity'!A1", "Constants - Electricity")</f>
        <v>Constants - Electricity</v>
      </c>
      <c r="R57" s="31"/>
    </row>
    <row r="58" spans="1:18" ht="20.100000000000001" customHeight="1" x14ac:dyDescent="0.25">
      <c r="A58" s="5" t="str">
        <f>HYPERLINK("#'Constants - Fertiliser'!A1", "Constants - Fertiliser")</f>
        <v>Constants - Fertiliser</v>
      </c>
      <c r="R58" s="31"/>
    </row>
    <row r="59" spans="1:18" ht="20.100000000000001" customHeight="1" x14ac:dyDescent="0.25">
      <c r="A59" s="5" t="str">
        <f>HYPERLINK("#'Constants - Fuel'!A1", "Constants - Fuel")</f>
        <v>Constants - Fuel</v>
      </c>
      <c r="R59" s="31"/>
    </row>
    <row r="60" spans="1:18" ht="20.100000000000001" customHeight="1" x14ac:dyDescent="0.25">
      <c r="A60" s="5" t="str">
        <f>HYPERLINK("#'Constants - Scope 3'!A1", "Constants - Scope 3")</f>
        <v>Constants - Scope 3</v>
      </c>
      <c r="R60" s="31"/>
    </row>
    <row r="61" spans="1:18" ht="20.100000000000001" customHeight="1" x14ac:dyDescent="0.25">
      <c r="A61" s="5" t="str">
        <f>HYPERLINK("#'Constants - Common'!A1", "Constants - Common")</f>
        <v>Constants - Common</v>
      </c>
      <c r="R61" s="31"/>
    </row>
    <row r="62" spans="1:18" ht="20.100000000000001" customHeight="1" x14ac:dyDescent="0.25">
      <c r="A62" s="5" t="str">
        <f>HYPERLINK("#'Acknowledgements'!A1", "Acknowledgements")</f>
        <v>Acknowledgements</v>
      </c>
      <c r="R62" s="31"/>
    </row>
    <row r="63" spans="1:18" ht="20.100000000000001" customHeight="1" x14ac:dyDescent="0.25">
      <c r="A63" s="5" t="str">
        <f>HYPERLINK("#'Constants - Solid Waste'!A1", "Constants - Solid Waste")</f>
        <v>Constants - Solid Waste</v>
      </c>
      <c r="R63" s="31"/>
    </row>
    <row r="64" spans="1:18" ht="20.100000000000001" customHeight="1" x14ac:dyDescent="0.25">
      <c r="R64" s="31"/>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31"/>
    </row>
    <row r="81" spans="18:18" ht="20.100000000000001" customHeight="1" x14ac:dyDescent="0.25">
      <c r="R81" s="31"/>
    </row>
    <row r="82" spans="18:18" ht="20.100000000000001" customHeight="1" x14ac:dyDescent="0.25">
      <c r="R82" s="31"/>
    </row>
    <row r="83" spans="18:18" ht="20.100000000000001" customHeight="1" x14ac:dyDescent="0.25">
      <c r="R83" s="31"/>
    </row>
    <row r="84" spans="18:18" ht="20.100000000000001" customHeight="1" x14ac:dyDescent="0.25">
      <c r="R84" s="31"/>
    </row>
    <row r="85" spans="18:18" ht="20.100000000000001" customHeight="1" x14ac:dyDescent="0.25">
      <c r="R85" s="31"/>
    </row>
    <row r="86" spans="18:18" ht="20.100000000000001" customHeight="1" x14ac:dyDescent="0.25">
      <c r="R86" s="31"/>
    </row>
    <row r="87" spans="18:18" ht="20.100000000000001" customHeight="1" x14ac:dyDescent="0.25">
      <c r="R87" s="31"/>
    </row>
    <row r="88" spans="18:18" ht="20.100000000000001" customHeight="1" x14ac:dyDescent="0.25">
      <c r="R88" s="31"/>
    </row>
    <row r="89" spans="18:18" ht="20.100000000000001" customHeight="1" x14ac:dyDescent="0.25">
      <c r="R89" s="31"/>
    </row>
    <row r="90" spans="18:18" ht="20.100000000000001" customHeight="1" x14ac:dyDescent="0.25">
      <c r="R90" s="31"/>
    </row>
    <row r="91" spans="18:18" ht="20.100000000000001" customHeight="1" x14ac:dyDescent="0.25">
      <c r="R91" s="31"/>
    </row>
    <row r="92" spans="18:18" ht="20.100000000000001" customHeight="1" x14ac:dyDescent="0.25">
      <c r="R92" s="31"/>
    </row>
    <row r="93" spans="18:18" ht="20.100000000000001" customHeight="1" x14ac:dyDescent="0.25">
      <c r="R93" s="31"/>
    </row>
    <row r="94" spans="18:18" ht="20.100000000000001" customHeight="1" x14ac:dyDescent="0.25">
      <c r="R94" s="31"/>
    </row>
    <row r="95" spans="18:18" ht="20.100000000000001" customHeight="1" x14ac:dyDescent="0.25">
      <c r="R95" s="31"/>
    </row>
    <row r="96" spans="18:18" ht="20.100000000000001" customHeight="1" x14ac:dyDescent="0.25">
      <c r="R96" s="31"/>
    </row>
    <row r="97" spans="18:18" ht="20.100000000000001" customHeight="1" x14ac:dyDescent="0.25">
      <c r="R97" s="31"/>
    </row>
    <row r="98" spans="18:18" ht="20.100000000000001" customHeight="1" x14ac:dyDescent="0.25">
      <c r="R98" s="31"/>
    </row>
    <row r="99" spans="18:18" ht="20.100000000000001" customHeight="1" x14ac:dyDescent="0.25">
      <c r="R99" s="31"/>
    </row>
    <row r="100" spans="18:18" ht="20.100000000000001" customHeight="1" x14ac:dyDescent="0.25">
      <c r="R100" s="31"/>
    </row>
    <row r="101" spans="18:18" ht="20.100000000000001" customHeight="1" x14ac:dyDescent="0.25">
      <c r="R101" s="31"/>
    </row>
    <row r="102" spans="18:18" ht="20.100000000000001" customHeight="1" x14ac:dyDescent="0.25">
      <c r="R102" s="31"/>
    </row>
    <row r="103" spans="18:18" ht="20.100000000000001" customHeight="1" x14ac:dyDescent="0.25">
      <c r="R103" s="31"/>
    </row>
    <row r="104" spans="18:18" ht="20.100000000000001" customHeight="1" x14ac:dyDescent="0.25">
      <c r="R104" s="31"/>
    </row>
    <row r="105" spans="18:18" ht="20.100000000000001" customHeight="1" x14ac:dyDescent="0.25">
      <c r="R105" s="31"/>
    </row>
    <row r="106" spans="18:18" ht="20.100000000000001" customHeight="1" x14ac:dyDescent="0.25">
      <c r="R106" s="31"/>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6"/>
      <c r="L123" s="26"/>
      <c r="M123" s="26"/>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6"/>
      <c r="M137" s="26"/>
    </row>
    <row r="138" spans="12:13" ht="20.100000000000001" customHeight="1" x14ac:dyDescent="0.25">
      <c r="L138" s="26"/>
      <c r="M138" s="26"/>
    </row>
    <row r="139" spans="12:13" ht="20.100000000000001" customHeight="1" x14ac:dyDescent="0.25">
      <c r="L139" s="26"/>
      <c r="M139" s="26"/>
    </row>
    <row r="140" spans="12:13" ht="20.100000000000001" customHeight="1" x14ac:dyDescent="0.25"/>
    <row r="141" spans="12:13" ht="20.100000000000001" customHeight="1" x14ac:dyDescent="0.25"/>
    <row r="142" spans="12:13" ht="20.100000000000001" customHeight="1" x14ac:dyDescent="0.25">
      <c r="L142" s="26"/>
      <c r="M142" s="26"/>
    </row>
    <row r="143" spans="12:13" ht="20.100000000000001" customHeight="1" x14ac:dyDescent="0.25">
      <c r="L143" s="26"/>
      <c r="M143" s="26"/>
    </row>
    <row r="144" spans="12:13" ht="20.100000000000001" customHeight="1" x14ac:dyDescent="0.25">
      <c r="L144" s="26"/>
      <c r="M144" s="26"/>
    </row>
    <row r="145" spans="12:13" ht="20.100000000000001" customHeight="1" x14ac:dyDescent="0.25"/>
    <row r="146" spans="12:13" ht="20.100000000000001" customHeight="1" x14ac:dyDescent="0.25"/>
    <row r="147" spans="12:13" ht="20.100000000000001" customHeight="1" x14ac:dyDescent="0.25">
      <c r="L147" s="26"/>
      <c r="M147" s="26"/>
    </row>
    <row r="148" spans="12:13" ht="20.100000000000001" customHeight="1" x14ac:dyDescent="0.25">
      <c r="L148" s="26"/>
      <c r="M148" s="26"/>
    </row>
    <row r="149" spans="12:13" ht="20.100000000000001" customHeight="1" x14ac:dyDescent="0.25">
      <c r="L149" s="26"/>
      <c r="M149" s="26"/>
    </row>
    <row r="150" spans="12:13" ht="20.100000000000001" customHeight="1" x14ac:dyDescent="0.25"/>
    <row r="151" spans="12:13" ht="20.100000000000001" customHeight="1" x14ac:dyDescent="0.25"/>
    <row r="152" spans="12:13" ht="20.100000000000001" customHeight="1" x14ac:dyDescent="0.25">
      <c r="L152" s="26"/>
      <c r="M152" s="26"/>
    </row>
    <row r="153" spans="12:13" ht="20.100000000000001" customHeight="1" x14ac:dyDescent="0.25">
      <c r="L153" s="26"/>
      <c r="M153" s="26"/>
    </row>
    <row r="154" spans="12:13" ht="20.100000000000001" customHeight="1" x14ac:dyDescent="0.25">
      <c r="L154" s="26"/>
      <c r="M154" s="26"/>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6"/>
      <c r="M161" s="26"/>
    </row>
    <row r="162" spans="12:13" ht="20.100000000000001" customHeight="1" x14ac:dyDescent="0.25">
      <c r="L162" s="26"/>
      <c r="M162" s="26"/>
    </row>
    <row r="163" spans="12:13" ht="20.100000000000001" customHeight="1" x14ac:dyDescent="0.25">
      <c r="L163" s="26"/>
      <c r="M163" s="26"/>
    </row>
    <row r="164" spans="12:13" ht="20.100000000000001" customHeight="1" x14ac:dyDescent="0.25"/>
    <row r="165" spans="12:13" ht="20.100000000000001" customHeight="1" x14ac:dyDescent="0.25"/>
    <row r="166" spans="12:13" x14ac:dyDescent="0.25">
      <c r="L166" s="26"/>
      <c r="M166" s="26"/>
    </row>
    <row r="167" spans="12:13" x14ac:dyDescent="0.25">
      <c r="L167" s="26"/>
      <c r="M167" s="26"/>
    </row>
    <row r="168" spans="12:13" x14ac:dyDescent="0.25">
      <c r="L168" s="26"/>
      <c r="M168" s="26"/>
    </row>
    <row r="171" spans="12:13" x14ac:dyDescent="0.25">
      <c r="L171" s="26"/>
      <c r="M171" s="26"/>
    </row>
    <row r="172" spans="12:13" x14ac:dyDescent="0.25">
      <c r="L172" s="26"/>
      <c r="M172" s="26"/>
    </row>
    <row r="173" spans="12:13" x14ac:dyDescent="0.25">
      <c r="L173" s="26"/>
      <c r="M173" s="26"/>
    </row>
    <row r="176" spans="12:13" x14ac:dyDescent="0.25">
      <c r="L176" s="26"/>
      <c r="M176" s="26"/>
    </row>
    <row r="177" spans="12:13" x14ac:dyDescent="0.25">
      <c r="L177" s="26"/>
      <c r="M177" s="26"/>
    </row>
    <row r="178" spans="12:13" x14ac:dyDescent="0.25">
      <c r="L178" s="26"/>
      <c r="M178" s="26"/>
    </row>
  </sheetData>
  <conditionalFormatting sqref="E10:M10 E24:M25 E28:M29 E36:J37 K36:M38 E40:K41 L41:M42 K42 O43:P43 J85:J90 K89:M89 K95:M95 F98 J101:J106 K105:M105 K110:M110 K114:M114 K123:M123">
    <cfRule type="cellIs" dxfId="85" priority="7" operator="lessThan">
      <formula>0</formula>
    </cfRule>
  </conditionalFormatting>
  <conditionalFormatting sqref="E14:M15">
    <cfRule type="cellIs" dxfId="84" priority="2" operator="lessThan">
      <formula>0</formula>
    </cfRule>
  </conditionalFormatting>
  <conditionalFormatting sqref="E18:M19">
    <cfRule type="cellIs" dxfId="83" priority="1" operator="lessThan">
      <formula>0</formula>
    </cfRule>
  </conditionalFormatting>
  <conditionalFormatting sqref="F87:F88">
    <cfRule type="cellIs" dxfId="82" priority="4" operator="lessThan">
      <formula>0</formula>
    </cfRule>
  </conditionalFormatting>
  <conditionalFormatting sqref="F91">
    <cfRule type="cellIs" dxfId="81" priority="3" operator="lessThan">
      <formula>0</formula>
    </cfRule>
  </conditionalFormatting>
  <conditionalFormatting sqref="K65:M67">
    <cfRule type="cellIs" dxfId="80" priority="6" operator="lessThan">
      <formula>0</formula>
    </cfRule>
  </conditionalFormatting>
  <conditionalFormatting sqref="K70:M72">
    <cfRule type="cellIs" dxfId="79" priority="5" operator="lessThan">
      <formula>0</formula>
    </cfRule>
  </conditionalFormatting>
  <dataValidations count="6">
    <dataValidation type="list" allowBlank="1" showInputMessage="1" showErrorMessage="1" sqref="E47" xr:uid="{A5FEE1B1-6844-48C6-BC38-1409062D1F18}">
      <formula1>"Litres of milk, Milk solids"</formula1>
    </dataValidation>
    <dataValidation type="list" allowBlank="1" showInputMessage="1" showErrorMessage="1" sqref="E7" xr:uid="{C540F71D-C007-4554-8052-F59DB683A9FB}">
      <formula1>INDIRECT("Table_SourceData_Dairy_WjCowsHeifers[Breed]")</formula1>
    </dataValidation>
    <dataValidation type="list" allowBlank="1" showInputMessage="1" showErrorMessage="1" sqref="E79:E81 E95:E97" xr:uid="{5CBFFE2B-3DB5-47E9-B4A9-8DCDE77DCE94}">
      <formula1>"Yes, No"</formula1>
    </dataValidation>
    <dataValidation type="list" allowBlank="1" showInputMessage="1" showErrorMessage="1" sqref="E60" xr:uid="{704D1668-E4AC-4C6E-8CA8-C2DD2A52030C}">
      <formula1>INDIRECT("Table_SourceData_Dairy_ProductionSystemTemplates[Area]")</formula1>
    </dataValidation>
    <dataValidation type="list" allowBlank="1" showInputMessage="1" showErrorMessage="1" sqref="E110" xr:uid="{0B57885D-32A8-4A73-B0ED-BF23084D485A}">
      <formula1>INDIRECT("Table_SourceData_Dairy_IrrigationMethods[Irrigation method]")</formula1>
    </dataValidation>
    <dataValidation type="list" allowBlank="1" showInputMessage="1" showErrorMessage="1" sqref="E109" xr:uid="{F181D7BF-B3EF-4E2A-A7E5-CB55CC433D89}">
      <formula1>INDIRECT("Table_SourceData_Dairy_CropProdSystems[Production system]")</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1B67-59B8-47EB-891E-BAA3B5DA183C}">
  <sheetPr>
    <tabColor rgb="FFCC6600"/>
  </sheetPr>
  <dimension ref="A1:M63"/>
  <sheetViews>
    <sheetView showGridLines="0"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4.7109375" style="1" customWidth="1"/>
  </cols>
  <sheetData>
    <row r="1" spans="1:13" s="16" customFormat="1" ht="25.5" x14ac:dyDescent="0.35">
      <c r="A1" s="16" t="e" vm="1">
        <v>#VALUE!</v>
      </c>
      <c r="C1" s="16" t="s">
        <v>182</v>
      </c>
    </row>
    <row r="2" spans="1:13" s="3" customFormat="1" x14ac:dyDescent="0.25">
      <c r="A2"/>
    </row>
    <row r="3" spans="1:13" ht="20.25" x14ac:dyDescent="0.25">
      <c r="A3" s="5" t="str">
        <f>HYPERLINK("#'Home'!A1", "Home")</f>
        <v>Home</v>
      </c>
      <c r="C3" s="38"/>
      <c r="D3" s="38"/>
      <c r="E3" s="38"/>
      <c r="F3" s="38"/>
      <c r="G3" s="38"/>
      <c r="H3" s="38"/>
      <c r="I3" s="38"/>
      <c r="J3" s="38"/>
      <c r="K3" s="38"/>
      <c r="L3" s="38"/>
      <c r="M3" s="38"/>
    </row>
    <row r="4" spans="1:13" x14ac:dyDescent="0.25">
      <c r="A4" s="5" t="str">
        <f>HYPERLINK("#'Overview'!A1", "Overview")</f>
        <v>Overview</v>
      </c>
    </row>
    <row r="5" spans="1:13" x14ac:dyDescent="0.25">
      <c r="A5" s="5" t="str">
        <f>HYPERLINK("#'Results'!A1", "Results")</f>
        <v>Results</v>
      </c>
      <c r="D5" s="91" t="s">
        <v>183</v>
      </c>
    </row>
    <row r="6" spans="1:13" x14ac:dyDescent="0.25">
      <c r="D6" s="29" t="s">
        <v>184</v>
      </c>
      <c r="E6" s="29" t="s">
        <v>185</v>
      </c>
      <c r="F6" s="29" t="s">
        <v>186</v>
      </c>
      <c r="G6" s="29" t="s">
        <v>187</v>
      </c>
      <c r="H6" s="29" t="s">
        <v>188</v>
      </c>
      <c r="I6" s="29" t="s">
        <v>189</v>
      </c>
    </row>
    <row r="7" spans="1:13" x14ac:dyDescent="0.25">
      <c r="D7" s="43"/>
      <c r="E7" s="23"/>
      <c r="F7" s="92">
        <v>45566</v>
      </c>
      <c r="G7" s="29">
        <v>10</v>
      </c>
      <c r="H7" s="29">
        <v>500</v>
      </c>
      <c r="I7" s="25">
        <f t="shared" ref="I7:I16" si="0">G7*H7</f>
        <v>5000</v>
      </c>
    </row>
    <row r="8" spans="1:13" x14ac:dyDescent="0.25">
      <c r="A8" s="7" t="s">
        <v>0</v>
      </c>
      <c r="D8" s="43"/>
      <c r="E8" s="23"/>
      <c r="F8" s="92"/>
      <c r="G8" s="29"/>
      <c r="H8" s="29"/>
      <c r="I8" s="25">
        <f t="shared" si="0"/>
        <v>0</v>
      </c>
    </row>
    <row r="9" spans="1:13" x14ac:dyDescent="0.25">
      <c r="A9" s="5" t="str">
        <f>HYPERLINK("#'Input - Enterprise'!A1", "Enterprise")</f>
        <v>Enterprise</v>
      </c>
      <c r="D9" s="43"/>
      <c r="E9" s="23"/>
      <c r="F9" s="92"/>
      <c r="G9" s="29"/>
      <c r="H9" s="29"/>
      <c r="I9" s="25">
        <f t="shared" si="0"/>
        <v>0</v>
      </c>
    </row>
    <row r="10" spans="1:13" x14ac:dyDescent="0.25">
      <c r="A10" s="5" t="str">
        <f>HYPERLINK("#'Input - Site'!A1", "Site")</f>
        <v>Site</v>
      </c>
      <c r="D10" s="43"/>
      <c r="E10" s="23"/>
      <c r="F10" s="92"/>
      <c r="G10" s="29"/>
      <c r="H10" s="29"/>
      <c r="I10" s="25">
        <f t="shared" si="0"/>
        <v>0</v>
      </c>
    </row>
    <row r="11" spans="1:13" x14ac:dyDescent="0.25">
      <c r="A11" s="5" t="str">
        <f>HYPERLINK("#'Input - Dairy'!A1", "Dairy")</f>
        <v>Dairy</v>
      </c>
      <c r="D11" s="43"/>
      <c r="E11" s="23"/>
      <c r="F11" s="92"/>
      <c r="G11" s="29"/>
      <c r="H11" s="29"/>
      <c r="I11" s="25">
        <f t="shared" si="0"/>
        <v>0</v>
      </c>
    </row>
    <row r="12" spans="1:13" x14ac:dyDescent="0.25">
      <c r="A12" s="5" t="str">
        <f>HYPERLINK("#'Input - Dairy (Enteric)'!A1", "Dairy (Enteric)")</f>
        <v>Dairy (Enteric)</v>
      </c>
      <c r="D12" s="43"/>
      <c r="E12" s="23"/>
      <c r="F12" s="92"/>
      <c r="G12" s="29"/>
      <c r="H12" s="29"/>
      <c r="I12" s="25">
        <f t="shared" si="0"/>
        <v>0</v>
      </c>
    </row>
    <row r="13" spans="1:13" x14ac:dyDescent="0.25">
      <c r="A13" s="98" t="str">
        <f>HYPERLINK("#'Input - Livestock sales'!A1", "Livestock sales")</f>
        <v>Livestock sales</v>
      </c>
      <c r="D13" s="43"/>
      <c r="E13" s="23"/>
      <c r="F13" s="92"/>
      <c r="G13" s="29"/>
      <c r="H13" s="29"/>
      <c r="I13" s="25">
        <f t="shared" si="0"/>
        <v>0</v>
      </c>
    </row>
    <row r="14" spans="1:13" x14ac:dyDescent="0.25">
      <c r="A14" s="5" t="str">
        <f>HYPERLINK("#'Input - Dairy cattle purchases'!A1", "Dairy cattle purchases")</f>
        <v>Dairy cattle purchases</v>
      </c>
      <c r="D14" s="43"/>
      <c r="E14" s="23"/>
      <c r="F14" s="92"/>
      <c r="G14" s="29"/>
      <c r="H14" s="29"/>
      <c r="I14" s="25">
        <f t="shared" si="0"/>
        <v>0</v>
      </c>
    </row>
    <row r="15" spans="1:13" x14ac:dyDescent="0.25">
      <c r="A15" s="5" t="str">
        <f>HYPERLINK("#'Input - Pasture'!A1", "Pasture")</f>
        <v>Pasture</v>
      </c>
      <c r="D15" s="43"/>
      <c r="E15" s="23"/>
      <c r="F15" s="92"/>
      <c r="G15" s="29"/>
      <c r="H15" s="29"/>
      <c r="I15" s="25">
        <f t="shared" si="0"/>
        <v>0</v>
      </c>
    </row>
    <row r="16" spans="1:13" x14ac:dyDescent="0.25">
      <c r="A16" s="5" t="str">
        <f>HYPERLINK("#'Input - Fert Prod System'!A1", "Fert Prod System")</f>
        <v>Fert Prod System</v>
      </c>
      <c r="D16" s="43"/>
      <c r="E16" s="23"/>
      <c r="F16" s="92"/>
      <c r="G16" s="29"/>
      <c r="H16" s="29"/>
      <c r="I16" s="25">
        <f t="shared" si="0"/>
        <v>0</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Farm Inputs'!A1", "Farm Inputs")</f>
        <v>Farm Inputs</v>
      </c>
    </row>
    <row r="21" spans="1:1" x14ac:dyDescent="0.25">
      <c r="A21" s="5" t="str">
        <f>HYPERLINK("#'Input - Freight'!A1", "Freight")</f>
        <v>Freight</v>
      </c>
    </row>
    <row r="22" spans="1:1" x14ac:dyDescent="0.25">
      <c r="A22" s="5" t="str">
        <f>HYPERLINK("#'Input - Manure sent off-site'!A1", "Manure sent off-site")</f>
        <v>Manure sent off-site</v>
      </c>
    </row>
    <row r="23" spans="1:1" x14ac:dyDescent="0.25">
      <c r="A23" s="5" t="str">
        <f>HYPERLINK("#'Input - Solid waste'!A1", "Solid waste")</f>
        <v>Solid waste</v>
      </c>
    </row>
    <row r="24" spans="1:1" x14ac:dyDescent="0.25">
      <c r="A24" s="5" t="str">
        <f>HYPERLINK("#'Input - Data quality'!A1", "Data quality")</f>
        <v>Data quality</v>
      </c>
    </row>
    <row r="27" spans="1:1" x14ac:dyDescent="0.25">
      <c r="A27" s="6" t="s">
        <v>2</v>
      </c>
    </row>
    <row r="28" spans="1:1" x14ac:dyDescent="0.25">
      <c r="A28" s="5" t="str">
        <f>HYPERLINK("#'5.1.1.1-2 Inorganic fert N2O'!A1", "5.1.1.1-2 Inorganic fert N2O")</f>
        <v>5.1.1.1-2 Inorganic fert N2O</v>
      </c>
    </row>
    <row r="29" spans="1:1" x14ac:dyDescent="0.25">
      <c r="A29" s="5" t="str">
        <f>HYPERLINK("#'5.1.1.3-4 Inorganic fert CO2'!A1", "5.1.1.3-4 Inorganic fert CO2")</f>
        <v>5.1.1.3-4 Inorganic fert CO2</v>
      </c>
    </row>
    <row r="30" spans="1:1" x14ac:dyDescent="0.25">
      <c r="A30" s="5" t="str">
        <f>HYPERLINK("#'5.2.1.1-2 Organic Fert N2O'!A1", "5.2.1.1-2 Organic fert N2O")</f>
        <v>5.2.1.1-2 Organic fert N2O</v>
      </c>
    </row>
    <row r="31" spans="1:1" x14ac:dyDescent="0.25">
      <c r="A31" s="5" t="str">
        <f>HYPERLINK("#'5.3.1.1-2 Lime CO2'!A1", "5.3.1.1-2 Lime CO2")</f>
        <v>5.3.1.1-2 Lime CO2</v>
      </c>
    </row>
    <row r="32" spans="1:1" x14ac:dyDescent="0.25">
      <c r="A32" s="5" t="str">
        <f>HYPERLINK("#'5.4.1.1-4 Atmos deposition'!A1", "5.4.1.1-4 Atmos. deposition")</f>
        <v>5.4.1.1-4 Atmos. deposition</v>
      </c>
    </row>
    <row r="33" spans="1:1" x14ac:dyDescent="0.25">
      <c r="A33" s="5" t="str">
        <f>HYPERLINK("#'5.5.1.1-2 Leaching and runoff'!A1", "5.5.1.1-2 Leaching &amp; runoff")</f>
        <v>5.5.1.1-2 Leaching &amp; runoff</v>
      </c>
    </row>
    <row r="34" spans="1:1" x14ac:dyDescent="0.25">
      <c r="A34" s="5" t="str">
        <f>HYPERLINK("#'6.2.1.1-2 Pasture residue N2O'!A1", "6.2.1.1-2 Pasture residue N2O")</f>
        <v>6.2.1.1-2 Pasture residue N2O</v>
      </c>
    </row>
    <row r="35" spans="1:1" x14ac:dyDescent="0.25">
      <c r="A35" s="5" t="str">
        <f>HYPERLINK("#'6.3.1.1-2 Leach runoff pasture'!A1", "6.3.1.1-2 Leach &amp; runoff (pasture)")</f>
        <v>6.3.1.1-2 Leach &amp; runoff (pasture)</v>
      </c>
    </row>
    <row r="36" spans="1:1" x14ac:dyDescent="0.25">
      <c r="A36" s="5" t="str">
        <f>HYPERLINK("#'8.1.1.1-2 Transport fuel'!A1", "8.1.1.1-2 Transport fuel")</f>
        <v>8.1.1.1-2 Transport fuel</v>
      </c>
    </row>
    <row r="37" spans="1:1" x14ac:dyDescent="0.25">
      <c r="A37" s="5" t="str">
        <f>HYPERLINK("#'8.2.1.1-2 Stationary fuel'!A1", "8.2.1.1-2 Stationary fuel")</f>
        <v>8.2.1.1-2 Stationary fuel</v>
      </c>
    </row>
    <row r="38" spans="1:1" x14ac:dyDescent="0.25">
      <c r="A38" s="5" t="str">
        <f>HYPERLINK("#'14.1.1-2 Purchased electricity'!A1", "14.1.1-2 Purchased electricity")</f>
        <v>14.1.1-2 Purchased electricity</v>
      </c>
    </row>
    <row r="39" spans="1:1" x14ac:dyDescent="0.25">
      <c r="A39" s="5" t="str">
        <f>HYPERLINK("#'15 Scope 3'!A1", "15 Scope 3")</f>
        <v>15 Scope 3</v>
      </c>
    </row>
    <row r="40" spans="1:1" x14ac:dyDescent="0.25">
      <c r="A40" s="5" t="str">
        <f>HYPERLINK("#'Calcs - Manure sent off-site'!A1", "Calcs - Manure sent off-site")</f>
        <v>Calcs - Manure sent off-site</v>
      </c>
    </row>
    <row r="41" spans="1:1" x14ac:dyDescent="0.25">
      <c r="A41" s="5" t="str">
        <f>HYPERLINK("#'4.3.1.1-2 Methane'!A1", "4.3.1.1-2 Methane")</f>
        <v>4.3.1.1-2 Methane</v>
      </c>
    </row>
    <row r="42" spans="1:1" x14ac:dyDescent="0.25">
      <c r="A42" s="5" t="str">
        <f>HYPERLINK("#'4.3.1.3-4 Direct N20'!A1", "4.3.1.3-4 Direct N20")</f>
        <v>4.3.1.3-4 Direct N20</v>
      </c>
    </row>
    <row r="43" spans="1:1" x14ac:dyDescent="0.25">
      <c r="A43" s="5" t="str">
        <f>HYPERLINK("#'4.3.1.5 Atmos deposition'!A1", "4.3.1.5 Atmos deposition")</f>
        <v>4.3.1.5 Atmos deposition</v>
      </c>
    </row>
    <row r="44" spans="1:1" x14ac:dyDescent="0.25">
      <c r="A44" s="5" t="str">
        <f>HYPERLINK("#'4.3.1.6-7 Leaching and runoff'!A1", "4.3.1.6-7 Leaching and runoff")</f>
        <v>4.3.1.6-7 Leaching and runoff</v>
      </c>
    </row>
    <row r="45" spans="1:1" x14ac:dyDescent="0.25">
      <c r="A45" s="5" t="str">
        <f>HYPERLINK("#'4.3.1.8 Manure applied to soils'!A1", "4.3.1.8 Manure applied to soils")</f>
        <v>4.3.1.8 Manure applied to soils</v>
      </c>
    </row>
    <row r="46" spans="1:1" x14ac:dyDescent="0.25">
      <c r="A46" s="5" t="str">
        <f>HYPERLINK("#'4.3.1.9 Soil direct N2O'!A1", "4.3.1.9 Soil direct N2O")</f>
        <v>4.3.1.9 Soil direct N2O</v>
      </c>
    </row>
    <row r="47" spans="1:1" x14ac:dyDescent="0.25">
      <c r="A47" s="5" t="str">
        <f>HYPERLINK("#'4.3.1.10-11 Soil Atmos Dep'!A1", "4.3.1.10-11 Soil Atmos Dep")</f>
        <v>4.3.1.10-11 Soil Atmos Dep</v>
      </c>
    </row>
    <row r="48" spans="1:1" x14ac:dyDescent="0.25">
      <c r="A48" s="5" t="str">
        <f>HYPERLINK("#'4.3.1.12-13 Soil leach runoff'!A1", "4.3.1.12-13 Soil leach runoff")</f>
        <v>4.3.1.12-13 Soil leach runoff</v>
      </c>
    </row>
    <row r="49" spans="1:1" x14ac:dyDescent="0.25">
      <c r="A49" s="5" t="str">
        <f>HYPERLINK("#'3.3.1.1-2 Enteric Methane'!A1", "3.3.1.1-2 Enteric Methane")</f>
        <v>3.3.1.1-2 Enteric Methane</v>
      </c>
    </row>
    <row r="50" spans="1:1" x14ac:dyDescent="0.25">
      <c r="A50" s="5" t="str">
        <f>HYPERLINK("#'10.1.1-2 Solid waste treatment'!A1", "10.1.1-2 Solid waste treatment")</f>
        <v>10.1.1-2 Solid waste treatment</v>
      </c>
    </row>
    <row r="53" spans="1:1" x14ac:dyDescent="0.25">
      <c r="A53" s="100" t="s">
        <v>1</v>
      </c>
    </row>
    <row r="54" spans="1:1" x14ac:dyDescent="0.25">
      <c r="A54" s="5" t="str">
        <f>HYPERLINK("#'Constants - Dairy'!A1", "Constants - Dairy")</f>
        <v>Constants - Dairy</v>
      </c>
    </row>
    <row r="55" spans="1:1" x14ac:dyDescent="0.25">
      <c r="A55" s="5" t="str">
        <f>HYPERLINK("#'Constants - Ag Residue'!A1", "Constants - Ag residue")</f>
        <v>Constants - Ag residue</v>
      </c>
    </row>
    <row r="56" spans="1:1" x14ac:dyDescent="0.25">
      <c r="A56" s="5" t="str">
        <f>HYPERLINK("#'Constants - Common Livestock'!A1", "Constants - Common Livestock")</f>
        <v>Constants - Common Livestock</v>
      </c>
    </row>
    <row r="57" spans="1:1" x14ac:dyDescent="0.25">
      <c r="A57" s="5" t="str">
        <f>HYPERLINK("#'Constants - Electricity'!A1", "Constants - Electricity")</f>
        <v>Constants - Electricity</v>
      </c>
    </row>
    <row r="58" spans="1:1" x14ac:dyDescent="0.25">
      <c r="A58" s="5" t="str">
        <f>HYPERLINK("#'Constants - Fertiliser'!A1", "Constants - Fertiliser")</f>
        <v>Constants - Fertiliser</v>
      </c>
    </row>
    <row r="59" spans="1:1" x14ac:dyDescent="0.25">
      <c r="A59" s="5" t="str">
        <f>HYPERLINK("#'Constants - Fuel'!A1", "Constants - Fuel")</f>
        <v>Constants - Fuel</v>
      </c>
    </row>
    <row r="60" spans="1:1" x14ac:dyDescent="0.25">
      <c r="A60" s="5" t="str">
        <f>HYPERLINK("#'Constants - Scope 3'!A1", "Constants - Scope 3")</f>
        <v>Constants - Scope 3</v>
      </c>
    </row>
    <row r="61" spans="1:1" x14ac:dyDescent="0.25">
      <c r="A61" s="5" t="str">
        <f>HYPERLINK("#'Constants - Common'!A1", "Constants - Common")</f>
        <v>Constants - Common</v>
      </c>
    </row>
    <row r="62" spans="1:1" x14ac:dyDescent="0.25">
      <c r="A62" s="5" t="str">
        <f>HYPERLINK("#'Acknowledgements'!A1", "Acknowledgements")</f>
        <v>Acknowledgements</v>
      </c>
    </row>
    <row r="63" spans="1:1" x14ac:dyDescent="0.25">
      <c r="A63" s="5" t="str">
        <f>HYPERLINK("#'Constants - Solid Waste'!A1", "Constants - Solid Waste")</f>
        <v>Constants - Solid Waste</v>
      </c>
    </row>
  </sheetData>
  <dataValidations count="1">
    <dataValidation type="list" allowBlank="1" showInputMessage="1" showErrorMessage="1" sqref="E7:E16" xr:uid="{59D43099-548A-4C77-BC2D-53C0ECC78E95}">
      <formula1>INDIRECT("Table_LivestockClasses_Dairy[Livestock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96D71-6701-4237-8EE3-02ADB4130BE1}">
  <sheetPr>
    <tabColor theme="5" tint="-0.249977111117893"/>
  </sheetPr>
  <dimension ref="A1:J160"/>
  <sheetViews>
    <sheetView showGridLines="0" zoomScaleNormal="100" workbookViewId="0">
      <selection activeCell="A63" sqref="A63"/>
    </sheetView>
  </sheetViews>
  <sheetFormatPr defaultRowHeight="15.75" x14ac:dyDescent="0.25"/>
  <cols>
    <col min="1" max="1" width="35" style="260" customWidth="1"/>
    <col min="2" max="2" width="5.28515625" style="260" customWidth="1"/>
    <col min="3" max="3" width="5.28515625" style="1" customWidth="1"/>
    <col min="4" max="9" width="35" style="1" customWidth="1"/>
    <col min="10" max="10" width="5.28515625" style="1" customWidth="1"/>
    <col min="11" max="16384" width="9.140625" style="260"/>
  </cols>
  <sheetData>
    <row r="1" spans="1:10" ht="25.5" x14ac:dyDescent="0.35">
      <c r="A1" s="16" t="e" vm="1">
        <v>#VALUE!</v>
      </c>
      <c r="C1" s="16"/>
      <c r="D1" s="16"/>
      <c r="E1" s="16"/>
      <c r="F1" s="16"/>
      <c r="G1" s="16"/>
      <c r="H1" s="16"/>
      <c r="I1" s="16"/>
      <c r="J1" s="16"/>
    </row>
    <row r="2" spans="1:10" x14ac:dyDescent="0.25">
      <c r="A2"/>
      <c r="C2" s="3"/>
      <c r="D2" s="3"/>
      <c r="E2" s="3"/>
      <c r="F2" s="3"/>
      <c r="G2" s="3"/>
      <c r="H2" s="3"/>
      <c r="I2" s="3"/>
      <c r="J2" s="3"/>
    </row>
    <row r="3" spans="1:10" ht="20.25" x14ac:dyDescent="0.25">
      <c r="A3" s="5" t="str">
        <f>HYPERLINK("#'Home'!A1", "Home")</f>
        <v>Home</v>
      </c>
      <c r="C3" s="38"/>
      <c r="D3" s="38"/>
      <c r="E3" s="38"/>
      <c r="F3" s="38"/>
      <c r="G3" s="38"/>
      <c r="H3" s="38"/>
      <c r="I3" s="38"/>
      <c r="J3" s="38"/>
    </row>
    <row r="4" spans="1:10" x14ac:dyDescent="0.25">
      <c r="A4" s="5" t="str">
        <f>HYPERLINK("#'Overview'!A1", "Overview")</f>
        <v>Overview</v>
      </c>
    </row>
    <row r="5" spans="1:10" ht="18.75" x14ac:dyDescent="0.25">
      <c r="A5" s="5" t="str">
        <f>HYPERLINK("#'Results'!A1", "Results")</f>
        <v>Results</v>
      </c>
      <c r="D5" s="261" t="s">
        <v>1006</v>
      </c>
      <c r="E5" s="262"/>
      <c r="F5" s="262"/>
      <c r="G5" s="262"/>
      <c r="H5" s="262"/>
      <c r="I5" s="262"/>
    </row>
    <row r="6" spans="1:10" x14ac:dyDescent="0.25">
      <c r="A6"/>
      <c r="D6" s="263" t="s">
        <v>184</v>
      </c>
      <c r="E6" s="263" t="s">
        <v>185</v>
      </c>
      <c r="F6" s="263" t="s">
        <v>1007</v>
      </c>
      <c r="G6" s="263" t="s">
        <v>1008</v>
      </c>
      <c r="H6" s="263" t="s">
        <v>1009</v>
      </c>
      <c r="I6" s="263" t="s">
        <v>1010</v>
      </c>
    </row>
    <row r="7" spans="1:10" x14ac:dyDescent="0.25">
      <c r="A7"/>
      <c r="D7" s="43" t="s">
        <v>1011</v>
      </c>
      <c r="E7" s="23" t="s">
        <v>507</v>
      </c>
      <c r="F7" s="23" t="s">
        <v>1012</v>
      </c>
      <c r="G7" s="85">
        <v>100</v>
      </c>
      <c r="H7" s="25"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130</v>
      </c>
      <c r="I7" s="85">
        <v>350</v>
      </c>
    </row>
    <row r="8" spans="1:10" x14ac:dyDescent="0.25">
      <c r="A8" s="7" t="s">
        <v>0</v>
      </c>
      <c r="D8" s="43"/>
      <c r="E8" s="212" t="s">
        <v>213</v>
      </c>
      <c r="F8" s="23" t="s">
        <v>1013</v>
      </c>
      <c r="G8" s="85">
        <v>100</v>
      </c>
      <c r="H8" s="25"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540</v>
      </c>
      <c r="I8" s="85">
        <v>625</v>
      </c>
    </row>
    <row r="9" spans="1:10" x14ac:dyDescent="0.25">
      <c r="A9" s="5" t="str">
        <f>HYPERLINK("#'Input - Enterprise'!A1", "Enterprise")</f>
        <v>Enterprise</v>
      </c>
      <c r="D9" s="43"/>
      <c r="E9" s="212" t="s">
        <v>506</v>
      </c>
      <c r="F9" s="23" t="s">
        <v>1012</v>
      </c>
      <c r="G9" s="85"/>
      <c r="H9" s="25"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315</v>
      </c>
      <c r="I9" s="85"/>
    </row>
    <row r="10" spans="1:10" x14ac:dyDescent="0.25">
      <c r="A10" s="5" t="str">
        <f>HYPERLINK("#'Input - Site'!A1", "Site")</f>
        <v>Site</v>
      </c>
      <c r="D10" s="43"/>
      <c r="E10" s="212"/>
      <c r="F10" s="23"/>
      <c r="G10" s="85"/>
      <c r="H10" s="25"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0" s="85"/>
    </row>
    <row r="11" spans="1:10" x14ac:dyDescent="0.25">
      <c r="A11" s="5" t="str">
        <f>HYPERLINK("#'Input - Dairy'!A1", "Dairy")</f>
        <v>Dairy</v>
      </c>
      <c r="D11" s="43"/>
      <c r="E11" s="212"/>
      <c r="F11" s="23"/>
      <c r="G11" s="85"/>
      <c r="H11" s="25"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1" s="85"/>
    </row>
    <row r="12" spans="1:10" x14ac:dyDescent="0.25">
      <c r="A12" s="5" t="str">
        <f>HYPERLINK("#'Input - Dairy (Enteric)'!A1", "Dairy (Enteric)")</f>
        <v>Dairy (Enteric)</v>
      </c>
      <c r="D12" s="43"/>
      <c r="E12" s="212"/>
      <c r="F12" s="23"/>
      <c r="G12" s="85"/>
      <c r="H12" s="25"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2" s="85"/>
    </row>
    <row r="13" spans="1:10" x14ac:dyDescent="0.25">
      <c r="A13" s="5" t="str">
        <f>HYPERLINK("#'Input - Livestock sales'!A1", "Livestock sales")</f>
        <v>Livestock sales</v>
      </c>
      <c r="D13" s="43"/>
      <c r="E13" s="212"/>
      <c r="F13" s="23"/>
      <c r="G13" s="85"/>
      <c r="H13" s="25"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3" s="85"/>
    </row>
    <row r="14" spans="1:10" x14ac:dyDescent="0.25">
      <c r="A14" s="98" t="str">
        <f>HYPERLINK("#'Input - Dairy cattle purchases'!A1", "Dairy cattle purchases")</f>
        <v>Dairy cattle purchases</v>
      </c>
      <c r="D14" s="43"/>
      <c r="E14" s="212"/>
      <c r="F14" s="23"/>
      <c r="G14" s="85"/>
      <c r="H14" s="25"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4" s="85"/>
    </row>
    <row r="15" spans="1:10" x14ac:dyDescent="0.25">
      <c r="A15" s="5" t="str">
        <f>HYPERLINK("#'Input - Pasture'!A1", "Pasture")</f>
        <v>Pasture</v>
      </c>
      <c r="D15" s="43"/>
      <c r="E15" s="212"/>
      <c r="F15" s="23"/>
      <c r="G15" s="85"/>
      <c r="H15" s="25"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5" s="85"/>
    </row>
    <row r="16" spans="1:10" x14ac:dyDescent="0.25">
      <c r="A16" s="5" t="str">
        <f>HYPERLINK("#'Input - Fert Prod System'!A1", "Fert Prod System")</f>
        <v>Fert Prod System</v>
      </c>
      <c r="D16" s="43"/>
      <c r="E16" s="212"/>
      <c r="F16" s="23"/>
      <c r="G16" s="85"/>
      <c r="H16" s="25"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6" s="85"/>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Farm Inputs'!A1", "Farm Inputs")</f>
        <v>Farm Inputs</v>
      </c>
    </row>
    <row r="21" spans="1:1" x14ac:dyDescent="0.25">
      <c r="A21" s="5" t="str">
        <f>HYPERLINK("#'Input - Freight'!A1", "Freight")</f>
        <v>Freight</v>
      </c>
    </row>
    <row r="22" spans="1:1" x14ac:dyDescent="0.25">
      <c r="A22" s="5" t="str">
        <f>HYPERLINK("#'Input - Manure sent off-site'!A1", "Manure sent off-site")</f>
        <v>Manure sent off-site</v>
      </c>
    </row>
    <row r="23" spans="1:1" x14ac:dyDescent="0.25">
      <c r="A23" s="5" t="str">
        <f>HYPERLINK("#'Input - Solid waste'!A1", "Solid waste")</f>
        <v>Solid waste</v>
      </c>
    </row>
    <row r="24" spans="1:1" x14ac:dyDescent="0.25">
      <c r="A24" s="5" t="str">
        <f>HYPERLINK("#'Input - Data quality'!A1", "Data quality")</f>
        <v>Data quality</v>
      </c>
    </row>
    <row r="25" spans="1:1" x14ac:dyDescent="0.25">
      <c r="A25"/>
    </row>
    <row r="26" spans="1:1" x14ac:dyDescent="0.25">
      <c r="A26"/>
    </row>
    <row r="27" spans="1:1" x14ac:dyDescent="0.25">
      <c r="A27" s="6" t="s">
        <v>2</v>
      </c>
    </row>
    <row r="28" spans="1:1" x14ac:dyDescent="0.25">
      <c r="A28" s="5" t="str">
        <f>HYPERLINK("#'5.1.1.1-2 Inorganic fert N2O'!A1", "5.1.1.1-2 Inorganic fert N2O")</f>
        <v>5.1.1.1-2 Inorganic fert N2O</v>
      </c>
    </row>
    <row r="29" spans="1:1" x14ac:dyDescent="0.25">
      <c r="A29" s="5" t="str">
        <f>HYPERLINK("#'5.1.1.3-4 Inorganic fert CO2'!A1", "5.1.1.3-4 Inorganic fert CO2")</f>
        <v>5.1.1.3-4 Inorganic fert CO2</v>
      </c>
    </row>
    <row r="30" spans="1:1" x14ac:dyDescent="0.25">
      <c r="A30" s="5" t="str">
        <f>HYPERLINK("#'5.2.1.1-2 Organic Fert N2O'!A1", "5.2.1.1-2 Organic fert N2O")</f>
        <v>5.2.1.1-2 Organic fert N2O</v>
      </c>
    </row>
    <row r="31" spans="1:1" x14ac:dyDescent="0.25">
      <c r="A31" s="5" t="str">
        <f>HYPERLINK("#'5.3.1.1-2 Lime CO2'!A1", "5.3.1.1-2 Lime CO2")</f>
        <v>5.3.1.1-2 Lime CO2</v>
      </c>
    </row>
    <row r="32" spans="1:1" x14ac:dyDescent="0.25">
      <c r="A32" s="5" t="str">
        <f>HYPERLINK("#'5.4.1.1-4 Atmos deposition'!A1", "5.4.1.1-4 Atmos. deposition")</f>
        <v>5.4.1.1-4 Atmos. deposition</v>
      </c>
    </row>
    <row r="33" spans="1:1" x14ac:dyDescent="0.25">
      <c r="A33" s="5" t="str">
        <f>HYPERLINK("#'5.5.1.1-2 Leaching and runoff'!A1", "5.5.1.1-2 Leaching &amp; runoff")</f>
        <v>5.5.1.1-2 Leaching &amp; runoff</v>
      </c>
    </row>
    <row r="34" spans="1:1" x14ac:dyDescent="0.25">
      <c r="A34" s="5" t="str">
        <f>HYPERLINK("#'6.2.1.1-2 Pasture residue N2O'!A1", "6.2.1.1-2 Pasture residue N2O")</f>
        <v>6.2.1.1-2 Pasture residue N2O</v>
      </c>
    </row>
    <row r="35" spans="1:1" x14ac:dyDescent="0.25">
      <c r="A35" s="5" t="str">
        <f>HYPERLINK("#'6.3.1.1-2 Leach runoff pasture'!A1", "6.3.1.1-2 Leach &amp; runoff (pasture)")</f>
        <v>6.3.1.1-2 Leach &amp; runoff (pasture)</v>
      </c>
    </row>
    <row r="36" spans="1:1" x14ac:dyDescent="0.25">
      <c r="A36" s="5" t="str">
        <f>HYPERLINK("#'8.1.1.1-2 Transport fuel'!A1", "8.1.1.1-2 Transport fuel")</f>
        <v>8.1.1.1-2 Transport fuel</v>
      </c>
    </row>
    <row r="37" spans="1:1" x14ac:dyDescent="0.25">
      <c r="A37" s="5" t="str">
        <f>HYPERLINK("#'8.2.1.1-2 Stationary fuel'!A1", "8.2.1.1-2 Stationary fuel")</f>
        <v>8.2.1.1-2 Stationary fuel</v>
      </c>
    </row>
    <row r="38" spans="1:1" x14ac:dyDescent="0.25">
      <c r="A38" s="5" t="str">
        <f>HYPERLINK("#'14.1.1-2 Purchased electricity'!A1", "14.1.1-2 Purchased electricity")</f>
        <v>14.1.1-2 Purchased electricity</v>
      </c>
    </row>
    <row r="39" spans="1:1" x14ac:dyDescent="0.25">
      <c r="A39" s="5" t="str">
        <f>HYPERLINK("#'15 Scope 3'!A1", "15 Scope 3")</f>
        <v>15 Scope 3</v>
      </c>
    </row>
    <row r="40" spans="1:1" x14ac:dyDescent="0.25">
      <c r="A40" s="5" t="str">
        <f>HYPERLINK("#'Calcs - Manure sent off-site'!A1", "Calcs - Manure sent off-site")</f>
        <v>Calcs - Manure sent off-site</v>
      </c>
    </row>
    <row r="41" spans="1:1" x14ac:dyDescent="0.25">
      <c r="A41" s="5" t="str">
        <f>HYPERLINK("#'4.3.1.1-2 Methane'!A1", "4.3.1.1-2 Methane")</f>
        <v>4.3.1.1-2 Methane</v>
      </c>
    </row>
    <row r="42" spans="1:1" x14ac:dyDescent="0.25">
      <c r="A42" s="5" t="str">
        <f>HYPERLINK("#'4.3.1.3-4 Direct N20'!A1", "4.3.1.3-4 Direct N20")</f>
        <v>4.3.1.3-4 Direct N20</v>
      </c>
    </row>
    <row r="43" spans="1:1" x14ac:dyDescent="0.25">
      <c r="A43" s="5" t="str">
        <f>HYPERLINK("#'4.3.1.5 Atmos deposition'!A1", "4.3.1.5 Atmos deposition")</f>
        <v>4.3.1.5 Atmos deposition</v>
      </c>
    </row>
    <row r="44" spans="1:1" x14ac:dyDescent="0.25">
      <c r="A44" s="5" t="str">
        <f>HYPERLINK("#'4.3.1.6-7 Leaching and runoff'!A1", "4.3.1.6-7 Leaching and runoff")</f>
        <v>4.3.1.6-7 Leaching and runoff</v>
      </c>
    </row>
    <row r="45" spans="1:1" x14ac:dyDescent="0.25">
      <c r="A45" s="5" t="str">
        <f>HYPERLINK("#'4.3.1.8 Manure applied to soils'!A1", "4.3.1.8 Manure applied to soils")</f>
        <v>4.3.1.8 Manure applied to soils</v>
      </c>
    </row>
    <row r="46" spans="1:1" x14ac:dyDescent="0.25">
      <c r="A46" s="5" t="str">
        <f>HYPERLINK("#'4.3.1.9 Soil direct N2O'!A1", "4.3.1.9 Soil direct N2O")</f>
        <v>4.3.1.9 Soil direct N2O</v>
      </c>
    </row>
    <row r="47" spans="1:1" x14ac:dyDescent="0.25">
      <c r="A47" s="5" t="str">
        <f>HYPERLINK("#'4.3.1.10-11 Soil Atmos Dep'!A1", "4.3.1.10-11 Soil Atmos Dep")</f>
        <v>4.3.1.10-11 Soil Atmos Dep</v>
      </c>
    </row>
    <row r="48" spans="1:1" x14ac:dyDescent="0.25">
      <c r="A48" s="5" t="str">
        <f>HYPERLINK("#'4.3.1.12-13 Soil leach runoff'!A1", "4.3.1.12-13 Soil leach runoff")</f>
        <v>4.3.1.12-13 Soil leach runoff</v>
      </c>
    </row>
    <row r="49" spans="1:1" x14ac:dyDescent="0.25">
      <c r="A49" s="5" t="str">
        <f>HYPERLINK("#'3.3.1.1-2 Enteric Methane'!A1", "3.3.1.1-2 Enteric Methane")</f>
        <v>3.3.1.1-2 Enteric Methane</v>
      </c>
    </row>
    <row r="50" spans="1:1" x14ac:dyDescent="0.25">
      <c r="A50" s="5" t="str">
        <f>HYPERLINK("#'10.1.1-2 Solid waste treatment'!A1", "10.1.1-2 Solid waste treatment")</f>
        <v>10.1.1-2 Solid waste treatment</v>
      </c>
    </row>
    <row r="51" spans="1:1" x14ac:dyDescent="0.25">
      <c r="A51"/>
    </row>
    <row r="52" spans="1:1" x14ac:dyDescent="0.25">
      <c r="A52"/>
    </row>
    <row r="53" spans="1:1" x14ac:dyDescent="0.25">
      <c r="A53" s="100" t="s">
        <v>1</v>
      </c>
    </row>
    <row r="54" spans="1:1" x14ac:dyDescent="0.25">
      <c r="A54" s="5" t="str">
        <f>HYPERLINK("#'Constants - Dairy'!A1", "Constants - Dairy")</f>
        <v>Constants - Dairy</v>
      </c>
    </row>
    <row r="55" spans="1:1" x14ac:dyDescent="0.25">
      <c r="A55" s="5" t="str">
        <f>HYPERLINK("#'Constants - Ag Residue'!A1", "Constants - Ag residue")</f>
        <v>Constants - Ag residue</v>
      </c>
    </row>
    <row r="56" spans="1:1" x14ac:dyDescent="0.25">
      <c r="A56" s="5" t="str">
        <f>HYPERLINK("#'Constants - Common Livestock'!A1", "Constants - Common Livestock")</f>
        <v>Constants - Common Livestock</v>
      </c>
    </row>
    <row r="57" spans="1:1" x14ac:dyDescent="0.25">
      <c r="A57" s="5" t="str">
        <f>HYPERLINK("#'Constants - Electricity'!A1", "Constants - Electricity")</f>
        <v>Constants - Electricity</v>
      </c>
    </row>
    <row r="58" spans="1:1" x14ac:dyDescent="0.25">
      <c r="A58" s="5" t="str">
        <f>HYPERLINK("#'Constants - Fertiliser'!A1", "Constants - Fertiliser")</f>
        <v>Constants - Fertiliser</v>
      </c>
    </row>
    <row r="59" spans="1:1" x14ac:dyDescent="0.25">
      <c r="A59" s="5" t="str">
        <f>HYPERLINK("#'Constants - Fuel'!A1", "Constants - Fuel")</f>
        <v>Constants - Fuel</v>
      </c>
    </row>
    <row r="60" spans="1:1" x14ac:dyDescent="0.25">
      <c r="A60" s="5" t="str">
        <f>HYPERLINK("#'Constants - Scope 3'!A1", "Constants - Scope 3")</f>
        <v>Constants - Scope 3</v>
      </c>
    </row>
    <row r="61" spans="1:1" x14ac:dyDescent="0.25">
      <c r="A61" s="5" t="str">
        <f>HYPERLINK("#'Constants - Common'!A1", "Constants - Common")</f>
        <v>Constants - Common</v>
      </c>
    </row>
    <row r="62" spans="1:1" x14ac:dyDescent="0.25">
      <c r="A62" s="5" t="str">
        <f>HYPERLINK("#'Acknowledgements'!A1", "Acknowledgements")</f>
        <v>Acknowledgements</v>
      </c>
    </row>
    <row r="63" spans="1:1" x14ac:dyDescent="0.25">
      <c r="A63" s="5" t="str">
        <f>HYPERLINK("#'Constants - Solid Waste'!A1", "Constants - Solid Waste")</f>
        <v>Constants - Solid Waste</v>
      </c>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2">
    <dataValidation type="list" allowBlank="1" showInputMessage="1" showErrorMessage="1" sqref="E7:E16" xr:uid="{4D487EEB-C5FA-4E68-A597-102EAACDBC52}">
      <formula1>INDIRECT("Table_SourceData_Dairy_WjCowsHeifers[[#Headers],[Milking cows]:[Heifers &lt; 1 (weaned)]]")</formula1>
    </dataValidation>
    <dataValidation type="list" allowBlank="1" showInputMessage="1" showErrorMessage="1" sqref="F7:F16" xr:uid="{7D129307-9181-4368-9B7A-8AD7264FE6EB}">
      <formula1>INDIRECT("Table_SourceData_Dairy_WjCowsHeifers[Breed]")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AB1B3-B559-4C11-B70E-C1D1F924E8E7}">
  <dimension ref="A1:G63"/>
  <sheetViews>
    <sheetView showGridLines="0"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6" t="e" vm="1">
        <v>#VALUE!</v>
      </c>
      <c r="C1" s="16" t="s">
        <v>944</v>
      </c>
      <c r="D1" s="16"/>
      <c r="E1" s="16"/>
      <c r="F1" s="16"/>
      <c r="G1" s="16"/>
    </row>
    <row r="2" spans="1:7" ht="20.100000000000001" customHeight="1" x14ac:dyDescent="0.25">
      <c r="C2" s="3"/>
      <c r="D2" s="3"/>
      <c r="E2" s="3"/>
      <c r="F2" s="3"/>
      <c r="G2" s="3"/>
    </row>
    <row r="3" spans="1:7" ht="20.100000000000001" customHeight="1" x14ac:dyDescent="0.25">
      <c r="A3" s="5" t="str">
        <f>HYPERLINK("#'Home'!A1", "Home")</f>
        <v>Home</v>
      </c>
      <c r="C3" s="38"/>
      <c r="D3" s="38"/>
      <c r="E3" s="38"/>
      <c r="F3" s="38"/>
      <c r="G3" s="38"/>
    </row>
    <row r="4" spans="1:7" ht="20.100000000000001" customHeight="1" x14ac:dyDescent="0.25">
      <c r="A4" s="5" t="str">
        <f>HYPERLINK("#'Overview'!A1", "Overview")</f>
        <v>Overview</v>
      </c>
    </row>
    <row r="5" spans="1:7" ht="20.100000000000001" customHeight="1" x14ac:dyDescent="0.25">
      <c r="A5" s="5" t="str">
        <f>HYPERLINK("#'Results'!A1", "Results")</f>
        <v>Results</v>
      </c>
      <c r="D5" s="2" t="s">
        <v>528</v>
      </c>
    </row>
    <row r="6" spans="1:7" ht="20.100000000000001" customHeight="1" x14ac:dyDescent="0.25"/>
    <row r="7" spans="1:7" ht="20.100000000000001" customHeight="1" x14ac:dyDescent="0.25">
      <c r="D7" s="79" t="s">
        <v>945</v>
      </c>
      <c r="E7" s="79"/>
      <c r="F7" s="79"/>
    </row>
    <row r="8" spans="1:7" ht="20.100000000000001" customHeight="1" x14ac:dyDescent="0.25">
      <c r="A8" s="7" t="s">
        <v>0</v>
      </c>
    </row>
    <row r="9" spans="1:7" ht="20.100000000000001" customHeight="1" x14ac:dyDescent="0.25">
      <c r="A9" s="5" t="str">
        <f>HYPERLINK("#'Input - Enterprise'!A1", "Enterprise")</f>
        <v>Enterprise</v>
      </c>
      <c r="D9" s="1" t="s">
        <v>946</v>
      </c>
      <c r="E9" s="23" t="s">
        <v>947</v>
      </c>
      <c r="F9" s="26" t="s">
        <v>948</v>
      </c>
    </row>
    <row r="10" spans="1:7" ht="20.100000000000001" customHeight="1" x14ac:dyDescent="0.25">
      <c r="A10" s="5" t="str">
        <f>HYPERLINK("#'Input - Site'!A1", "Site")</f>
        <v>Site</v>
      </c>
      <c r="D10" s="1" t="s">
        <v>64</v>
      </c>
      <c r="E10" s="23" t="s">
        <v>504</v>
      </c>
      <c r="F10" s="26" t="s">
        <v>948</v>
      </c>
    </row>
    <row r="11" spans="1:7" ht="20.100000000000001" customHeight="1" x14ac:dyDescent="0.25">
      <c r="A11" s="5" t="str">
        <f>HYPERLINK("#'Input - Dairy'!A1", "Dairy")</f>
        <v>Dairy</v>
      </c>
    </row>
    <row r="12" spans="1:7" ht="20.100000000000001" customHeight="1" x14ac:dyDescent="0.25">
      <c r="A12" s="5" t="str">
        <f>HYPERLINK("#'Input - Dairy (Enteric)'!A1", "Dairy (Enteric)")</f>
        <v>Dairy (Enteric)</v>
      </c>
      <c r="D12" s="1" t="s">
        <v>949</v>
      </c>
      <c r="E12" s="85">
        <v>1000</v>
      </c>
      <c r="F12" s="26" t="s">
        <v>950</v>
      </c>
    </row>
    <row r="13" spans="1:7" ht="20.100000000000001" customHeight="1" x14ac:dyDescent="0.25">
      <c r="A13" s="5" t="str">
        <f>HYPERLINK("#'Input - Livestock sales'!A1", "Livestock sales")</f>
        <v>Livestock sales</v>
      </c>
    </row>
    <row r="14" spans="1:7" ht="20.100000000000001" customHeight="1" x14ac:dyDescent="0.25">
      <c r="A14" s="5" t="str">
        <f>HYPERLINK("#'Input - Dairy cattle purchases'!A1", "Dairy cattle purchases")</f>
        <v>Dairy cattle purchases</v>
      </c>
      <c r="D14" s="2" t="s">
        <v>951</v>
      </c>
    </row>
    <row r="15" spans="1:7" ht="20.100000000000001" customHeight="1" x14ac:dyDescent="0.25">
      <c r="A15" s="98" t="str">
        <f>HYPERLINK("#'Input - Pasture'!A1", "Pasture")</f>
        <v>Pasture</v>
      </c>
    </row>
    <row r="16" spans="1:7" ht="20.100000000000001" customHeight="1" x14ac:dyDescent="0.25">
      <c r="A16" s="5" t="str">
        <f>HYPERLINK("#'Input - Fert Prod System'!A1", "Fert Prod System")</f>
        <v>Fert Prod System</v>
      </c>
      <c r="D16" s="254" t="s">
        <v>952</v>
      </c>
      <c r="E16" s="53"/>
      <c r="F16" s="54"/>
    </row>
    <row r="17" spans="1:6" ht="20.100000000000001" customHeight="1" x14ac:dyDescent="0.25">
      <c r="A17" s="5" t="str">
        <f>HYPERLINK("#'Input - Fertiliser'!A1", "Fertiliser")</f>
        <v>Fertiliser</v>
      </c>
      <c r="D17" s="55" t="s">
        <v>953</v>
      </c>
      <c r="E17" s="56"/>
      <c r="F17" s="57"/>
    </row>
    <row r="18" spans="1:6" ht="20.100000000000001" customHeight="1" x14ac:dyDescent="0.25">
      <c r="A18" s="5" t="str">
        <f>HYPERLINK("#'Input - Fuel'!A1", "Fuel")</f>
        <v>Fuel</v>
      </c>
    </row>
    <row r="19" spans="1:6" ht="20.100000000000001" customHeight="1" x14ac:dyDescent="0.25">
      <c r="A19" s="5" t="str">
        <f>HYPERLINK("#'Input - Electricity'!A1", "Electricity")</f>
        <v>Electricity</v>
      </c>
      <c r="D19" s="1" t="s">
        <v>954</v>
      </c>
      <c r="E19" s="85">
        <f>_xlfn.XLOOKUP(X_Cell_Pasture_PastureType, Table_SourceData_PastureAttributes[Pasture type],Table_SourceData_PastureAttributes[Average Yield (t DM ha) Yp])</f>
        <v>8.34</v>
      </c>
      <c r="F19" s="26" t="s">
        <v>955</v>
      </c>
    </row>
    <row r="20" spans="1:6" ht="20.100000000000001" customHeight="1" x14ac:dyDescent="0.25">
      <c r="A20" s="5" t="str">
        <f>HYPERLINK("#'Input - Farm Inputs'!A1", "Farm Inputs")</f>
        <v>Farm Inputs</v>
      </c>
      <c r="D20" s="1" t="s">
        <v>956</v>
      </c>
      <c r="E20" s="25">
        <f>X_Cell_Pasture_AreaUnderPasture*X_Cell_Pasture_YieldPerHectare</f>
        <v>8340</v>
      </c>
      <c r="F20" s="26" t="s">
        <v>957</v>
      </c>
    </row>
    <row r="21" spans="1:6" ht="20.100000000000001" customHeight="1" x14ac:dyDescent="0.25">
      <c r="A21" s="5" t="str">
        <f>HYPERLINK("#'Input - Freight'!A1", "Freight")</f>
        <v>Freight</v>
      </c>
    </row>
    <row r="22" spans="1:6" ht="20.100000000000001" customHeight="1" x14ac:dyDescent="0.25">
      <c r="A22" s="5" t="str">
        <f>HYPERLINK("#'Input - Manure sent off-site'!A1", "Manure sent off-site")</f>
        <v>Manure sent off-site</v>
      </c>
    </row>
    <row r="23" spans="1:6" ht="20.100000000000001" customHeight="1" x14ac:dyDescent="0.25">
      <c r="A23" s="5" t="str">
        <f>HYPERLINK("#'Input - Solid waste'!A1", "Solid waste")</f>
        <v>Solid waste</v>
      </c>
      <c r="D23" s="2" t="s">
        <v>958</v>
      </c>
    </row>
    <row r="24" spans="1:6" ht="20.100000000000001" customHeight="1" x14ac:dyDescent="0.25">
      <c r="A24" s="5" t="str">
        <f>HYPERLINK("#'Input - Data quality'!A1", "Data quality")</f>
        <v>Data quality</v>
      </c>
    </row>
    <row r="25" spans="1:6" ht="20.100000000000001" customHeight="1" x14ac:dyDescent="0.25">
      <c r="D25" s="1" t="s">
        <v>959</v>
      </c>
      <c r="E25" s="85">
        <v>500</v>
      </c>
      <c r="F25" s="26" t="s">
        <v>950</v>
      </c>
    </row>
    <row r="26" spans="1:6" ht="20.100000000000001" customHeight="1" x14ac:dyDescent="0.25"/>
    <row r="27" spans="1:6" ht="20.100000000000001" customHeight="1" x14ac:dyDescent="0.25">
      <c r="A27" s="6" t="s">
        <v>2</v>
      </c>
    </row>
    <row r="28" spans="1:6" ht="20.100000000000001" customHeight="1" x14ac:dyDescent="0.25">
      <c r="A28" s="5" t="str">
        <f>HYPERLINK("#'5.1.1.1-2 Inorganic fert N2O'!A1", "5.1.1.1-2 Inorganic fert N2O")</f>
        <v>5.1.1.1-2 Inorganic fert N2O</v>
      </c>
    </row>
    <row r="29" spans="1:6" ht="20.100000000000001" customHeight="1" x14ac:dyDescent="0.25">
      <c r="A29" s="5" t="str">
        <f>HYPERLINK("#'5.1.1.3-4 Inorganic fert CO2'!A1", "5.1.1.3-4 Inorganic fert CO2")</f>
        <v>5.1.1.3-4 Inorganic fert CO2</v>
      </c>
    </row>
    <row r="30" spans="1:6" ht="20.100000000000001" customHeight="1" x14ac:dyDescent="0.25">
      <c r="A30" s="5" t="str">
        <f>HYPERLINK("#'5.2.1.1-2 Organic Fert N2O'!A1", "5.2.1.1-2 Organic fert N2O")</f>
        <v>5.2.1.1-2 Organic fert N2O</v>
      </c>
    </row>
    <row r="31" spans="1:6" ht="20.100000000000001" customHeight="1" x14ac:dyDescent="0.25">
      <c r="A31" s="5" t="str">
        <f>HYPERLINK("#'5.3.1.1-2 Lime CO2'!A1", "5.3.1.1-2 Lime CO2")</f>
        <v>5.3.1.1-2 Lime CO2</v>
      </c>
    </row>
    <row r="32" spans="1:6" ht="20.100000000000001" customHeight="1" x14ac:dyDescent="0.25">
      <c r="A32" s="5" t="str">
        <f>HYPERLINK("#'5.4.1.1-4 Atmos deposition'!A1", "5.4.1.1-4 Atmos. deposition")</f>
        <v>5.4.1.1-4 Atmos. deposition</v>
      </c>
    </row>
    <row r="33" spans="1:1" ht="20.100000000000001" customHeight="1" x14ac:dyDescent="0.25">
      <c r="A33" s="5" t="str">
        <f>HYPERLINK("#'5.5.1.1-2 Leaching and runoff'!A1", "5.5.1.1-2 Leaching &amp; runoff")</f>
        <v>5.5.1.1-2 Leaching &amp; runoff</v>
      </c>
    </row>
    <row r="34" spans="1:1" ht="20.100000000000001" customHeight="1" x14ac:dyDescent="0.25">
      <c r="A34" s="5" t="str">
        <f>HYPERLINK("#'6.2.1.1-2 Pasture residue N2O'!A1", "6.2.1.1-2 Pasture residue N2O")</f>
        <v>6.2.1.1-2 Pasture residue N2O</v>
      </c>
    </row>
    <row r="35" spans="1:1" ht="20.100000000000001" customHeight="1" x14ac:dyDescent="0.25">
      <c r="A35" s="5" t="str">
        <f>HYPERLINK("#'6.3.1.1-2 Leach runoff pasture'!A1", "6.3.1.1-2 Leach &amp; runoff (pasture)")</f>
        <v>6.3.1.1-2 Leach &amp; runoff (pasture)</v>
      </c>
    </row>
    <row r="36" spans="1:1" ht="20.100000000000001" customHeight="1" x14ac:dyDescent="0.25">
      <c r="A36" s="5" t="str">
        <f>HYPERLINK("#'8.1.1.1-2 Transport fuel'!A1", "8.1.1.1-2 Transport fuel")</f>
        <v>8.1.1.1-2 Transport fuel</v>
      </c>
    </row>
    <row r="37" spans="1:1" ht="20.100000000000001" customHeight="1" x14ac:dyDescent="0.25">
      <c r="A37" s="5" t="str">
        <f>HYPERLINK("#'8.2.1.1-2 Stationary fuel'!A1", "8.2.1.1-2 Stationary fuel")</f>
        <v>8.2.1.1-2 Stationary fuel</v>
      </c>
    </row>
    <row r="38" spans="1:1" ht="20.100000000000001" customHeight="1" x14ac:dyDescent="0.25">
      <c r="A38" s="5" t="str">
        <f>HYPERLINK("#'14.1.1-2 Purchased electricity'!A1", "14.1.1-2 Purchased electricity")</f>
        <v>14.1.1-2 Purchased electricity</v>
      </c>
    </row>
    <row r="39" spans="1:1" ht="20.100000000000001" customHeight="1" x14ac:dyDescent="0.25">
      <c r="A39" s="5" t="str">
        <f>HYPERLINK("#'15 Scope 3'!A1", "15 Scope 3")</f>
        <v>15 Scope 3</v>
      </c>
    </row>
    <row r="40" spans="1:1" x14ac:dyDescent="0.25">
      <c r="A40" s="5" t="str">
        <f>HYPERLINK("#'Calcs - Manure sent off-site'!A1", "Calcs - Manure sent off-site")</f>
        <v>Calcs - Manure sent off-site</v>
      </c>
    </row>
    <row r="41" spans="1:1" x14ac:dyDescent="0.25">
      <c r="A41" s="5" t="str">
        <f>HYPERLINK("#'4.3.1.1-2 Methane'!A1", "4.3.1.1-2 Methane")</f>
        <v>4.3.1.1-2 Methane</v>
      </c>
    </row>
    <row r="42" spans="1:1" x14ac:dyDescent="0.25">
      <c r="A42" s="5" t="str">
        <f>HYPERLINK("#'4.3.1.3-4 Direct N20'!A1", "4.3.1.3-4 Direct N20")</f>
        <v>4.3.1.3-4 Direct N20</v>
      </c>
    </row>
    <row r="43" spans="1:1" x14ac:dyDescent="0.25">
      <c r="A43" s="5" t="str">
        <f>HYPERLINK("#'4.3.1.5 Atmos deposition'!A1", "4.3.1.5 Atmos deposition")</f>
        <v>4.3.1.5 Atmos deposition</v>
      </c>
    </row>
    <row r="44" spans="1:1" x14ac:dyDescent="0.25">
      <c r="A44" s="5" t="str">
        <f>HYPERLINK("#'4.3.1.6-7 Leaching and runoff'!A1", "4.3.1.6-7 Leaching and runoff")</f>
        <v>4.3.1.6-7 Leaching and runoff</v>
      </c>
    </row>
    <row r="45" spans="1:1" x14ac:dyDescent="0.25">
      <c r="A45" s="5" t="str">
        <f>HYPERLINK("#'4.3.1.8 Manure applied to soils'!A1", "4.3.1.8 Manure applied to soils")</f>
        <v>4.3.1.8 Manure applied to soils</v>
      </c>
    </row>
    <row r="46" spans="1:1" x14ac:dyDescent="0.25">
      <c r="A46" s="5" t="str">
        <f>HYPERLINK("#'4.3.1.9 Soil direct N2O'!A1", "4.3.1.9 Soil direct N2O")</f>
        <v>4.3.1.9 Soil direct N2O</v>
      </c>
    </row>
    <row r="47" spans="1:1" x14ac:dyDescent="0.25">
      <c r="A47" s="5" t="str">
        <f>HYPERLINK("#'4.3.1.10-11 Soil Atmos Dep'!A1", "4.3.1.10-11 Soil Atmos Dep")</f>
        <v>4.3.1.10-11 Soil Atmos Dep</v>
      </c>
    </row>
    <row r="48" spans="1:1" x14ac:dyDescent="0.25">
      <c r="A48" s="5" t="str">
        <f>HYPERLINK("#'4.3.1.12-13 Soil leach runoff'!A1", "4.3.1.12-13 Soil leach runoff")</f>
        <v>4.3.1.12-13 Soil leach runoff</v>
      </c>
    </row>
    <row r="49" spans="1:1" x14ac:dyDescent="0.25">
      <c r="A49" s="5" t="str">
        <f>HYPERLINK("#'3.3.1.1-2 Enteric Methane'!A1", "3.3.1.1-2 Enteric Methane")</f>
        <v>3.3.1.1-2 Enteric Methane</v>
      </c>
    </row>
    <row r="50" spans="1:1" x14ac:dyDescent="0.25">
      <c r="A50" s="5" t="str">
        <f>HYPERLINK("#'10.1.1-2 Solid waste treatment'!A1", "10.1.1-2 Solid waste treatment")</f>
        <v>10.1.1-2 Solid waste treatment</v>
      </c>
    </row>
    <row r="53" spans="1:1" x14ac:dyDescent="0.25">
      <c r="A53" s="100" t="s">
        <v>1</v>
      </c>
    </row>
    <row r="54" spans="1:1" x14ac:dyDescent="0.25">
      <c r="A54" s="5" t="str">
        <f>HYPERLINK("#'Constants - Dairy'!A1", "Constants - Dairy")</f>
        <v>Constants - Dairy</v>
      </c>
    </row>
    <row r="55" spans="1:1" x14ac:dyDescent="0.25">
      <c r="A55" s="5" t="str">
        <f>HYPERLINK("#'Constants - Ag Residue'!A1", "Constants - Ag residue")</f>
        <v>Constants - Ag residue</v>
      </c>
    </row>
    <row r="56" spans="1:1" x14ac:dyDescent="0.25">
      <c r="A56" s="5" t="str">
        <f>HYPERLINK("#'Constants - Common Livestock'!A1", "Constants - Common Livestock")</f>
        <v>Constants - Common Livestock</v>
      </c>
    </row>
    <row r="57" spans="1:1" x14ac:dyDescent="0.25">
      <c r="A57" s="5" t="str">
        <f>HYPERLINK("#'Constants - Electricity'!A1", "Constants - Electricity")</f>
        <v>Constants - Electricity</v>
      </c>
    </row>
    <row r="58" spans="1:1" x14ac:dyDescent="0.25">
      <c r="A58" s="5" t="str">
        <f>HYPERLINK("#'Constants - Fertiliser'!A1", "Constants - Fertiliser")</f>
        <v>Constants - Fertiliser</v>
      </c>
    </row>
    <row r="59" spans="1:1" x14ac:dyDescent="0.25">
      <c r="A59" s="5" t="str">
        <f>HYPERLINK("#'Constants - Fuel'!A1", "Constants - Fuel")</f>
        <v>Constants - Fuel</v>
      </c>
    </row>
    <row r="60" spans="1:1" x14ac:dyDescent="0.25">
      <c r="A60" s="5" t="str">
        <f>HYPERLINK("#'Constants - Scope 3'!A1", "Constants - Scope 3")</f>
        <v>Constants - Scope 3</v>
      </c>
    </row>
    <row r="61" spans="1:1" x14ac:dyDescent="0.25">
      <c r="A61" s="5" t="str">
        <f>HYPERLINK("#'Constants - Common'!A1", "Constants - Common")</f>
        <v>Constants - Common</v>
      </c>
    </row>
    <row r="62" spans="1:1" x14ac:dyDescent="0.25">
      <c r="A62" s="5" t="str">
        <f>HYPERLINK("#'Acknowledgements'!A1", "Acknowledgements")</f>
        <v>Acknowledgements</v>
      </c>
    </row>
    <row r="63" spans="1:1" x14ac:dyDescent="0.25">
      <c r="A63" s="5" t="str">
        <f>HYPERLINK("#'Constants - Solid Waste'!A1", "Constants - Solid Waste")</f>
        <v>Constants - Solid Waste</v>
      </c>
    </row>
  </sheetData>
  <conditionalFormatting sqref="D16:G16">
    <cfRule type="expression" dxfId="78" priority="1">
      <formula>$D$24&gt;$D$11</formula>
    </cfRule>
  </conditionalFormatting>
  <dataValidations count="2">
    <dataValidation type="list" allowBlank="1" showInputMessage="1" showErrorMessage="1" sqref="E10" xr:uid="{58240BE6-5B86-4EB5-B002-58090B5D232E}">
      <formula1>INDIRECT("Table_SourceData_Fertiliser_IrrigationMethods[Irrigation method]")</formula1>
    </dataValidation>
    <dataValidation type="list" allowBlank="1" showInputMessage="1" showErrorMessage="1" sqref="E9" xr:uid="{50DA0131-8E37-4370-91E0-536AAB95044C}">
      <formula1>INDIRECT("Table_SourceData_PastureAttributes[Pasture type]")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63"/>
  <sheetViews>
    <sheetView showGridLines="0"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6" customFormat="1" ht="25.5" x14ac:dyDescent="0.35">
      <c r="A1" s="16" t="e" vm="1">
        <v>#VALUE!</v>
      </c>
      <c r="C1" s="16" t="s">
        <v>167</v>
      </c>
    </row>
    <row r="2" spans="1:11" s="3" customFormat="1" x14ac:dyDescent="0.25">
      <c r="A2"/>
    </row>
    <row r="3" spans="1:11" ht="20.25" x14ac:dyDescent="0.25">
      <c r="A3" s="5" t="str">
        <f>HYPERLINK("#'Home'!A1", "Home")</f>
        <v>Home</v>
      </c>
      <c r="C3" s="38"/>
      <c r="D3" s="38"/>
      <c r="E3" s="38"/>
      <c r="F3" s="38"/>
      <c r="G3" s="38"/>
      <c r="H3" s="38"/>
      <c r="I3" s="38"/>
      <c r="J3" s="38"/>
      <c r="K3" s="38"/>
    </row>
    <row r="4" spans="1:11" x14ac:dyDescent="0.25">
      <c r="A4" s="5" t="str">
        <f>HYPERLINK("#'Overview'!A1", "Overview")</f>
        <v>Overview</v>
      </c>
    </row>
    <row r="5" spans="1:11" x14ac:dyDescent="0.25">
      <c r="A5" s="5" t="str">
        <f>HYPERLINK("#'Results'!A1", "Results")</f>
        <v>Results</v>
      </c>
      <c r="D5" s="79" t="s">
        <v>172</v>
      </c>
      <c r="E5" s="79"/>
      <c r="F5" s="79"/>
      <c r="G5" s="79"/>
    </row>
    <row r="6" spans="1:11" x14ac:dyDescent="0.25">
      <c r="F6" s="26"/>
    </row>
    <row r="7" spans="1:11" x14ac:dyDescent="0.25">
      <c r="D7" s="1" t="s">
        <v>168</v>
      </c>
      <c r="E7" s="25" t="s">
        <v>171</v>
      </c>
      <c r="F7" s="26"/>
    </row>
    <row r="8" spans="1:11" x14ac:dyDescent="0.25">
      <c r="A8" s="7" t="s">
        <v>0</v>
      </c>
      <c r="D8" s="1" t="s">
        <v>169</v>
      </c>
      <c r="E8" s="25" t="s">
        <v>171</v>
      </c>
      <c r="F8" s="26"/>
    </row>
    <row r="9" spans="1:11" x14ac:dyDescent="0.25">
      <c r="A9" s="5" t="str">
        <f>HYPERLINK("#'Input - Enterprise'!A1", "Enterprise")</f>
        <v>Enterprise</v>
      </c>
      <c r="D9" s="1" t="s">
        <v>64</v>
      </c>
      <c r="E9" s="25" t="str" cm="1">
        <f t="array" ref="E9">X_Cell_Pasture_IrrigationMethod</f>
        <v>Surface irrigation</v>
      </c>
    </row>
    <row r="10" spans="1:11" x14ac:dyDescent="0.25">
      <c r="A10" s="5" t="str">
        <f>HYPERLINK("#'Input - Site'!A1", "Site")</f>
        <v>Site</v>
      </c>
      <c r="D10" s="1" t="s">
        <v>170</v>
      </c>
      <c r="E10" s="25" cm="1">
        <f t="array" ref="E10">X_Cell_Pasture_AreaUnderPasture</f>
        <v>1000</v>
      </c>
    </row>
    <row r="11" spans="1:11" x14ac:dyDescent="0.25">
      <c r="A11" s="5" t="str">
        <f>HYPERLINK("#'Input - Dairy'!A1", "Dairy")</f>
        <v>Dairy</v>
      </c>
    </row>
    <row r="12" spans="1:11" x14ac:dyDescent="0.25">
      <c r="A12" s="5" t="str">
        <f>HYPERLINK("#'Input - Dairy (Enteric)'!A1", "Dairy (Enteric)")</f>
        <v>Dairy (Enteric)</v>
      </c>
    </row>
    <row r="13" spans="1:11" x14ac:dyDescent="0.25">
      <c r="A13" s="5" t="str">
        <f>HYPERLINK("#'Input - Livestock sales'!A1", "Livestock sales")</f>
        <v>Livestock sales</v>
      </c>
    </row>
    <row r="14" spans="1:11" x14ac:dyDescent="0.25">
      <c r="A14" s="5" t="str">
        <f>HYPERLINK("#'Input - Dairy cattle purchases'!A1", "Dairy cattle purchases")</f>
        <v>Dairy cattle purchases</v>
      </c>
    </row>
    <row r="15" spans="1:11" x14ac:dyDescent="0.25">
      <c r="A15" s="5" t="str">
        <f>HYPERLINK("#'Input - Pasture'!A1", "Pasture")</f>
        <v>Pasture</v>
      </c>
    </row>
    <row r="16" spans="1:11" x14ac:dyDescent="0.25">
      <c r="A16" s="98" t="str">
        <f>HYPERLINK("#'Input - Fert Prod System'!A1", "Fert Prod System")</f>
        <v>Fert Prod System</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Farm Inputs'!A1", "Farm Inputs")</f>
        <v>Farm Inputs</v>
      </c>
    </row>
    <row r="21" spans="1:1" x14ac:dyDescent="0.25">
      <c r="A21" s="5" t="str">
        <f>HYPERLINK("#'Input - Freight'!A1", "Freight")</f>
        <v>Freight</v>
      </c>
    </row>
    <row r="22" spans="1:1" x14ac:dyDescent="0.25">
      <c r="A22" s="5" t="str">
        <f>HYPERLINK("#'Input - Manure sent off-site'!A1", "Manure sent off-site")</f>
        <v>Manure sent off-site</v>
      </c>
    </row>
    <row r="23" spans="1:1" x14ac:dyDescent="0.25">
      <c r="A23" s="5" t="str">
        <f>HYPERLINK("#'Input - Solid waste'!A1", "Solid waste")</f>
        <v>Solid waste</v>
      </c>
    </row>
    <row r="24" spans="1:1" x14ac:dyDescent="0.25">
      <c r="A24" s="5" t="str">
        <f>HYPERLINK("#'Input - Data quality'!A1", "Data quality")</f>
        <v>Data quality</v>
      </c>
    </row>
    <row r="27" spans="1:1" x14ac:dyDescent="0.25">
      <c r="A27" s="6" t="s">
        <v>2</v>
      </c>
    </row>
    <row r="28" spans="1:1" x14ac:dyDescent="0.25">
      <c r="A28" s="5" t="str">
        <f>HYPERLINK("#'5.1.1.1-2 Inorganic fert N2O'!A1", "5.1.1.1-2 Inorganic fert N2O")</f>
        <v>5.1.1.1-2 Inorganic fert N2O</v>
      </c>
    </row>
    <row r="29" spans="1:1" x14ac:dyDescent="0.25">
      <c r="A29" s="5" t="str">
        <f>HYPERLINK("#'5.1.1.3-4 Inorganic fert CO2'!A1", "5.1.1.3-4 Inorganic fert CO2")</f>
        <v>5.1.1.3-4 Inorganic fert CO2</v>
      </c>
    </row>
    <row r="30" spans="1:1" x14ac:dyDescent="0.25">
      <c r="A30" s="5" t="str">
        <f>HYPERLINK("#'5.2.1.1-2 Organic Fert N2O'!A1", "5.2.1.1-2 Organic fert N2O")</f>
        <v>5.2.1.1-2 Organic fert N2O</v>
      </c>
    </row>
    <row r="31" spans="1:1" x14ac:dyDescent="0.25">
      <c r="A31" s="5" t="str">
        <f>HYPERLINK("#'5.3.1.1-2 Lime CO2'!A1", "5.3.1.1-2 Lime CO2")</f>
        <v>5.3.1.1-2 Lime CO2</v>
      </c>
    </row>
    <row r="32" spans="1:1" x14ac:dyDescent="0.25">
      <c r="A32" s="5" t="str">
        <f>HYPERLINK("#'5.4.1.1-4 Atmos deposition'!A1", "5.4.1.1-4 Atmos. deposition")</f>
        <v>5.4.1.1-4 Atmos. deposition</v>
      </c>
    </row>
    <row r="33" spans="1:1" x14ac:dyDescent="0.25">
      <c r="A33" s="5" t="str">
        <f>HYPERLINK("#'5.5.1.1-2 Leaching and runoff'!A1", "5.5.1.1-2 Leaching &amp; runoff")</f>
        <v>5.5.1.1-2 Leaching &amp; runoff</v>
      </c>
    </row>
    <row r="34" spans="1:1" x14ac:dyDescent="0.25">
      <c r="A34" s="5" t="str">
        <f>HYPERLINK("#'6.2.1.1-2 Pasture residue N2O'!A1", "6.2.1.1-2 Pasture residue N2O")</f>
        <v>6.2.1.1-2 Pasture residue N2O</v>
      </c>
    </row>
    <row r="35" spans="1:1" x14ac:dyDescent="0.25">
      <c r="A35" s="5" t="str">
        <f>HYPERLINK("#'6.3.1.1-2 Leach runoff pasture'!A1", "6.3.1.1-2 Leach &amp; runoff (pasture)")</f>
        <v>6.3.1.1-2 Leach &amp; runoff (pasture)</v>
      </c>
    </row>
    <row r="36" spans="1:1" x14ac:dyDescent="0.25">
      <c r="A36" s="5" t="str">
        <f>HYPERLINK("#'8.1.1.1-2 Transport fuel'!A1", "8.1.1.1-2 Transport fuel")</f>
        <v>8.1.1.1-2 Transport fuel</v>
      </c>
    </row>
    <row r="37" spans="1:1" x14ac:dyDescent="0.25">
      <c r="A37" s="5" t="str">
        <f>HYPERLINK("#'8.2.1.1-2 Stationary fuel'!A1", "8.2.1.1-2 Stationary fuel")</f>
        <v>8.2.1.1-2 Stationary fuel</v>
      </c>
    </row>
    <row r="38" spans="1:1" x14ac:dyDescent="0.25">
      <c r="A38" s="5" t="str">
        <f>HYPERLINK("#'14.1.1-2 Purchased electricity'!A1", "14.1.1-2 Purchased electricity")</f>
        <v>14.1.1-2 Purchased electricity</v>
      </c>
    </row>
    <row r="39" spans="1:1" x14ac:dyDescent="0.25">
      <c r="A39" s="5" t="str">
        <f>HYPERLINK("#'15 Scope 3'!A1", "15 Scope 3")</f>
        <v>15 Scope 3</v>
      </c>
    </row>
    <row r="40" spans="1:1" x14ac:dyDescent="0.25">
      <c r="A40" s="5" t="str">
        <f>HYPERLINK("#'Calcs - Manure sent off-site'!A1", "Calcs - Manure sent off-site")</f>
        <v>Calcs - Manure sent off-site</v>
      </c>
    </row>
    <row r="41" spans="1:1" x14ac:dyDescent="0.25">
      <c r="A41" s="5" t="str">
        <f>HYPERLINK("#'4.3.1.1-2 Methane'!A1", "4.3.1.1-2 Methane")</f>
        <v>4.3.1.1-2 Methane</v>
      </c>
    </row>
    <row r="42" spans="1:1" x14ac:dyDescent="0.25">
      <c r="A42" s="5" t="str">
        <f>HYPERLINK("#'4.3.1.3-4 Direct N20'!A1", "4.3.1.3-4 Direct N20")</f>
        <v>4.3.1.3-4 Direct N20</v>
      </c>
    </row>
    <row r="43" spans="1:1" x14ac:dyDescent="0.25">
      <c r="A43" s="5" t="str">
        <f>HYPERLINK("#'4.3.1.5 Atmos deposition'!A1", "4.3.1.5 Atmos deposition")</f>
        <v>4.3.1.5 Atmos deposition</v>
      </c>
    </row>
    <row r="44" spans="1:1" x14ac:dyDescent="0.25">
      <c r="A44" s="5" t="str">
        <f>HYPERLINK("#'4.3.1.6-7 Leaching and runoff'!A1", "4.3.1.6-7 Leaching and runoff")</f>
        <v>4.3.1.6-7 Leaching and runoff</v>
      </c>
    </row>
    <row r="45" spans="1:1" x14ac:dyDescent="0.25">
      <c r="A45" s="5" t="str">
        <f>HYPERLINK("#'4.3.1.8 Manure applied to soils'!A1", "4.3.1.8 Manure applied to soils")</f>
        <v>4.3.1.8 Manure applied to soils</v>
      </c>
    </row>
    <row r="46" spans="1:1" x14ac:dyDescent="0.25">
      <c r="A46" s="5" t="str">
        <f>HYPERLINK("#'4.3.1.9 Soil direct N2O'!A1", "4.3.1.9 Soil direct N2O")</f>
        <v>4.3.1.9 Soil direct N2O</v>
      </c>
    </row>
    <row r="47" spans="1:1" x14ac:dyDescent="0.25">
      <c r="A47" s="5" t="str">
        <f>HYPERLINK("#'4.3.1.10-11 Soil Atmos Dep'!A1", "4.3.1.10-11 Soil Atmos Dep")</f>
        <v>4.3.1.10-11 Soil Atmos Dep</v>
      </c>
    </row>
    <row r="48" spans="1:1" x14ac:dyDescent="0.25">
      <c r="A48" s="5" t="str">
        <f>HYPERLINK("#'4.3.1.12-13 Soil leach runoff'!A1", "4.3.1.12-13 Soil leach runoff")</f>
        <v>4.3.1.12-13 Soil leach runoff</v>
      </c>
    </row>
    <row r="49" spans="1:1" x14ac:dyDescent="0.25">
      <c r="A49" s="5" t="str">
        <f>HYPERLINK("#'3.3.1.1-2 Enteric Methane'!A1", "3.3.1.1-2 Enteric Methane")</f>
        <v>3.3.1.1-2 Enteric Methane</v>
      </c>
    </row>
    <row r="50" spans="1:1" x14ac:dyDescent="0.25">
      <c r="A50" s="5" t="str">
        <f>HYPERLINK("#'10.1.1-2 Solid waste treatment'!A1", "10.1.1-2 Solid waste treatment")</f>
        <v>10.1.1-2 Solid waste treatment</v>
      </c>
    </row>
    <row r="53" spans="1:1" x14ac:dyDescent="0.25">
      <c r="A53" s="100" t="s">
        <v>1</v>
      </c>
    </row>
    <row r="54" spans="1:1" x14ac:dyDescent="0.25">
      <c r="A54" s="5" t="str">
        <f>HYPERLINK("#'Constants - Dairy'!A1", "Constants - Dairy")</f>
        <v>Constants - Dairy</v>
      </c>
    </row>
    <row r="55" spans="1:1" x14ac:dyDescent="0.25">
      <c r="A55" s="5" t="str">
        <f>HYPERLINK("#'Constants - Ag Residue'!A1", "Constants - Ag residue")</f>
        <v>Constants - Ag residue</v>
      </c>
    </row>
    <row r="56" spans="1:1" x14ac:dyDescent="0.25">
      <c r="A56" s="5" t="str">
        <f>HYPERLINK("#'Constants - Common Livestock'!A1", "Constants - Common Livestock")</f>
        <v>Constants - Common Livestock</v>
      </c>
    </row>
    <row r="57" spans="1:1" x14ac:dyDescent="0.25">
      <c r="A57" s="5" t="str">
        <f>HYPERLINK("#'Constants - Electricity'!A1", "Constants - Electricity")</f>
        <v>Constants - Electricity</v>
      </c>
    </row>
    <row r="58" spans="1:1" x14ac:dyDescent="0.25">
      <c r="A58" s="5" t="str">
        <f>HYPERLINK("#'Constants - Fertiliser'!A1", "Constants - Fertiliser")</f>
        <v>Constants - Fertiliser</v>
      </c>
    </row>
    <row r="59" spans="1:1" x14ac:dyDescent="0.25">
      <c r="A59" s="5" t="str">
        <f>HYPERLINK("#'Constants - Fuel'!A1", "Constants - Fuel")</f>
        <v>Constants - Fuel</v>
      </c>
    </row>
    <row r="60" spans="1:1" x14ac:dyDescent="0.25">
      <c r="A60" s="5" t="str">
        <f>HYPERLINK("#'Constants - Scope 3'!A1", "Constants - Scope 3")</f>
        <v>Constants - Scope 3</v>
      </c>
    </row>
    <row r="61" spans="1:1" x14ac:dyDescent="0.25">
      <c r="A61" s="5" t="str">
        <f>HYPERLINK("#'Constants - Common'!A1", "Constants - Common")</f>
        <v>Constants - Common</v>
      </c>
    </row>
    <row r="62" spans="1:1" x14ac:dyDescent="0.25">
      <c r="A62" s="5" t="str">
        <f>HYPERLINK("#'Acknowledgements'!A1", "Acknowledgements")</f>
        <v>Acknowledgements</v>
      </c>
    </row>
    <row r="63" spans="1:1" x14ac:dyDescent="0.25">
      <c r="A63" s="5" t="str">
        <f>HYPERLINK("#'Constants - Solid Waste'!A1", "Constants - Solid Waste")</f>
        <v>Constants - Solid Waste</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208F-12EE-4830-9C74-BE74AEBFA2BF}">
  <dimension ref="A1:Y366"/>
  <sheetViews>
    <sheetView showGridLines="0"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16" customFormat="1" ht="30" customHeight="1" x14ac:dyDescent="0.35">
      <c r="A1" s="16" t="e" vm="1">
        <v>#VALUE!</v>
      </c>
      <c r="C1" s="16" t="s">
        <v>549</v>
      </c>
    </row>
    <row r="2" spans="1:25" s="3" customFormat="1" ht="20.100000000000001" customHeight="1" x14ac:dyDescent="0.25">
      <c r="A2"/>
    </row>
    <row r="3" spans="1:25" ht="20.100000000000001" customHeight="1" x14ac:dyDescent="0.25">
      <c r="A3" s="5" t="str">
        <f>HYPERLINK("#'Home'!A1", "Home")</f>
        <v>Home</v>
      </c>
      <c r="C3" s="38"/>
      <c r="D3" s="38"/>
      <c r="E3" s="38"/>
      <c r="F3" s="38"/>
      <c r="G3" s="38"/>
      <c r="H3" s="38"/>
      <c r="I3" s="38"/>
      <c r="J3" s="38"/>
      <c r="K3" s="38"/>
      <c r="L3" s="38"/>
      <c r="M3" s="38"/>
      <c r="N3" s="38"/>
      <c r="O3" s="38"/>
      <c r="P3" s="38"/>
      <c r="Q3" s="38"/>
      <c r="R3" s="38"/>
      <c r="S3" s="38"/>
      <c r="T3" s="38"/>
      <c r="U3" s="38"/>
      <c r="V3" s="38"/>
      <c r="W3" s="38"/>
      <c r="X3" s="38"/>
      <c r="Y3" s="38"/>
    </row>
    <row r="4" spans="1:25" ht="20.100000000000001" customHeight="1" x14ac:dyDescent="0.25">
      <c r="A4" s="5" t="str">
        <f>HYPERLINK("#'Overview'!A1", "Overview")</f>
        <v>Overview</v>
      </c>
    </row>
    <row r="5" spans="1:25" ht="20.100000000000001" customHeight="1" x14ac:dyDescent="0.25">
      <c r="A5" s="5" t="str">
        <f>HYPERLINK("#'Results'!A1", "Results")</f>
        <v>Results</v>
      </c>
      <c r="D5" s="2" t="s">
        <v>550</v>
      </c>
      <c r="E5" s="34"/>
      <c r="F5" s="34"/>
      <c r="G5" s="34"/>
      <c r="H5" s="34"/>
      <c r="I5" s="34"/>
      <c r="J5" s="34"/>
      <c r="K5" s="34"/>
      <c r="L5" s="34"/>
      <c r="M5" s="34"/>
    </row>
    <row r="6" spans="1:25" ht="20.100000000000001" customHeight="1" x14ac:dyDescent="0.25">
      <c r="D6" s="8"/>
      <c r="E6" s="8"/>
      <c r="F6" s="8"/>
      <c r="G6" s="8"/>
      <c r="H6" s="8"/>
      <c r="I6" s="8"/>
      <c r="J6" s="8"/>
      <c r="K6" s="8"/>
      <c r="L6" s="8"/>
      <c r="M6" s="8"/>
    </row>
    <row r="7" spans="1:25" ht="20.100000000000001" customHeight="1" x14ac:dyDescent="0.25">
      <c r="D7" s="145" t="s">
        <v>551</v>
      </c>
      <c r="E7" s="53"/>
      <c r="F7" s="53"/>
      <c r="G7" s="53"/>
      <c r="H7" s="54"/>
      <c r="I7" s="151"/>
      <c r="J7" s="152"/>
      <c r="K7" s="153"/>
      <c r="L7" s="153"/>
      <c r="M7" s="153"/>
    </row>
    <row r="8" spans="1:25" ht="20.100000000000001" customHeight="1" x14ac:dyDescent="0.25">
      <c r="A8" s="7" t="s">
        <v>0</v>
      </c>
      <c r="D8" s="55" t="s">
        <v>552</v>
      </c>
      <c r="E8" s="56"/>
      <c r="F8" s="56"/>
      <c r="G8" s="57"/>
      <c r="H8" s="154"/>
      <c r="I8" s="8"/>
      <c r="J8" s="8"/>
      <c r="K8" s="8"/>
      <c r="L8" s="8"/>
      <c r="M8" s="8"/>
    </row>
    <row r="9" spans="1:25" ht="20.100000000000001" customHeight="1" x14ac:dyDescent="0.25">
      <c r="A9" s="5" t="str">
        <f>HYPERLINK("#'Input - Enterprise'!A1", "Enterprise")</f>
        <v>Enterprise</v>
      </c>
      <c r="D9" s="8"/>
      <c r="E9" s="8"/>
      <c r="F9" s="8"/>
      <c r="G9" s="8"/>
      <c r="H9" s="8"/>
      <c r="I9" s="8"/>
      <c r="J9" s="8"/>
      <c r="K9" s="8"/>
      <c r="L9" s="8"/>
      <c r="M9" s="8"/>
    </row>
    <row r="10" spans="1:25" ht="20.100000000000001" customHeight="1" x14ac:dyDescent="0.25">
      <c r="A10" s="5" t="str">
        <f>HYPERLINK("#'Input - Site'!A1", "Site")</f>
        <v>Site</v>
      </c>
      <c r="D10" s="90" t="s">
        <v>553</v>
      </c>
      <c r="E10" s="8"/>
      <c r="F10" s="8"/>
      <c r="G10" s="8"/>
      <c r="H10" s="8"/>
      <c r="I10" s="8"/>
      <c r="J10" s="8"/>
      <c r="K10" s="8"/>
      <c r="L10" s="8"/>
      <c r="M10" s="8"/>
    </row>
    <row r="11" spans="1:25" ht="20.100000000000001" customHeight="1" x14ac:dyDescent="0.25">
      <c r="A11" s="5" t="str">
        <f>HYPERLINK("#'Input - Dairy'!A1", "Dairy")</f>
        <v>Dairy</v>
      </c>
      <c r="D11" s="155" t="s">
        <v>554</v>
      </c>
      <c r="E11" s="156" t="s">
        <v>555</v>
      </c>
      <c r="F11" s="157" t="s">
        <v>556</v>
      </c>
      <c r="G11" s="157" t="s">
        <v>557</v>
      </c>
      <c r="H11" s="156" t="s">
        <v>558</v>
      </c>
      <c r="I11" s="156" t="s">
        <v>559</v>
      </c>
      <c r="J11" s="155" t="s">
        <v>560</v>
      </c>
      <c r="K11" s="155" t="s">
        <v>561</v>
      </c>
      <c r="L11" s="155" t="s">
        <v>562</v>
      </c>
      <c r="M11" s="155" t="s">
        <v>563</v>
      </c>
      <c r="N11" s="155" t="s">
        <v>564</v>
      </c>
      <c r="O11" s="155" t="s">
        <v>565</v>
      </c>
      <c r="P11" s="155" t="s">
        <v>566</v>
      </c>
      <c r="Q11" s="155" t="s">
        <v>567</v>
      </c>
      <c r="R11" s="155" t="s">
        <v>568</v>
      </c>
      <c r="S11" s="155" t="s">
        <v>569</v>
      </c>
      <c r="T11" s="155" t="s">
        <v>570</v>
      </c>
      <c r="U11" s="155" t="s">
        <v>571</v>
      </c>
      <c r="V11" s="155" t="s">
        <v>572</v>
      </c>
      <c r="W11" s="158" t="s">
        <v>573</v>
      </c>
      <c r="X11" s="158" t="s">
        <v>574</v>
      </c>
    </row>
    <row r="12" spans="1:25" ht="20.100000000000001" customHeight="1" x14ac:dyDescent="0.25">
      <c r="A12" s="5" t="str">
        <f>HYPERLINK("#'Input - Dairy (Enteric)'!A1", "Dairy (Enteric)")</f>
        <v>Dairy (Enteric)</v>
      </c>
      <c r="D12" s="159" t="s">
        <v>575</v>
      </c>
      <c r="E12" s="160">
        <v>100</v>
      </c>
      <c r="F12" s="25" t="str">
        <f>_xlfn.XLOOKUP(Table_Input_InorganicFertiliser_Brands[[#This Row],[Product (select)]],FertiliserProducts[Product name],FertiliserProducts[Unit])</f>
        <v>L</v>
      </c>
      <c r="G12" s="25">
        <f>_xlfn.XLOOKUP(Table_Input_InorganicFertiliser_Brands[[#This Row],[Product (select)]],FertiliserProducts[Product name],FertiliserProducts[Density / gravity])</f>
        <v>1.26</v>
      </c>
      <c r="H12" s="160">
        <f>X_Cell_Fertiliser_AreaUnderCropping</f>
        <v>1000</v>
      </c>
      <c r="I12" s="161">
        <f>(Table_Input_InorganicFertiliser_Brands[[#This Row],[Amount applied per hectare]]*Table_Input_InorganicFertiliser_Brands[[#This Row],[Density]])*Table_Input_InorganicFertiliser_Brands[[#This Row],[Application area (ha)]]</f>
        <v>126000</v>
      </c>
      <c r="J12" s="161" t="str" cm="1">
        <f t="array" ref="J12">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2" s="161" cm="1">
        <f t="array" ref="K12">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2" s="161" t="str" cm="1">
        <f t="array" ref="L12">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2" s="161" cm="1">
        <f t="array" ref="M12">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2" s="161" t="str" cm="1">
        <f t="array" ref="N12">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2" s="161" cm="1">
        <f t="array" ref="O12">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2" s="161" t="str" cm="1">
        <f t="array" ref="P12">Fertiliser_InputFunctions.Fertiliser_FertiliserProductLookup(Table_Input_InorganicFertiliser_Brands[[#This Row],[Product (select)]], Table_Input_InorganicFertiliser_Brands[[#Headers],[Ingredient 4]], FertiliserProducts[#Data], FertiliserProducts[Product name], FertiliserProducts[#Headers])</f>
        <v/>
      </c>
      <c r="Q12" s="161" t="str" cm="1">
        <f t="array" ref="Q12">Fertiliser_InputFunctions.Fertiliser_FertiliserProductLookup(Table_Input_InorganicFertiliser_Brands[[#This Row],[Product (select)]], Table_Input_InorganicFertiliser_Brands[[#Headers],[Ingredient 4 percent]], FertiliserProducts[#Data], FertiliserProducts[Product name], FertiliserProducts[#Headers])</f>
        <v/>
      </c>
      <c r="R12" s="161" t="str" cm="1">
        <f t="array" ref="R12">Fertiliser_InputFunctions.Fertiliser_FertiliserProductLookup(Table_Input_InorganicFertiliser_Brands[[#This Row],[Product (select)]], Table_Input_InorganicFertiliser_Brands[[#Headers],[Ingredient 5]], FertiliserProducts[#Data], FertiliserProducts[Product name], FertiliserProducts[#Headers])</f>
        <v/>
      </c>
      <c r="S12" s="161" t="str" cm="1">
        <f t="array" ref="S12">Fertiliser_InputFunctions.Fertiliser_FertiliserProductLookup(Table_Input_InorganicFertiliser_Brands[[#This Row],[Product (select)]], Table_Input_InorganicFertiliser_Brands[[#Headers],[Ingredient 5 percent]], FertiliserProducts[#Data], FertiliserProducts[Product name], FertiliserProducts[#Headers])</f>
        <v/>
      </c>
      <c r="T12" s="161" t="str" cm="1">
        <f t="array" ref="T12">Fertiliser_InputFunctions.Fertiliser_FertiliserProductLookup(Table_Input_InorganicFertiliser_Brands[[#This Row],[Product (select)]], Table_Input_InorganicFertiliser_Brands[[#Headers],[Ingredient 6]], FertiliserProducts[#Data], FertiliserProducts[Product name], FertiliserProducts[#Headers])</f>
        <v/>
      </c>
      <c r="U12" s="161" t="str" cm="1">
        <f t="array" ref="U12">Fertiliser_InputFunctions.Fertiliser_FertiliserProductLookup(Table_Input_InorganicFertiliser_Brands[[#This Row],[Product (select)]], Table_Input_InorganicFertiliser_Brands[[#Headers],[Ingredient 6 percent]], FertiliserProducts[#Data], FertiliserProducts[Product name], FertiliserProducts[#Headers])</f>
        <v/>
      </c>
      <c r="V12" s="161">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2" s="25" t="str">
        <f>_xlfn.XLOOKUP(Table_Input_InorganicFertiliser_Brands[[#This Row],[Product (select)]],FertiliserProducts[Product name],FertiliserProducts[Urea source])</f>
        <v/>
      </c>
      <c r="X12" s="25" t="str">
        <f>_xlfn.XLOOKUP(Table_Input_InorganicFertiliser_Brands[[#This Row],[Product (select)]],FertiliserProducts[Product name],FertiliserProducts[Ammonia source])</f>
        <v/>
      </c>
    </row>
    <row r="13" spans="1:25" ht="20.100000000000001" customHeight="1" x14ac:dyDescent="0.25">
      <c r="A13" s="5" t="str">
        <f>HYPERLINK("#'Input - Livestock sales'!A1", "Livestock sales")</f>
        <v>Livestock sales</v>
      </c>
      <c r="D13" s="162" t="s">
        <v>576</v>
      </c>
      <c r="E13" s="163">
        <v>100</v>
      </c>
      <c r="F13" s="25" t="str">
        <f>_xlfn.XLOOKUP(Table_Input_InorganicFertiliser_Brands[[#This Row],[Product (select)]],FertiliserProducts[Product name],FertiliserProducts[Unit])</f>
        <v>L</v>
      </c>
      <c r="G13" s="25">
        <f>_xlfn.XLOOKUP(Table_Input_InorganicFertiliser_Brands[[#This Row],[Product (select)]],FertiliserProducts[Product name],FertiliserProducts[Density / gravity])</f>
        <v>1.2849999999999999</v>
      </c>
      <c r="H13" s="163">
        <f>X_Cell_Fertiliser_AreaUnderCropping</f>
        <v>1000</v>
      </c>
      <c r="I13" s="161">
        <f>(Table_Input_InorganicFertiliser_Brands[[#This Row],[Amount applied per hectare]]*Table_Input_InorganicFertiliser_Brands[[#This Row],[Density]])*Table_Input_InorganicFertiliser_Brands[[#This Row],[Application area (ha)]]</f>
        <v>128500</v>
      </c>
      <c r="J13" s="161" t="str" cm="1">
        <f t="array" ref="J13">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3" s="161" cm="1">
        <f t="array" ref="K13">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3" s="161" t="str" cm="1">
        <f t="array" ref="L13">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3" s="161" cm="1">
        <f t="array" ref="M13">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3" s="161" t="str" cm="1">
        <f t="array" ref="N13">Fertiliser_InputFunctions.Fertiliser_FertiliserProductLookup(Table_Input_InorganicFertiliser_Brands[[#This Row],[Product (select)]], Table_Input_InorganicFertiliser_Brands[[#Headers],[Ingredient 3]], FertiliserProducts[#Data], FertiliserProducts[Product name], FertiliserProducts[#Headers])</f>
        <v/>
      </c>
      <c r="O13" s="161" t="str" cm="1">
        <f t="array" ref="O13">Fertiliser_InputFunctions.Fertiliser_FertiliserProductLookup(Table_Input_InorganicFertiliser_Brands[[#This Row],[Product (select)]], Table_Input_InorganicFertiliser_Brands[[#Headers],[Ingredient 3 percent]], FertiliserProducts[#Data], FertiliserProducts[Product name], FertiliserProducts[#Headers])</f>
        <v/>
      </c>
      <c r="P13" s="161" t="str" cm="1">
        <f t="array" ref="P13">Fertiliser_InputFunctions.Fertiliser_FertiliserProductLookup(Table_Input_InorganicFertiliser_Brands[[#This Row],[Product (select)]], Table_Input_InorganicFertiliser_Brands[[#Headers],[Ingredient 4]], FertiliserProducts[#Data], FertiliserProducts[Product name], FertiliserProducts[#Headers])</f>
        <v/>
      </c>
      <c r="Q13" s="161" t="str" cm="1">
        <f t="array" ref="Q13">Fertiliser_InputFunctions.Fertiliser_FertiliserProductLookup(Table_Input_InorganicFertiliser_Brands[[#This Row],[Product (select)]], Table_Input_InorganicFertiliser_Brands[[#Headers],[Ingredient 4 percent]], FertiliserProducts[#Data], FertiliserProducts[Product name], FertiliserProducts[#Headers])</f>
        <v/>
      </c>
      <c r="R13" s="161" t="str" cm="1">
        <f t="array" ref="R13">Fertiliser_InputFunctions.Fertiliser_FertiliserProductLookup(Table_Input_InorganicFertiliser_Brands[[#This Row],[Product (select)]], Table_Input_InorganicFertiliser_Brands[[#Headers],[Ingredient 5]], FertiliserProducts[#Data], FertiliserProducts[Product name], FertiliserProducts[#Headers])</f>
        <v/>
      </c>
      <c r="S13" s="161" t="str" cm="1">
        <f t="array" ref="S13">Fertiliser_InputFunctions.Fertiliser_FertiliserProductLookup(Table_Input_InorganicFertiliser_Brands[[#This Row],[Product (select)]], Table_Input_InorganicFertiliser_Brands[[#Headers],[Ingredient 5 percent]], FertiliserProducts[#Data], FertiliserProducts[Product name], FertiliserProducts[#Headers])</f>
        <v/>
      </c>
      <c r="T13" s="161" t="str" cm="1">
        <f t="array" ref="T13">Fertiliser_InputFunctions.Fertiliser_FertiliserProductLookup(Table_Input_InorganicFertiliser_Brands[[#This Row],[Product (select)]], Table_Input_InorganicFertiliser_Brands[[#Headers],[Ingredient 6]], FertiliserProducts[#Data], FertiliserProducts[Product name], FertiliserProducts[#Headers])</f>
        <v/>
      </c>
      <c r="U13" s="161" t="str" cm="1">
        <f t="array" ref="U13">Fertiliser_InputFunctions.Fertiliser_FertiliserProductLookup(Table_Input_InorganicFertiliser_Brands[[#This Row],[Product (select)]], Table_Input_InorganicFertiliser_Brands[[#Headers],[Ingredient 6 percent]], FertiliserProducts[#Data], FertiliserProducts[Product name], FertiliserProducts[#Headers])</f>
        <v/>
      </c>
      <c r="V13" s="161">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61" t="str">
        <f>_xlfn.XLOOKUP(Table_Input_InorganicFertiliser_Brands[[#This Row],[Product (select)]],FertiliserProducts[Product name],FertiliserProducts[Urea source])</f>
        <v/>
      </c>
      <c r="X13" s="161" t="str">
        <f>_xlfn.XLOOKUP(Table_Input_InorganicFertiliser_Brands[[#This Row],[Product (select)]],FertiliserProducts[Product name],FertiliserProducts[Ammonia source])</f>
        <v/>
      </c>
    </row>
    <row r="14" spans="1:25" ht="20.100000000000001" customHeight="1" x14ac:dyDescent="0.25">
      <c r="A14" s="5" t="str">
        <f>HYPERLINK("#'Input - Dairy cattle purchases'!A1", "Dairy cattle purchases")</f>
        <v>Dairy cattle purchases</v>
      </c>
      <c r="D14" s="162" t="s">
        <v>576</v>
      </c>
      <c r="E14" s="163">
        <v>100</v>
      </c>
      <c r="F14" s="25" t="str">
        <f>_xlfn.XLOOKUP(Table_Input_InorganicFertiliser_Brands[[#This Row],[Product (select)]],FertiliserProducts[Product name],FertiliserProducts[Unit])</f>
        <v>L</v>
      </c>
      <c r="G14" s="25">
        <f>_xlfn.XLOOKUP(Table_Input_InorganicFertiliser_Brands[[#This Row],[Product (select)]],FertiliserProducts[Product name],FertiliserProducts[Density / gravity])</f>
        <v>1.2849999999999999</v>
      </c>
      <c r="H14" s="163">
        <f>X_Cell_Fertiliser_AreaUnderCropping</f>
        <v>1000</v>
      </c>
      <c r="I14" s="161">
        <f>(Table_Input_InorganicFertiliser_Brands[[#This Row],[Amount applied per hectare]]*Table_Input_InorganicFertiliser_Brands[[#This Row],[Density]])*Table_Input_InorganicFertiliser_Brands[[#This Row],[Application area (ha)]]</f>
        <v>128500</v>
      </c>
      <c r="J14" s="161" t="str" cm="1">
        <f t="array" ref="J14">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4" s="161" cm="1">
        <f t="array" ref="K14">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4" s="161" t="str" cm="1">
        <f t="array" ref="L14">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4" s="161" cm="1">
        <f t="array" ref="M14">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4" s="161" t="str" cm="1">
        <f t="array" ref="N14">Fertiliser_InputFunctions.Fertiliser_FertiliserProductLookup(Table_Input_InorganicFertiliser_Brands[[#This Row],[Product (select)]], Table_Input_InorganicFertiliser_Brands[[#Headers],[Ingredient 3]], FertiliserProducts[#Data], FertiliserProducts[Product name], FertiliserProducts[#Headers])</f>
        <v/>
      </c>
      <c r="O14" s="161" t="str" cm="1">
        <f t="array" ref="O14">Fertiliser_InputFunctions.Fertiliser_FertiliserProductLookup(Table_Input_InorganicFertiliser_Brands[[#This Row],[Product (select)]], Table_Input_InorganicFertiliser_Brands[[#Headers],[Ingredient 3 percent]], FertiliserProducts[#Data], FertiliserProducts[Product name], FertiliserProducts[#Headers])</f>
        <v/>
      </c>
      <c r="P14" s="161" t="str" cm="1">
        <f t="array" ref="P14">Fertiliser_InputFunctions.Fertiliser_FertiliserProductLookup(Table_Input_InorganicFertiliser_Brands[[#This Row],[Product (select)]], Table_Input_InorganicFertiliser_Brands[[#Headers],[Ingredient 4]], FertiliserProducts[#Data], FertiliserProducts[Product name], FertiliserProducts[#Headers])</f>
        <v/>
      </c>
      <c r="Q14" s="161" t="str" cm="1">
        <f t="array" ref="Q14">Fertiliser_InputFunctions.Fertiliser_FertiliserProductLookup(Table_Input_InorganicFertiliser_Brands[[#This Row],[Product (select)]], Table_Input_InorganicFertiliser_Brands[[#Headers],[Ingredient 4 percent]], FertiliserProducts[#Data], FertiliserProducts[Product name], FertiliserProducts[#Headers])</f>
        <v/>
      </c>
      <c r="R14" s="161" t="str" cm="1">
        <f t="array" ref="R14">Fertiliser_InputFunctions.Fertiliser_FertiliserProductLookup(Table_Input_InorganicFertiliser_Brands[[#This Row],[Product (select)]], Table_Input_InorganicFertiliser_Brands[[#Headers],[Ingredient 5]], FertiliserProducts[#Data], FertiliserProducts[Product name], FertiliserProducts[#Headers])</f>
        <v/>
      </c>
      <c r="S14" s="161" t="str" cm="1">
        <f t="array" ref="S14">Fertiliser_InputFunctions.Fertiliser_FertiliserProductLookup(Table_Input_InorganicFertiliser_Brands[[#This Row],[Product (select)]], Table_Input_InorganicFertiliser_Brands[[#Headers],[Ingredient 5 percent]], FertiliserProducts[#Data], FertiliserProducts[Product name], FertiliserProducts[#Headers])</f>
        <v/>
      </c>
      <c r="T14" s="161" t="str" cm="1">
        <f t="array" ref="T14">Fertiliser_InputFunctions.Fertiliser_FertiliserProductLookup(Table_Input_InorganicFertiliser_Brands[[#This Row],[Product (select)]], Table_Input_InorganicFertiliser_Brands[[#Headers],[Ingredient 6]], FertiliserProducts[#Data], FertiliserProducts[Product name], FertiliserProducts[#Headers])</f>
        <v/>
      </c>
      <c r="U14" s="161" t="str" cm="1">
        <f t="array" ref="U14">Fertiliser_InputFunctions.Fertiliser_FertiliserProductLookup(Table_Input_InorganicFertiliser_Brands[[#This Row],[Product (select)]], Table_Input_InorganicFertiliser_Brands[[#Headers],[Ingredient 6 percent]], FertiliserProducts[#Data], FertiliserProducts[Product name], FertiliserProducts[#Headers])</f>
        <v/>
      </c>
      <c r="V14" s="161">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61" t="str">
        <f>_xlfn.XLOOKUP(Table_Input_InorganicFertiliser_Brands[[#This Row],[Product (select)]],FertiliserProducts[Product name],FertiliserProducts[Urea source])</f>
        <v/>
      </c>
      <c r="X14" s="161" t="str">
        <f>_xlfn.XLOOKUP(Table_Input_InorganicFertiliser_Brands[[#This Row],[Product (select)]],FertiliserProducts[Product name],FertiliserProducts[Ammonia source])</f>
        <v/>
      </c>
    </row>
    <row r="15" spans="1:25" ht="20.100000000000001" customHeight="1" x14ac:dyDescent="0.25">
      <c r="A15" s="5" t="str">
        <f>HYPERLINK("#'Input - Pasture'!A1", "Pasture")</f>
        <v>Pasture</v>
      </c>
      <c r="D15" s="162" t="s">
        <v>577</v>
      </c>
      <c r="E15" s="163">
        <v>100</v>
      </c>
      <c r="F15" s="25" t="str">
        <f>_xlfn.XLOOKUP(Table_Input_InorganicFertiliser_Brands[[#This Row],[Product (select)]],FertiliserProducts[Product name],FertiliserProducts[Unit])</f>
        <v>L</v>
      </c>
      <c r="G15" s="25">
        <f>_xlfn.XLOOKUP(Table_Input_InorganicFertiliser_Brands[[#This Row],[Product (select)]],FertiliserProducts[Product name],FertiliserProducts[Density / gravity])</f>
        <v>1.26</v>
      </c>
      <c r="H15" s="163">
        <f>X_Cell_Fertiliser_AreaUnderCropping</f>
        <v>1000</v>
      </c>
      <c r="I15" s="161">
        <f>(Table_Input_InorganicFertiliser_Brands[[#This Row],[Amount applied per hectare]]*Table_Input_InorganicFertiliser_Brands[[#This Row],[Density]])*Table_Input_InorganicFertiliser_Brands[[#This Row],[Application area (ha)]]</f>
        <v>126000</v>
      </c>
      <c r="J15" s="161" t="str" cm="1">
        <f t="array" ref="J15">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5" s="161" cm="1">
        <f t="array" ref="K15">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15" s="161" t="str" cm="1">
        <f t="array" ref="L15">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15" s="161" cm="1">
        <f t="array" ref="M15">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15" s="161" t="str" cm="1">
        <f t="array" ref="N15">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15" s="161" cm="1">
        <f t="array" ref="O15">Fertiliser_InputFunctions.Fertiliser_FertiliserProductLookup(Table_Input_InorganicFertiliser_Brands[[#This Row],[Product (select)]], Table_Input_InorganicFertiliser_Brands[[#Headers],[Ingredient 3 percent]], FertiliserProducts[#Data], FertiliserProducts[Product name], FertiliserProducts[#Headers])</f>
        <v>0.05</v>
      </c>
      <c r="P15" s="161" t="str" cm="1">
        <f t="array" ref="P15">Fertiliser_InputFunctions.Fertiliser_FertiliserProductLookup(Table_Input_InorganicFertiliser_Brands[[#This Row],[Product (select)]], Table_Input_InorganicFertiliser_Brands[[#Headers],[Ingredient 4]], FertiliserProducts[#Data], FertiliserProducts[Product name], FertiliserProducts[#Headers])</f>
        <v/>
      </c>
      <c r="Q15" s="161" t="str" cm="1">
        <f t="array" ref="Q15">Fertiliser_InputFunctions.Fertiliser_FertiliserProductLookup(Table_Input_InorganicFertiliser_Brands[[#This Row],[Product (select)]], Table_Input_InorganicFertiliser_Brands[[#Headers],[Ingredient 4 percent]], FertiliserProducts[#Data], FertiliserProducts[Product name], FertiliserProducts[#Headers])</f>
        <v/>
      </c>
      <c r="R15" s="161" t="str" cm="1">
        <f t="array" ref="R15">Fertiliser_InputFunctions.Fertiliser_FertiliserProductLookup(Table_Input_InorganicFertiliser_Brands[[#This Row],[Product (select)]], Table_Input_InorganicFertiliser_Brands[[#Headers],[Ingredient 5]], FertiliserProducts[#Data], FertiliserProducts[Product name], FertiliserProducts[#Headers])</f>
        <v/>
      </c>
      <c r="S15" s="161" t="str" cm="1">
        <f t="array" ref="S15">Fertiliser_InputFunctions.Fertiliser_FertiliserProductLookup(Table_Input_InorganicFertiliser_Brands[[#This Row],[Product (select)]], Table_Input_InorganicFertiliser_Brands[[#Headers],[Ingredient 5 percent]], FertiliserProducts[#Data], FertiliserProducts[Product name], FertiliserProducts[#Headers])</f>
        <v/>
      </c>
      <c r="T15" s="161" t="str" cm="1">
        <f t="array" ref="T15">Fertiliser_InputFunctions.Fertiliser_FertiliserProductLookup(Table_Input_InorganicFertiliser_Brands[[#This Row],[Product (select)]], Table_Input_InorganicFertiliser_Brands[[#Headers],[Ingredient 6]], FertiliserProducts[#Data], FertiliserProducts[Product name], FertiliserProducts[#Headers])</f>
        <v/>
      </c>
      <c r="U15" s="161" t="str" cm="1">
        <f t="array" ref="U15">Fertiliser_InputFunctions.Fertiliser_FertiliserProductLookup(Table_Input_InorganicFertiliser_Brands[[#This Row],[Product (select)]], Table_Input_InorganicFertiliser_Brands[[#Headers],[Ingredient 6 percent]], FertiliserProducts[#Data], FertiliserProducts[Product name], FertiliserProducts[#Headers])</f>
        <v/>
      </c>
      <c r="V15" s="161">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15" s="161" t="str">
        <f>_xlfn.XLOOKUP(Table_Input_InorganicFertiliser_Brands[[#This Row],[Product (select)]],FertiliserProducts[Product name],FertiliserProducts[Urea source])</f>
        <v/>
      </c>
      <c r="X15" s="161" t="str">
        <f>_xlfn.XLOOKUP(Table_Input_InorganicFertiliser_Brands[[#This Row],[Product (select)]],FertiliserProducts[Product name],FertiliserProducts[Ammonia source])</f>
        <v/>
      </c>
    </row>
    <row r="16" spans="1:25" ht="20.100000000000001" customHeight="1" x14ac:dyDescent="0.25">
      <c r="A16" s="5" t="str">
        <f>HYPERLINK("#'Input - Fert Prod System'!A1", "Fert Prod System")</f>
        <v>Fert Prod System</v>
      </c>
      <c r="D16" s="162" t="s">
        <v>578</v>
      </c>
      <c r="E16" s="163">
        <v>100</v>
      </c>
      <c r="F16" s="25" t="str">
        <f>_xlfn.XLOOKUP(Table_Input_InorganicFertiliser_Brands[[#This Row],[Product (select)]],FertiliserProducts[Product name],FertiliserProducts[Unit])</f>
        <v>L</v>
      </c>
      <c r="G16" s="25">
        <f>_xlfn.XLOOKUP(Table_Input_InorganicFertiliser_Brands[[#This Row],[Product (select)]],FertiliserProducts[Product name],FertiliserProducts[Density / gravity])</f>
        <v>1.5</v>
      </c>
      <c r="H16" s="163">
        <f>X_Cell_Fertiliser_AreaUnderCropping</f>
        <v>1000</v>
      </c>
      <c r="I16" s="161">
        <f>(Table_Input_InorganicFertiliser_Brands[[#This Row],[Amount applied per hectare]]*Table_Input_InorganicFertiliser_Brands[[#This Row],[Density]])*Table_Input_InorganicFertiliser_Brands[[#This Row],[Application area (ha)]]</f>
        <v>150000</v>
      </c>
      <c r="J16" s="161" t="str" cm="1">
        <f t="array" ref="J16">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16" s="161" cm="1">
        <f t="array" ref="K16">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16" s="161" t="str" cm="1">
        <f t="array" ref="L16">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16" s="161" cm="1">
        <f t="array" ref="M16">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16" s="161" t="str" cm="1">
        <f t="array" ref="N16">Fertiliser_InputFunctions.Fertiliser_FertiliserProductLookup(Table_Input_InorganicFertiliser_Brands[[#This Row],[Product (select)]], Table_Input_InorganicFertiliser_Brands[[#Headers],[Ingredient 3]], FertiliserProducts[#Data], FertiliserProducts[Product name], FertiliserProducts[#Headers])</f>
        <v/>
      </c>
      <c r="O16" s="161" t="str" cm="1">
        <f t="array" ref="O16">Fertiliser_InputFunctions.Fertiliser_FertiliserProductLookup(Table_Input_InorganicFertiliser_Brands[[#This Row],[Product (select)]], Table_Input_InorganicFertiliser_Brands[[#Headers],[Ingredient 3 percent]], FertiliserProducts[#Data], FertiliserProducts[Product name], FertiliserProducts[#Headers])</f>
        <v/>
      </c>
      <c r="P16" s="161" t="str" cm="1">
        <f t="array" ref="P16">Fertiliser_InputFunctions.Fertiliser_FertiliserProductLookup(Table_Input_InorganicFertiliser_Brands[[#This Row],[Product (select)]], Table_Input_InorganicFertiliser_Brands[[#Headers],[Ingredient 4]], FertiliserProducts[#Data], FertiliserProducts[Product name], FertiliserProducts[#Headers])</f>
        <v/>
      </c>
      <c r="Q16" s="161" t="str" cm="1">
        <f t="array" ref="Q16">Fertiliser_InputFunctions.Fertiliser_FertiliserProductLookup(Table_Input_InorganicFertiliser_Brands[[#This Row],[Product (select)]], Table_Input_InorganicFertiliser_Brands[[#Headers],[Ingredient 4 percent]], FertiliserProducts[#Data], FertiliserProducts[Product name], FertiliserProducts[#Headers])</f>
        <v/>
      </c>
      <c r="R16" s="161" t="str" cm="1">
        <f t="array" ref="R16">Fertiliser_InputFunctions.Fertiliser_FertiliserProductLookup(Table_Input_InorganicFertiliser_Brands[[#This Row],[Product (select)]], Table_Input_InorganicFertiliser_Brands[[#Headers],[Ingredient 5]], FertiliserProducts[#Data], FertiliserProducts[Product name], FertiliserProducts[#Headers])</f>
        <v/>
      </c>
      <c r="S16" s="161" t="str" cm="1">
        <f t="array" ref="S16">Fertiliser_InputFunctions.Fertiliser_FertiliserProductLookup(Table_Input_InorganicFertiliser_Brands[[#This Row],[Product (select)]], Table_Input_InorganicFertiliser_Brands[[#Headers],[Ingredient 5 percent]], FertiliserProducts[#Data], FertiliserProducts[Product name], FertiliserProducts[#Headers])</f>
        <v/>
      </c>
      <c r="T16" s="161" t="str" cm="1">
        <f t="array" ref="T16">Fertiliser_InputFunctions.Fertiliser_FertiliserProductLookup(Table_Input_InorganicFertiliser_Brands[[#This Row],[Product (select)]], Table_Input_InorganicFertiliser_Brands[[#Headers],[Ingredient 6]], FertiliserProducts[#Data], FertiliserProducts[Product name], FertiliserProducts[#Headers])</f>
        <v/>
      </c>
      <c r="U16" s="161" t="str" cm="1">
        <f t="array" ref="U16">Fertiliser_InputFunctions.Fertiliser_FertiliserProductLookup(Table_Input_InorganicFertiliser_Brands[[#This Row],[Product (select)]], Table_Input_InorganicFertiliser_Brands[[#Headers],[Ingredient 6 percent]], FertiliserProducts[#Data], FertiliserProducts[Product name], FertiliserProducts[#Headers])</f>
        <v/>
      </c>
      <c r="V16" s="161">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16" s="161" t="str">
        <f>_xlfn.XLOOKUP(Table_Input_InorganicFertiliser_Brands[[#This Row],[Product (select)]],FertiliserProducts[Product name],FertiliserProducts[Urea source])</f>
        <v/>
      </c>
      <c r="X16" s="161" t="str">
        <f>_xlfn.XLOOKUP(Table_Input_InorganicFertiliser_Brands[[#This Row],[Product (select)]],FertiliserProducts[Product name],FertiliserProducts[Ammonia source])</f>
        <v/>
      </c>
    </row>
    <row r="17" spans="1:24" ht="36" customHeight="1" x14ac:dyDescent="0.25">
      <c r="A17" s="98" t="str">
        <f>HYPERLINK("#'Input - Fertiliser'!A1", "Fertiliser")</f>
        <v>Fertiliser</v>
      </c>
      <c r="D17" s="164"/>
      <c r="E17" s="165"/>
      <c r="F17" s="166"/>
      <c r="G17" s="166"/>
      <c r="H17" s="166"/>
      <c r="I17" s="166"/>
      <c r="J17" s="167"/>
      <c r="K17" s="167"/>
      <c r="L17" s="168"/>
      <c r="M17" s="168"/>
      <c r="N17" s="169"/>
      <c r="O17" s="169"/>
      <c r="P17" s="169"/>
      <c r="Q17" s="169"/>
      <c r="R17" s="169"/>
      <c r="S17" s="169"/>
      <c r="T17" s="169"/>
      <c r="U17" s="169"/>
      <c r="V17" s="169"/>
      <c r="W17" s="169"/>
      <c r="X17" s="169"/>
    </row>
    <row r="18" spans="1:24" ht="36" customHeight="1" x14ac:dyDescent="0.25">
      <c r="A18" s="5" t="str">
        <f>HYPERLINK("#'Input - Fuel'!A1", "Fuel")</f>
        <v>Fuel</v>
      </c>
      <c r="D18" s="170" t="s">
        <v>579</v>
      </c>
      <c r="E18" s="171"/>
      <c r="F18" s="171"/>
      <c r="G18" s="171"/>
      <c r="H18" s="171"/>
      <c r="I18" s="171"/>
      <c r="J18" s="171"/>
      <c r="K18" s="171"/>
      <c r="L18" s="171"/>
      <c r="M18" s="171"/>
      <c r="N18" s="169"/>
      <c r="O18" s="169"/>
      <c r="P18" s="169"/>
      <c r="Q18" s="169"/>
      <c r="R18" s="169"/>
      <c r="S18" s="169"/>
      <c r="T18" s="169"/>
      <c r="V18" s="169"/>
      <c r="W18" s="169"/>
      <c r="X18" s="169"/>
    </row>
    <row r="19" spans="1:24" ht="36" customHeight="1" x14ac:dyDescent="0.25">
      <c r="A19" s="5" t="str">
        <f>HYPERLINK("#'Input - Electricity'!A1", "Electricity")</f>
        <v>Electricity</v>
      </c>
      <c r="D19" s="156" t="s">
        <v>580</v>
      </c>
      <c r="E19" s="156" t="s">
        <v>581</v>
      </c>
      <c r="F19" s="156" t="s">
        <v>558</v>
      </c>
      <c r="G19" s="156" t="s">
        <v>559</v>
      </c>
      <c r="H19" s="156" t="s">
        <v>582</v>
      </c>
      <c r="I19" s="156" t="s">
        <v>561</v>
      </c>
      <c r="J19" s="156" t="s">
        <v>562</v>
      </c>
      <c r="K19" s="156" t="s">
        <v>563</v>
      </c>
      <c r="L19" s="156" t="s">
        <v>564</v>
      </c>
      <c r="M19" s="156" t="s">
        <v>565</v>
      </c>
      <c r="N19" s="156" t="s">
        <v>566</v>
      </c>
      <c r="O19" s="156" t="s">
        <v>567</v>
      </c>
      <c r="P19" s="156" t="s">
        <v>572</v>
      </c>
      <c r="Q19" s="158" t="s">
        <v>583</v>
      </c>
      <c r="R19" s="158" t="s">
        <v>584</v>
      </c>
      <c r="S19" s="169"/>
      <c r="T19" s="169"/>
      <c r="V19" s="169"/>
      <c r="W19" s="169"/>
      <c r="X19" s="169"/>
    </row>
    <row r="20" spans="1:24" ht="36" customHeight="1" x14ac:dyDescent="0.25">
      <c r="A20" s="5" t="str">
        <f>HYPERLINK("#'Input - Farm Inputs'!A1", "Farm Inputs")</f>
        <v>Farm Inputs</v>
      </c>
      <c r="D20" s="43" t="s">
        <v>585</v>
      </c>
      <c r="E20" s="156">
        <v>100</v>
      </c>
      <c r="F20" s="160">
        <f>X_Cell_Fertiliser_AreaUnderCropping</f>
        <v>1000</v>
      </c>
      <c r="G20" s="161">
        <f>Table_Input_InorganicFertiliser_Custom[[#This Row],[Amount applied (kg / ha)]]*Table_Input_InorganicFertiliser_Custom[[#This Row],[Application area (ha)]]</f>
        <v>100000</v>
      </c>
      <c r="H20" s="172" t="s">
        <v>586</v>
      </c>
      <c r="I20" s="173">
        <v>0.5</v>
      </c>
      <c r="J20" s="172" t="s">
        <v>587</v>
      </c>
      <c r="K20" s="173">
        <v>0.2</v>
      </c>
      <c r="L20" s="172" t="s">
        <v>588</v>
      </c>
      <c r="M20" s="173">
        <v>0.2</v>
      </c>
      <c r="N20" s="174" t="s">
        <v>589</v>
      </c>
      <c r="O20" s="28">
        <v>0.1</v>
      </c>
      <c r="P20" s="16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0" s="23"/>
      <c r="R20" s="23"/>
      <c r="T20" s="87"/>
    </row>
    <row r="21" spans="1:24" ht="36" customHeight="1" x14ac:dyDescent="0.25">
      <c r="A21" s="5" t="str">
        <f>HYPERLINK("#'Input - Freight'!A1", "Freight")</f>
        <v>Freight</v>
      </c>
      <c r="D21" s="43" t="s">
        <v>590</v>
      </c>
      <c r="E21" s="156">
        <v>100</v>
      </c>
      <c r="F21" s="160">
        <f>X_Cell_Fertiliser_AreaUnderCropping</f>
        <v>1000</v>
      </c>
      <c r="G21" s="161">
        <f>Table_Input_InorganicFertiliser_Custom[[#This Row],[Amount applied (kg / ha)]]*Table_Input_InorganicFertiliser_Custom[[#This Row],[Application area (ha)]]</f>
        <v>100000</v>
      </c>
      <c r="H21" s="172" t="s">
        <v>591</v>
      </c>
      <c r="I21" s="175">
        <v>1</v>
      </c>
      <c r="J21" s="172"/>
      <c r="K21" s="175"/>
      <c r="L21" s="172"/>
      <c r="M21" s="175"/>
      <c r="N21" s="174"/>
      <c r="O21" s="28"/>
      <c r="P21" s="16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1" s="23"/>
      <c r="R21" s="23"/>
      <c r="W21" s="87"/>
    </row>
    <row r="22" spans="1:24" ht="36" customHeight="1" x14ac:dyDescent="0.25">
      <c r="A22" s="5" t="str">
        <f>HYPERLINK("#'Input - Manure sent off-site'!A1", "Manure sent off-site")</f>
        <v>Manure sent off-site</v>
      </c>
      <c r="D22" s="43" t="s">
        <v>592</v>
      </c>
      <c r="E22" s="156">
        <v>100</v>
      </c>
      <c r="F22" s="160">
        <f>X_Cell_Fertiliser_AreaUnderCropping</f>
        <v>1000</v>
      </c>
      <c r="G22" s="161">
        <f>Table_Input_InorganicFertiliser_Custom[[#This Row],[Amount applied (kg / ha)]]*Table_Input_InorganicFertiliser_Custom[[#This Row],[Application area (ha)]]</f>
        <v>100000</v>
      </c>
      <c r="H22" s="172" t="s">
        <v>593</v>
      </c>
      <c r="I22" s="175">
        <v>0.5</v>
      </c>
      <c r="J22" s="172"/>
      <c r="K22" s="175"/>
      <c r="L22" s="172"/>
      <c r="M22" s="175"/>
      <c r="N22" s="174"/>
      <c r="O22" s="28"/>
      <c r="P22" s="16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2" s="23"/>
      <c r="R22" s="23"/>
    </row>
    <row r="23" spans="1:24" ht="36" customHeight="1" x14ac:dyDescent="0.25">
      <c r="A23" s="5" t="str">
        <f>HYPERLINK("#'Input - Solid waste'!A1", "Solid waste")</f>
        <v>Solid waste</v>
      </c>
      <c r="V23" s="87"/>
    </row>
    <row r="24" spans="1:24" ht="36" customHeight="1" x14ac:dyDescent="0.25">
      <c r="A24" s="5" t="str">
        <f>HYPERLINK("#'Input - Data quality'!A1", "Data quality")</f>
        <v>Data quality</v>
      </c>
      <c r="D24" s="2" t="s">
        <v>594</v>
      </c>
      <c r="E24" s="34"/>
      <c r="F24" s="34"/>
      <c r="G24" s="34"/>
      <c r="H24" s="34"/>
      <c r="I24" s="34"/>
      <c r="J24" s="34"/>
      <c r="K24" s="8"/>
      <c r="L24" s="8"/>
      <c r="M24" s="8"/>
    </row>
    <row r="25" spans="1:24" ht="36" customHeight="1" x14ac:dyDescent="0.25">
      <c r="D25" s="8"/>
      <c r="E25" s="8"/>
      <c r="F25" s="8"/>
      <c r="G25" s="8"/>
      <c r="H25" s="8"/>
      <c r="I25" s="8"/>
      <c r="J25" s="8"/>
      <c r="K25" s="8"/>
      <c r="L25" s="8"/>
      <c r="M25" s="34"/>
    </row>
    <row r="26" spans="1:24" ht="36" customHeight="1" x14ac:dyDescent="0.25">
      <c r="D26" s="145" t="s">
        <v>595</v>
      </c>
      <c r="E26" s="53"/>
      <c r="F26" s="54"/>
      <c r="G26" s="145"/>
      <c r="H26" s="54"/>
      <c r="I26" s="34"/>
      <c r="J26" s="34"/>
      <c r="K26" s="8"/>
      <c r="L26" s="8"/>
      <c r="M26" s="8"/>
    </row>
    <row r="27" spans="1:24" ht="20.100000000000001" customHeight="1" x14ac:dyDescent="0.25">
      <c r="A27" s="6" t="s">
        <v>2</v>
      </c>
      <c r="D27" s="176" t="s">
        <v>596</v>
      </c>
      <c r="E27" s="177"/>
      <c r="F27" s="178"/>
      <c r="G27" s="176"/>
      <c r="H27" s="178"/>
      <c r="I27" s="8"/>
      <c r="J27" s="8"/>
      <c r="K27" s="8"/>
      <c r="L27" s="8"/>
      <c r="M27" s="34"/>
    </row>
    <row r="28" spans="1:24" ht="20.100000000000001" customHeight="1" x14ac:dyDescent="0.25">
      <c r="A28" s="5" t="str">
        <f>HYPERLINK("#'5.1.1.1-2 Inorganic fert N2O'!A1", "5.1.1.1-2 Inorganic fert N2O")</f>
        <v>5.1.1.1-2 Inorganic fert N2O</v>
      </c>
      <c r="D28" s="55" t="s">
        <v>552</v>
      </c>
      <c r="E28" s="56"/>
      <c r="F28" s="56"/>
      <c r="G28" s="56"/>
      <c r="H28" s="57"/>
      <c r="I28" s="8"/>
      <c r="J28" s="8"/>
      <c r="K28" s="8"/>
      <c r="L28" s="8"/>
      <c r="M28" s="34"/>
    </row>
    <row r="29" spans="1:24" ht="20.100000000000001" customHeight="1" x14ac:dyDescent="0.25">
      <c r="A29" s="5" t="str">
        <f>HYPERLINK("#'5.1.1.3-4 Inorganic fert CO2'!A1", "5.1.1.3-4 Inorganic fert CO2")</f>
        <v>5.1.1.3-4 Inorganic fert CO2</v>
      </c>
      <c r="D29" s="91" t="str">
        <f>IF(MAX(Table_Input_Lime[Total]) &gt; 1, "There can not be more than 100% ingredients in a product. Check the table below.", "")</f>
        <v/>
      </c>
    </row>
    <row r="30" spans="1:24" ht="20.100000000000001" customHeight="1" x14ac:dyDescent="0.25">
      <c r="A30" s="5" t="str">
        <f>HYPERLINK("#'5.2.1.1-2 Organic Fert N2O'!A1", "5.2.1.1-2 Organic fert N2O")</f>
        <v>5.2.1.1-2 Organic fert N2O</v>
      </c>
      <c r="D30" s="179" t="s">
        <v>138</v>
      </c>
      <c r="E30" s="179" t="s">
        <v>597</v>
      </c>
      <c r="F30" s="179" t="s">
        <v>558</v>
      </c>
      <c r="G30" s="179" t="s">
        <v>598</v>
      </c>
      <c r="H30" s="179" t="s">
        <v>599</v>
      </c>
      <c r="I30" s="179" t="s">
        <v>600</v>
      </c>
      <c r="J30" s="179" t="s">
        <v>601</v>
      </c>
      <c r="K30" s="179" t="s">
        <v>4</v>
      </c>
    </row>
    <row r="31" spans="1:24" ht="20.100000000000001" customHeight="1" x14ac:dyDescent="0.25">
      <c r="A31" s="5" t="str">
        <f>HYPERLINK("#'5.3.1.1-2 Lime CO2'!A1", "5.3.1.1-2 Lime CO2")</f>
        <v>5.3.1.1-2 Lime CO2</v>
      </c>
      <c r="D31" s="180" t="s">
        <v>602</v>
      </c>
      <c r="E31" s="160">
        <v>1</v>
      </c>
      <c r="F31" s="160">
        <f>X_Cell_Fertiliser_AreaUnderCropping</f>
        <v>1000</v>
      </c>
      <c r="G31" s="161">
        <f>IFERROR(Table_Input_Lime[[#This Row],[Amount applied (t/hectare)]]*Table_Input_Lime[[#This Row],[Application area (ha)]], 0)</f>
        <v>1000</v>
      </c>
      <c r="H31" s="181">
        <v>0.8</v>
      </c>
      <c r="I31" s="181">
        <v>0.1</v>
      </c>
      <c r="J31" s="181">
        <v>0.1</v>
      </c>
      <c r="K31" s="182">
        <f>SUM(Table_Input_Lime[[#This Row],[Percent Lime CaCO3]:[Percent Gypsum]])</f>
        <v>1</v>
      </c>
    </row>
    <row r="32" spans="1:24" ht="30" customHeight="1" x14ac:dyDescent="0.25">
      <c r="A32" s="5" t="str">
        <f>HYPERLINK("#'5.4.1.1-4 Atmos deposition'!A1", "5.4.1.1-4 Atmos. deposition")</f>
        <v>5.4.1.1-4 Atmos. deposition</v>
      </c>
      <c r="D32" s="180" t="s">
        <v>603</v>
      </c>
      <c r="E32" s="160">
        <v>1</v>
      </c>
      <c r="F32" s="160">
        <f>X_Cell_Fertiliser_AreaUnderCropping</f>
        <v>1000</v>
      </c>
      <c r="G32" s="161">
        <f>IFERROR(Table_Input_Lime[[#This Row],[Amount applied (t/hectare)]]*Table_Input_Lime[[#This Row],[Application area (ha)]], 0)</f>
        <v>1000</v>
      </c>
      <c r="H32" s="181">
        <v>1</v>
      </c>
      <c r="I32" s="181"/>
      <c r="J32" s="181"/>
      <c r="K32" s="182">
        <f>SUM(Table_Input_Lime[[#This Row],[Percent Lime CaCO3]:[Percent Gypsum]])</f>
        <v>1</v>
      </c>
      <c r="L32" s="34"/>
    </row>
    <row r="33" spans="1:25" ht="36" customHeight="1" x14ac:dyDescent="0.25">
      <c r="A33" s="5" t="str">
        <f>HYPERLINK("#'5.5.1.1-2 Leaching and runoff'!A1", "5.5.1.1-2 Leaching &amp; runoff")</f>
        <v>5.5.1.1-2 Leaching &amp; runoff</v>
      </c>
      <c r="D33" s="180" t="s">
        <v>604</v>
      </c>
      <c r="E33" s="160">
        <v>1</v>
      </c>
      <c r="F33" s="160">
        <f>X_Cell_Fertiliser_AreaUnderCropping</f>
        <v>1000</v>
      </c>
      <c r="G33" s="161">
        <f>IFERROR(Table_Input_Lime[[#This Row],[Amount applied (t/hectare)]]*Table_Input_Lime[[#This Row],[Application area (ha)]], 0)</f>
        <v>1000</v>
      </c>
      <c r="H33" s="181">
        <v>0</v>
      </c>
      <c r="I33" s="181"/>
      <c r="J33" s="181">
        <v>1</v>
      </c>
      <c r="K33" s="182">
        <f>SUM(Table_Input_Lime[[#This Row],[Percent Lime CaCO3]:[Percent Gypsum]])</f>
        <v>1</v>
      </c>
      <c r="L33" s="34"/>
      <c r="M33" s="34"/>
    </row>
    <row r="34" spans="1:25" ht="36" customHeight="1" x14ac:dyDescent="0.25">
      <c r="A34" s="5" t="str">
        <f>HYPERLINK("#'6.2.1.1-2 Pasture residue N2O'!A1", "6.2.1.1-2 Pasture residue N2O")</f>
        <v>6.2.1.1-2 Pasture residue N2O</v>
      </c>
      <c r="D34" s="8"/>
      <c r="E34" s="8"/>
      <c r="F34" s="8"/>
      <c r="G34" s="8"/>
      <c r="H34" s="8"/>
      <c r="I34" s="8"/>
      <c r="J34" s="8"/>
      <c r="L34" s="8"/>
      <c r="M34" s="34"/>
    </row>
    <row r="35" spans="1:25" ht="36" customHeight="1" x14ac:dyDescent="0.25">
      <c r="A35" s="5" t="str">
        <f>HYPERLINK("#'6.3.1.1-2 Leach runoff pasture'!A1", "6.3.1.1-2 Leach &amp; runoff (pasture)")</f>
        <v>6.3.1.1-2 Leach &amp; runoff (pasture)</v>
      </c>
      <c r="D35" s="8"/>
      <c r="E35" s="8"/>
      <c r="F35" s="8"/>
      <c r="G35" s="8"/>
      <c r="H35" s="8"/>
      <c r="I35" s="8"/>
      <c r="J35" s="183"/>
      <c r="K35" s="34"/>
      <c r="L35" s="8"/>
      <c r="M35" s="8"/>
    </row>
    <row r="36" spans="1:25" ht="36" customHeight="1" x14ac:dyDescent="0.25">
      <c r="A36" s="5" t="str">
        <f>HYPERLINK("#'8.1.1.1-2 Transport fuel'!A1", "8.1.1.1-2 Transport fuel")</f>
        <v>8.1.1.1-2 Transport fuel</v>
      </c>
      <c r="D36" s="2" t="s">
        <v>605</v>
      </c>
      <c r="E36" s="34"/>
      <c r="F36" s="34"/>
      <c r="G36" s="34"/>
      <c r="H36" s="8"/>
      <c r="I36" s="8"/>
      <c r="J36" s="8"/>
      <c r="K36" s="8"/>
      <c r="L36" s="8"/>
      <c r="M36" s="8"/>
      <c r="S36" s="169"/>
    </row>
    <row r="37" spans="1:25" ht="20.100000000000001" customHeight="1" x14ac:dyDescent="0.25">
      <c r="A37" s="5" t="str">
        <f>HYPERLINK("#'8.2.1.1-2 Stationary fuel'!A1", "8.2.1.1-2 Stationary fuel")</f>
        <v>8.2.1.1-2 Stationary fuel</v>
      </c>
      <c r="D37" s="8"/>
      <c r="E37" s="8"/>
      <c r="F37" s="8"/>
      <c r="G37" s="8"/>
      <c r="H37" s="8"/>
      <c r="I37" s="8"/>
      <c r="J37" s="8"/>
      <c r="K37" s="8"/>
      <c r="L37" s="8"/>
      <c r="M37" s="8"/>
      <c r="Q37" s="169"/>
      <c r="R37" s="169"/>
      <c r="S37" s="169"/>
    </row>
    <row r="38" spans="1:25" ht="20.100000000000001" customHeight="1" x14ac:dyDescent="0.25">
      <c r="A38" s="5" t="str">
        <f>HYPERLINK("#'14.1.1-2 Purchased electricity'!A1", "14.1.1-2 Purchased electricity")</f>
        <v>14.1.1-2 Purchased electricity</v>
      </c>
      <c r="C38" s="169"/>
      <c r="D38" s="145" t="s">
        <v>595</v>
      </c>
      <c r="E38" s="53"/>
      <c r="F38" s="53"/>
      <c r="G38" s="53"/>
      <c r="H38" s="54"/>
      <c r="I38" s="8"/>
      <c r="J38" s="8"/>
      <c r="K38" s="8"/>
      <c r="L38" s="8"/>
      <c r="M38" s="8"/>
      <c r="O38" s="169"/>
      <c r="P38" s="169"/>
      <c r="Q38" s="169"/>
      <c r="R38" s="169"/>
    </row>
    <row r="39" spans="1:25" ht="20.100000000000001" customHeight="1" x14ac:dyDescent="0.25">
      <c r="A39" s="5" t="str">
        <f>HYPERLINK("#'15 Scope 3'!A1", "15 Scope 3")</f>
        <v>15 Scope 3</v>
      </c>
      <c r="C39" s="169"/>
      <c r="D39" s="55" t="s">
        <v>552</v>
      </c>
      <c r="E39" s="56"/>
      <c r="F39" s="56"/>
      <c r="G39" s="56"/>
      <c r="H39" s="57"/>
      <c r="I39" s="8"/>
      <c r="J39" s="8"/>
      <c r="K39" s="8"/>
      <c r="L39" s="171"/>
      <c r="M39" s="169"/>
      <c r="N39" s="169"/>
      <c r="O39" s="169"/>
      <c r="P39" s="169"/>
    </row>
    <row r="40" spans="1:25" s="184" customFormat="1" ht="20.100000000000001" customHeight="1" x14ac:dyDescent="0.25">
      <c r="A40" s="5" t="str">
        <f>HYPERLINK("#'Calcs - Manure sent off-site'!A1", "Calcs - Manure sent off-site")</f>
        <v>Calcs - Manure sent off-site</v>
      </c>
      <c r="C40" s="1"/>
      <c r="D40" s="8"/>
      <c r="E40" s="8"/>
      <c r="F40" s="8"/>
      <c r="G40" s="8"/>
      <c r="H40" s="8"/>
      <c r="I40" s="8"/>
      <c r="J40" s="8"/>
      <c r="K40" s="8"/>
      <c r="L40" s="171"/>
      <c r="M40" s="169"/>
      <c r="N40" s="169"/>
      <c r="O40" s="1"/>
      <c r="P40" s="1"/>
      <c r="Q40" s="1"/>
      <c r="R40" s="1"/>
      <c r="S40" s="1"/>
      <c r="T40" s="1"/>
      <c r="U40" s="1"/>
      <c r="V40" s="1"/>
      <c r="W40" s="1"/>
      <c r="X40" s="1"/>
      <c r="Y40" s="1"/>
    </row>
    <row r="41" spans="1:25" s="184" customFormat="1" ht="20.100000000000001" customHeight="1" x14ac:dyDescent="0.25">
      <c r="A41" s="5" t="str">
        <f>HYPERLINK("#'4.3.1.1-2 Methane'!A1", "4.3.1.1-2 Methane")</f>
        <v>4.3.1.1-2 Methane</v>
      </c>
      <c r="C41" s="1"/>
      <c r="D41" s="179" t="s">
        <v>606</v>
      </c>
      <c r="E41" s="179" t="s">
        <v>607</v>
      </c>
      <c r="F41" s="179" t="s">
        <v>608</v>
      </c>
      <c r="G41" s="179" t="s">
        <v>609</v>
      </c>
      <c r="H41" s="179" t="s">
        <v>558</v>
      </c>
      <c r="I41" s="179" t="s">
        <v>610</v>
      </c>
      <c r="J41" s="179" t="s">
        <v>611</v>
      </c>
      <c r="K41" s="171"/>
      <c r="L41" s="1"/>
      <c r="M41" s="1"/>
      <c r="N41" s="1"/>
      <c r="O41" s="1"/>
      <c r="P41" s="1"/>
      <c r="Q41" s="1"/>
      <c r="R41" s="1"/>
      <c r="S41" s="1"/>
      <c r="T41" s="1"/>
      <c r="U41" s="1"/>
      <c r="V41" s="1"/>
      <c r="W41" s="1"/>
      <c r="X41" s="1"/>
      <c r="Y41" s="1"/>
    </row>
    <row r="42" spans="1:25" ht="30" customHeight="1" x14ac:dyDescent="0.25">
      <c r="A42" s="5" t="str">
        <f>HYPERLINK("#'4.3.1.3-4 Direct N20'!A1", "4.3.1.3-4 Direct N20")</f>
        <v>4.3.1.3-4 Direct N20</v>
      </c>
      <c r="D42" s="159" t="s">
        <v>612</v>
      </c>
      <c r="E42" s="181">
        <v>0.3</v>
      </c>
      <c r="F42" s="160">
        <v>10</v>
      </c>
      <c r="G42" s="161">
        <f>Table_Input_OrganicFertiliser[[#This Row],[Amount applied (kg/hectare)]]*Table_Input_OrganicFertiliser[[#This Row],[Percentage of N in fertiliser]]</f>
        <v>3</v>
      </c>
      <c r="H42" s="160">
        <f>X_Cell_Fertiliser_AreaUnderCropping</f>
        <v>1000</v>
      </c>
      <c r="I42" s="161">
        <f>Table_Input_OrganicFertiliser[[#This Row],[Amount applied (kg/hectare)]]*Table_Input_OrganicFertiliser[[#This Row],[Application area (ha)]]</f>
        <v>10000</v>
      </c>
      <c r="J42" s="161">
        <f>IFERROR(Table_Input_OrganicFertiliser[[#This Row],[Amount N applied (kg/hectare)]]*Table_Input_OrganicFertiliser[[#This Row],[Application area (ha)]], 0)</f>
        <v>3000</v>
      </c>
      <c r="K42" s="171"/>
    </row>
    <row r="43" spans="1:25" ht="36" customHeight="1" x14ac:dyDescent="0.25">
      <c r="A43" s="5" t="str">
        <f>HYPERLINK("#'4.3.1.5 Atmos deposition'!A1", "4.3.1.5 Atmos deposition")</f>
        <v>4.3.1.5 Atmos deposition</v>
      </c>
      <c r="D43" s="159" t="s">
        <v>613</v>
      </c>
      <c r="E43" s="181">
        <v>0.25</v>
      </c>
      <c r="F43" s="160">
        <v>10</v>
      </c>
      <c r="G43" s="161">
        <f>Table_Input_OrganicFertiliser[[#This Row],[Amount applied (kg/hectare)]]*Table_Input_OrganicFertiliser[[#This Row],[Percentage of N in fertiliser]]</f>
        <v>2.5</v>
      </c>
      <c r="H43" s="160">
        <f>X_Cell_Fertiliser_AreaUnderCropping</f>
        <v>1000</v>
      </c>
      <c r="I43" s="161">
        <f>Table_Input_OrganicFertiliser[[#This Row],[Amount applied (kg/hectare)]]*Table_Input_OrganicFertiliser[[#This Row],[Application area (ha)]]</f>
        <v>10000</v>
      </c>
      <c r="J43" s="161">
        <f>IFERROR(Table_Input_OrganicFertiliser[[#This Row],[Amount N applied (kg/hectare)]]*Table_Input_OrganicFertiliser[[#This Row],[Application area (ha)]], 0)</f>
        <v>2500</v>
      </c>
    </row>
    <row r="44" spans="1:25" ht="36" customHeight="1" x14ac:dyDescent="0.25">
      <c r="A44" s="5" t="str">
        <f>HYPERLINK("#'4.3.1.6-7 Leaching and runoff'!A1", "4.3.1.6-7 Leaching and runoff")</f>
        <v>4.3.1.6-7 Leaching and runoff</v>
      </c>
      <c r="D44" s="159" t="s">
        <v>614</v>
      </c>
      <c r="E44" s="181">
        <v>0.16</v>
      </c>
      <c r="F44" s="160">
        <v>10</v>
      </c>
      <c r="G44" s="161">
        <f>Table_Input_OrganicFertiliser[[#This Row],[Amount applied (kg/hectare)]]*Table_Input_OrganicFertiliser[[#This Row],[Percentage of N in fertiliser]]</f>
        <v>1.6</v>
      </c>
      <c r="H44" s="160">
        <f>X_Cell_Fertiliser_AreaUnderCropping</f>
        <v>1000</v>
      </c>
      <c r="I44" s="161">
        <f>Table_Input_OrganicFertiliser[[#This Row],[Amount applied (kg/hectare)]]*Table_Input_OrganicFertiliser[[#This Row],[Application area (ha)]]</f>
        <v>10000</v>
      </c>
      <c r="J44" s="161">
        <f>IFERROR(Table_Input_OrganicFertiliser[[#This Row],[Amount N applied (kg/hectare)]]*Table_Input_OrganicFertiliser[[#This Row],[Application area (ha)]], 0)</f>
        <v>1600</v>
      </c>
    </row>
    <row r="45" spans="1:25" ht="36" customHeight="1" x14ac:dyDescent="0.25">
      <c r="A45" s="5" t="str">
        <f>HYPERLINK("#'4.3.1.8 Manure applied to soils'!A1", "4.3.1.8 Manure applied to soils")</f>
        <v>4.3.1.8 Manure applied to soils</v>
      </c>
    </row>
    <row r="46" spans="1:25" ht="36" customHeight="1" x14ac:dyDescent="0.25">
      <c r="A46" s="5" t="str">
        <f>HYPERLINK("#'4.3.1.9 Soil direct N2O'!A1", "4.3.1.9 Soil direct N2O")</f>
        <v>4.3.1.9 Soil direct N2O</v>
      </c>
    </row>
    <row r="47" spans="1:25" ht="20.100000000000001" customHeight="1" x14ac:dyDescent="0.25">
      <c r="A47" s="5" t="str">
        <f>HYPERLINK("#'4.3.1.10-11 Soil Atmos Dep'!A1", "4.3.1.10-11 Soil Atmos Dep")</f>
        <v>4.3.1.10-11 Soil Atmos Dep</v>
      </c>
    </row>
    <row r="48" spans="1:25" ht="20.100000000000001" customHeight="1" x14ac:dyDescent="0.25">
      <c r="A48" s="5" t="str">
        <f>HYPERLINK("#'4.3.1.12-13 Soil leach runoff'!A1", "4.3.1.12-13 Soil leach runoff")</f>
        <v>4.3.1.12-13 Soil leach runoff</v>
      </c>
    </row>
    <row r="49" spans="1:1" ht="20.100000000000001" customHeight="1" x14ac:dyDescent="0.25">
      <c r="A49" s="5" t="str">
        <f>HYPERLINK("#'3.3.1.1-2 Enteric Methane'!A1", "3.3.1.1-2 Enteric Methane")</f>
        <v>3.3.1.1-2 Enteric Methane</v>
      </c>
    </row>
    <row r="50" spans="1:1" ht="20.100000000000001" customHeight="1" x14ac:dyDescent="0.25">
      <c r="A50" s="5" t="str">
        <f>HYPERLINK("#'10.1.1-2 Solid waste treatment'!A1", "10.1.1-2 Solid waste treatment")</f>
        <v>10.1.1-2 Solid waste treatment</v>
      </c>
    </row>
    <row r="51" spans="1:1" ht="20.100000000000001" customHeight="1" x14ac:dyDescent="0.25"/>
    <row r="52" spans="1:1" ht="20.100000000000001" customHeight="1" x14ac:dyDescent="0.25"/>
    <row r="53" spans="1:1" ht="20.100000000000001" customHeight="1" x14ac:dyDescent="0.25">
      <c r="A53" s="100" t="s">
        <v>1</v>
      </c>
    </row>
    <row r="54" spans="1:1" ht="20.100000000000001" customHeight="1" x14ac:dyDescent="0.25">
      <c r="A54" s="5" t="str">
        <f>HYPERLINK("#'Constants - Dairy'!A1", "Constants - Dairy")</f>
        <v>Constants - Dairy</v>
      </c>
    </row>
    <row r="55" spans="1:1" ht="20.100000000000001" customHeight="1" x14ac:dyDescent="0.25">
      <c r="A55" s="5" t="str">
        <f>HYPERLINK("#'Constants - Ag Residue'!A1", "Constants - Ag residue")</f>
        <v>Constants - Ag residue</v>
      </c>
    </row>
    <row r="56" spans="1:1" ht="20.100000000000001" customHeight="1" x14ac:dyDescent="0.25">
      <c r="A56" s="5" t="str">
        <f>HYPERLINK("#'Constants - Common Livestock'!A1", "Constants - Common Livestock")</f>
        <v>Constants - Common Livestock</v>
      </c>
    </row>
    <row r="57" spans="1:1" ht="20.100000000000001" customHeight="1" x14ac:dyDescent="0.25">
      <c r="A57" s="5" t="str">
        <f>HYPERLINK("#'Constants - Electricity'!A1", "Constants - Electricity")</f>
        <v>Constants - Electricity</v>
      </c>
    </row>
    <row r="58" spans="1:1" ht="20.100000000000001" customHeight="1" x14ac:dyDescent="0.25">
      <c r="A58" s="5" t="str">
        <f>HYPERLINK("#'Constants - Fertiliser'!A1", "Constants - Fertiliser")</f>
        <v>Constants - Fertiliser</v>
      </c>
    </row>
    <row r="59" spans="1:1" ht="20.100000000000001" customHeight="1" x14ac:dyDescent="0.25">
      <c r="A59" s="5" t="str">
        <f>HYPERLINK("#'Constants - Fuel'!A1", "Constants - Fuel")</f>
        <v>Constants - Fuel</v>
      </c>
    </row>
    <row r="60" spans="1:1" ht="20.100000000000001" customHeight="1" x14ac:dyDescent="0.25">
      <c r="A60" s="5" t="str">
        <f>HYPERLINK("#'Constants - Scope 3'!A1", "Constants - Scope 3")</f>
        <v>Constants - Scope 3</v>
      </c>
    </row>
    <row r="61" spans="1:1" ht="20.100000000000001" customHeight="1" x14ac:dyDescent="0.25">
      <c r="A61" s="5" t="str">
        <f>HYPERLINK("#'Constants - Common'!A1", "Constants - Common")</f>
        <v>Constants - Common</v>
      </c>
    </row>
    <row r="62" spans="1:1" ht="20.100000000000001" customHeight="1" x14ac:dyDescent="0.25">
      <c r="A62" s="5" t="str">
        <f>HYPERLINK("#'Acknowledgements'!A1", "Acknowledgements")</f>
        <v>Acknowledgements</v>
      </c>
    </row>
    <row r="63" spans="1:1" ht="20.100000000000001" customHeight="1" x14ac:dyDescent="0.25">
      <c r="A63" s="5" t="str">
        <f>HYPERLINK("#'Constants - Solid Waste'!A1", "Constants - Solid Waste")</f>
        <v>Constants - Solid Waste</v>
      </c>
    </row>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4"/>
    </row>
    <row r="115" spans="13:13" ht="20.100000000000001" customHeight="1" x14ac:dyDescent="0.25">
      <c r="M115" s="34"/>
    </row>
    <row r="116" spans="13:13" ht="20.100000000000001" customHeight="1" x14ac:dyDescent="0.25">
      <c r="M116" s="34"/>
    </row>
    <row r="117" spans="13:13" ht="20.100000000000001" customHeight="1" x14ac:dyDescent="0.25">
      <c r="M117" s="34"/>
    </row>
    <row r="118" spans="13:13" ht="20.100000000000001" customHeight="1" x14ac:dyDescent="0.25">
      <c r="M118" s="34"/>
    </row>
    <row r="119" spans="13:13" ht="20.100000000000001" customHeight="1" x14ac:dyDescent="0.25">
      <c r="M119" s="34"/>
    </row>
    <row r="120" spans="13:13" ht="20.100000000000001" customHeight="1" x14ac:dyDescent="0.25">
      <c r="M120" s="34"/>
    </row>
    <row r="121" spans="13:13" ht="20.100000000000001" customHeight="1" x14ac:dyDescent="0.25">
      <c r="M121" s="34"/>
    </row>
    <row r="122" spans="13:13" ht="20.100000000000001" customHeight="1" x14ac:dyDescent="0.25">
      <c r="M122" s="34"/>
    </row>
    <row r="123" spans="13:13" ht="20.100000000000001" customHeight="1" x14ac:dyDescent="0.25">
      <c r="M123" s="34"/>
    </row>
    <row r="124" spans="13:13" ht="20.100000000000001" customHeight="1" x14ac:dyDescent="0.25">
      <c r="M124" s="34"/>
    </row>
    <row r="125" spans="13:13" ht="20.100000000000001" customHeight="1" x14ac:dyDescent="0.25">
      <c r="M125" s="34"/>
    </row>
    <row r="126" spans="13:13" ht="20.100000000000001" customHeight="1" x14ac:dyDescent="0.25">
      <c r="M126" s="34"/>
    </row>
    <row r="127" spans="13:13" ht="20.100000000000001" customHeight="1" x14ac:dyDescent="0.25">
      <c r="M127" s="34"/>
    </row>
    <row r="128" spans="13:13" ht="20.100000000000001" customHeight="1" x14ac:dyDescent="0.25">
      <c r="M128" s="34"/>
    </row>
    <row r="129" spans="13:13" ht="20.100000000000001" customHeight="1" x14ac:dyDescent="0.25">
      <c r="M129" s="34"/>
    </row>
    <row r="130" spans="13:13" ht="20.100000000000001" customHeight="1" x14ac:dyDescent="0.25">
      <c r="M130" s="34"/>
    </row>
    <row r="131" spans="13:13" ht="20.100000000000001" customHeight="1" x14ac:dyDescent="0.25">
      <c r="M131" s="34"/>
    </row>
    <row r="132" spans="13:13" ht="20.100000000000001" customHeight="1" x14ac:dyDescent="0.25">
      <c r="M132" s="34"/>
    </row>
    <row r="133" spans="13:13" ht="20.100000000000001" customHeight="1" x14ac:dyDescent="0.25">
      <c r="M133" s="34"/>
    </row>
    <row r="134" spans="13:13" ht="20.100000000000001" customHeight="1" x14ac:dyDescent="0.25">
      <c r="M134" s="34"/>
    </row>
    <row r="135" spans="13:13" ht="20.100000000000001" customHeight="1" x14ac:dyDescent="0.25">
      <c r="M135" s="34"/>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6"/>
    </row>
    <row r="213" spans="12:12" x14ac:dyDescent="0.25">
      <c r="L213" s="26"/>
    </row>
    <row r="214" spans="12:12" x14ac:dyDescent="0.25">
      <c r="L214" s="26"/>
    </row>
    <row r="215" spans="12:12" x14ac:dyDescent="0.25">
      <c r="L215" s="26"/>
    </row>
    <row r="216" spans="12:12" x14ac:dyDescent="0.25">
      <c r="L216" s="26"/>
    </row>
    <row r="218" spans="12:12" x14ac:dyDescent="0.25">
      <c r="L218" s="26"/>
    </row>
    <row r="220" spans="12:12" x14ac:dyDescent="0.25">
      <c r="L220" s="26"/>
    </row>
    <row r="221" spans="12:12" x14ac:dyDescent="0.25">
      <c r="L221" s="26"/>
    </row>
    <row r="222" spans="12:12" x14ac:dyDescent="0.25">
      <c r="L222" s="26"/>
    </row>
    <row r="223" spans="12:12" x14ac:dyDescent="0.25">
      <c r="L223" s="26"/>
    </row>
    <row r="225" spans="12:12" x14ac:dyDescent="0.25">
      <c r="L225" s="26"/>
    </row>
    <row r="233" spans="12:12" x14ac:dyDescent="0.25">
      <c r="L233" s="26"/>
    </row>
    <row r="234" spans="12:12" x14ac:dyDescent="0.25">
      <c r="L234" s="26"/>
    </row>
    <row r="235" spans="12:12" x14ac:dyDescent="0.25">
      <c r="L235" s="26"/>
    </row>
    <row r="238" spans="12:12" x14ac:dyDescent="0.25">
      <c r="L238" s="26"/>
    </row>
    <row r="239" spans="12:12" x14ac:dyDescent="0.25">
      <c r="L239" s="26"/>
    </row>
    <row r="240" spans="12:12" x14ac:dyDescent="0.25">
      <c r="L240" s="26"/>
    </row>
    <row r="243" spans="11:12" x14ac:dyDescent="0.25">
      <c r="L243" s="26"/>
    </row>
    <row r="244" spans="11:12" x14ac:dyDescent="0.25">
      <c r="L244" s="26"/>
    </row>
    <row r="245" spans="11:12" x14ac:dyDescent="0.25">
      <c r="L245" s="26"/>
    </row>
    <row r="248" spans="11:12" x14ac:dyDescent="0.25">
      <c r="L248" s="26"/>
    </row>
    <row r="249" spans="11:12" x14ac:dyDescent="0.25">
      <c r="L249" s="26"/>
    </row>
    <row r="250" spans="11:12" x14ac:dyDescent="0.25">
      <c r="L250" s="26"/>
    </row>
    <row r="251" spans="11:12" x14ac:dyDescent="0.25">
      <c r="K251" s="26"/>
    </row>
    <row r="256" spans="11:12" x14ac:dyDescent="0.25">
      <c r="K256" s="26"/>
    </row>
    <row r="257" spans="11:12" x14ac:dyDescent="0.25">
      <c r="L257" s="26"/>
    </row>
    <row r="258" spans="11:12" x14ac:dyDescent="0.25">
      <c r="L258" s="26"/>
    </row>
    <row r="259" spans="11:12" x14ac:dyDescent="0.25">
      <c r="L259" s="26"/>
    </row>
    <row r="261" spans="11:12" x14ac:dyDescent="0.25">
      <c r="K261" s="26"/>
    </row>
    <row r="262" spans="11:12" x14ac:dyDescent="0.25">
      <c r="L262" s="26"/>
    </row>
    <row r="263" spans="11:12" x14ac:dyDescent="0.25">
      <c r="L263" s="26"/>
    </row>
    <row r="264" spans="11:12" x14ac:dyDescent="0.25">
      <c r="L264" s="26"/>
    </row>
    <row r="266" spans="11:12" x14ac:dyDescent="0.25">
      <c r="K266" s="26"/>
    </row>
    <row r="267" spans="11:12" x14ac:dyDescent="0.25">
      <c r="K267" s="26"/>
      <c r="L267" s="26"/>
    </row>
    <row r="268" spans="11:12" x14ac:dyDescent="0.25">
      <c r="K268" s="26"/>
      <c r="L268" s="26"/>
    </row>
    <row r="269" spans="11:12" x14ac:dyDescent="0.25">
      <c r="K269" s="26"/>
      <c r="L269" s="26"/>
    </row>
    <row r="270" spans="11:12" x14ac:dyDescent="0.25">
      <c r="K270" s="26"/>
    </row>
    <row r="272" spans="11:12" x14ac:dyDescent="0.25">
      <c r="K272" s="26"/>
      <c r="L272" s="26"/>
    </row>
    <row r="273" spans="11:12" x14ac:dyDescent="0.25">
      <c r="L273" s="26"/>
    </row>
    <row r="274" spans="11:12" x14ac:dyDescent="0.25">
      <c r="K274" s="26"/>
      <c r="L274" s="26"/>
    </row>
    <row r="275" spans="11:12" x14ac:dyDescent="0.25">
      <c r="K275" s="26"/>
    </row>
    <row r="276" spans="11:12" x14ac:dyDescent="0.25">
      <c r="K276" s="26"/>
    </row>
    <row r="277" spans="11:12" x14ac:dyDescent="0.25">
      <c r="K277" s="26"/>
    </row>
    <row r="279" spans="11:12" x14ac:dyDescent="0.25">
      <c r="K279" s="26"/>
    </row>
    <row r="285" spans="11:12" x14ac:dyDescent="0.25">
      <c r="K285" s="26"/>
    </row>
    <row r="290" spans="11:11" x14ac:dyDescent="0.25">
      <c r="K290" s="26"/>
    </row>
    <row r="295" spans="11:11" x14ac:dyDescent="0.25">
      <c r="K295" s="26"/>
    </row>
    <row r="300" spans="11:11" x14ac:dyDescent="0.25">
      <c r="K300" s="26"/>
    </row>
    <row r="301" spans="11:11" x14ac:dyDescent="0.25">
      <c r="K301" s="26"/>
    </row>
    <row r="302" spans="11:11" x14ac:dyDescent="0.25">
      <c r="K302" s="26"/>
    </row>
    <row r="303" spans="11:11" x14ac:dyDescent="0.25">
      <c r="K303" s="26"/>
    </row>
    <row r="304" spans="11:11" x14ac:dyDescent="0.25">
      <c r="K304" s="26"/>
    </row>
    <row r="306" spans="11:11" x14ac:dyDescent="0.25">
      <c r="K306" s="26"/>
    </row>
    <row r="308" spans="11:11" x14ac:dyDescent="0.25">
      <c r="K308" s="26"/>
    </row>
    <row r="309" spans="11:11" x14ac:dyDescent="0.25">
      <c r="K309" s="26"/>
    </row>
    <row r="310" spans="11:11" x14ac:dyDescent="0.25">
      <c r="K310" s="26"/>
    </row>
    <row r="311" spans="11:11" x14ac:dyDescent="0.25">
      <c r="K311" s="26"/>
    </row>
    <row r="313" spans="11:11" x14ac:dyDescent="0.25">
      <c r="K313" s="26"/>
    </row>
    <row r="321" spans="11:11" x14ac:dyDescent="0.25">
      <c r="K321" s="26"/>
    </row>
    <row r="322" spans="11:11" x14ac:dyDescent="0.25">
      <c r="K322" s="26"/>
    </row>
    <row r="323" spans="11:11" x14ac:dyDescent="0.25">
      <c r="K323" s="26"/>
    </row>
    <row r="326" spans="11:11" x14ac:dyDescent="0.25">
      <c r="K326" s="26"/>
    </row>
    <row r="327" spans="11:11" x14ac:dyDescent="0.25">
      <c r="K327" s="26"/>
    </row>
    <row r="328" spans="11:11" x14ac:dyDescent="0.25">
      <c r="K328" s="26"/>
    </row>
    <row r="331" spans="11:11" x14ac:dyDescent="0.25">
      <c r="K331" s="26"/>
    </row>
    <row r="332" spans="11:11" x14ac:dyDescent="0.25">
      <c r="K332" s="26"/>
    </row>
    <row r="333" spans="11:11" x14ac:dyDescent="0.25">
      <c r="K333" s="26"/>
    </row>
    <row r="336" spans="11:11" x14ac:dyDescent="0.25">
      <c r="K336" s="26"/>
    </row>
    <row r="337" spans="11:11" x14ac:dyDescent="0.25">
      <c r="K337" s="26"/>
    </row>
    <row r="338" spans="11:11" x14ac:dyDescent="0.25">
      <c r="K338" s="26"/>
    </row>
    <row r="345" spans="11:11" x14ac:dyDescent="0.25">
      <c r="K345" s="26"/>
    </row>
    <row r="346" spans="11:11" x14ac:dyDescent="0.25">
      <c r="K346" s="26"/>
    </row>
    <row r="347" spans="11:11" x14ac:dyDescent="0.25">
      <c r="K347" s="26"/>
    </row>
    <row r="350" spans="11:11" x14ac:dyDescent="0.25">
      <c r="K350" s="26"/>
    </row>
    <row r="351" spans="11:11" x14ac:dyDescent="0.25">
      <c r="K351" s="26"/>
    </row>
    <row r="352" spans="11:11" x14ac:dyDescent="0.25">
      <c r="K352" s="26"/>
    </row>
    <row r="355" spans="4:11" x14ac:dyDescent="0.25">
      <c r="K355" s="26"/>
    </row>
    <row r="356" spans="4:11" x14ac:dyDescent="0.25">
      <c r="K356" s="26"/>
    </row>
    <row r="357" spans="4:11" x14ac:dyDescent="0.25">
      <c r="K357" s="26"/>
    </row>
    <row r="360" spans="4:11" x14ac:dyDescent="0.25">
      <c r="K360" s="26"/>
    </row>
    <row r="361" spans="4:11" x14ac:dyDescent="0.25">
      <c r="K361" s="26"/>
    </row>
    <row r="362" spans="4:11" x14ac:dyDescent="0.25">
      <c r="K362" s="26"/>
    </row>
    <row r="366" spans="4:11" x14ac:dyDescent="0.25">
      <c r="D366" s="91"/>
    </row>
  </sheetData>
  <conditionalFormatting sqref="F46 I63:I66 L186 K188 L190:L191 K192:K193 L194:L195 K196:K197 L200:L201 K202:K203 L204:L205 K206:K207 L211:L216 K213">
    <cfRule type="cellIs" dxfId="77" priority="18" operator="lessThan">
      <formula>0</formula>
    </cfRule>
  </conditionalFormatting>
  <conditionalFormatting sqref="F155:F156">
    <cfRule type="cellIs" dxfId="76" priority="14" operator="lessThan">
      <formula>0</formula>
    </cfRule>
  </conditionalFormatting>
  <conditionalFormatting sqref="F167:F168">
    <cfRule type="cellIs" dxfId="75" priority="13" operator="lessThan">
      <formula>0</formula>
    </cfRule>
  </conditionalFormatting>
  <conditionalFormatting sqref="F255:F256">
    <cfRule type="cellIs" dxfId="74" priority="26" operator="lessThan">
      <formula>0</formula>
    </cfRule>
  </conditionalFormatting>
  <conditionalFormatting sqref="F260:F261">
    <cfRule type="cellIs" dxfId="73" priority="25" operator="lessThan">
      <formula>0</formula>
    </cfRule>
  </conditionalFormatting>
  <conditionalFormatting sqref="F265:F266">
    <cfRule type="cellIs" dxfId="72" priority="24" operator="lessThan">
      <formula>0</formula>
    </cfRule>
  </conditionalFormatting>
  <conditionalFormatting sqref="F289:F290">
    <cfRule type="cellIs" dxfId="71" priority="23" operator="lessThan">
      <formula>0</formula>
    </cfRule>
  </conditionalFormatting>
  <conditionalFormatting sqref="F294:F295">
    <cfRule type="cellIs" dxfId="70" priority="22" operator="lessThan">
      <formula>0</formula>
    </cfRule>
  </conditionalFormatting>
  <conditionalFormatting sqref="F299:F300">
    <cfRule type="cellIs" dxfId="69" priority="21" operator="lessThan">
      <formula>0</formula>
    </cfRule>
  </conditionalFormatting>
  <conditionalFormatting sqref="H41 F131:F132">
    <cfRule type="cellIs" dxfId="68" priority="16" operator="lessThan">
      <formula>0</formula>
    </cfRule>
  </conditionalFormatting>
  <conditionalFormatting sqref="I28 I39:I40 O41 N42 I45 I47:I49 I51:I52 I209:J209 E215:G215 I215:J215 K251 J253 K256 J258 K261 J263 K266:K270 J268:J272 K272 J274 K274:K277 J276:J279 K279 J281 K285 J287 K290 J292 K295 J297 K300:K304 J302:J306 K306 J308 K308:K311 J310:J313 K313 J315">
    <cfRule type="cellIs" dxfId="67" priority="20" operator="lessThan">
      <formula>0</formula>
    </cfRule>
  </conditionalFormatting>
  <conditionalFormatting sqref="I30:I35 F143:F144">
    <cfRule type="cellIs" dxfId="66" priority="15" operator="lessThan">
      <formula>0</formula>
    </cfRule>
  </conditionalFormatting>
  <conditionalFormatting sqref="I70 M107 I129:J129">
    <cfRule type="cellIs" dxfId="65" priority="19" operator="lessThan">
      <formula>0</formula>
    </cfRule>
  </conditionalFormatting>
  <conditionalFormatting sqref="I81:I83">
    <cfRule type="cellIs" dxfId="64" priority="3" operator="lessThan">
      <formula>0</formula>
    </cfRule>
  </conditionalFormatting>
  <conditionalFormatting sqref="I87:I90">
    <cfRule type="cellIs" dxfId="63" priority="2" operator="lessThan">
      <formula>0</formula>
    </cfRule>
  </conditionalFormatting>
  <conditionalFormatting sqref="I94:I98">
    <cfRule type="cellIs" dxfId="62" priority="1" operator="lessThan">
      <formula>0</formula>
    </cfRule>
  </conditionalFormatting>
  <conditionalFormatting sqref="J157">
    <cfRule type="cellIs" dxfId="61" priority="17" operator="lessThan">
      <formula>0</formula>
    </cfRule>
  </conditionalFormatting>
  <conditionalFormatting sqref="L119:L122">
    <cfRule type="cellIs" dxfId="60" priority="7" operator="lessThan">
      <formula>0</formula>
    </cfRule>
  </conditionalFormatting>
  <conditionalFormatting sqref="L125">
    <cfRule type="cellIs" dxfId="59" priority="12" operator="lessThan">
      <formula>0</formula>
    </cfRule>
  </conditionalFormatting>
  <conditionalFormatting sqref="L131:L134">
    <cfRule type="cellIs" dxfId="58" priority="6" operator="lessThan">
      <formula>0</formula>
    </cfRule>
  </conditionalFormatting>
  <conditionalFormatting sqref="L137">
    <cfRule type="cellIs" dxfId="57" priority="11" operator="lessThan">
      <formula>0</formula>
    </cfRule>
  </conditionalFormatting>
  <conditionalFormatting sqref="L143:L146">
    <cfRule type="cellIs" dxfId="56" priority="5" operator="lessThan">
      <formula>0</formula>
    </cfRule>
  </conditionalFormatting>
  <conditionalFormatting sqref="L149">
    <cfRule type="cellIs" dxfId="55" priority="10" operator="lessThan">
      <formula>0</formula>
    </cfRule>
  </conditionalFormatting>
  <conditionalFormatting sqref="L155:L158">
    <cfRule type="cellIs" dxfId="54" priority="4" operator="lessThan">
      <formula>0</formula>
    </cfRule>
  </conditionalFormatting>
  <conditionalFormatting sqref="L161">
    <cfRule type="cellIs" dxfId="53" priority="9" operator="lessThan">
      <formula>0</formula>
    </cfRule>
  </conditionalFormatting>
  <conditionalFormatting sqref="L165:L166">
    <cfRule type="cellIs" dxfId="52" priority="8" operator="lessThan">
      <formula>0</formula>
    </cfRule>
  </conditionalFormatting>
  <conditionalFormatting sqref="L218 L220:L223 L225 J233:J235 J238:J240">
    <cfRule type="cellIs" dxfId="51" priority="27" operator="lessThan">
      <formula>0</formula>
    </cfRule>
  </conditionalFormatting>
  <dataValidations count="9">
    <dataValidation type="list" allowBlank="1" showInputMessage="1" showErrorMessage="1" sqref="Q20:R22" xr:uid="{44B6ECDF-41E8-46E8-BD35-8A6B352B2AEF}">
      <formula1>INDIRECT("Table_SourceData_Fertiliser_UreaAmmoniaSources[Source]")</formula1>
    </dataValidation>
    <dataValidation type="list" allowBlank="1" showInputMessage="1" showErrorMessage="1" sqref="D12:D16" xr:uid="{EEB7E900-4235-451B-BE48-92D3C4F6FF35}">
      <formula1>INDIRECT("FertiliserProducts[Product Name]")</formula1>
    </dataValidation>
    <dataValidation type="list" allowBlank="1" showInputMessage="1" showErrorMessage="1" sqref="D42:D44" xr:uid="{D6E55975-A4C6-4C20-829E-5224EEAFAD00}">
      <formula1>INDIRECT("Table_SourceData_OrganicFertiliserTypes[Organic fertiliser type]")</formula1>
    </dataValidation>
    <dataValidation type="list" allowBlank="1" showInputMessage="1" showErrorMessage="1" sqref="H20:H22 J20:J22 L20:L22 N20:N22" xr:uid="{54BF1A5D-BCF9-488E-A060-02472874DD0A}">
      <formula1>INDIRECT("Table_Fertiliser_ChemicalCompounds[Fertiliser type f]")</formula1>
    </dataValidation>
    <dataValidation type="list" allowBlank="1" showInputMessage="1" showErrorMessage="1" sqref="E69" xr:uid="{066C4F19-4087-47C4-A392-31E686E1C28D}">
      <formula1>INDIRECT("Table_SourceData_Swine_CropProdSystems[Production system]")</formula1>
    </dataValidation>
    <dataValidation type="list" allowBlank="1" showInputMessage="1" showErrorMessage="1" sqref="E70" xr:uid="{70D9E9DA-F060-4E40-BD60-BB64F3D7CFFB}">
      <formula1>INDIRECT("Table_SourceData_Swine_IrrigationMethods[Irrigation method]")</formula1>
    </dataValidation>
    <dataValidation type="list" allowBlank="1" showInputMessage="1" showErrorMessage="1" sqref="E254 E259 E264 E298 E293 E288 E166 E154 E130 E142" xr:uid="{CD0F2E2D-4814-46AA-91AC-2EE4D71106E5}">
      <formula1>"Yes, No"</formula1>
    </dataValidation>
    <dataValidation type="list" allowBlank="1" showInputMessage="1" showErrorMessage="1" sqref="E230" xr:uid="{5BDC1F3D-4D8D-4FDC-B24E-FD23EB24662E}">
      <formula1>INDIRECT("Table_SourceData_Dairy_ProductionSystemTemplates[Area]")</formula1>
    </dataValidation>
    <dataValidation type="list" allowBlank="1" showInputMessage="1" showErrorMessage="1" sqref="D282" xr:uid="{8EB818A4-FC9B-4590-B533-4463391774FB}">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B9F3F-8A37-491C-B8E5-7B29FEC05647}">
  <dimension ref="A1:K346"/>
  <sheetViews>
    <sheetView showGridLines="0" topLeftCell="A2"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6" customFormat="1" ht="30" customHeight="1" x14ac:dyDescent="0.35">
      <c r="A1" s="16" t="e" vm="1">
        <v>#VALUE!</v>
      </c>
      <c r="C1" s="16" t="s">
        <v>778</v>
      </c>
    </row>
    <row r="2" spans="1:11" s="3" customFormat="1" ht="20.100000000000001" customHeight="1" x14ac:dyDescent="0.25">
      <c r="A2"/>
    </row>
    <row r="3" spans="1:11" ht="20.100000000000001" customHeight="1" x14ac:dyDescent="0.25">
      <c r="A3" s="5" t="str">
        <f>HYPERLINK("#'Home'!A1", "Home")</f>
        <v>Home</v>
      </c>
      <c r="C3" s="38"/>
      <c r="D3" s="38"/>
      <c r="E3" s="38"/>
      <c r="F3" s="38"/>
      <c r="G3" s="38"/>
      <c r="H3" s="38"/>
      <c r="I3" s="38"/>
      <c r="J3" s="38"/>
      <c r="K3" s="38"/>
    </row>
    <row r="4" spans="1:11" ht="20.100000000000001" customHeight="1" x14ac:dyDescent="0.25">
      <c r="A4" s="5" t="str">
        <f>HYPERLINK("#'Overview'!A1", "Overview")</f>
        <v>Overview</v>
      </c>
    </row>
    <row r="5" spans="1:11" ht="20.100000000000001" customHeight="1" x14ac:dyDescent="0.25">
      <c r="A5" s="5" t="str">
        <f>HYPERLINK("#'Results'!A1", "Results")</f>
        <v>Results</v>
      </c>
      <c r="D5" s="2" t="s">
        <v>779</v>
      </c>
      <c r="E5" s="34"/>
      <c r="F5" s="34"/>
      <c r="G5" s="34"/>
      <c r="H5" s="34"/>
    </row>
    <row r="6" spans="1:11" ht="20.100000000000001" customHeight="1" x14ac:dyDescent="0.25">
      <c r="D6" s="8"/>
      <c r="E6" s="8"/>
      <c r="F6" s="8"/>
      <c r="G6" s="8"/>
      <c r="H6" s="8"/>
      <c r="I6" s="8"/>
      <c r="J6" s="8"/>
    </row>
    <row r="7" spans="1:11" ht="20.100000000000001" customHeight="1" x14ac:dyDescent="0.25">
      <c r="D7" s="1" t="s">
        <v>780</v>
      </c>
    </row>
    <row r="8" spans="1:11" ht="20.100000000000001" customHeight="1" x14ac:dyDescent="0.25">
      <c r="A8" s="7" t="s">
        <v>0</v>
      </c>
      <c r="D8" s="1" t="s">
        <v>781</v>
      </c>
    </row>
    <row r="9" spans="1:11" ht="20.100000000000001" customHeight="1" x14ac:dyDescent="0.25">
      <c r="A9" s="5" t="str">
        <f>HYPERLINK("#'Input - Enterprise'!A1", "Enterprise")</f>
        <v>Enterprise</v>
      </c>
      <c r="D9" s="1" t="s">
        <v>782</v>
      </c>
    </row>
    <row r="10" spans="1:11" ht="20.100000000000001" customHeight="1" x14ac:dyDescent="0.25">
      <c r="A10" s="5" t="str">
        <f>HYPERLINK("#'Input - Site'!A1", "Site")</f>
        <v>Site</v>
      </c>
    </row>
    <row r="11" spans="1:11" ht="20.100000000000001" customHeight="1" x14ac:dyDescent="0.25">
      <c r="A11" s="5" t="str">
        <f>HYPERLINK("#'Input - Dairy'!A1", "Dairy")</f>
        <v>Dairy</v>
      </c>
      <c r="D11" s="1" t="s">
        <v>783</v>
      </c>
      <c r="E11" s="23" t="s">
        <v>784</v>
      </c>
      <c r="F11" s="26" t="s">
        <v>101</v>
      </c>
    </row>
    <row r="12" spans="1:11" ht="20.100000000000001" customHeight="1" x14ac:dyDescent="0.25">
      <c r="A12" s="5" t="str">
        <f>HYPERLINK("#'Input - Dairy (Enteric)'!A1", "Dairy (Enteric)")</f>
        <v>Dairy (Enteric)</v>
      </c>
    </row>
    <row r="13" spans="1:11" ht="20.100000000000001" customHeight="1" x14ac:dyDescent="0.25">
      <c r="A13" s="5" t="str">
        <f>HYPERLINK("#'Input - Livestock sales'!A1", "Livestock sales")</f>
        <v>Livestock sales</v>
      </c>
      <c r="D13" s="145" t="s">
        <v>751</v>
      </c>
      <c r="E13" s="53"/>
      <c r="F13" s="53"/>
      <c r="G13" s="53"/>
      <c r="H13" s="54"/>
    </row>
    <row r="14" spans="1:11" ht="20.100000000000001" customHeight="1" x14ac:dyDescent="0.25">
      <c r="A14" s="5" t="str">
        <f>HYPERLINK("#'Input - Dairy cattle purchases'!A1", "Dairy cattle purchases")</f>
        <v>Dairy cattle purchases</v>
      </c>
      <c r="D14" s="55" t="s">
        <v>785</v>
      </c>
      <c r="E14" s="56"/>
      <c r="F14" s="56"/>
      <c r="G14" s="56"/>
      <c r="H14" s="57"/>
    </row>
    <row r="15" spans="1:11" ht="20.100000000000001" customHeight="1" x14ac:dyDescent="0.25">
      <c r="A15" s="5" t="str">
        <f>HYPERLINK("#'Input - Pasture'!A1", "Pasture")</f>
        <v>Pasture</v>
      </c>
      <c r="D15" s="8"/>
      <c r="E15" s="8"/>
      <c r="F15" s="8"/>
      <c r="G15" s="8"/>
      <c r="H15" s="8"/>
      <c r="I15" s="8"/>
      <c r="J15" s="8"/>
    </row>
    <row r="16" spans="1:11" ht="20.100000000000001" customHeight="1" x14ac:dyDescent="0.25">
      <c r="A16" s="5" t="str">
        <f>HYPERLINK("#'Input - Fert Prod System'!A1", "Fert Prod System")</f>
        <v>Fert Prod System</v>
      </c>
      <c r="D16" s="94" t="s">
        <v>786</v>
      </c>
      <c r="E16" s="94" t="s">
        <v>787</v>
      </c>
      <c r="F16" s="94" t="s">
        <v>788</v>
      </c>
      <c r="G16" s="94" t="s">
        <v>789</v>
      </c>
      <c r="H16" s="94" t="s">
        <v>790</v>
      </c>
      <c r="I16" s="94" t="s">
        <v>791</v>
      </c>
      <c r="J16" s="94" t="s">
        <v>792</v>
      </c>
    </row>
    <row r="17" spans="1:10" ht="20.100000000000001" customHeight="1" x14ac:dyDescent="0.25">
      <c r="A17" s="5" t="str">
        <f>HYPERLINK("#'Input - Fertiliser'!A1", "Fertiliser")</f>
        <v>Fertiliser</v>
      </c>
      <c r="D17" s="23" t="s">
        <v>793</v>
      </c>
      <c r="E17" s="23" t="s">
        <v>794</v>
      </c>
      <c r="F17" s="209">
        <v>100</v>
      </c>
      <c r="G17" s="25" t="str" cm="1">
        <f t="array" ref="G17">Common_InputFunctions.Utility_LookupValueInTable(Table_Input_Fuel[[#This Row],[Fuel type (select)]],Table_FuelTypes_Units[Fuel type], Table_FuelTypes_Units[Input Unit])</f>
        <v>GJ</v>
      </c>
      <c r="H17" s="210">
        <f>1</f>
        <v>1</v>
      </c>
      <c r="I17" s="25">
        <f>Table_Input_Fuel[[#This Row],[Amount purchased]]*Table_Input_Fuel[[#This Row],[Percent consumed]]*IF(Table_Input_Fuel[[#This Row],[Amount unit]]="L", 10^-3, 1)</f>
        <v>100</v>
      </c>
      <c r="J17" s="25" t="str" cm="1">
        <f t="array" ref="J17">Common_InputFunctions.Utility_LookupValueInTable(Table_Input_Fuel[[#This Row],[Fuel type (select)]],Table_FuelTypes_Units[Fuel type], Table_FuelTypes_Units[Unit])</f>
        <v>GJ</v>
      </c>
    </row>
    <row r="18" spans="1:10" ht="20.100000000000001" customHeight="1" x14ac:dyDescent="0.25">
      <c r="A18" s="98" t="str">
        <f>HYPERLINK("#'Input - Fuel'!A1", "Fuel")</f>
        <v>Fuel</v>
      </c>
      <c r="D18" s="23" t="s">
        <v>793</v>
      </c>
      <c r="E18" s="23" t="s">
        <v>795</v>
      </c>
      <c r="F18" s="209">
        <v>10000</v>
      </c>
      <c r="G18" s="25" t="str" cm="1">
        <f t="array" ref="G18">Common_InputFunctions.Utility_LookupValueInTable(Table_Input_Fuel[[#This Row],[Fuel type (select)]],Table_FuelTypes_Units[Fuel type], Table_FuelTypes_Units[Input Unit])</f>
        <v>L</v>
      </c>
      <c r="H18" s="211">
        <f>1</f>
        <v>1</v>
      </c>
      <c r="I18" s="25">
        <f>Table_Input_Fuel[[#This Row],[Amount purchased]]*Table_Input_Fuel[[#This Row],[Percent consumed]]*IF(Table_Input_Fuel[[#This Row],[Amount unit]]="L", 10^-3, 1)</f>
        <v>10</v>
      </c>
      <c r="J18" s="25" t="str" cm="1">
        <f t="array" ref="J18">Common_InputFunctions.Utility_LookupValueInTable(Table_Input_Fuel[[#This Row],[Fuel type (select)]],Table_FuelTypes_Units[Fuel type], Table_FuelTypes_Units[Unit])</f>
        <v>kL</v>
      </c>
    </row>
    <row r="19" spans="1:10" ht="20.100000000000001" customHeight="1" x14ac:dyDescent="0.25">
      <c r="A19" s="5" t="str">
        <f>HYPERLINK("#'Input - Electricity'!A1", "Electricity")</f>
        <v>Electricity</v>
      </c>
      <c r="D19" s="23" t="s">
        <v>796</v>
      </c>
      <c r="E19" s="23" t="s">
        <v>797</v>
      </c>
      <c r="F19" s="209">
        <v>10000</v>
      </c>
      <c r="G19" s="25" t="str" cm="1">
        <f t="array" ref="G19">Common_InputFunctions.Utility_LookupValueInTable(Table_Input_Fuel[[#This Row],[Fuel type (select)]],Table_FuelTypes_Units[Fuel type], Table_FuelTypes_Units[Input Unit])</f>
        <v>L</v>
      </c>
      <c r="H19" s="211">
        <f>1</f>
        <v>1</v>
      </c>
      <c r="I19" s="25">
        <f>Table_Input_Fuel[[#This Row],[Amount purchased]]*Table_Input_Fuel[[#This Row],[Percent consumed]]*IF(Table_Input_Fuel[[#This Row],[Amount unit]]="L", 10^-3, 1)</f>
        <v>10</v>
      </c>
      <c r="J19" s="25" t="str" cm="1">
        <f t="array" ref="J19">Common_InputFunctions.Utility_LookupValueInTable(Table_Input_Fuel[[#This Row],[Fuel type (select)]],Table_FuelTypes_Units[Fuel type], Table_FuelTypes_Units[Unit])</f>
        <v>kL</v>
      </c>
    </row>
    <row r="20" spans="1:10" ht="20.100000000000001" customHeight="1" x14ac:dyDescent="0.25">
      <c r="A20" s="5" t="str">
        <f>HYPERLINK("#'Input - Farm Inputs'!A1", "Farm Inputs")</f>
        <v>Farm Inputs</v>
      </c>
      <c r="D20" s="23" t="s">
        <v>798</v>
      </c>
      <c r="E20" s="23" t="s">
        <v>797</v>
      </c>
      <c r="F20" s="209">
        <v>10000</v>
      </c>
      <c r="G20" s="25" t="str" cm="1">
        <f t="array" ref="G20">Common_InputFunctions.Utility_LookupValueInTable(Table_Input_Fuel[[#This Row],[Fuel type (select)]],Table_FuelTypes_Units[Fuel type], Table_FuelTypes_Units[Input Unit])</f>
        <v>L</v>
      </c>
      <c r="H20" s="211">
        <f>1</f>
        <v>1</v>
      </c>
      <c r="I20" s="25">
        <f>Table_Input_Fuel[[#This Row],[Amount purchased]]*Table_Input_Fuel[[#This Row],[Percent consumed]]*IF(Table_Input_Fuel[[#This Row],[Amount unit]]="L", 10^-3, 1)</f>
        <v>10</v>
      </c>
      <c r="J20" s="25" t="str" cm="1">
        <f t="array" ref="J20">Common_InputFunctions.Utility_LookupValueInTable(Table_Input_Fuel[[#This Row],[Fuel type (select)]],Table_FuelTypes_Units[Fuel type], Table_FuelTypes_Units[Unit])</f>
        <v>kL</v>
      </c>
    </row>
    <row r="21" spans="1:10" ht="20.100000000000001" customHeight="1" x14ac:dyDescent="0.25">
      <c r="A21" s="5" t="str">
        <f>HYPERLINK("#'Input - Freight'!A1", "Freight")</f>
        <v>Freight</v>
      </c>
      <c r="D21" s="212" t="s">
        <v>799</v>
      </c>
      <c r="E21" s="212" t="s">
        <v>800</v>
      </c>
      <c r="F21" s="209">
        <v>10000</v>
      </c>
      <c r="G21" s="213" t="str" cm="1">
        <f t="array" ref="G21">Common_InputFunctions.Utility_LookupValueInTable(Table_Input_Fuel[[#This Row],[Fuel type (select)]],Table_FuelTypes_Units[Fuel type], Table_FuelTypes_Units[Input Unit])</f>
        <v>L</v>
      </c>
      <c r="H21" s="214">
        <f>1</f>
        <v>1</v>
      </c>
      <c r="I21" s="213">
        <f>Table_Input_Fuel[[#This Row],[Amount purchased]]*Table_Input_Fuel[[#This Row],[Percent consumed]]*IF(Table_Input_Fuel[[#This Row],[Amount unit]]="L", 10^-3, 1)</f>
        <v>10</v>
      </c>
      <c r="J21" s="25" t="str" cm="1">
        <f t="array" ref="J21">Common_InputFunctions.Utility_LookupValueInTable(Table_Input_Fuel[[#This Row],[Fuel type (select)]],Table_FuelTypes_Units[Fuel type], Table_FuelTypes_Units[Unit])</f>
        <v>kL</v>
      </c>
    </row>
    <row r="22" spans="1:10" ht="20.100000000000001" customHeight="1" x14ac:dyDescent="0.25">
      <c r="A22" s="5" t="str">
        <f>HYPERLINK("#'Input - Manure sent off-site'!A1", "Manure sent off-site")</f>
        <v>Manure sent off-site</v>
      </c>
    </row>
    <row r="23" spans="1:10" ht="20.100000000000001" customHeight="1" x14ac:dyDescent="0.25">
      <c r="A23" s="5" t="str">
        <f>HYPERLINK("#'Input - Solid waste'!A1", "Solid waste")</f>
        <v>Solid waste</v>
      </c>
    </row>
    <row r="24" spans="1:10" ht="20.100000000000001" customHeight="1" x14ac:dyDescent="0.25">
      <c r="A24" s="5" t="str">
        <f>HYPERLINK("#'Input - Data quality'!A1", "Data quality")</f>
        <v>Data quality</v>
      </c>
    </row>
    <row r="25" spans="1:10" ht="20.100000000000001" customHeight="1" x14ac:dyDescent="0.25"/>
    <row r="26" spans="1:10" ht="20.100000000000001" customHeight="1" x14ac:dyDescent="0.25"/>
    <row r="27" spans="1:10" ht="20.100000000000001" customHeight="1" x14ac:dyDescent="0.25">
      <c r="A27" s="6" t="s">
        <v>2</v>
      </c>
    </row>
    <row r="28" spans="1:10" ht="20.100000000000001" customHeight="1" x14ac:dyDescent="0.25">
      <c r="A28" s="5" t="str">
        <f>HYPERLINK("#'5.1.1.1-2 Inorganic fert N2O'!A1", "5.1.1.1-2 Inorganic fert N2O")</f>
        <v>5.1.1.1-2 Inorganic fert N2O</v>
      </c>
    </row>
    <row r="29" spans="1:10" ht="20.100000000000001" customHeight="1" x14ac:dyDescent="0.25">
      <c r="A29" s="5" t="str">
        <f>HYPERLINK("#'5.1.1.3-4 Inorganic fert CO2'!A1", "5.1.1.3-4 Inorganic fert CO2")</f>
        <v>5.1.1.3-4 Inorganic fert CO2</v>
      </c>
    </row>
    <row r="30" spans="1:10" ht="20.100000000000001" customHeight="1" x14ac:dyDescent="0.25">
      <c r="A30" s="5" t="str">
        <f>HYPERLINK("#'5.2.1.1-2 Organic Fert N2O'!A1", "5.2.1.1-2 Organic fert N2O")</f>
        <v>5.2.1.1-2 Organic fert N2O</v>
      </c>
    </row>
    <row r="31" spans="1:10" ht="20.100000000000001" customHeight="1" x14ac:dyDescent="0.25">
      <c r="A31" s="5" t="str">
        <f>HYPERLINK("#'5.3.1.1-2 Lime CO2'!A1", "5.3.1.1-2 Lime CO2")</f>
        <v>5.3.1.1-2 Lime CO2</v>
      </c>
    </row>
    <row r="32" spans="1:10" ht="20.100000000000001" customHeight="1" x14ac:dyDescent="0.25">
      <c r="A32" s="5" t="str">
        <f>HYPERLINK("#'5.4.1.1-4 Atmos deposition'!A1", "5.4.1.1-4 Atmos. deposition")</f>
        <v>5.4.1.1-4 Atmos. deposition</v>
      </c>
    </row>
    <row r="33" spans="1:11" ht="20.100000000000001" customHeight="1" x14ac:dyDescent="0.25">
      <c r="A33" s="5" t="str">
        <f>HYPERLINK("#'5.5.1.1-2 Leaching and runoff'!A1", "5.5.1.1-2 Leaching &amp; runoff")</f>
        <v>5.5.1.1-2 Leaching &amp; runoff</v>
      </c>
    </row>
    <row r="34" spans="1:11" ht="20.100000000000001" customHeight="1" x14ac:dyDescent="0.25">
      <c r="A34" s="5" t="str">
        <f>HYPERLINK("#'6.2.1.1-2 Pasture residue N2O'!A1", "6.2.1.1-2 Pasture residue N2O")</f>
        <v>6.2.1.1-2 Pasture residue N2O</v>
      </c>
    </row>
    <row r="35" spans="1:11" ht="20.100000000000001" customHeight="1" x14ac:dyDescent="0.25">
      <c r="A35" s="5" t="str">
        <f>HYPERLINK("#'6.3.1.1-2 Leach runoff pasture'!A1", "6.3.1.1-2 Leach &amp; runoff (pasture)")</f>
        <v>6.3.1.1-2 Leach &amp; runoff (pasture)</v>
      </c>
    </row>
    <row r="36" spans="1:11" ht="20.100000000000001" customHeight="1" x14ac:dyDescent="0.25">
      <c r="A36" s="5" t="str">
        <f>HYPERLINK("#'8.1.1.1-2 Transport fuel'!A1", "8.1.1.1-2 Transport fuel")</f>
        <v>8.1.1.1-2 Transport fuel</v>
      </c>
    </row>
    <row r="37" spans="1:11" ht="20.100000000000001" customHeight="1" x14ac:dyDescent="0.25">
      <c r="A37" s="5" t="str">
        <f>HYPERLINK("#'8.2.1.1-2 Stationary fuel'!A1", "8.2.1.1-2 Stationary fuel")</f>
        <v>8.2.1.1-2 Stationary fuel</v>
      </c>
    </row>
    <row r="38" spans="1:11" ht="20.100000000000001" customHeight="1" x14ac:dyDescent="0.25">
      <c r="A38" s="5" t="str">
        <f>HYPERLINK("#'14.1.1-2 Purchased electricity'!A1", "14.1.1-2 Purchased electricity")</f>
        <v>14.1.1-2 Purchased electricity</v>
      </c>
      <c r="C38" s="169"/>
      <c r="K38" s="169"/>
    </row>
    <row r="39" spans="1:11" ht="20.100000000000001" customHeight="1" x14ac:dyDescent="0.25">
      <c r="A39" s="5" t="str">
        <f>HYPERLINK("#'15 Scope 3'!A1", "15 Scope 3")</f>
        <v>15 Scope 3</v>
      </c>
      <c r="C39" s="169"/>
      <c r="K39" s="169"/>
    </row>
    <row r="40" spans="1:11" s="184" customFormat="1" ht="20.100000000000001" customHeight="1" x14ac:dyDescent="0.25">
      <c r="A40" s="5" t="str">
        <f>HYPERLINK("#'Calcs - Manure sent off-site'!A1", "Calcs - Manure sent off-site")</f>
        <v>Calcs - Manure sent off-site</v>
      </c>
      <c r="C40" s="1"/>
      <c r="D40" s="1"/>
      <c r="E40" s="1"/>
      <c r="F40" s="1"/>
      <c r="G40" s="1"/>
      <c r="H40" s="1"/>
      <c r="I40" s="1"/>
      <c r="J40" s="1"/>
      <c r="K40" s="1"/>
    </row>
    <row r="41" spans="1:11" s="184" customFormat="1" ht="20.100000000000001" customHeight="1" x14ac:dyDescent="0.25">
      <c r="A41" s="5" t="str">
        <f>HYPERLINK("#'4.3.1.1-2 Methane'!A1", "4.3.1.1-2 Methane")</f>
        <v>4.3.1.1-2 Methane</v>
      </c>
      <c r="C41" s="1"/>
      <c r="D41" s="1"/>
      <c r="E41" s="1"/>
      <c r="F41" s="1"/>
      <c r="G41" s="1"/>
      <c r="H41" s="1"/>
      <c r="I41" s="1"/>
      <c r="J41" s="1"/>
      <c r="K41" s="1"/>
    </row>
    <row r="42" spans="1:11" ht="20.100000000000001" customHeight="1" x14ac:dyDescent="0.25">
      <c r="A42" s="5" t="str">
        <f>HYPERLINK("#'4.3.1.3-4 Direct N20'!A1", "4.3.1.3-4 Direct N20")</f>
        <v>4.3.1.3-4 Direct N20</v>
      </c>
    </row>
    <row r="43" spans="1:11" ht="20.100000000000001" customHeight="1" x14ac:dyDescent="0.25">
      <c r="A43" s="5" t="str">
        <f>HYPERLINK("#'4.3.1.5 Atmos deposition'!A1", "4.3.1.5 Atmos deposition")</f>
        <v>4.3.1.5 Atmos deposition</v>
      </c>
    </row>
    <row r="44" spans="1:11" ht="20.100000000000001" customHeight="1" x14ac:dyDescent="0.25">
      <c r="A44" s="5" t="str">
        <f>HYPERLINK("#'4.3.1.6-7 Leaching and runoff'!A1", "4.3.1.6-7 Leaching and runoff")</f>
        <v>4.3.1.6-7 Leaching and runoff</v>
      </c>
    </row>
    <row r="45" spans="1:11" ht="20.100000000000001" customHeight="1" x14ac:dyDescent="0.25">
      <c r="A45" s="5" t="str">
        <f>HYPERLINK("#'4.3.1.8 Manure applied to soils'!A1", "4.3.1.8 Manure applied to soils")</f>
        <v>4.3.1.8 Manure applied to soils</v>
      </c>
    </row>
    <row r="46" spans="1:11" ht="20.100000000000001" customHeight="1" x14ac:dyDescent="0.25">
      <c r="A46" s="5" t="str">
        <f>HYPERLINK("#'4.3.1.9 Soil direct N2O'!A1", "4.3.1.9 Soil direct N2O")</f>
        <v>4.3.1.9 Soil direct N2O</v>
      </c>
    </row>
    <row r="47" spans="1:11" ht="20.100000000000001" customHeight="1" x14ac:dyDescent="0.25">
      <c r="A47" s="5" t="str">
        <f>HYPERLINK("#'4.3.1.10-11 Soil Atmos Dep'!A1", "4.3.1.10-11 Soil Atmos Dep")</f>
        <v>4.3.1.10-11 Soil Atmos Dep</v>
      </c>
    </row>
    <row r="48" spans="1:11" ht="20.100000000000001" customHeight="1" x14ac:dyDescent="0.25">
      <c r="A48" s="5" t="str">
        <f>HYPERLINK("#'4.3.1.12-13 Soil leach runoff'!A1", "4.3.1.12-13 Soil leach runoff")</f>
        <v>4.3.1.12-13 Soil leach runoff</v>
      </c>
    </row>
    <row r="49" spans="1:1" ht="20.100000000000001" customHeight="1" x14ac:dyDescent="0.25">
      <c r="A49" s="5" t="str">
        <f>HYPERLINK("#'3.3.1.1-2 Enteric Methane'!A1", "3.3.1.1-2 Enteric Methane")</f>
        <v>3.3.1.1-2 Enteric Methane</v>
      </c>
    </row>
    <row r="50" spans="1:1" ht="20.100000000000001" customHeight="1" x14ac:dyDescent="0.25">
      <c r="A50" s="5" t="str">
        <f>HYPERLINK("#'10.1.1-2 Solid waste treatment'!A1", "10.1.1-2 Solid waste treatment")</f>
        <v>10.1.1-2 Solid waste treatment</v>
      </c>
    </row>
    <row r="51" spans="1:1" ht="20.100000000000001" customHeight="1" x14ac:dyDescent="0.25"/>
    <row r="52" spans="1:1" ht="20.100000000000001" customHeight="1" x14ac:dyDescent="0.25"/>
    <row r="53" spans="1:1" ht="20.100000000000001" customHeight="1" x14ac:dyDescent="0.25">
      <c r="A53" s="100" t="s">
        <v>1</v>
      </c>
    </row>
    <row r="54" spans="1:1" ht="20.100000000000001" customHeight="1" x14ac:dyDescent="0.25">
      <c r="A54" s="5" t="str">
        <f>HYPERLINK("#'Constants - Dairy'!A1", "Constants - Dairy")</f>
        <v>Constants - Dairy</v>
      </c>
    </row>
    <row r="55" spans="1:1" ht="20.100000000000001" customHeight="1" x14ac:dyDescent="0.25">
      <c r="A55" s="5" t="str">
        <f>HYPERLINK("#'Constants - Ag Residue'!A1", "Constants - Ag residue")</f>
        <v>Constants - Ag residue</v>
      </c>
    </row>
    <row r="56" spans="1:1" ht="20.100000000000001" customHeight="1" x14ac:dyDescent="0.25">
      <c r="A56" s="5" t="str">
        <f>HYPERLINK("#'Constants - Common Livestock'!A1", "Constants - Common Livestock")</f>
        <v>Constants - Common Livestock</v>
      </c>
    </row>
    <row r="57" spans="1:1" ht="20.100000000000001" customHeight="1" x14ac:dyDescent="0.25">
      <c r="A57" s="5" t="str">
        <f>HYPERLINK("#'Constants - Electricity'!A1", "Constants - Electricity")</f>
        <v>Constants - Electricity</v>
      </c>
    </row>
    <row r="58" spans="1:1" ht="20.100000000000001" customHeight="1" x14ac:dyDescent="0.25">
      <c r="A58" s="5" t="str">
        <f>HYPERLINK("#'Constants - Fertiliser'!A1", "Constants - Fertiliser")</f>
        <v>Constants - Fertiliser</v>
      </c>
    </row>
    <row r="59" spans="1:1" ht="20.100000000000001" customHeight="1" x14ac:dyDescent="0.25">
      <c r="A59" s="5" t="str">
        <f>HYPERLINK("#'Constants - Fuel'!A1", "Constants - Fuel")</f>
        <v>Constants - Fuel</v>
      </c>
    </row>
    <row r="60" spans="1:1" ht="20.100000000000001" customHeight="1" x14ac:dyDescent="0.25">
      <c r="A60" s="5" t="str">
        <f>HYPERLINK("#'Constants - Scope 3'!A1", "Constants - Scope 3")</f>
        <v>Constants - Scope 3</v>
      </c>
    </row>
    <row r="61" spans="1:1" ht="20.100000000000001" customHeight="1" x14ac:dyDescent="0.25">
      <c r="A61" s="5" t="str">
        <f>HYPERLINK("#'Constants - Common'!A1", "Constants - Common")</f>
        <v>Constants - Common</v>
      </c>
    </row>
    <row r="62" spans="1:1" ht="20.100000000000001" customHeight="1" x14ac:dyDescent="0.25">
      <c r="A62" s="5" t="str">
        <f>HYPERLINK("#'Acknowledgements'!A1", "Acknowledgements")</f>
        <v>Acknowledgements</v>
      </c>
    </row>
    <row r="63" spans="1:1" ht="20.100000000000001" customHeight="1" x14ac:dyDescent="0.25">
      <c r="A63" s="5" t="str">
        <f>HYPERLINK("#'Constants - Solid Waste'!A1", "Constants - Solid Waste")</f>
        <v>Constants - Solid Waste</v>
      </c>
    </row>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91"/>
    </row>
  </sheetData>
  <conditionalFormatting sqref="F32">
    <cfRule type="cellIs" dxfId="50" priority="9" operator="lessThan">
      <formula>0</formula>
    </cfRule>
  </conditionalFormatting>
  <conditionalFormatting sqref="F111:F112">
    <cfRule type="cellIs" dxfId="49" priority="8" operator="lessThan">
      <formula>0</formula>
    </cfRule>
  </conditionalFormatting>
  <conditionalFormatting sqref="F123:F124">
    <cfRule type="cellIs" dxfId="48" priority="7" operator="lessThan">
      <formula>0</formula>
    </cfRule>
  </conditionalFormatting>
  <conditionalFormatting sqref="F135:F136">
    <cfRule type="cellIs" dxfId="47" priority="6" operator="lessThan">
      <formula>0</formula>
    </cfRule>
  </conditionalFormatting>
  <conditionalFormatting sqref="F147:F148">
    <cfRule type="cellIs" dxfId="46" priority="5" operator="lessThan">
      <formula>0</formula>
    </cfRule>
  </conditionalFormatting>
  <conditionalFormatting sqref="F235:F236">
    <cfRule type="cellIs" dxfId="45" priority="17" operator="lessThan">
      <formula>0</formula>
    </cfRule>
  </conditionalFormatting>
  <conditionalFormatting sqref="F240:F241">
    <cfRule type="cellIs" dxfId="44" priority="16" operator="lessThan">
      <formula>0</formula>
    </cfRule>
  </conditionalFormatting>
  <conditionalFormatting sqref="F245:F246">
    <cfRule type="cellIs" dxfId="43" priority="15" operator="lessThan">
      <formula>0</formula>
    </cfRule>
  </conditionalFormatting>
  <conditionalFormatting sqref="F269:F270">
    <cfRule type="cellIs" dxfId="42" priority="14" operator="lessThan">
      <formula>0</formula>
    </cfRule>
  </conditionalFormatting>
  <conditionalFormatting sqref="F274:F275">
    <cfRule type="cellIs" dxfId="41" priority="13" operator="lessThan">
      <formula>0</formula>
    </cfRule>
  </conditionalFormatting>
  <conditionalFormatting sqref="F279:F280">
    <cfRule type="cellIs" dxfId="40" priority="12" operator="lessThan">
      <formula>0</formula>
    </cfRule>
  </conditionalFormatting>
  <conditionalFormatting sqref="I26:J27 H28:H30 I31:J31 I33:J35 I37:J38 I189:J189 E195:G195 I195:J195">
    <cfRule type="cellIs" dxfId="39" priority="11" operator="lessThan">
      <formula>0</formula>
    </cfRule>
  </conditionalFormatting>
  <conditionalFormatting sqref="I42:J46">
    <cfRule type="cellIs" dxfId="38" priority="4" operator="lessThan">
      <formula>0</formula>
    </cfRule>
  </conditionalFormatting>
  <conditionalFormatting sqref="I50:J50 I109:J109">
    <cfRule type="cellIs" dxfId="37" priority="10" operator="lessThan">
      <formula>0</formula>
    </cfRule>
  </conditionalFormatting>
  <conditionalFormatting sqref="I61:J63">
    <cfRule type="cellIs" dxfId="36" priority="3" operator="lessThan">
      <formula>0</formula>
    </cfRule>
  </conditionalFormatting>
  <conditionalFormatting sqref="I67:J70">
    <cfRule type="cellIs" dxfId="35" priority="2" operator="lessThan">
      <formula>0</formula>
    </cfRule>
  </conditionalFormatting>
  <conditionalFormatting sqref="I74:J78">
    <cfRule type="cellIs" dxfId="34" priority="1" operator="lessThan">
      <formula>0</formula>
    </cfRule>
  </conditionalFormatting>
  <dataValidations count="9">
    <dataValidation type="list" allowBlank="1" showInputMessage="1" showErrorMessage="1" sqref="E17:E21" xr:uid="{CD0D06ED-5FA2-4B2D-AE35-37F15C7A62D2}">
      <formula1>_xlfn.TRIMRANGE(INDIRECT("Table_FuelTypesPerUse["&amp;D17&amp;"]"))</formula1>
    </dataValidation>
    <dataValidation type="list" allowBlank="1" showInputMessage="1" showErrorMessage="1" sqref="D17:D21" xr:uid="{D661FDFE-D531-4502-988F-DA110785BB6A}">
      <formula1>INDIRECT("Table_FuelTypesPerUse[#Headers]")</formula1>
    </dataValidation>
    <dataValidation type="list" allowBlank="1" showInputMessage="1" showErrorMessage="1" sqref="E11" xr:uid="{BABFF02C-4614-430D-B412-5FD7E2DABF62}">
      <formula1>"Metro, Non-metro"</formula1>
    </dataValidation>
    <dataValidation type="list" allowBlank="1" showInputMessage="1" showErrorMessage="1" sqref="D29:D30" xr:uid="{5A6A797C-C456-4242-8A9D-192F4897FAC8}">
      <formula1>INDIRECT("Table_SourceData_OrganicFertiliserTypes[Organic fertiliser type]")</formula1>
    </dataValidation>
    <dataValidation type="list" allowBlank="1" showInputMessage="1" showErrorMessage="1" sqref="E49" xr:uid="{93E5B887-FE0E-422C-A40C-D49892665D72}">
      <formula1>INDIRECT("Table_SourceData_Swine_CropProdSystems[Production system]")</formula1>
    </dataValidation>
    <dataValidation type="list" allowBlank="1" showInputMessage="1" showErrorMessage="1" sqref="E50" xr:uid="{D4E5202A-2AE4-4684-BFBE-C9152C5B7365}">
      <formula1>INDIRECT("Table_SourceData_Swine_IrrigationMethods[Irrigation method]")</formula1>
    </dataValidation>
    <dataValidation type="list" allowBlank="1" showInputMessage="1" showErrorMessage="1" sqref="E234 E239 E244 E278 E273 E268 E146 E134 E110 E122" xr:uid="{54484CF3-448B-420B-A0DC-7A134BCD86C3}">
      <formula1>"Yes, No"</formula1>
    </dataValidation>
    <dataValidation type="list" allowBlank="1" showInputMessage="1" showErrorMessage="1" sqref="E210" xr:uid="{7125EBF6-EF17-4C5B-A5D7-898680D4A6B9}">
      <formula1>INDIRECT("Table_SourceData_Dairy_ProductionSystemTemplates[Area]")</formula1>
    </dataValidation>
    <dataValidation type="list" allowBlank="1" showInputMessage="1" showErrorMessage="1" sqref="D262" xr:uid="{4CB09F1E-2ACE-4003-95C2-D4925C648975}">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9AF58-0DFF-4287-9977-5A98B8B209AD}">
  <dimension ref="A1:L365"/>
  <sheetViews>
    <sheetView showGridLines="0" topLeftCell="A24"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6" customFormat="1" ht="30" customHeight="1" x14ac:dyDescent="0.35">
      <c r="A1" s="16" t="e" vm="1">
        <v>#VALUE!</v>
      </c>
      <c r="C1" s="16" t="s">
        <v>732</v>
      </c>
    </row>
    <row r="2" spans="1:10" s="3" customFormat="1" ht="20.100000000000001" customHeight="1" x14ac:dyDescent="0.25">
      <c r="A2"/>
    </row>
    <row r="3" spans="1:10" ht="20.100000000000001" customHeight="1" x14ac:dyDescent="0.25">
      <c r="A3" s="5" t="str">
        <f>HYPERLINK("#'Home'!A1", "Home")</f>
        <v>Home</v>
      </c>
      <c r="C3" s="38"/>
      <c r="D3" s="38"/>
      <c r="E3" s="38"/>
      <c r="F3" s="38"/>
      <c r="G3" s="38"/>
      <c r="H3" s="38"/>
      <c r="I3" s="38"/>
      <c r="J3" s="38"/>
    </row>
    <row r="4" spans="1:10" ht="20.100000000000001" customHeight="1" x14ac:dyDescent="0.25">
      <c r="A4" s="5" t="str">
        <f>HYPERLINK("#'Overview'!A1", "Overview")</f>
        <v>Overview</v>
      </c>
    </row>
    <row r="5" spans="1:10" ht="20.100000000000001" customHeight="1" x14ac:dyDescent="0.25">
      <c r="A5" s="5" t="str">
        <f>HYPERLINK("#'Results'!A1", "Results")</f>
        <v>Results</v>
      </c>
      <c r="D5" s="1" t="s">
        <v>733</v>
      </c>
      <c r="E5" s="23" t="s">
        <v>734</v>
      </c>
      <c r="F5" s="26" t="s">
        <v>101</v>
      </c>
    </row>
    <row r="6" spans="1:10" ht="20.100000000000001" customHeight="1" x14ac:dyDescent="0.25">
      <c r="E6" s="91"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row r="8" spans="1:10" ht="20.100000000000001" customHeight="1" x14ac:dyDescent="0.25">
      <c r="A8" s="7" t="s">
        <v>0</v>
      </c>
      <c r="C8" s="101"/>
      <c r="D8" s="101"/>
      <c r="E8" s="101"/>
      <c r="F8" s="101"/>
      <c r="G8" s="101"/>
      <c r="H8" s="101"/>
      <c r="I8" s="101"/>
      <c r="J8" s="101"/>
    </row>
    <row r="9" spans="1:10" ht="20.100000000000001" customHeight="1" x14ac:dyDescent="0.25">
      <c r="A9" s="5" t="str">
        <f>HYPERLINK("#'Input - Enterprise'!A1", "Enterprise")</f>
        <v>Enterprise</v>
      </c>
      <c r="D9" s="2" t="s">
        <v>735</v>
      </c>
    </row>
    <row r="10" spans="1:10" ht="20.100000000000001" customHeight="1" x14ac:dyDescent="0.25">
      <c r="A10" s="5" t="str">
        <f>HYPERLINK("#'Input - Site'!A1", "Site")</f>
        <v>Site</v>
      </c>
    </row>
    <row r="11" spans="1:10" ht="20.100000000000001" customHeight="1" x14ac:dyDescent="0.25">
      <c r="A11" s="5" t="str">
        <f>HYPERLINK("#'Input - Dairy'!A1", "Dairy")</f>
        <v>Dairy</v>
      </c>
      <c r="D11" s="90" t="s">
        <v>736</v>
      </c>
    </row>
    <row r="12" spans="1:10" ht="20.100000000000001" customHeight="1" x14ac:dyDescent="0.25">
      <c r="A12" s="5" t="str">
        <f>HYPERLINK("#'Input - Dairy (Enteric)'!A1", "Dairy (Enteric)")</f>
        <v>Dairy (Enteric)</v>
      </c>
    </row>
    <row r="13" spans="1:10" ht="20.100000000000001" customHeight="1" x14ac:dyDescent="0.25">
      <c r="A13" s="5" t="str">
        <f>HYPERLINK("#'Input - Livestock sales'!A1", "Livestock sales")</f>
        <v>Livestock sales</v>
      </c>
      <c r="D13" s="45" t="s">
        <v>737</v>
      </c>
      <c r="E13" s="48"/>
      <c r="F13" s="8"/>
    </row>
    <row r="14" spans="1:10" ht="20.100000000000001" customHeight="1" x14ac:dyDescent="0.25">
      <c r="A14" s="5" t="str">
        <f>HYPERLINK("#'Input - Dairy cattle purchases'!A1", "Dairy cattle purchases")</f>
        <v>Dairy cattle purchases</v>
      </c>
      <c r="D14" s="8"/>
      <c r="E14" s="8"/>
      <c r="F14" s="8"/>
    </row>
    <row r="15" spans="1:10" ht="20.100000000000001" customHeight="1" x14ac:dyDescent="0.25">
      <c r="A15" s="5" t="str">
        <f>HYPERLINK("#'Input - Pasture'!A1", "Pasture")</f>
        <v>Pasture</v>
      </c>
      <c r="D15" s="1" t="s">
        <v>738</v>
      </c>
      <c r="E15" s="201">
        <v>30000</v>
      </c>
      <c r="F15" s="26" t="s">
        <v>739</v>
      </c>
    </row>
    <row r="16" spans="1:10" ht="20.100000000000001" customHeight="1" x14ac:dyDescent="0.25">
      <c r="A16" s="5" t="str">
        <f>HYPERLINK("#'Input - Fert Prod System'!A1", "Fert Prod System")</f>
        <v>Fert Prod System</v>
      </c>
      <c r="D16" s="1" t="s">
        <v>740</v>
      </c>
      <c r="E16" s="25" t="str">
        <f>IF(X_Cell_Site_State="Western Australia", X_Cell_Site_Region, X_Cell_Site_State)</f>
        <v>Western Australia - Outback (South)</v>
      </c>
      <c r="F16" s="8"/>
    </row>
    <row r="17" spans="1:11" ht="20.100000000000001" customHeight="1" x14ac:dyDescent="0.25">
      <c r="A17" s="5" t="str">
        <f>HYPERLINK("#'Input - Fertiliser'!A1", "Fertiliser")</f>
        <v>Fertiliser</v>
      </c>
      <c r="D17" s="1" t="s">
        <v>741</v>
      </c>
      <c r="E17" s="23" t="s">
        <v>742</v>
      </c>
      <c r="F17" s="26" t="s">
        <v>101</v>
      </c>
    </row>
    <row r="18" spans="1:11" ht="20.100000000000001" customHeight="1" x14ac:dyDescent="0.25">
      <c r="A18" s="5" t="str">
        <f>HYPERLINK("#'Input - Fuel'!A1", "Fuel")</f>
        <v>Fuel</v>
      </c>
    </row>
    <row r="19" spans="1:11" ht="20.100000000000001" customHeight="1" x14ac:dyDescent="0.25">
      <c r="A19" s="98" t="str">
        <f>HYPERLINK("#'Input - Electricity'!A1", "Electricity")</f>
        <v>Electricity</v>
      </c>
    </row>
    <row r="20" spans="1:11" ht="20.100000000000001" customHeight="1" x14ac:dyDescent="0.25">
      <c r="A20" s="5" t="str">
        <f>HYPERLINK("#'Input - Farm Inputs'!A1", "Farm Inputs")</f>
        <v>Farm Inputs</v>
      </c>
      <c r="C20" s="101"/>
      <c r="D20" s="101"/>
      <c r="E20" s="101"/>
      <c r="F20" s="101"/>
      <c r="G20" s="101"/>
      <c r="H20" s="101"/>
      <c r="I20" s="101"/>
      <c r="J20" s="101"/>
    </row>
    <row r="21" spans="1:11" ht="20.100000000000001" customHeight="1" x14ac:dyDescent="0.25">
      <c r="A21" s="5" t="str">
        <f>HYPERLINK("#'Input - Freight'!A1", "Freight")</f>
        <v>Freight</v>
      </c>
      <c r="D21" s="2" t="s">
        <v>743</v>
      </c>
    </row>
    <row r="22" spans="1:11" ht="20.100000000000001" customHeight="1" x14ac:dyDescent="0.25">
      <c r="A22" s="5" t="str">
        <f>HYPERLINK("#'Input - Manure sent off-site'!A1", "Manure sent off-site")</f>
        <v>Manure sent off-site</v>
      </c>
      <c r="E22" s="91" t="str">
        <f>IF(E16="ACT", "", "ALERT: Your farm is not in the ACT, so the JRPP is not applicable")</f>
        <v>ALERT: Your farm is not in the ACT, so the JRPP is not applicable</v>
      </c>
    </row>
    <row r="23" spans="1:11" ht="20.100000000000001" customHeight="1" x14ac:dyDescent="0.25">
      <c r="A23" s="5" t="str">
        <f>HYPERLINK("#'Input - Solid waste'!A1", "Solid waste")</f>
        <v>Solid waste</v>
      </c>
      <c r="D23" s="1" t="s">
        <v>744</v>
      </c>
      <c r="E23" s="201">
        <v>30000</v>
      </c>
      <c r="F23" s="26" t="s">
        <v>739</v>
      </c>
    </row>
    <row r="24" spans="1:11" ht="20.100000000000001" customHeight="1" x14ac:dyDescent="0.25">
      <c r="A24" s="5" t="str">
        <f>HYPERLINK("#'Input - Data quality'!A1", "Data quality")</f>
        <v>Data quality</v>
      </c>
      <c r="D24" s="1" t="s">
        <v>745</v>
      </c>
      <c r="E24" s="28">
        <v>0.1</v>
      </c>
      <c r="F24" s="26" t="s">
        <v>156</v>
      </c>
    </row>
    <row r="25" spans="1:11" ht="20.100000000000001" customHeight="1" x14ac:dyDescent="0.25">
      <c r="D25" s="1" t="s">
        <v>746</v>
      </c>
      <c r="E25" s="28">
        <v>0.1</v>
      </c>
      <c r="F25" s="26" t="s">
        <v>156</v>
      </c>
    </row>
    <row r="26" spans="1:11" ht="20.100000000000001" customHeight="1" x14ac:dyDescent="0.25"/>
    <row r="27" spans="1:11" ht="20.100000000000001" customHeight="1" x14ac:dyDescent="0.25">
      <c r="A27" s="6" t="s">
        <v>2</v>
      </c>
      <c r="D27" s="1" t="s">
        <v>747</v>
      </c>
      <c r="E27" s="201">
        <v>10000</v>
      </c>
      <c r="F27" s="26" t="s">
        <v>739</v>
      </c>
    </row>
    <row r="28" spans="1:11" ht="20.100000000000001" customHeight="1" x14ac:dyDescent="0.25">
      <c r="A28" s="5" t="str">
        <f>HYPERLINK("#'5.1.1.1-2 Inorganic fert N2O'!A1", "5.1.1.1-2 Inorganic fert N2O")</f>
        <v>5.1.1.1-2 Inorganic fert N2O</v>
      </c>
    </row>
    <row r="29" spans="1:11" ht="20.100000000000001" customHeight="1" x14ac:dyDescent="0.25">
      <c r="A29" s="5" t="str">
        <f>HYPERLINK("#'5.1.1.3-4 Inorganic fert CO2'!A1", "5.1.1.3-4 Inorganic fert CO2")</f>
        <v>5.1.1.3-4 Inorganic fert CO2</v>
      </c>
      <c r="D29" s="1" t="s">
        <v>748</v>
      </c>
      <c r="E29" s="202" t="str">
        <f>TEXT(X_Cell_Site_StartDate, "dd mmm yyyy")</f>
        <v>01 Jan 2024</v>
      </c>
      <c r="K29" s="184"/>
    </row>
    <row r="30" spans="1:11" ht="20.100000000000001" customHeight="1" x14ac:dyDescent="0.25">
      <c r="A30" s="5" t="str">
        <f>HYPERLINK("#'5.2.1.1-2 Organic Fert N2O'!A1", "5.2.1.1-2 Organic fert N2O")</f>
        <v>5.2.1.1-2 Organic fert N2O</v>
      </c>
      <c r="D30" s="1" t="s">
        <v>749</v>
      </c>
      <c r="E30" s="202" t="str">
        <f>TEXT(X_Cell_Site_EndDate, "dd mmm yyyy")</f>
        <v>31 Dec 2024</v>
      </c>
      <c r="K30" s="184"/>
    </row>
    <row r="31" spans="1:11" ht="20.100000000000001" customHeight="1" x14ac:dyDescent="0.25">
      <c r="A31" s="5" t="str">
        <f>HYPERLINK("#'5.3.1.1-2 Lime CO2'!A1", "5.3.1.1-2 Lime CO2")</f>
        <v>5.3.1.1-2 Lime CO2</v>
      </c>
      <c r="K31" s="184"/>
    </row>
    <row r="32" spans="1:11" ht="20.100000000000001" customHeight="1" x14ac:dyDescent="0.25">
      <c r="A32" s="5" t="str">
        <f>HYPERLINK("#'5.4.1.1-4 Atmos deposition'!A1", "5.4.1.1-4 Atmos. deposition")</f>
        <v>5.4.1.1-4 Atmos. deposition</v>
      </c>
      <c r="D32" s="90" t="s">
        <v>750</v>
      </c>
      <c r="K32" s="184"/>
    </row>
    <row r="33" spans="1:12" ht="20.100000000000001" customHeight="1" x14ac:dyDescent="0.25">
      <c r="A33" s="5" t="str">
        <f>HYPERLINK("#'5.5.1.1-2 Leaching and runoff'!A1", "5.5.1.1-2 Leaching &amp; runoff")</f>
        <v>5.5.1.1-2 Leaching &amp; runoff</v>
      </c>
      <c r="K33" s="184"/>
    </row>
    <row r="34" spans="1:12" ht="20.100000000000001" customHeight="1" x14ac:dyDescent="0.25">
      <c r="A34" s="5" t="str">
        <f>HYPERLINK("#'6.2.1.1-2 Pasture residue N2O'!A1", "6.2.1.1-2 Pasture residue N2O")</f>
        <v>6.2.1.1-2 Pasture residue N2O</v>
      </c>
      <c r="D34" s="45" t="s">
        <v>751</v>
      </c>
      <c r="E34" s="48"/>
      <c r="K34" s="184"/>
    </row>
    <row r="35" spans="1:12" ht="20.100000000000001" customHeight="1" x14ac:dyDescent="0.25">
      <c r="A35" s="5" t="str">
        <f>HYPERLINK("#'6.3.1.1-2 Leach runoff pasture'!A1", "6.3.1.1-2 Leach &amp; runoff (pasture)")</f>
        <v>6.3.1.1-2 Leach &amp; runoff (pasture)</v>
      </c>
    </row>
    <row r="36" spans="1:12" ht="20.100000000000001" customHeight="1" x14ac:dyDescent="0.25">
      <c r="A36" s="5" t="str">
        <f>HYPERLINK("#'8.1.1.1-2 Transport fuel'!A1", "8.1.1.1-2 Transport fuel")</f>
        <v>8.1.1.1-2 Transport fuel</v>
      </c>
      <c r="D36" s="94" t="s">
        <v>752</v>
      </c>
      <c r="E36" s="94" t="s">
        <v>753</v>
      </c>
      <c r="F36" s="94" t="s">
        <v>754</v>
      </c>
      <c r="G36" s="94" t="s">
        <v>755</v>
      </c>
      <c r="H36" s="94" t="s">
        <v>756</v>
      </c>
      <c r="I36" s="94" t="s">
        <v>757</v>
      </c>
      <c r="L36" s="184"/>
    </row>
    <row r="37" spans="1:12" ht="20.100000000000001" customHeight="1" x14ac:dyDescent="0.25">
      <c r="A37" s="5" t="str">
        <f>HYPERLINK("#'8.2.1.1-2 Stationary fuel'!A1", "8.2.1.1-2 Stationary fuel")</f>
        <v>8.2.1.1-2 Stationary fuel</v>
      </c>
      <c r="D37" s="29" t="s">
        <v>758</v>
      </c>
      <c r="E37" s="23" t="s">
        <v>759</v>
      </c>
      <c r="F37" s="203">
        <v>44185</v>
      </c>
      <c r="G37" s="29">
        <v>12</v>
      </c>
      <c r="H37" s="25">
        <f>Table_Input_RECSurrendered[[#This Row],[Number of certificates]]</f>
        <v>12</v>
      </c>
      <c r="I37" s="25" t="str">
        <f>IF(DATEDIF(Table_Input_RECSurrendered[[#This Row],[Generation date]],DATEVALUE($E$30),"M")&gt;36,"Ineligible - older than 36 months","Elegible")</f>
        <v>Ineligible - older than 36 months</v>
      </c>
      <c r="L37" s="184"/>
    </row>
    <row r="38" spans="1:12" ht="20.100000000000001" customHeight="1" x14ac:dyDescent="0.25">
      <c r="A38" s="5" t="str">
        <f>HYPERLINK("#'14.1.1-2 Purchased electricity'!A1", "14.1.1-2 Purchased electricity")</f>
        <v>14.1.1-2 Purchased electricity</v>
      </c>
      <c r="D38" s="29" t="s">
        <v>760</v>
      </c>
      <c r="E38" s="23" t="s">
        <v>761</v>
      </c>
      <c r="F38" s="203">
        <v>44575</v>
      </c>
      <c r="G38" s="29">
        <v>5</v>
      </c>
      <c r="H38" s="25">
        <f>Table_Input_RECSurrendered[[#This Row],[Number of certificates]]</f>
        <v>5</v>
      </c>
      <c r="I38" s="25" t="str">
        <f>IF(DATEDIF(Table_Input_RECSurrendered[[#This Row],[Generation date]],DATEVALUE($E$30),"M")&gt;36,"Ineligible - older than 36 months","Elegible")</f>
        <v>Elegible</v>
      </c>
    </row>
    <row r="39" spans="1:12" ht="20.100000000000001" customHeight="1" x14ac:dyDescent="0.25">
      <c r="A39" s="5" t="str">
        <f>HYPERLINK("#'15 Scope 3'!A1", "15 Scope 3")</f>
        <v>15 Scope 3</v>
      </c>
      <c r="D39" s="29" t="s">
        <v>762</v>
      </c>
      <c r="E39" s="23" t="s">
        <v>759</v>
      </c>
      <c r="F39" s="203">
        <v>45438</v>
      </c>
      <c r="G39" s="29">
        <v>5</v>
      </c>
      <c r="H39" s="25">
        <f>Table_Input_RECSurrendered[[#This Row],[Number of certificates]]</f>
        <v>5</v>
      </c>
      <c r="I39" s="25" t="str">
        <f>IF(DATEDIF(Table_Input_RECSurrendered[[#This Row],[Generation date]],DATEVALUE($E$30),"M")&gt;36,"Ineligible - older than 36 months","Elegible")</f>
        <v>Elegible</v>
      </c>
    </row>
    <row r="40" spans="1:12" s="184" customFormat="1" ht="20.100000000000001" customHeight="1" x14ac:dyDescent="0.25">
      <c r="A40" s="5" t="str">
        <f>HYPERLINK("#'Calcs - Manure sent off-site'!A1", "Calcs - Manure sent off-site")</f>
        <v>Calcs - Manure sent off-site</v>
      </c>
      <c r="C40" s="1"/>
      <c r="D40" s="1"/>
      <c r="E40" s="1"/>
      <c r="F40" s="1"/>
      <c r="G40" s="1"/>
      <c r="H40" s="1"/>
      <c r="I40" s="1"/>
      <c r="J40" s="1"/>
    </row>
    <row r="41" spans="1:12" s="184" customFormat="1" ht="20.100000000000001" customHeight="1" x14ac:dyDescent="0.25">
      <c r="A41" s="5" t="str">
        <f>HYPERLINK("#'4.3.1.1-2 Methane'!A1", "4.3.1.1-2 Methane")</f>
        <v>4.3.1.1-2 Methane</v>
      </c>
      <c r="C41" s="1"/>
      <c r="D41" s="1" t="s">
        <v>763</v>
      </c>
      <c r="E41" s="25">
        <f>SUMIF(Table_Input_RECSurrendered[Elegibility], "Elegible", Table_Input_RECSurrendered[MWh])</f>
        <v>10</v>
      </c>
      <c r="F41" s="26" t="s">
        <v>756</v>
      </c>
      <c r="G41" s="1"/>
      <c r="H41" s="1"/>
      <c r="I41" s="1"/>
      <c r="J41" s="1"/>
      <c r="L41" s="184" t="s">
        <v>487</v>
      </c>
    </row>
    <row r="42" spans="1:12" ht="20.100000000000001" customHeight="1" x14ac:dyDescent="0.25">
      <c r="A42" s="5" t="str">
        <f>HYPERLINK("#'4.3.1.3-4 Direct N20'!A1", "4.3.1.3-4 Direct N20")</f>
        <v>4.3.1.3-4 Direct N20</v>
      </c>
      <c r="C42" s="169"/>
    </row>
    <row r="43" spans="1:12" ht="20.100000000000001" customHeight="1" x14ac:dyDescent="0.25">
      <c r="A43" s="5" t="str">
        <f>HYPERLINK("#'4.3.1.5 Atmos deposition'!A1", "4.3.1.5 Atmos deposition")</f>
        <v>4.3.1.5 Atmos deposition</v>
      </c>
      <c r="C43" s="169"/>
      <c r="D43" s="90" t="s">
        <v>764</v>
      </c>
      <c r="J43" s="169"/>
    </row>
    <row r="44" spans="1:12" ht="20.100000000000001" customHeight="1" x14ac:dyDescent="0.25">
      <c r="A44" s="5" t="str">
        <f>HYPERLINK("#'4.3.1.6-7 Leaching and runoff'!A1", "4.3.1.6-7 Leaching and runoff")</f>
        <v>4.3.1.6-7 Leaching and runoff</v>
      </c>
    </row>
    <row r="45" spans="1:12" ht="20.100000000000001" customHeight="1" x14ac:dyDescent="0.25">
      <c r="A45" s="5" t="str">
        <f>HYPERLINK("#'4.3.1.8 Manure applied to soils'!A1", "4.3.1.8 Manure applied to soils")</f>
        <v>4.3.1.8 Manure applied to soils</v>
      </c>
      <c r="D45" s="94" t="s">
        <v>752</v>
      </c>
      <c r="E45" s="94" t="s">
        <v>705</v>
      </c>
      <c r="F45" s="94" t="s">
        <v>754</v>
      </c>
      <c r="G45" s="94" t="s">
        <v>755</v>
      </c>
      <c r="H45" s="94" t="s">
        <v>756</v>
      </c>
      <c r="I45" s="94" t="s">
        <v>757</v>
      </c>
    </row>
    <row r="46" spans="1:12" ht="20.100000000000001" customHeight="1" x14ac:dyDescent="0.25">
      <c r="A46" s="5" t="str">
        <f>HYPERLINK("#'4.3.1.9 Soil direct N2O'!A1", "4.3.1.9 Soil direct N2O")</f>
        <v>4.3.1.9 Soil direct N2O</v>
      </c>
      <c r="D46" s="29" t="s">
        <v>765</v>
      </c>
      <c r="E46" s="204" t="str">
        <f>"Issued for generated electricity"</f>
        <v>Issued for generated electricity</v>
      </c>
      <c r="F46" s="203">
        <v>44697</v>
      </c>
      <c r="G46" s="29">
        <v>10</v>
      </c>
      <c r="H46" s="25">
        <f>Table_Input_RECConsumedByEntity[[#This Row],[Number of certificates]]</f>
        <v>10</v>
      </c>
      <c r="I46" s="2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s="5" t="str">
        <f>HYPERLINK("#'4.3.1.10-11 Soil Atmos Dep'!A1", "4.3.1.10-11 Soil Atmos Dep")</f>
        <v>4.3.1.10-11 Soil Atmos Dep</v>
      </c>
      <c r="D47" s="29" t="s">
        <v>766</v>
      </c>
      <c r="E47" s="204" t="str">
        <f>"Issued for generated electricity"</f>
        <v>Issued for generated electricity</v>
      </c>
      <c r="F47" s="203">
        <v>45483</v>
      </c>
      <c r="G47" s="29">
        <v>4</v>
      </c>
      <c r="H47" s="25">
        <f>Table_Input_RECConsumedByEntity[[#This Row],[Number of certificates]]</f>
        <v>4</v>
      </c>
      <c r="I47" s="25"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s="5" t="str">
        <f>HYPERLINK("#'4.3.1.12-13 Soil leach runoff'!A1", "4.3.1.12-13 Soil leach runoff")</f>
        <v>4.3.1.12-13 Soil leach runoff</v>
      </c>
      <c r="D48" s="205">
        <v>45597</v>
      </c>
      <c r="E48" s="204" t="str">
        <f>"Issued for generated electricity"</f>
        <v>Issued for generated electricity</v>
      </c>
      <c r="F48" s="203">
        <v>45607</v>
      </c>
      <c r="G48" s="29">
        <v>7</v>
      </c>
      <c r="H48" s="25">
        <f>Table_Input_RECConsumedByEntity[[#This Row],[Number of certificates]]</f>
        <v>7</v>
      </c>
      <c r="I48" s="25"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s="5" t="str">
        <f>HYPERLINK("#'3.3.1.1-2 Enteric Methane'!A1", "3.3.1.1-2 Enteric Methane")</f>
        <v>3.3.1.1-2 Enteric Methane</v>
      </c>
    </row>
    <row r="50" spans="1:6" ht="20.100000000000001" customHeight="1" x14ac:dyDescent="0.25">
      <c r="A50" s="5" t="str">
        <f>HYPERLINK("#'10.1.1-2 Solid waste treatment'!A1", "10.1.1-2 Solid waste treatment")</f>
        <v>10.1.1-2 Solid waste treatment</v>
      </c>
      <c r="D50" s="1" t="s">
        <v>767</v>
      </c>
      <c r="E50" s="25">
        <f>SUMIF(Table_Input_RECConsumedByEntity[Elegibility], "Elegible", Table_Input_RECConsumedByEntity[Number of certificates])</f>
        <v>11</v>
      </c>
      <c r="F50" s="26" t="s">
        <v>756</v>
      </c>
    </row>
    <row r="51" spans="1:6" ht="20.100000000000001" customHeight="1" x14ac:dyDescent="0.25"/>
    <row r="52" spans="1:6" ht="20.100000000000001" customHeight="1" x14ac:dyDescent="0.25"/>
    <row r="53" spans="1:6" ht="20.100000000000001" customHeight="1" x14ac:dyDescent="0.25">
      <c r="A53" s="100" t="s">
        <v>1</v>
      </c>
    </row>
    <row r="54" spans="1:6" ht="20.100000000000001" customHeight="1" x14ac:dyDescent="0.25">
      <c r="A54" s="5" t="str">
        <f>HYPERLINK("#'Constants - Dairy'!A1", "Constants - Dairy")</f>
        <v>Constants - Dairy</v>
      </c>
    </row>
    <row r="55" spans="1:6" ht="20.100000000000001" customHeight="1" x14ac:dyDescent="0.25">
      <c r="A55" s="5" t="str">
        <f>HYPERLINK("#'Constants - Ag Residue'!A1", "Constants - Ag residue")</f>
        <v>Constants - Ag residue</v>
      </c>
      <c r="D55" s="206"/>
    </row>
    <row r="56" spans="1:6" ht="20.100000000000001" customHeight="1" x14ac:dyDescent="0.25">
      <c r="A56" s="5" t="str">
        <f>HYPERLINK("#'Constants - Common Livestock'!A1", "Constants - Common Livestock")</f>
        <v>Constants - Common Livestock</v>
      </c>
      <c r="D56" s="206"/>
    </row>
    <row r="57" spans="1:6" ht="20.100000000000001" customHeight="1" x14ac:dyDescent="0.25">
      <c r="A57" s="5" t="str">
        <f>HYPERLINK("#'Constants - Electricity'!A1", "Constants - Electricity")</f>
        <v>Constants - Electricity</v>
      </c>
    </row>
    <row r="58" spans="1:6" ht="20.100000000000001" customHeight="1" x14ac:dyDescent="0.25">
      <c r="A58" s="5" t="str">
        <f>HYPERLINK("#'Constants - Fertiliser'!A1", "Constants - Fertiliser")</f>
        <v>Constants - Fertiliser</v>
      </c>
    </row>
    <row r="59" spans="1:6" ht="20.100000000000001" customHeight="1" x14ac:dyDescent="0.25">
      <c r="A59" s="5" t="str">
        <f>HYPERLINK("#'Constants - Fuel'!A1", "Constants - Fuel")</f>
        <v>Constants - Fuel</v>
      </c>
    </row>
    <row r="60" spans="1:6" ht="20.100000000000001" customHeight="1" x14ac:dyDescent="0.25">
      <c r="A60" s="5" t="str">
        <f>HYPERLINK("#'Constants - Scope 3'!A1", "Constants - Scope 3")</f>
        <v>Constants - Scope 3</v>
      </c>
    </row>
    <row r="61" spans="1:6" ht="20.100000000000001" customHeight="1" x14ac:dyDescent="0.25">
      <c r="A61" s="5" t="str">
        <f>HYPERLINK("#'Constants - Common'!A1", "Constants - Common")</f>
        <v>Constants - Common</v>
      </c>
    </row>
    <row r="62" spans="1:6" ht="20.100000000000001" customHeight="1" x14ac:dyDescent="0.25">
      <c r="A62" s="5" t="str">
        <f>HYPERLINK("#'Acknowledgements'!A1", "Acknowledgements")</f>
        <v>Acknowledgements</v>
      </c>
    </row>
    <row r="63" spans="1:6" ht="20.100000000000001" customHeight="1" x14ac:dyDescent="0.25">
      <c r="A63" s="5" t="str">
        <f>HYPERLINK("#'Constants - Solid Waste'!A1", "Constants - Solid Waste")</f>
        <v>Constants - Solid Waste</v>
      </c>
    </row>
    <row r="64" spans="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91"/>
    </row>
  </sheetData>
  <conditionalFormatting sqref="F130:F131">
    <cfRule type="cellIs" dxfId="33" priority="8" operator="lessThan">
      <formula>0</formula>
    </cfRule>
  </conditionalFormatting>
  <conditionalFormatting sqref="F142:F143">
    <cfRule type="cellIs" dxfId="32" priority="7" operator="lessThan">
      <formula>0</formula>
    </cfRule>
  </conditionalFormatting>
  <conditionalFormatting sqref="F154:F155">
    <cfRule type="cellIs" dxfId="31" priority="6" operator="lessThan">
      <formula>0</formula>
    </cfRule>
  </conditionalFormatting>
  <conditionalFormatting sqref="F166:F167">
    <cfRule type="cellIs" dxfId="30" priority="5" operator="lessThan">
      <formula>0</formula>
    </cfRule>
  </conditionalFormatting>
  <conditionalFormatting sqref="F254:F255">
    <cfRule type="cellIs" dxfId="29" priority="17" operator="lessThan">
      <formula>0</formula>
    </cfRule>
  </conditionalFormatting>
  <conditionalFormatting sqref="F259:F260">
    <cfRule type="cellIs" dxfId="28" priority="16" operator="lessThan">
      <formula>0</formula>
    </cfRule>
  </conditionalFormatting>
  <conditionalFormatting sqref="F264:F265">
    <cfRule type="cellIs" dxfId="27" priority="15" operator="lessThan">
      <formula>0</formula>
    </cfRule>
  </conditionalFormatting>
  <conditionalFormatting sqref="F288:F289">
    <cfRule type="cellIs" dxfId="26" priority="14" operator="lessThan">
      <formula>0</formula>
    </cfRule>
  </conditionalFormatting>
  <conditionalFormatting sqref="F293:F294">
    <cfRule type="cellIs" dxfId="25" priority="13" operator="lessThan">
      <formula>0</formula>
    </cfRule>
  </conditionalFormatting>
  <conditionalFormatting sqref="F298:F299">
    <cfRule type="cellIs" dxfId="24" priority="12" operator="lessThan">
      <formula>0</formula>
    </cfRule>
  </conditionalFormatting>
  <conditionalFormatting sqref="I59:I63">
    <cfRule type="cellIs" dxfId="23" priority="4" operator="lessThan">
      <formula>0</formula>
    </cfRule>
  </conditionalFormatting>
  <conditionalFormatting sqref="I67 I126">
    <cfRule type="cellIs" dxfId="22" priority="10" operator="lessThan">
      <formula>0</formula>
    </cfRule>
  </conditionalFormatting>
  <conditionalFormatting sqref="I78:I80">
    <cfRule type="cellIs" dxfId="21" priority="3" operator="lessThan">
      <formula>0</formula>
    </cfRule>
  </conditionalFormatting>
  <conditionalFormatting sqref="I84:I87">
    <cfRule type="cellIs" dxfId="20" priority="2" operator="lessThan">
      <formula>0</formula>
    </cfRule>
  </conditionalFormatting>
  <conditionalFormatting sqref="I91:I95">
    <cfRule type="cellIs" dxfId="19" priority="1" operator="lessThan">
      <formula>0</formula>
    </cfRule>
  </conditionalFormatting>
  <conditionalFormatting sqref="J35 I49:I50 H51:H53 I52 I54:I55 I206 I212 E214:G214">
    <cfRule type="cellIs" dxfId="18" priority="11" operator="lessThan">
      <formula>0</formula>
    </cfRule>
  </conditionalFormatting>
  <conditionalFormatting sqref="J39 I40 J41 I43">
    <cfRule type="cellIs" dxfId="17" priority="9" operator="lessThan">
      <formula>0</formula>
    </cfRule>
  </conditionalFormatting>
  <dataValidations count="7">
    <dataValidation type="list" allowBlank="1" showInputMessage="1" showErrorMessage="1" sqref="E5" xr:uid="{0FD2363D-C9C3-4F00-BDF2-99A5A2066CA9}">
      <formula1>"Location-based (simpler), Market-based (more complex)"</formula1>
    </dataValidation>
    <dataValidation type="list" allowBlank="1" showInputMessage="1" showErrorMessage="1" sqref="E37:E39" xr:uid="{F7C6CC4F-2654-4057-8CF2-4F579A0327BF}">
      <formula1>"Purchased certificate, Issued for generated electricity"</formula1>
    </dataValidation>
    <dataValidation type="list" allowBlank="1" showInputMessage="1" showErrorMessage="1" sqref="E17" xr:uid="{E36461EB-9B6B-4A2C-8F4D-4D08314F2E0C}">
      <formula1>INDIRECT("Table_SourceData_ElectricityEFs[State, Territory or grid description]")</formula1>
    </dataValidation>
    <dataValidation type="list" allowBlank="1" showInputMessage="1" showErrorMessage="1" sqref="E69" xr:uid="{E9E27531-BAF2-44E1-B89F-8D38B72628A6}">
      <formula1>INDIRECT("Table_SourceData_Swine_IrrigationMethods[Irrigation method]")</formula1>
    </dataValidation>
    <dataValidation type="list" allowBlank="1" showInputMessage="1" showErrorMessage="1" sqref="E253 E258 E263 E297 E292 E287 E165 E153 E129 E141" xr:uid="{67153A00-FD85-47DB-9F7A-666C090890CE}">
      <formula1>"Yes, No"</formula1>
    </dataValidation>
    <dataValidation type="list" allowBlank="1" showInputMessage="1" showErrorMessage="1" sqref="E229" xr:uid="{66CB3600-4900-4A36-A8A8-D4B55A73C57D}">
      <formula1>INDIRECT("Table_SourceData_Dairy_ProductionSystemTemplates[Area]")</formula1>
    </dataValidation>
    <dataValidation type="list" allowBlank="1" showInputMessage="1" showErrorMessage="1" sqref="D281" xr:uid="{42F38E5E-2EE5-45C3-A217-DEB7C2DEC477}">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C969C-725E-4D66-9E52-D5173A0E9FEC}">
  <sheetPr>
    <tabColor theme="5" tint="-0.249977111117893"/>
  </sheetPr>
  <dimension ref="A1:S227"/>
  <sheetViews>
    <sheetView showGridLines="0" topLeftCell="A72" zoomScaleNormal="100" workbookViewId="0">
      <selection activeCell="A63" sqref="A63"/>
    </sheetView>
  </sheetViews>
  <sheetFormatPr defaultRowHeight="15.75" x14ac:dyDescent="0.25"/>
  <cols>
    <col min="1" max="1" width="30.7109375" style="96" customWidth="1"/>
    <col min="2" max="2" width="4.7109375" style="96" customWidth="1"/>
    <col min="3" max="3" width="4.7109375" style="262" customWidth="1"/>
    <col min="4" max="4" width="47.140625" style="262" customWidth="1"/>
    <col min="5" max="10" width="30.7109375" style="262" customWidth="1"/>
    <col min="11" max="18" width="35" style="1" customWidth="1"/>
    <col min="19" max="19" width="5.28515625" style="1" customWidth="1"/>
    <col min="20" max="16384" width="9.140625" style="96"/>
  </cols>
  <sheetData>
    <row r="1" spans="1:19" ht="30" customHeight="1" x14ac:dyDescent="0.35">
      <c r="A1" s="16" t="e" vm="1">
        <v>#VALUE!</v>
      </c>
      <c r="C1" s="37" t="s">
        <v>1014</v>
      </c>
      <c r="D1" s="31"/>
      <c r="E1" s="31"/>
      <c r="F1" s="31"/>
      <c r="G1" s="31"/>
      <c r="H1" s="31"/>
      <c r="I1" s="31"/>
      <c r="J1" s="31"/>
      <c r="K1" s="31"/>
      <c r="L1" s="31"/>
      <c r="M1" s="31"/>
      <c r="N1" s="31"/>
      <c r="O1" s="31"/>
      <c r="P1" s="31"/>
      <c r="Q1" s="31"/>
      <c r="R1" s="31"/>
      <c r="S1" s="31"/>
    </row>
    <row r="2" spans="1:19" ht="20.100000000000001" customHeight="1" x14ac:dyDescent="0.25">
      <c r="A2"/>
      <c r="C2" s="3"/>
      <c r="D2" s="3"/>
      <c r="E2" s="3"/>
      <c r="F2" s="3"/>
      <c r="G2" s="3"/>
      <c r="H2" s="3"/>
      <c r="I2" s="3"/>
      <c r="J2" s="3"/>
      <c r="K2" s="3"/>
      <c r="L2" s="3"/>
      <c r="M2" s="3"/>
      <c r="N2" s="3"/>
      <c r="O2" s="3"/>
      <c r="P2" s="3"/>
      <c r="Q2" s="3"/>
      <c r="R2" s="3"/>
      <c r="S2" s="3"/>
    </row>
    <row r="3" spans="1:19" ht="20.100000000000001" customHeight="1" x14ac:dyDescent="0.25">
      <c r="A3" s="5" t="str">
        <f>HYPERLINK("#'Home'!A1", "Home")</f>
        <v>Home</v>
      </c>
      <c r="C3" s="38"/>
      <c r="D3" s="38"/>
      <c r="E3" s="38"/>
      <c r="F3" s="38"/>
      <c r="G3" s="38"/>
      <c r="H3" s="38"/>
      <c r="I3" s="38"/>
      <c r="J3" s="38"/>
      <c r="K3" s="38"/>
      <c r="L3" s="38"/>
      <c r="M3" s="38"/>
      <c r="N3" s="38"/>
      <c r="O3" s="38"/>
      <c r="P3" s="38"/>
      <c r="Q3" s="38"/>
      <c r="R3" s="38"/>
      <c r="S3" s="38"/>
    </row>
    <row r="4" spans="1:19" ht="20.100000000000001" customHeight="1" x14ac:dyDescent="0.25">
      <c r="A4" s="5" t="str">
        <f>HYPERLINK("#'Overview'!A1", "Overview")</f>
        <v>Overview</v>
      </c>
      <c r="C4" s="34"/>
      <c r="D4" s="34"/>
      <c r="E4" s="34"/>
      <c r="F4" s="34"/>
      <c r="G4" s="34"/>
      <c r="H4" s="34"/>
      <c r="I4" s="34"/>
      <c r="J4" s="34"/>
    </row>
    <row r="5" spans="1:19" ht="20.100000000000001" customHeight="1" x14ac:dyDescent="0.25">
      <c r="A5" s="5" t="str">
        <f>HYPERLINK("#'Results'!A1", "Results")</f>
        <v>Results</v>
      </c>
      <c r="C5" s="1"/>
      <c r="D5" s="2" t="s">
        <v>1015</v>
      </c>
      <c r="E5" s="34"/>
      <c r="F5" s="34"/>
      <c r="G5" s="34"/>
      <c r="H5" s="34"/>
      <c r="I5" s="34"/>
      <c r="J5" s="34"/>
    </row>
    <row r="6" spans="1:19" ht="20.100000000000001" customHeight="1" x14ac:dyDescent="0.25">
      <c r="A6"/>
      <c r="C6" s="1"/>
      <c r="D6" s="261" t="s">
        <v>1016</v>
      </c>
      <c r="E6" s="264"/>
      <c r="F6" s="264"/>
      <c r="G6" s="264"/>
      <c r="H6" s="264"/>
      <c r="I6" s="264"/>
      <c r="J6" s="264"/>
    </row>
    <row r="7" spans="1:19" ht="20.100000000000001" customHeight="1" x14ac:dyDescent="0.25">
      <c r="A7"/>
      <c r="C7" s="1"/>
      <c r="D7" s="265" t="s">
        <v>1017</v>
      </c>
      <c r="E7" s="265"/>
      <c r="F7" s="145"/>
      <c r="G7" s="54"/>
      <c r="H7" s="34"/>
      <c r="I7" s="34"/>
      <c r="J7" s="34"/>
    </row>
    <row r="8" spans="1:19" ht="20.100000000000001" customHeight="1" x14ac:dyDescent="0.25">
      <c r="A8" s="7" t="s">
        <v>0</v>
      </c>
      <c r="C8" s="1"/>
      <c r="D8" s="55" t="s">
        <v>1018</v>
      </c>
      <c r="E8" s="56"/>
      <c r="F8" s="56"/>
      <c r="G8" s="57"/>
      <c r="H8" s="34"/>
      <c r="I8" s="34"/>
      <c r="J8" s="34"/>
    </row>
    <row r="9" spans="1:19" ht="20.100000000000001" customHeight="1" x14ac:dyDescent="0.25">
      <c r="A9" s="5" t="str">
        <f>HYPERLINK("#'Input - Enterprise'!A1", "Enterprise")</f>
        <v>Enterprise</v>
      </c>
      <c r="C9" s="1"/>
      <c r="D9" s="264"/>
      <c r="E9" s="264"/>
      <c r="F9" s="264"/>
      <c r="G9" s="264"/>
      <c r="H9" s="264"/>
      <c r="I9" s="264"/>
      <c r="J9" s="264"/>
      <c r="K9" s="91"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91"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91"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A10" s="5" t="str">
        <f>HYPERLINK("#'Input - Site'!A1", "Site")</f>
        <v>Site</v>
      </c>
      <c r="D10" s="266" t="s">
        <v>722</v>
      </c>
      <c r="E10" s="266" t="s">
        <v>1019</v>
      </c>
      <c r="F10" s="266" t="s">
        <v>1020</v>
      </c>
      <c r="G10" s="266" t="s">
        <v>558</v>
      </c>
      <c r="H10" s="266" t="s">
        <v>1021</v>
      </c>
      <c r="I10" s="266" t="s">
        <v>1022</v>
      </c>
      <c r="J10" s="266" t="s">
        <v>1023</v>
      </c>
      <c r="K10" s="263" t="s">
        <v>1024</v>
      </c>
      <c r="L10" s="263" t="s">
        <v>1025</v>
      </c>
      <c r="M10" s="263" t="s">
        <v>1026</v>
      </c>
      <c r="N10" s="263" t="s">
        <v>1027</v>
      </c>
      <c r="O10" s="263" t="s">
        <v>1028</v>
      </c>
      <c r="P10" s="263" t="s">
        <v>1029</v>
      </c>
      <c r="Q10" s="263" t="s">
        <v>1030</v>
      </c>
      <c r="R10" s="263" t="s">
        <v>1031</v>
      </c>
    </row>
    <row r="11" spans="1:19" ht="20.100000000000001" customHeight="1" x14ac:dyDescent="0.25">
      <c r="A11" s="5" t="str">
        <f>HYPERLINK("#'Input - Dairy'!A1", "Dairy")</f>
        <v>Dairy</v>
      </c>
      <c r="D11" s="95" t="s">
        <v>1032</v>
      </c>
      <c r="E11" s="267">
        <v>10</v>
      </c>
      <c r="F11" s="23" t="s">
        <v>627</v>
      </c>
      <c r="G11" s="85">
        <v>100</v>
      </c>
      <c r="H11" s="25">
        <f>Table_Input_Pesticides[[#This Row],[Amount applied per ha]]*Table_Input_Pesticides[[#This Row],[Application area (ha)]]</f>
        <v>1000</v>
      </c>
      <c r="I11" s="23" t="s">
        <v>1033</v>
      </c>
      <c r="J11" s="23" t="s">
        <v>1034</v>
      </c>
      <c r="K11" s="85">
        <v>100</v>
      </c>
      <c r="L11" s="25">
        <f>Table_Input_Pesticides[[#This Row],[Total applied]]*Table_Input_Pesticides[[#This Row],[Active ingredient 1 amount]]*IF(Table_Input_Pesticides[[#This Row],[Constituent unit (select)]]="fraction of product", 1, 10^-3)</f>
        <v>100</v>
      </c>
      <c r="M11" s="23" t="s">
        <v>1034</v>
      </c>
      <c r="N11" s="85">
        <v>100</v>
      </c>
      <c r="O11" s="25">
        <f>Table_Input_Pesticides[[#This Row],[Total applied]]*Table_Input_Pesticides[[#This Row],[Active ingredient 2 amount]]*IF(Table_Input_Pesticides[[#This Row],[Constituent unit (select)]]="fraction of product", 1, 10^-3)</f>
        <v>100</v>
      </c>
      <c r="P11" s="23" t="s">
        <v>1035</v>
      </c>
      <c r="Q11" s="85">
        <v>100</v>
      </c>
      <c r="R11" s="25">
        <f>Table_Input_Pesticides[[#This Row],[Total applied]]*Table_Input_Pesticides[[#This Row],[Active ingredient 3 amount]]*IF(Table_Input_Pesticides[[#This Row],[Constituent unit (select)]]="fraction of product", 1, 10^-3)</f>
        <v>100</v>
      </c>
    </row>
    <row r="12" spans="1:19" ht="20.100000000000001" customHeight="1" x14ac:dyDescent="0.25">
      <c r="A12" s="5" t="str">
        <f>HYPERLINK("#'Input - Dairy (Enteric)'!A1", "Dairy (Enteric)")</f>
        <v>Dairy (Enteric)</v>
      </c>
      <c r="C12" s="1"/>
      <c r="D12" s="95" t="s">
        <v>1036</v>
      </c>
      <c r="E12" s="267">
        <v>10</v>
      </c>
      <c r="F12" s="23" t="s">
        <v>1037</v>
      </c>
      <c r="G12" s="85">
        <v>100</v>
      </c>
      <c r="H12" s="25">
        <f>Table_Input_Pesticides[[#This Row],[Amount applied per ha]]*Table_Input_Pesticides[[#This Row],[Application area (ha)]]</f>
        <v>1000</v>
      </c>
      <c r="I12" s="23" t="s">
        <v>1033</v>
      </c>
      <c r="J12" s="23" t="s">
        <v>1034</v>
      </c>
      <c r="K12" s="85">
        <v>100</v>
      </c>
      <c r="L12" s="25">
        <f>Table_Input_Pesticides[[#This Row],[Total applied]]*Table_Input_Pesticides[[#This Row],[Active ingredient 1 amount]]*IF(Table_Input_Pesticides[[#This Row],[Constituent unit (select)]]="fraction of product", 1, 10^-3)</f>
        <v>100</v>
      </c>
      <c r="M12" s="23" t="s">
        <v>1038</v>
      </c>
      <c r="N12" s="85">
        <v>100</v>
      </c>
      <c r="O12" s="25">
        <f>Table_Input_Pesticides[[#This Row],[Total applied]]*Table_Input_Pesticides[[#This Row],[Active ingredient 2 amount]]*IF(Table_Input_Pesticides[[#This Row],[Constituent unit (select)]]="fraction of product", 1, 10^-3)</f>
        <v>100</v>
      </c>
      <c r="P12" s="23" t="s">
        <v>1039</v>
      </c>
      <c r="Q12" s="85">
        <v>100</v>
      </c>
      <c r="R12" s="25">
        <f>Table_Input_Pesticides[[#This Row],[Total applied]]*Table_Input_Pesticides[[#This Row],[Active ingredient 3 amount]]*IF(Table_Input_Pesticides[[#This Row],[Constituent unit (select)]]="fraction of product", 1, 10^-3)</f>
        <v>100</v>
      </c>
    </row>
    <row r="13" spans="1:19" ht="20.100000000000001" customHeight="1" x14ac:dyDescent="0.25">
      <c r="A13" s="5" t="str">
        <f>HYPERLINK("#'Input - Livestock sales'!A1", "Livestock sales")</f>
        <v>Livestock sales</v>
      </c>
      <c r="C13" s="1"/>
      <c r="D13" s="95" t="s">
        <v>1040</v>
      </c>
      <c r="E13" s="267">
        <v>10</v>
      </c>
      <c r="F13" s="23" t="s">
        <v>627</v>
      </c>
      <c r="G13" s="85">
        <v>100</v>
      </c>
      <c r="H13" s="25">
        <f>Table_Input_Pesticides[[#This Row],[Amount applied per ha]]*Table_Input_Pesticides[[#This Row],[Application area (ha)]]</f>
        <v>1000</v>
      </c>
      <c r="I13" s="23" t="s">
        <v>1033</v>
      </c>
      <c r="J13" s="23" t="s">
        <v>1034</v>
      </c>
      <c r="K13" s="85">
        <v>100</v>
      </c>
      <c r="L13" s="25">
        <f>Table_Input_Pesticides[[#This Row],[Total applied]]*Table_Input_Pesticides[[#This Row],[Active ingredient 1 amount]]*IF(Table_Input_Pesticides[[#This Row],[Constituent unit (select)]]="fraction of product", 1, 10^-3)</f>
        <v>100</v>
      </c>
      <c r="M13" s="23" t="s">
        <v>1041</v>
      </c>
      <c r="N13" s="85">
        <v>100</v>
      </c>
      <c r="O13" s="25">
        <f>Table_Input_Pesticides[[#This Row],[Total applied]]*Table_Input_Pesticides[[#This Row],[Active ingredient 2 amount]]*IF(Table_Input_Pesticides[[#This Row],[Constituent unit (select)]]="fraction of product", 1, 10^-3)</f>
        <v>100</v>
      </c>
      <c r="P13" s="23" t="s">
        <v>1042</v>
      </c>
      <c r="Q13" s="85">
        <v>100</v>
      </c>
      <c r="R13" s="25">
        <f>Table_Input_Pesticides[[#This Row],[Total applied]]*Table_Input_Pesticides[[#This Row],[Active ingredient 3 amount]]*IF(Table_Input_Pesticides[[#This Row],[Constituent unit (select)]]="fraction of product", 1, 10^-3)</f>
        <v>100</v>
      </c>
    </row>
    <row r="14" spans="1:19" ht="20.100000000000001" customHeight="1" x14ac:dyDescent="0.25">
      <c r="A14" s="5" t="str">
        <f>HYPERLINK("#'Input - Dairy cattle purchases'!A1", "Dairy cattle purchases")</f>
        <v>Dairy cattle purchases</v>
      </c>
      <c r="D14" s="95"/>
      <c r="E14" s="267"/>
      <c r="F14" s="23"/>
      <c r="G14" s="85"/>
      <c r="H14" s="25">
        <f>Table_Input_Pesticides[[#This Row],[Amount applied per ha]]*Table_Input_Pesticides[[#This Row],[Application area (ha)]]</f>
        <v>0</v>
      </c>
      <c r="I14" s="23"/>
      <c r="J14" s="23"/>
      <c r="K14" s="85"/>
      <c r="L14" s="25">
        <f>Table_Input_Pesticides[[#This Row],[Total applied]]*Table_Input_Pesticides[[#This Row],[Active ingredient 1 amount]]*IF(Table_Input_Pesticides[[#This Row],[Constituent unit (select)]]="fraction of product", 1, 10^-3)</f>
        <v>0</v>
      </c>
      <c r="M14" s="23"/>
      <c r="N14" s="85"/>
      <c r="O14" s="25">
        <f>Table_Input_Pesticides[[#This Row],[Total applied]]*Table_Input_Pesticides[[#This Row],[Active ingredient 2 amount]]*IF(Table_Input_Pesticides[[#This Row],[Constituent unit (select)]]="fraction of product", 1, 10^-3)</f>
        <v>0</v>
      </c>
      <c r="P14" s="23"/>
      <c r="Q14" s="85"/>
      <c r="R14" s="25">
        <f>Table_Input_Pesticides[[#This Row],[Total applied]]*Table_Input_Pesticides[[#This Row],[Active ingredient 3 amount]]*IF(Table_Input_Pesticides[[#This Row],[Constituent unit (select)]]="fraction of product", 1, 10^-3)</f>
        <v>0</v>
      </c>
    </row>
    <row r="15" spans="1:19" ht="20.100000000000001" customHeight="1" x14ac:dyDescent="0.25">
      <c r="A15" s="5" t="str">
        <f>HYPERLINK("#'Input - Pasture'!A1", "Pasture")</f>
        <v>Pasture</v>
      </c>
      <c r="D15" s="95"/>
      <c r="E15" s="267"/>
      <c r="F15" s="23"/>
      <c r="G15" s="85"/>
      <c r="H15" s="25">
        <f>Table_Input_Pesticides[[#This Row],[Amount applied per ha]]*Table_Input_Pesticides[[#This Row],[Application area (ha)]]</f>
        <v>0</v>
      </c>
      <c r="I15" s="23"/>
      <c r="J15" s="23"/>
      <c r="K15" s="85"/>
      <c r="L15" s="25">
        <f>Table_Input_Pesticides[[#This Row],[Total applied]]*Table_Input_Pesticides[[#This Row],[Active ingredient 1 amount]]*IF(Table_Input_Pesticides[[#This Row],[Constituent unit (select)]]="fraction of product", 1, 10^-3)</f>
        <v>0</v>
      </c>
      <c r="M15" s="23"/>
      <c r="N15" s="85"/>
      <c r="O15" s="25">
        <f>Table_Input_Pesticides[[#This Row],[Total applied]]*Table_Input_Pesticides[[#This Row],[Active ingredient 2 amount]]*IF(Table_Input_Pesticides[[#This Row],[Constituent unit (select)]]="fraction of product", 1, 10^-3)</f>
        <v>0</v>
      </c>
      <c r="P15" s="23"/>
      <c r="Q15" s="85"/>
      <c r="R15" s="25">
        <f>Table_Input_Pesticides[[#This Row],[Total applied]]*Table_Input_Pesticides[[#This Row],[Active ingredient 3 amount]]*IF(Table_Input_Pesticides[[#This Row],[Constituent unit (select)]]="fraction of product", 1, 10^-3)</f>
        <v>0</v>
      </c>
    </row>
    <row r="16" spans="1:19" ht="20.100000000000001" customHeight="1" x14ac:dyDescent="0.25">
      <c r="A16" s="5" t="str">
        <f>HYPERLINK("#'Input - Fert Prod System'!A1", "Fert Prod System")</f>
        <v>Fert Prod System</v>
      </c>
      <c r="D16" s="95"/>
      <c r="E16" s="267"/>
      <c r="F16" s="23"/>
      <c r="G16" s="85"/>
      <c r="H16" s="25">
        <f>Table_Input_Pesticides[[#This Row],[Amount applied per ha]]*Table_Input_Pesticides[[#This Row],[Application area (ha)]]</f>
        <v>0</v>
      </c>
      <c r="I16" s="23"/>
      <c r="J16" s="23"/>
      <c r="K16" s="85"/>
      <c r="L16" s="25">
        <f>Table_Input_Pesticides[[#This Row],[Total applied]]*Table_Input_Pesticides[[#This Row],[Active ingredient 1 amount]]*IF(Table_Input_Pesticides[[#This Row],[Constituent unit (select)]]="fraction of product", 1, 10^-3)</f>
        <v>0</v>
      </c>
      <c r="M16" s="23"/>
      <c r="N16" s="85"/>
      <c r="O16" s="25">
        <f>Table_Input_Pesticides[[#This Row],[Total applied]]*Table_Input_Pesticides[[#This Row],[Active ingredient 2 amount]]*IF(Table_Input_Pesticides[[#This Row],[Constituent unit (select)]]="fraction of product", 1, 10^-3)</f>
        <v>0</v>
      </c>
      <c r="P16" s="23"/>
      <c r="Q16" s="85"/>
      <c r="R16" s="25">
        <f>Table_Input_Pesticides[[#This Row],[Total applied]]*Table_Input_Pesticides[[#This Row],[Active ingredient 3 amount]]*IF(Table_Input_Pesticides[[#This Row],[Constituent unit (select)]]="fraction of product", 1, 10^-3)</f>
        <v>0</v>
      </c>
    </row>
    <row r="17" spans="1:18" ht="20.100000000000001" customHeight="1" x14ac:dyDescent="0.25">
      <c r="A17" s="5" t="str">
        <f>HYPERLINK("#'Input - Fertiliser'!A1", "Fertiliser")</f>
        <v>Fertiliser</v>
      </c>
      <c r="C17" s="1"/>
      <c r="D17" s="95"/>
      <c r="E17" s="267"/>
      <c r="F17" s="23"/>
      <c r="G17" s="85"/>
      <c r="H17" s="25">
        <f>Table_Input_Pesticides[[#This Row],[Amount applied per ha]]*Table_Input_Pesticides[[#This Row],[Application area (ha)]]</f>
        <v>0</v>
      </c>
      <c r="I17" s="23"/>
      <c r="J17" s="23"/>
      <c r="K17" s="85"/>
      <c r="L17" s="25">
        <f>Table_Input_Pesticides[[#This Row],[Total applied]]*Table_Input_Pesticides[[#This Row],[Active ingredient 1 amount]]*IF(Table_Input_Pesticides[[#This Row],[Constituent unit (select)]]="fraction of product", 1, 10^-3)</f>
        <v>0</v>
      </c>
      <c r="M17" s="23"/>
      <c r="N17" s="85"/>
      <c r="O17" s="25">
        <f>Table_Input_Pesticides[[#This Row],[Total applied]]*Table_Input_Pesticides[[#This Row],[Active ingredient 2 amount]]*IF(Table_Input_Pesticides[[#This Row],[Constituent unit (select)]]="fraction of product", 1, 10^-3)</f>
        <v>0</v>
      </c>
      <c r="P17" s="23"/>
      <c r="Q17" s="85"/>
      <c r="R17" s="25">
        <f>Table_Input_Pesticides[[#This Row],[Total applied]]*Table_Input_Pesticides[[#This Row],[Active ingredient 3 amount]]*IF(Table_Input_Pesticides[[#This Row],[Constituent unit (select)]]="fraction of product", 1, 10^-3)</f>
        <v>0</v>
      </c>
    </row>
    <row r="18" spans="1:18" ht="20.100000000000001" customHeight="1" x14ac:dyDescent="0.25">
      <c r="A18" s="5" t="str">
        <f>HYPERLINK("#'Input - Fuel'!A1", "Fuel")</f>
        <v>Fuel</v>
      </c>
      <c r="C18" s="1"/>
      <c r="D18" s="95"/>
      <c r="E18" s="267"/>
      <c r="F18" s="23"/>
      <c r="G18" s="85"/>
      <c r="H18" s="25">
        <f>Table_Input_Pesticides[[#This Row],[Amount applied per ha]]*Table_Input_Pesticides[[#This Row],[Application area (ha)]]</f>
        <v>0</v>
      </c>
      <c r="I18" s="23"/>
      <c r="J18" s="23"/>
      <c r="K18" s="85"/>
      <c r="L18" s="25">
        <f>Table_Input_Pesticides[[#This Row],[Total applied]]*Table_Input_Pesticides[[#This Row],[Active ingredient 1 amount]]*IF(Table_Input_Pesticides[[#This Row],[Constituent unit (select)]]="fraction of product", 1, 10^-3)</f>
        <v>0</v>
      </c>
      <c r="M18" s="23"/>
      <c r="N18" s="85"/>
      <c r="O18" s="25">
        <f>Table_Input_Pesticides[[#This Row],[Total applied]]*Table_Input_Pesticides[[#This Row],[Active ingredient 2 amount]]*IF(Table_Input_Pesticides[[#This Row],[Constituent unit (select)]]="fraction of product", 1, 10^-3)</f>
        <v>0</v>
      </c>
      <c r="P18" s="23"/>
      <c r="Q18" s="85"/>
      <c r="R18" s="25">
        <f>Table_Input_Pesticides[[#This Row],[Total applied]]*Table_Input_Pesticides[[#This Row],[Active ingredient 3 amount]]*IF(Table_Input_Pesticides[[#This Row],[Constituent unit (select)]]="fraction of product", 1, 10^-3)</f>
        <v>0</v>
      </c>
    </row>
    <row r="19" spans="1:18" ht="20.100000000000001" customHeight="1" x14ac:dyDescent="0.25">
      <c r="A19" s="5" t="str">
        <f>HYPERLINK("#'Input - Electricity'!A1", "Electricity")</f>
        <v>Electricity</v>
      </c>
      <c r="D19" s="95"/>
      <c r="E19" s="267"/>
      <c r="F19" s="23"/>
      <c r="G19" s="85"/>
      <c r="H19" s="25">
        <f>Table_Input_Pesticides[[#This Row],[Amount applied per ha]]*Table_Input_Pesticides[[#This Row],[Application area (ha)]]</f>
        <v>0</v>
      </c>
      <c r="I19" s="23"/>
      <c r="J19" s="23"/>
      <c r="K19" s="85"/>
      <c r="L19" s="25">
        <f>Table_Input_Pesticides[[#This Row],[Total applied]]*Table_Input_Pesticides[[#This Row],[Active ingredient 1 amount]]*IF(Table_Input_Pesticides[[#This Row],[Constituent unit (select)]]="fraction of product", 1, 10^-3)</f>
        <v>0</v>
      </c>
      <c r="M19" s="23"/>
      <c r="N19" s="85"/>
      <c r="O19" s="25">
        <f>Table_Input_Pesticides[[#This Row],[Total applied]]*Table_Input_Pesticides[[#This Row],[Active ingredient 2 amount]]*IF(Table_Input_Pesticides[[#This Row],[Constituent unit (select)]]="fraction of product", 1, 10^-3)</f>
        <v>0</v>
      </c>
      <c r="P19" s="23"/>
      <c r="Q19" s="85"/>
      <c r="R19" s="25">
        <f>Table_Input_Pesticides[[#This Row],[Total applied]]*Table_Input_Pesticides[[#This Row],[Active ingredient 3 amount]]*IF(Table_Input_Pesticides[[#This Row],[Constituent unit (select)]]="fraction of product", 1, 10^-3)</f>
        <v>0</v>
      </c>
    </row>
    <row r="20" spans="1:18" ht="20.100000000000001" customHeight="1" x14ac:dyDescent="0.25">
      <c r="A20" s="98" t="str">
        <f>HYPERLINK("#'Input - Farm Inputs'!A1", "Farm Inputs")</f>
        <v>Farm Inputs</v>
      </c>
      <c r="D20" s="95"/>
      <c r="E20" s="267"/>
      <c r="F20" s="23"/>
      <c r="G20" s="85"/>
      <c r="H20" s="25">
        <f>Table_Input_Pesticides[[#This Row],[Amount applied per ha]]*Table_Input_Pesticides[[#This Row],[Application area (ha)]]</f>
        <v>0</v>
      </c>
      <c r="I20" s="23"/>
      <c r="J20" s="23"/>
      <c r="K20" s="85"/>
      <c r="L20" s="25">
        <f>Table_Input_Pesticides[[#This Row],[Total applied]]*Table_Input_Pesticides[[#This Row],[Active ingredient 1 amount]]*IF(Table_Input_Pesticides[[#This Row],[Constituent unit (select)]]="fraction of product", 1, 10^-3)</f>
        <v>0</v>
      </c>
      <c r="M20" s="23"/>
      <c r="N20" s="85"/>
      <c r="O20" s="25">
        <f>Table_Input_Pesticides[[#This Row],[Total applied]]*Table_Input_Pesticides[[#This Row],[Active ingredient 2 amount]]*IF(Table_Input_Pesticides[[#This Row],[Constituent unit (select)]]="fraction of product", 1, 10^-3)</f>
        <v>0</v>
      </c>
      <c r="P20" s="23"/>
      <c r="Q20" s="85"/>
      <c r="R20" s="25">
        <f>Table_Input_Pesticides[[#This Row],[Total applied]]*Table_Input_Pesticides[[#This Row],[Active ingredient 3 amount]]*IF(Table_Input_Pesticides[[#This Row],[Constituent unit (select)]]="fraction of product", 1, 10^-3)</f>
        <v>0</v>
      </c>
    </row>
    <row r="21" spans="1:18" ht="20.100000000000001" customHeight="1" x14ac:dyDescent="0.25">
      <c r="A21" s="5" t="str">
        <f>HYPERLINK("#'Input - Freight'!A1", "Freight")</f>
        <v>Freight</v>
      </c>
      <c r="D21" s="34"/>
      <c r="E21" s="34"/>
      <c r="F21" s="34"/>
      <c r="G21" s="34"/>
      <c r="H21" s="34"/>
      <c r="I21" s="34"/>
      <c r="J21" s="34"/>
    </row>
    <row r="22" spans="1:18" ht="20.100000000000001" customHeight="1" x14ac:dyDescent="0.25">
      <c r="A22" s="5" t="str">
        <f>HYPERLINK("#'Input - Manure sent off-site'!A1", "Manure sent off-site")</f>
        <v>Manure sent off-site</v>
      </c>
      <c r="D22" s="261" t="s">
        <v>1043</v>
      </c>
      <c r="E22" s="1"/>
      <c r="F22" s="1"/>
    </row>
    <row r="23" spans="1:18" ht="20.100000000000001" customHeight="1" x14ac:dyDescent="0.25">
      <c r="A23" s="5" t="str">
        <f>HYPERLINK("#'Input - Solid waste'!A1", "Solid waste")</f>
        <v>Solid waste</v>
      </c>
      <c r="D23" s="94" t="s">
        <v>722</v>
      </c>
      <c r="E23" s="94" t="s">
        <v>1044</v>
      </c>
      <c r="F23" s="94" t="s">
        <v>1045</v>
      </c>
    </row>
    <row r="24" spans="1:18" ht="20.100000000000001" customHeight="1" x14ac:dyDescent="0.25">
      <c r="A24" s="5" t="str">
        <f>HYPERLINK("#'Input - Data quality'!A1", "Data quality")</f>
        <v>Data quality</v>
      </c>
      <c r="D24" s="43" t="s">
        <v>1046</v>
      </c>
      <c r="E24" s="23" t="s">
        <v>1047</v>
      </c>
      <c r="F24" s="85">
        <v>100</v>
      </c>
    </row>
    <row r="25" spans="1:18" ht="20.100000000000001" customHeight="1" x14ac:dyDescent="0.25">
      <c r="A25"/>
      <c r="C25" s="1"/>
      <c r="D25" s="43" t="s">
        <v>1048</v>
      </c>
      <c r="E25" s="212" t="s">
        <v>1049</v>
      </c>
      <c r="F25" s="268">
        <v>100</v>
      </c>
    </row>
    <row r="26" spans="1:18" ht="20.100000000000001" customHeight="1" x14ac:dyDescent="0.25">
      <c r="A26"/>
      <c r="C26" s="1"/>
      <c r="D26" s="43" t="s">
        <v>1050</v>
      </c>
      <c r="E26" s="212" t="s">
        <v>1051</v>
      </c>
      <c r="F26" s="268">
        <v>100</v>
      </c>
    </row>
    <row r="27" spans="1:18" ht="20.100000000000001" customHeight="1" x14ac:dyDescent="0.25">
      <c r="A27" s="6" t="s">
        <v>2</v>
      </c>
      <c r="C27" s="1"/>
      <c r="D27" s="43" t="s">
        <v>1050</v>
      </c>
      <c r="E27" s="212" t="s">
        <v>1051</v>
      </c>
      <c r="F27" s="268">
        <v>100</v>
      </c>
    </row>
    <row r="28" spans="1:18" ht="20.100000000000001" customHeight="1" x14ac:dyDescent="0.25">
      <c r="A28" s="5" t="str">
        <f>HYPERLINK("#'5.1.1.1-2 Inorganic fert N2O'!A1", "5.1.1.1-2 Inorganic fert N2O")</f>
        <v>5.1.1.1-2 Inorganic fert N2O</v>
      </c>
      <c r="D28" s="43" t="s">
        <v>1046</v>
      </c>
      <c r="E28" s="212" t="s">
        <v>1047</v>
      </c>
      <c r="F28" s="268">
        <v>100</v>
      </c>
    </row>
    <row r="29" spans="1:18" ht="20.100000000000001" customHeight="1" x14ac:dyDescent="0.25">
      <c r="A29" s="5" t="str">
        <f>HYPERLINK("#'5.1.1.3-4 Inorganic fert CO2'!A1", "5.1.1.3-4 Inorganic fert CO2")</f>
        <v>5.1.1.3-4 Inorganic fert CO2</v>
      </c>
      <c r="D29" s="43" t="s">
        <v>1046</v>
      </c>
      <c r="E29" s="212" t="s">
        <v>1047</v>
      </c>
      <c r="F29" s="268">
        <v>100</v>
      </c>
    </row>
    <row r="30" spans="1:18" ht="20.100000000000001" customHeight="1" x14ac:dyDescent="0.25">
      <c r="A30" s="5" t="str">
        <f>HYPERLINK("#'5.2.1.1-2 Organic Fert N2O'!A1", "5.2.1.1-2 Organic fert N2O")</f>
        <v>5.2.1.1-2 Organic fert N2O</v>
      </c>
      <c r="D30" s="43"/>
      <c r="E30" s="23"/>
      <c r="F30" s="85"/>
    </row>
    <row r="31" spans="1:18" ht="20.100000000000001" customHeight="1" x14ac:dyDescent="0.25">
      <c r="A31" s="5" t="str">
        <f>HYPERLINK("#'5.3.1.1-2 Lime CO2'!A1", "5.3.1.1-2 Lime CO2")</f>
        <v>5.3.1.1-2 Lime CO2</v>
      </c>
      <c r="D31" s="43"/>
      <c r="E31" s="23"/>
      <c r="F31" s="85"/>
    </row>
    <row r="32" spans="1:18" ht="20.100000000000001" customHeight="1" x14ac:dyDescent="0.25">
      <c r="A32" s="5" t="str">
        <f>HYPERLINK("#'5.4.1.1-4 Atmos deposition'!A1", "5.4.1.1-4 Atmos. deposition")</f>
        <v>5.4.1.1-4 Atmos. deposition</v>
      </c>
      <c r="D32" s="43"/>
      <c r="E32" s="23"/>
      <c r="F32" s="85"/>
    </row>
    <row r="33" spans="1:6" ht="20.100000000000001" customHeight="1" x14ac:dyDescent="0.25">
      <c r="A33" s="5" t="str">
        <f>HYPERLINK("#'5.5.1.1-2 Leaching and runoff'!A1", "5.5.1.1-2 Leaching &amp; runoff")</f>
        <v>5.5.1.1-2 Leaching &amp; runoff</v>
      </c>
      <c r="D33" s="43"/>
      <c r="E33" s="23"/>
      <c r="F33" s="85"/>
    </row>
    <row r="34" spans="1:6" ht="20.100000000000001" customHeight="1" x14ac:dyDescent="0.25">
      <c r="A34" s="5" t="str">
        <f>HYPERLINK("#'6.2.1.1-2 Pasture residue N2O'!A1", "6.2.1.1-2 Pasture residue N2O")</f>
        <v>6.2.1.1-2 Pasture residue N2O</v>
      </c>
    </row>
    <row r="35" spans="1:6" ht="20.100000000000001" customHeight="1" x14ac:dyDescent="0.25">
      <c r="A35" s="5" t="str">
        <f>HYPERLINK("#'6.3.1.1-2 Leach runoff pasture'!A1", "6.3.1.1-2 Leach &amp; runoff (pasture)")</f>
        <v>6.3.1.1-2 Leach &amp; runoff (pasture)</v>
      </c>
      <c r="D35" s="261" t="s">
        <v>1052</v>
      </c>
      <c r="E35" s="1"/>
      <c r="F35" s="1"/>
    </row>
    <row r="36" spans="1:6" ht="20.100000000000001" customHeight="1" x14ac:dyDescent="0.25">
      <c r="A36" s="5" t="str">
        <f>HYPERLINK("#'8.1.1.1-2 Transport fuel'!A1", "8.1.1.1-2 Transport fuel")</f>
        <v>8.1.1.1-2 Transport fuel</v>
      </c>
      <c r="D36" s="94" t="s">
        <v>722</v>
      </c>
      <c r="E36" s="94" t="s">
        <v>1044</v>
      </c>
      <c r="F36" s="94" t="s">
        <v>1053</v>
      </c>
    </row>
    <row r="37" spans="1:6" ht="20.100000000000001" customHeight="1" x14ac:dyDescent="0.25">
      <c r="A37" s="5" t="str">
        <f>HYPERLINK("#'8.2.1.1-2 Stationary fuel'!A1", "8.2.1.1-2 Stationary fuel")</f>
        <v>8.2.1.1-2 Stationary fuel</v>
      </c>
      <c r="D37" s="43" t="s">
        <v>1054</v>
      </c>
      <c r="E37" s="159" t="s">
        <v>1055</v>
      </c>
      <c r="F37" s="85">
        <v>100</v>
      </c>
    </row>
    <row r="38" spans="1:6" ht="20.100000000000001" customHeight="1" x14ac:dyDescent="0.25">
      <c r="A38" s="5" t="str">
        <f>HYPERLINK("#'14.1.1-2 Purchased electricity'!A1", "14.1.1-2 Purchased electricity")</f>
        <v>14.1.1-2 Purchased electricity</v>
      </c>
      <c r="D38" s="43" t="s">
        <v>1056</v>
      </c>
      <c r="E38" s="269" t="s">
        <v>1057</v>
      </c>
      <c r="F38" s="268">
        <v>100</v>
      </c>
    </row>
    <row r="39" spans="1:6" ht="20.100000000000001" customHeight="1" x14ac:dyDescent="0.25">
      <c r="A39" s="5" t="str">
        <f>HYPERLINK("#'15 Scope 3'!A1", "15 Scope 3")</f>
        <v>15 Scope 3</v>
      </c>
      <c r="D39" s="43" t="s">
        <v>1058</v>
      </c>
      <c r="E39" s="269" t="s">
        <v>1059</v>
      </c>
      <c r="F39" s="268">
        <v>100</v>
      </c>
    </row>
    <row r="40" spans="1:6" ht="20.100000000000001" customHeight="1" x14ac:dyDescent="0.25">
      <c r="A40" s="5" t="str">
        <f>HYPERLINK("#'Calcs - Manure sent off-site'!A1", "Calcs - Manure sent off-site")</f>
        <v>Calcs - Manure sent off-site</v>
      </c>
      <c r="D40" s="43" t="s">
        <v>1060</v>
      </c>
      <c r="E40" s="269" t="s">
        <v>1061</v>
      </c>
      <c r="F40" s="268">
        <v>100</v>
      </c>
    </row>
    <row r="41" spans="1:6" ht="20.100000000000001" customHeight="1" x14ac:dyDescent="0.25">
      <c r="A41" s="5" t="str">
        <f>HYPERLINK("#'4.3.1.1-2 Methane'!A1", "4.3.1.1-2 Methane")</f>
        <v>4.3.1.1-2 Methane</v>
      </c>
      <c r="D41" s="43" t="s">
        <v>1054</v>
      </c>
      <c r="E41" s="269" t="s">
        <v>1055</v>
      </c>
      <c r="F41" s="268">
        <v>100</v>
      </c>
    </row>
    <row r="42" spans="1:6" ht="20.100000000000001" customHeight="1" x14ac:dyDescent="0.25">
      <c r="A42" s="5" t="str">
        <f>HYPERLINK("#'4.3.1.3-4 Direct N20'!A1", "4.3.1.3-4 Direct N20")</f>
        <v>4.3.1.3-4 Direct N20</v>
      </c>
      <c r="D42" s="43" t="s">
        <v>1056</v>
      </c>
      <c r="E42" s="269" t="s">
        <v>1057</v>
      </c>
      <c r="F42" s="268">
        <v>100</v>
      </c>
    </row>
    <row r="43" spans="1:6" ht="20.100000000000001" customHeight="1" x14ac:dyDescent="0.25">
      <c r="A43" s="5" t="str">
        <f>HYPERLINK("#'4.3.1.5 Atmos deposition'!A1", "4.3.1.5 Atmos deposition")</f>
        <v>4.3.1.5 Atmos deposition</v>
      </c>
      <c r="D43" s="43"/>
      <c r="E43" s="159"/>
      <c r="F43" s="85"/>
    </row>
    <row r="44" spans="1:6" ht="20.100000000000001" customHeight="1" x14ac:dyDescent="0.25">
      <c r="A44" s="5" t="str">
        <f>HYPERLINK("#'4.3.1.6-7 Leaching and runoff'!A1", "4.3.1.6-7 Leaching and runoff")</f>
        <v>4.3.1.6-7 Leaching and runoff</v>
      </c>
      <c r="C44" s="1"/>
      <c r="D44" s="43"/>
      <c r="E44" s="159"/>
      <c r="F44" s="85"/>
    </row>
    <row r="45" spans="1:6" ht="20.100000000000001" customHeight="1" x14ac:dyDescent="0.25">
      <c r="A45" s="5" t="str">
        <f>HYPERLINK("#'4.3.1.8 Manure applied to soils'!A1", "4.3.1.8 Manure applied to soils")</f>
        <v>4.3.1.8 Manure applied to soils</v>
      </c>
      <c r="C45" s="1"/>
      <c r="D45" s="43"/>
      <c r="E45" s="159"/>
      <c r="F45" s="85"/>
    </row>
    <row r="46" spans="1:6" ht="20.100000000000001" customHeight="1" x14ac:dyDescent="0.25">
      <c r="A46" s="5" t="str">
        <f>HYPERLINK("#'4.3.1.9 Soil direct N2O'!A1", "4.3.1.9 Soil direct N2O")</f>
        <v>4.3.1.9 Soil direct N2O</v>
      </c>
      <c r="C46" s="1"/>
      <c r="D46" s="43"/>
      <c r="E46" s="159"/>
      <c r="F46" s="85"/>
    </row>
    <row r="47" spans="1:6" ht="20.100000000000001" customHeight="1" x14ac:dyDescent="0.25">
      <c r="A47" s="5" t="str">
        <f>HYPERLINK("#'4.3.1.10-11 Soil Atmos Dep'!A1", "4.3.1.10-11 Soil Atmos Dep")</f>
        <v>4.3.1.10-11 Soil Atmos Dep</v>
      </c>
      <c r="C47" s="1"/>
    </row>
    <row r="48" spans="1:6" ht="20.100000000000001" customHeight="1" x14ac:dyDescent="0.25">
      <c r="A48" s="5" t="str">
        <f>HYPERLINK("#'4.3.1.12-13 Soil leach runoff'!A1", "4.3.1.12-13 Soil leach runoff")</f>
        <v>4.3.1.12-13 Soil leach runoff</v>
      </c>
      <c r="C48" s="1"/>
    </row>
    <row r="49" spans="1:17" ht="20.100000000000001" customHeight="1" x14ac:dyDescent="0.25">
      <c r="A49" s="5" t="str">
        <f>HYPERLINK("#'3.3.1.1-2 Enteric Methane'!A1", "3.3.1.1-2 Enteric Methane")</f>
        <v>3.3.1.1-2 Enteric Methane</v>
      </c>
      <c r="C49" s="1"/>
      <c r="D49" s="2" t="s">
        <v>1062</v>
      </c>
    </row>
    <row r="50" spans="1:17" ht="20.100000000000001" customHeight="1" x14ac:dyDescent="0.25">
      <c r="A50" s="5" t="str">
        <f>HYPERLINK("#'10.1.1-2 Solid waste treatment'!A1", "10.1.1-2 Solid waste treatment")</f>
        <v>10.1.1-2 Solid waste treatment</v>
      </c>
      <c r="D50" s="261" t="s">
        <v>1063</v>
      </c>
      <c r="E50" s="270"/>
      <c r="F50" s="271"/>
    </row>
    <row r="51" spans="1:17" ht="20.100000000000001" customHeight="1" x14ac:dyDescent="0.25">
      <c r="A51"/>
      <c r="D51" s="1" t="str" cm="1">
        <f t="array" ref="D51:D53">Table_SourceData_Scope3_LickBlocks[Product]</f>
        <v>Lick block, dry season mix</v>
      </c>
      <c r="E51" s="85">
        <v>100</v>
      </c>
      <c r="F51" s="26" t="s">
        <v>629</v>
      </c>
    </row>
    <row r="52" spans="1:17" ht="20.100000000000001" customHeight="1" x14ac:dyDescent="0.25">
      <c r="A52"/>
      <c r="D52" s="1" t="str">
        <v>Lick block, mineral</v>
      </c>
      <c r="E52" s="85">
        <v>100</v>
      </c>
      <c r="F52" s="26" t="s">
        <v>629</v>
      </c>
    </row>
    <row r="53" spans="1:17" ht="20.100000000000001" customHeight="1" x14ac:dyDescent="0.25">
      <c r="A53" s="100" t="s">
        <v>1</v>
      </c>
      <c r="D53" s="1" t="str">
        <v>Lick block, weaner</v>
      </c>
      <c r="E53" s="85">
        <v>100</v>
      </c>
      <c r="F53" s="26" t="s">
        <v>629</v>
      </c>
    </row>
    <row r="54" spans="1:17" ht="20.100000000000001" customHeight="1" x14ac:dyDescent="0.25">
      <c r="A54" s="5" t="str">
        <f>HYPERLINK("#'Constants - Dairy'!A1", "Constants - Dairy")</f>
        <v>Constants - Dairy</v>
      </c>
      <c r="D54" s="1"/>
      <c r="E54" s="1"/>
      <c r="F54" s="1"/>
    </row>
    <row r="55" spans="1:17" ht="20.100000000000001" customHeight="1" x14ac:dyDescent="0.25">
      <c r="A55" s="5" t="str">
        <f>HYPERLINK("#'Constants - Ag Residue'!A1", "Constants - Ag residue")</f>
        <v>Constants - Ag residue</v>
      </c>
      <c r="D55" s="261" t="s">
        <v>1064</v>
      </c>
      <c r="E55" s="34"/>
      <c r="F55" s="34"/>
    </row>
    <row r="56" spans="1:17" ht="20.100000000000001" customHeight="1" x14ac:dyDescent="0.25">
      <c r="A56" s="5" t="str">
        <f>HYPERLINK("#'Constants - Common Livestock'!A1", "Constants - Common Livestock")</f>
        <v>Constants - Common Livestock</v>
      </c>
      <c r="D56" s="1" t="str" cm="1">
        <f t="array" ref="D56:D59">Table_SourceData_Scope3_MixedRations[Product]</f>
        <v>Feed for chickens</v>
      </c>
      <c r="E56" s="85">
        <v>100</v>
      </c>
      <c r="F56" s="26" t="s">
        <v>629</v>
      </c>
    </row>
    <row r="57" spans="1:17" ht="20.100000000000001" customHeight="1" x14ac:dyDescent="0.25">
      <c r="A57" s="5" t="str">
        <f>HYPERLINK("#'Constants - Electricity'!A1", "Constants - Electricity")</f>
        <v>Constants - Electricity</v>
      </c>
      <c r="D57" s="1" t="str">
        <v>Feed for dairy calves</v>
      </c>
      <c r="E57" s="85">
        <v>100</v>
      </c>
      <c r="F57" s="26" t="s">
        <v>629</v>
      </c>
    </row>
    <row r="58" spans="1:17" ht="20.100000000000001" customHeight="1" x14ac:dyDescent="0.25">
      <c r="A58" s="5" t="str">
        <f>HYPERLINK("#'Constants - Fertiliser'!A1", "Constants - Fertiliser")</f>
        <v>Constants - Fertiliser</v>
      </c>
      <c r="D58" s="1" t="str">
        <v>Feed for dairy cows</v>
      </c>
      <c r="E58" s="85">
        <v>100</v>
      </c>
      <c r="F58" s="26" t="s">
        <v>629</v>
      </c>
    </row>
    <row r="59" spans="1:17" ht="20.100000000000001" customHeight="1" x14ac:dyDescent="0.25">
      <c r="A59" s="5" t="str">
        <f>HYPERLINK("#'Constants - Fuel'!A1", "Constants - Fuel")</f>
        <v>Constants - Fuel</v>
      </c>
      <c r="D59" s="1" t="str">
        <v>Feed for pigs</v>
      </c>
      <c r="E59" s="85">
        <v>100</v>
      </c>
      <c r="F59" s="26" t="s">
        <v>629</v>
      </c>
    </row>
    <row r="60" spans="1:17" ht="20.100000000000001" customHeight="1" x14ac:dyDescent="0.25">
      <c r="A60" s="5" t="str">
        <f>HYPERLINK("#'Constants - Scope 3'!A1", "Constants - Scope 3")</f>
        <v>Constants - Scope 3</v>
      </c>
      <c r="D60" s="34"/>
      <c r="E60" s="34"/>
      <c r="F60" s="34"/>
    </row>
    <row r="61" spans="1:17" ht="20.100000000000001" customHeight="1" x14ac:dyDescent="0.25">
      <c r="A61" s="5" t="str">
        <f>HYPERLINK("#'Constants - Common'!A1", "Constants - Common")</f>
        <v>Constants - Common</v>
      </c>
      <c r="D61" s="261" t="s">
        <v>1065</v>
      </c>
      <c r="E61" s="34"/>
      <c r="F61" s="34"/>
    </row>
    <row r="62" spans="1:17" ht="20.100000000000001" customHeight="1" x14ac:dyDescent="0.25">
      <c r="A62" s="5" t="str">
        <f>HYPERLINK("#'Acknowledgements'!A1", "Acknowledgements")</f>
        <v>Acknowledgements</v>
      </c>
      <c r="D62" s="209" t="s">
        <v>1066</v>
      </c>
      <c r="E62" s="209" t="s">
        <v>1067</v>
      </c>
      <c r="F62" s="209" t="s">
        <v>582</v>
      </c>
      <c r="G62" s="209" t="s">
        <v>1068</v>
      </c>
      <c r="H62" s="209" t="s">
        <v>561</v>
      </c>
      <c r="I62" s="209" t="s">
        <v>1069</v>
      </c>
      <c r="J62" s="209" t="s">
        <v>1070</v>
      </c>
      <c r="K62" s="209" t="s">
        <v>563</v>
      </c>
      <c r="L62" s="209" t="s">
        <v>1071</v>
      </c>
      <c r="M62" s="209" t="s">
        <v>1072</v>
      </c>
      <c r="N62" s="209" t="s">
        <v>565</v>
      </c>
      <c r="O62" s="209" t="s">
        <v>1073</v>
      </c>
      <c r="P62" s="209" t="s">
        <v>1074</v>
      </c>
      <c r="Q62" s="209" t="s">
        <v>567</v>
      </c>
    </row>
    <row r="63" spans="1:17" ht="20.100000000000001" customHeight="1" x14ac:dyDescent="0.25">
      <c r="A63" s="5" t="str">
        <f>HYPERLINK("#'Constants - Solid Waste'!A1", "Constants - Solid Waste")</f>
        <v>Constants - Solid Waste</v>
      </c>
      <c r="D63" s="36"/>
      <c r="E63" s="272">
        <v>1200</v>
      </c>
      <c r="F63" s="23" t="s">
        <v>1075</v>
      </c>
      <c r="G63" s="23" t="s">
        <v>519</v>
      </c>
      <c r="H63" s="210">
        <v>0.35</v>
      </c>
      <c r="I63" s="23" t="s">
        <v>1076</v>
      </c>
      <c r="J63" s="23" t="s">
        <v>519</v>
      </c>
      <c r="K63" s="210">
        <v>0.22</v>
      </c>
      <c r="L63" s="23" t="s">
        <v>1077</v>
      </c>
      <c r="M63" s="23" t="s">
        <v>1078</v>
      </c>
      <c r="N63" s="210">
        <v>0.12</v>
      </c>
      <c r="O63" s="23" t="s">
        <v>1079</v>
      </c>
      <c r="P63" s="23" t="s">
        <v>518</v>
      </c>
      <c r="Q63" s="210">
        <v>0.05</v>
      </c>
    </row>
    <row r="64" spans="1:17" ht="20.100000000000001" customHeight="1" x14ac:dyDescent="0.25">
      <c r="A64"/>
      <c r="D64" s="36"/>
      <c r="E64" s="272">
        <v>3456</v>
      </c>
      <c r="F64" s="23" t="s">
        <v>1080</v>
      </c>
      <c r="G64" s="23" t="s">
        <v>522</v>
      </c>
      <c r="H64" s="210">
        <v>0.2</v>
      </c>
      <c r="I64" s="23" t="s">
        <v>1080</v>
      </c>
      <c r="J64" s="23" t="s">
        <v>516</v>
      </c>
      <c r="K64" s="210">
        <v>0.2</v>
      </c>
      <c r="L64" s="23"/>
      <c r="M64" s="23"/>
      <c r="N64" s="210"/>
      <c r="O64" s="23"/>
      <c r="P64" s="23"/>
      <c r="Q64" s="210"/>
    </row>
    <row r="65" spans="1:17" ht="20.100000000000001" customHeight="1" x14ac:dyDescent="0.25">
      <c r="A65"/>
      <c r="D65" s="36" t="s">
        <v>1081</v>
      </c>
      <c r="E65" s="272">
        <v>300</v>
      </c>
      <c r="F65" s="23" t="s">
        <v>1082</v>
      </c>
      <c r="G65" s="23" t="s">
        <v>521</v>
      </c>
      <c r="H65" s="210">
        <v>0.8</v>
      </c>
      <c r="I65" s="23" t="s">
        <v>1083</v>
      </c>
      <c r="J65" s="23" t="s">
        <v>1084</v>
      </c>
      <c r="K65" s="210">
        <v>0.2</v>
      </c>
      <c r="L65" s="23"/>
      <c r="M65" s="23"/>
      <c r="N65" s="210"/>
      <c r="O65" s="23"/>
      <c r="P65" s="23"/>
      <c r="Q65" s="210"/>
    </row>
    <row r="66" spans="1:17" ht="20.100000000000001" customHeight="1" x14ac:dyDescent="0.25">
      <c r="A66"/>
      <c r="D66" s="36"/>
      <c r="E66" s="272">
        <v>500</v>
      </c>
      <c r="F66" s="23" t="s">
        <v>1085</v>
      </c>
      <c r="G66" s="23" t="s">
        <v>521</v>
      </c>
      <c r="H66" s="210">
        <v>1</v>
      </c>
      <c r="I66" s="23"/>
      <c r="J66" s="23"/>
      <c r="K66" s="210"/>
      <c r="L66" s="23"/>
      <c r="M66" s="23"/>
      <c r="N66" s="210"/>
      <c r="O66" s="23"/>
      <c r="P66" s="23"/>
      <c r="Q66" s="210"/>
    </row>
    <row r="67" spans="1:17" ht="20.100000000000001" customHeight="1" x14ac:dyDescent="0.25">
      <c r="A67"/>
      <c r="D67" s="36"/>
      <c r="E67" s="272"/>
      <c r="F67" s="23"/>
      <c r="G67" s="23"/>
      <c r="H67" s="210"/>
      <c r="I67" s="23"/>
      <c r="J67" s="23"/>
      <c r="K67" s="210"/>
      <c r="L67" s="23"/>
      <c r="M67" s="23"/>
      <c r="N67" s="210"/>
      <c r="O67" s="23"/>
      <c r="P67" s="23"/>
      <c r="Q67" s="210"/>
    </row>
    <row r="68" spans="1:17" ht="20.100000000000001" customHeight="1" x14ac:dyDescent="0.25">
      <c r="A68"/>
      <c r="D68" s="36"/>
      <c r="E68" s="272"/>
      <c r="F68" s="23"/>
      <c r="G68" s="23"/>
      <c r="H68" s="210"/>
      <c r="I68" s="23"/>
      <c r="J68" s="23"/>
      <c r="K68" s="210"/>
      <c r="L68" s="23"/>
      <c r="M68" s="23"/>
      <c r="N68" s="210"/>
      <c r="O68" s="23"/>
      <c r="P68" s="23"/>
      <c r="Q68" s="210"/>
    </row>
    <row r="69" spans="1:17" ht="20.100000000000001" customHeight="1" x14ac:dyDescent="0.25">
      <c r="A69"/>
      <c r="D69" s="36"/>
      <c r="E69" s="272"/>
      <c r="F69" s="23"/>
      <c r="G69" s="23"/>
      <c r="H69" s="210"/>
      <c r="I69" s="23"/>
      <c r="J69" s="23"/>
      <c r="K69" s="210"/>
      <c r="L69" s="23"/>
      <c r="M69" s="23"/>
      <c r="N69" s="210"/>
      <c r="O69" s="23"/>
      <c r="P69" s="23"/>
      <c r="Q69" s="210"/>
    </row>
    <row r="70" spans="1:17" ht="20.100000000000001" customHeight="1" x14ac:dyDescent="0.25">
      <c r="A70"/>
      <c r="D70" s="36"/>
      <c r="E70" s="272"/>
      <c r="F70" s="23"/>
      <c r="G70" s="23"/>
      <c r="H70" s="210"/>
      <c r="I70" s="23"/>
      <c r="J70" s="23"/>
      <c r="K70" s="210"/>
      <c r="L70" s="23"/>
      <c r="M70" s="23"/>
      <c r="N70" s="210"/>
      <c r="O70" s="23"/>
      <c r="P70" s="23"/>
      <c r="Q70" s="210"/>
    </row>
    <row r="71" spans="1:17" ht="20.100000000000001" customHeight="1" x14ac:dyDescent="0.25">
      <c r="A71"/>
      <c r="D71" s="36"/>
      <c r="E71" s="272"/>
      <c r="F71" s="23"/>
      <c r="G71" s="23"/>
      <c r="H71" s="210"/>
      <c r="I71" s="23"/>
      <c r="J71" s="23"/>
      <c r="K71" s="210"/>
      <c r="L71" s="23"/>
      <c r="M71" s="23"/>
      <c r="N71" s="210"/>
      <c r="O71" s="23"/>
      <c r="P71" s="23"/>
      <c r="Q71" s="210"/>
    </row>
    <row r="72" spans="1:17" ht="20.100000000000001" customHeight="1" x14ac:dyDescent="0.25">
      <c r="A72"/>
      <c r="D72" s="36"/>
      <c r="E72" s="272"/>
      <c r="F72" s="23"/>
      <c r="G72" s="23"/>
      <c r="H72" s="210"/>
      <c r="I72" s="23"/>
      <c r="J72" s="23"/>
      <c r="K72" s="210"/>
      <c r="L72" s="23"/>
      <c r="M72" s="23"/>
      <c r="N72" s="210"/>
      <c r="O72" s="23"/>
      <c r="P72" s="23"/>
      <c r="Q72" s="210"/>
    </row>
    <row r="73" spans="1:17" ht="20.100000000000001" customHeight="1" x14ac:dyDescent="0.25">
      <c r="A73"/>
    </row>
    <row r="74" spans="1:17" ht="20.100000000000001" customHeight="1" x14ac:dyDescent="0.25">
      <c r="A74"/>
      <c r="K74" s="262"/>
    </row>
    <row r="75" spans="1:17" ht="20.100000000000001" customHeight="1" x14ac:dyDescent="0.25">
      <c r="A75"/>
      <c r="D75" s="2" t="s">
        <v>1086</v>
      </c>
    </row>
    <row r="76" spans="1:17" ht="20.100000000000001" customHeight="1" x14ac:dyDescent="0.25">
      <c r="A76"/>
      <c r="D76" s="35"/>
    </row>
    <row r="77" spans="1:17" ht="20.100000000000001" customHeight="1" x14ac:dyDescent="0.25">
      <c r="A77"/>
      <c r="D77" s="273" t="s">
        <v>1087</v>
      </c>
      <c r="E77" s="273" t="s">
        <v>1088</v>
      </c>
      <c r="F77" s="273" t="s">
        <v>1089</v>
      </c>
      <c r="G77" s="273" t="s">
        <v>789</v>
      </c>
    </row>
    <row r="78" spans="1:17" ht="20.100000000000001" customHeight="1" x14ac:dyDescent="0.25">
      <c r="A78"/>
      <c r="D78" s="43" t="s">
        <v>1090</v>
      </c>
      <c r="E78" s="43" t="s">
        <v>1091</v>
      </c>
      <c r="F78" s="85">
        <v>10000</v>
      </c>
      <c r="G78" s="23" t="s">
        <v>1092</v>
      </c>
    </row>
    <row r="79" spans="1:17" ht="20.100000000000001" customHeight="1" x14ac:dyDescent="0.25">
      <c r="A79"/>
      <c r="D79" s="43" t="s">
        <v>1093</v>
      </c>
      <c r="E79" s="43" t="s">
        <v>1094</v>
      </c>
      <c r="F79" s="85">
        <v>1000</v>
      </c>
      <c r="G79" s="23" t="s">
        <v>1095</v>
      </c>
    </row>
    <row r="80" spans="1:17" ht="20.100000000000001" customHeight="1" x14ac:dyDescent="0.25">
      <c r="A80"/>
      <c r="D80" s="43"/>
      <c r="E80" s="43"/>
      <c r="F80" s="85"/>
      <c r="G80" s="23"/>
    </row>
    <row r="81" spans="1:10" ht="20.100000000000001" customHeight="1" x14ac:dyDescent="0.25">
      <c r="A81"/>
      <c r="D81" s="43"/>
      <c r="E81" s="43"/>
      <c r="F81" s="85"/>
      <c r="G81" s="23"/>
    </row>
    <row r="82" spans="1:10" ht="20.100000000000001" customHeight="1" x14ac:dyDescent="0.25">
      <c r="A82"/>
      <c r="D82" s="43"/>
      <c r="E82" s="43"/>
      <c r="F82" s="85"/>
      <c r="G82" s="23"/>
    </row>
    <row r="83" spans="1:10" ht="20.100000000000001" customHeight="1" x14ac:dyDescent="0.25">
      <c r="A83"/>
      <c r="D83" s="43"/>
      <c r="E83" s="43"/>
      <c r="F83" s="85"/>
      <c r="G83" s="23"/>
    </row>
    <row r="84" spans="1:10" ht="20.100000000000001" customHeight="1" x14ac:dyDescent="0.25">
      <c r="A84"/>
      <c r="D84" s="43"/>
      <c r="E84" s="43"/>
      <c r="F84" s="85"/>
      <c r="G84" s="23"/>
    </row>
    <row r="85" spans="1:10" ht="20.100000000000001" customHeight="1" x14ac:dyDescent="0.25">
      <c r="A85"/>
      <c r="D85" s="43"/>
      <c r="E85" s="43"/>
      <c r="F85" s="85"/>
      <c r="G85" s="23"/>
    </row>
    <row r="86" spans="1:10" ht="20.100000000000001" customHeight="1" x14ac:dyDescent="0.25">
      <c r="A86"/>
      <c r="D86" s="43"/>
      <c r="E86" s="43"/>
      <c r="F86" s="85"/>
      <c r="G86" s="23"/>
    </row>
    <row r="87" spans="1:10" ht="20.100000000000001" customHeight="1" x14ac:dyDescent="0.25">
      <c r="A87"/>
      <c r="D87" s="43"/>
      <c r="E87" s="43"/>
      <c r="F87" s="85"/>
      <c r="G87" s="23"/>
    </row>
    <row r="88" spans="1:10" ht="20.100000000000001" customHeight="1" x14ac:dyDescent="0.25">
      <c r="A88"/>
    </row>
    <row r="89" spans="1:10" ht="20.100000000000001" customHeight="1" x14ac:dyDescent="0.25">
      <c r="A89"/>
    </row>
    <row r="90" spans="1:10" ht="20.100000000000001" customHeight="1" x14ac:dyDescent="0.25">
      <c r="A90"/>
      <c r="D90" s="2" t="s">
        <v>1096</v>
      </c>
    </row>
    <row r="91" spans="1:10" ht="20.100000000000001" customHeight="1" x14ac:dyDescent="0.25">
      <c r="A91"/>
    </row>
    <row r="92" spans="1:10" ht="20.100000000000001" customHeight="1" x14ac:dyDescent="0.25">
      <c r="A92"/>
      <c r="D92" s="179" t="s">
        <v>1097</v>
      </c>
      <c r="E92" s="179" t="s">
        <v>1098</v>
      </c>
      <c r="F92" s="179" t="s">
        <v>1099</v>
      </c>
      <c r="G92" s="179" t="s">
        <v>1100</v>
      </c>
      <c r="H92" s="179" t="s">
        <v>1101</v>
      </c>
      <c r="J92" s="34"/>
    </row>
    <row r="93" spans="1:10" ht="20.100000000000001" customHeight="1" x14ac:dyDescent="0.25">
      <c r="A93"/>
      <c r="D93" s="95" t="s">
        <v>1102</v>
      </c>
      <c r="E93" s="85">
        <v>100000</v>
      </c>
      <c r="F93" s="23" t="s">
        <v>1103</v>
      </c>
      <c r="G93" s="85">
        <v>0.02</v>
      </c>
      <c r="H93" s="25">
        <f>Table_Input_Packaging[[#This Row],[Quantity purchased]]*Table_Input_Packaging[[#This Row],[Weight per unit (kg)]]</f>
        <v>2000</v>
      </c>
      <c r="J93" s="34"/>
    </row>
    <row r="94" spans="1:10" ht="20.100000000000001" customHeight="1" x14ac:dyDescent="0.25">
      <c r="A94"/>
      <c r="D94" s="95"/>
      <c r="E94" s="274"/>
      <c r="F94" s="23"/>
      <c r="G94" s="85"/>
      <c r="H94" s="25">
        <f>Table_Input_Packaging[[#This Row],[Quantity purchased]]*Table_Input_Packaging[[#This Row],[Weight per unit (kg)]]</f>
        <v>0</v>
      </c>
      <c r="J94" s="34"/>
    </row>
    <row r="95" spans="1:10" ht="20.100000000000001" customHeight="1" x14ac:dyDescent="0.25">
      <c r="A95"/>
      <c r="D95" s="95"/>
      <c r="E95" s="274"/>
      <c r="F95" s="23"/>
      <c r="G95" s="85"/>
      <c r="H95" s="25">
        <f>Table_Input_Packaging[[#This Row],[Quantity purchased]]*Table_Input_Packaging[[#This Row],[Weight per unit (kg)]]</f>
        <v>0</v>
      </c>
      <c r="J95" s="34"/>
    </row>
    <row r="96" spans="1:10" ht="20.100000000000001" customHeight="1" x14ac:dyDescent="0.25">
      <c r="A96"/>
      <c r="D96" s="95"/>
      <c r="E96" s="274"/>
      <c r="F96" s="23"/>
      <c r="G96" s="85"/>
      <c r="H96" s="25">
        <f>Table_Input_Packaging[[#This Row],[Quantity purchased]]*Table_Input_Packaging[[#This Row],[Weight per unit (kg)]]</f>
        <v>0</v>
      </c>
      <c r="J96" s="34"/>
    </row>
    <row r="97" spans="1:10" ht="20.100000000000001" customHeight="1" x14ac:dyDescent="0.25">
      <c r="A97"/>
      <c r="D97" s="95"/>
      <c r="E97" s="274"/>
      <c r="F97" s="23"/>
      <c r="G97" s="85"/>
      <c r="H97" s="25">
        <f>Table_Input_Packaging[[#This Row],[Quantity purchased]]*Table_Input_Packaging[[#This Row],[Weight per unit (kg)]]</f>
        <v>0</v>
      </c>
      <c r="J97" s="2"/>
    </row>
    <row r="98" spans="1:10" ht="20.100000000000001" customHeight="1" x14ac:dyDescent="0.25">
      <c r="A98"/>
      <c r="D98" s="95"/>
      <c r="E98" s="274"/>
      <c r="F98" s="23"/>
      <c r="G98" s="85"/>
      <c r="H98" s="25">
        <f>Table_Input_Packaging[[#This Row],[Quantity purchased]]*Table_Input_Packaging[[#This Row],[Weight per unit (kg)]]</f>
        <v>0</v>
      </c>
      <c r="J98" s="1"/>
    </row>
    <row r="99" spans="1:10" ht="20.100000000000001" customHeight="1" x14ac:dyDescent="0.25">
      <c r="A99"/>
      <c r="D99" s="95"/>
      <c r="E99" s="274"/>
      <c r="F99" s="23"/>
      <c r="G99" s="85"/>
      <c r="H99" s="25">
        <f>Table_Input_Packaging[[#This Row],[Quantity purchased]]*Table_Input_Packaging[[#This Row],[Weight per unit (kg)]]</f>
        <v>0</v>
      </c>
      <c r="J99" s="1"/>
    </row>
    <row r="100" spans="1:10" ht="20.100000000000001" customHeight="1" x14ac:dyDescent="0.25">
      <c r="A100"/>
      <c r="D100" s="95"/>
      <c r="E100" s="274"/>
      <c r="F100" s="23"/>
      <c r="G100" s="85"/>
      <c r="H100" s="25">
        <f>Table_Input_Packaging[[#This Row],[Quantity purchased]]*Table_Input_Packaging[[#This Row],[Weight per unit (kg)]]</f>
        <v>0</v>
      </c>
      <c r="J100" s="1"/>
    </row>
    <row r="101" spans="1:10" ht="20.100000000000001" customHeight="1" x14ac:dyDescent="0.25">
      <c r="A101"/>
      <c r="D101" s="95"/>
      <c r="E101" s="274"/>
      <c r="F101" s="23"/>
      <c r="G101" s="85"/>
      <c r="H101" s="25">
        <f>Table_Input_Packaging[[#This Row],[Quantity purchased]]*Table_Input_Packaging[[#This Row],[Weight per unit (kg)]]</f>
        <v>0</v>
      </c>
      <c r="J101" s="1"/>
    </row>
    <row r="102" spans="1:10" ht="20.100000000000001" customHeight="1" x14ac:dyDescent="0.25">
      <c r="A102"/>
      <c r="D102" s="95"/>
      <c r="E102" s="274"/>
      <c r="F102" s="23"/>
      <c r="G102" s="85"/>
      <c r="H102" s="25">
        <f>Table_Input_Packaging[[#This Row],[Quantity purchased]]*Table_Input_Packaging[[#This Row],[Weight per unit (kg)]]</f>
        <v>0</v>
      </c>
      <c r="J102" s="1"/>
    </row>
    <row r="103" spans="1:10" ht="20.100000000000001" customHeight="1" x14ac:dyDescent="0.25">
      <c r="A103"/>
    </row>
    <row r="104" spans="1:10" ht="20.100000000000001" customHeight="1" x14ac:dyDescent="0.25">
      <c r="A104"/>
    </row>
    <row r="105" spans="1:10" ht="20.100000000000001" customHeight="1" x14ac:dyDescent="0.25">
      <c r="A105"/>
      <c r="D105" s="2" t="s">
        <v>1104</v>
      </c>
    </row>
    <row r="106" spans="1:10" ht="20.100000000000001" customHeight="1" x14ac:dyDescent="0.25">
      <c r="A106"/>
      <c r="D106" s="35"/>
    </row>
    <row r="107" spans="1:10" ht="20.100000000000001" customHeight="1" x14ac:dyDescent="0.25">
      <c r="A107"/>
      <c r="D107" s="273" t="s">
        <v>1105</v>
      </c>
      <c r="E107" s="273" t="s">
        <v>1089</v>
      </c>
      <c r="F107" s="273" t="s">
        <v>789</v>
      </c>
      <c r="J107" s="1"/>
    </row>
    <row r="108" spans="1:10" ht="20.100000000000001" customHeight="1" x14ac:dyDescent="0.25">
      <c r="A108"/>
      <c r="D108" s="43" t="s">
        <v>1106</v>
      </c>
      <c r="E108" s="85">
        <v>10000</v>
      </c>
      <c r="F108" s="23" t="s">
        <v>629</v>
      </c>
      <c r="J108" s="1"/>
    </row>
    <row r="109" spans="1:10" ht="20.100000000000001" customHeight="1" x14ac:dyDescent="0.25">
      <c r="A109"/>
      <c r="D109" s="43" t="s">
        <v>1107</v>
      </c>
      <c r="E109" s="85">
        <v>100</v>
      </c>
      <c r="F109" s="23" t="s">
        <v>1108</v>
      </c>
      <c r="J109" s="1"/>
    </row>
    <row r="110" spans="1:10" ht="20.100000000000001" customHeight="1" x14ac:dyDescent="0.25">
      <c r="A110"/>
      <c r="D110" s="43" t="s">
        <v>1109</v>
      </c>
      <c r="E110" s="85">
        <v>10000</v>
      </c>
      <c r="F110" s="23" t="s">
        <v>629</v>
      </c>
      <c r="J110" s="1"/>
    </row>
    <row r="111" spans="1:10" ht="20.100000000000001" customHeight="1" x14ac:dyDescent="0.25">
      <c r="A111"/>
      <c r="D111" s="43"/>
      <c r="E111" s="85"/>
      <c r="F111" s="23"/>
      <c r="J111" s="1"/>
    </row>
    <row r="112" spans="1:10" ht="20.100000000000001" customHeight="1" x14ac:dyDescent="0.25">
      <c r="A112"/>
      <c r="D112" s="43"/>
      <c r="E112" s="85"/>
      <c r="F112" s="23"/>
      <c r="J112" s="1"/>
    </row>
    <row r="113" spans="1:16" ht="20.100000000000001" customHeight="1" x14ac:dyDescent="0.25">
      <c r="A113"/>
      <c r="D113" s="43"/>
      <c r="E113" s="85"/>
      <c r="F113" s="23"/>
      <c r="J113" s="1"/>
      <c r="L113" s="34"/>
      <c r="M113" s="34"/>
      <c r="N113" s="34"/>
      <c r="O113" s="34"/>
      <c r="P113" s="34"/>
    </row>
    <row r="114" spans="1:16" ht="20.100000000000001" customHeight="1" x14ac:dyDescent="0.25">
      <c r="A114"/>
      <c r="D114" s="43"/>
      <c r="E114" s="85"/>
      <c r="F114" s="23"/>
      <c r="J114" s="1"/>
      <c r="L114" s="34"/>
      <c r="M114" s="34"/>
      <c r="N114" s="34"/>
      <c r="O114" s="34"/>
      <c r="P114" s="34"/>
    </row>
    <row r="115" spans="1:16" ht="20.100000000000001" customHeight="1" x14ac:dyDescent="0.25">
      <c r="A115"/>
      <c r="D115" s="43"/>
      <c r="E115" s="85"/>
      <c r="F115" s="23"/>
      <c r="J115" s="1"/>
      <c r="L115" s="34"/>
      <c r="M115" s="34"/>
      <c r="N115" s="34"/>
      <c r="O115" s="34"/>
      <c r="P115" s="34"/>
    </row>
    <row r="116" spans="1:16" ht="20.100000000000001" customHeight="1" x14ac:dyDescent="0.25">
      <c r="A116"/>
      <c r="D116" s="43"/>
      <c r="E116" s="85"/>
      <c r="F116" s="23"/>
      <c r="I116" s="34"/>
      <c r="J116" s="1"/>
      <c r="N116" s="34"/>
      <c r="O116" s="34"/>
      <c r="P116" s="34"/>
    </row>
    <row r="117" spans="1:16" ht="20.100000000000001" customHeight="1" x14ac:dyDescent="0.25">
      <c r="A117"/>
      <c r="D117" s="43"/>
      <c r="E117" s="85"/>
      <c r="F117" s="23"/>
      <c r="I117" s="34"/>
      <c r="J117" s="1"/>
      <c r="N117" s="34"/>
      <c r="O117" s="34"/>
      <c r="P117" s="34"/>
    </row>
    <row r="118" spans="1:16" ht="20.100000000000001" customHeight="1" x14ac:dyDescent="0.25">
      <c r="A118"/>
      <c r="J118" s="34"/>
      <c r="N118" s="2"/>
      <c r="O118" s="2"/>
      <c r="P118" s="34"/>
    </row>
    <row r="119" spans="1:16" ht="20.100000000000001" customHeight="1" x14ac:dyDescent="0.25">
      <c r="A119"/>
      <c r="J119" s="34"/>
      <c r="P119" s="264"/>
    </row>
    <row r="120" spans="1:16" ht="20.100000000000001" customHeight="1" x14ac:dyDescent="0.25">
      <c r="A120"/>
      <c r="D120" s="2" t="s">
        <v>1110</v>
      </c>
      <c r="J120" s="34"/>
      <c r="P120" s="264"/>
    </row>
    <row r="121" spans="1:16" ht="20.100000000000001" customHeight="1" x14ac:dyDescent="0.25">
      <c r="A121"/>
      <c r="D121" s="1" t="str">
        <f>'Constants - Scope 3'!E204</f>
        <v>Barley grain (for seed)</v>
      </c>
      <c r="E121" s="85">
        <v>500</v>
      </c>
      <c r="F121" s="26" t="s">
        <v>629</v>
      </c>
      <c r="J121" s="2"/>
      <c r="P121" s="264"/>
    </row>
    <row r="122" spans="1:16" ht="20.100000000000001" customHeight="1" x14ac:dyDescent="0.25">
      <c r="A122"/>
      <c r="D122" s="1" t="str">
        <f>'Constants - Scope 3'!E205</f>
        <v>Maize grain (for seed)</v>
      </c>
      <c r="E122" s="85">
        <v>600</v>
      </c>
      <c r="F122" s="26" t="s">
        <v>629</v>
      </c>
      <c r="G122" s="34"/>
      <c r="H122" s="1"/>
      <c r="J122" s="1"/>
      <c r="P122" s="264"/>
    </row>
    <row r="123" spans="1:16" ht="20.100000000000001" customHeight="1" x14ac:dyDescent="0.25">
      <c r="A123"/>
      <c r="D123" s="1" t="str">
        <f>'Constants - Scope 3'!E207</f>
        <v>Oat grain (for seed)</v>
      </c>
      <c r="E123" s="85">
        <v>700</v>
      </c>
      <c r="F123" s="26" t="s">
        <v>629</v>
      </c>
      <c r="G123" s="34"/>
      <c r="H123" s="1"/>
      <c r="J123" s="1"/>
      <c r="P123" s="264"/>
    </row>
    <row r="124" spans="1:16" ht="20.100000000000001" customHeight="1" x14ac:dyDescent="0.25">
      <c r="A124"/>
      <c r="D124" s="1" t="str">
        <f>'Constants - Scope 3'!E208</f>
        <v>Sorghum grain (for seed)</v>
      </c>
      <c r="E124" s="85">
        <v>800</v>
      </c>
      <c r="F124" s="26" t="s">
        <v>629</v>
      </c>
      <c r="G124" s="34"/>
      <c r="H124" s="34"/>
      <c r="J124" s="1"/>
      <c r="N124" s="34"/>
      <c r="O124" s="34"/>
      <c r="P124" s="34"/>
    </row>
    <row r="125" spans="1:16" ht="20.100000000000001" customHeight="1" x14ac:dyDescent="0.25">
      <c r="A125"/>
      <c r="D125" s="1" t="str">
        <f>'Constants - Scope 3'!E209</f>
        <v>Wheat grain (for seed)</v>
      </c>
      <c r="E125" s="85">
        <v>900</v>
      </c>
      <c r="F125" s="26" t="s">
        <v>629</v>
      </c>
      <c r="G125" s="34"/>
      <c r="H125" s="34"/>
      <c r="I125" s="34"/>
      <c r="J125" s="1"/>
      <c r="N125" s="34"/>
      <c r="O125" s="34"/>
      <c r="P125" s="34"/>
    </row>
    <row r="126" spans="1:16" ht="20.100000000000001" customHeight="1" x14ac:dyDescent="0.25">
      <c r="A126"/>
      <c r="G126" s="34"/>
      <c r="I126" s="34"/>
      <c r="J126" s="1"/>
    </row>
    <row r="127" spans="1:16" ht="20.100000000000001" customHeight="1" x14ac:dyDescent="0.25">
      <c r="A127"/>
      <c r="D127" s="2" t="s">
        <v>1111</v>
      </c>
      <c r="G127" s="1"/>
      <c r="I127" s="34"/>
      <c r="J127" s="34"/>
    </row>
    <row r="128" spans="1:16" ht="20.100000000000001" customHeight="1" x14ac:dyDescent="0.25">
      <c r="A128"/>
      <c r="D128" s="1" t="str">
        <f>'Constants - Scope 3'!E202</f>
        <v>Animal ear tags (large)</v>
      </c>
      <c r="E128" s="85">
        <v>100</v>
      </c>
      <c r="F128" s="26" t="s">
        <v>1112</v>
      </c>
      <c r="G128" s="1"/>
      <c r="I128" s="34"/>
      <c r="J128" s="34"/>
    </row>
    <row r="129" spans="1:13" ht="20.100000000000001" customHeight="1" x14ac:dyDescent="0.25">
      <c r="A129"/>
      <c r="D129" s="1" t="str">
        <f>'Constants - Scope 3'!E203</f>
        <v>Animal ear tags (small)</v>
      </c>
      <c r="E129" s="85">
        <v>200</v>
      </c>
      <c r="F129" s="26" t="s">
        <v>1112</v>
      </c>
      <c r="G129" s="1"/>
      <c r="I129" s="34"/>
      <c r="L129" s="34"/>
      <c r="M129" s="34"/>
    </row>
    <row r="130" spans="1:13" ht="20.100000000000001" customHeight="1" x14ac:dyDescent="0.25">
      <c r="A130"/>
      <c r="D130" s="1" t="str">
        <f>'Constants - Scope 3'!E206</f>
        <v>Nylon netting</v>
      </c>
      <c r="E130" s="85">
        <v>300</v>
      </c>
      <c r="F130" s="26" t="s">
        <v>629</v>
      </c>
      <c r="G130" s="1"/>
      <c r="I130" s="34"/>
      <c r="L130" s="34"/>
      <c r="M130" s="34"/>
    </row>
    <row r="131" spans="1:13" ht="20.100000000000001" customHeight="1" x14ac:dyDescent="0.25">
      <c r="A131"/>
      <c r="G131" s="1"/>
      <c r="I131" s="1"/>
      <c r="L131" s="2"/>
      <c r="M131" s="2"/>
    </row>
    <row r="132" spans="1:13" ht="20.100000000000001" customHeight="1" x14ac:dyDescent="0.25">
      <c r="A132"/>
      <c r="G132" s="34"/>
      <c r="I132" s="1"/>
    </row>
    <row r="133" spans="1:13" ht="20.100000000000001" customHeight="1" x14ac:dyDescent="0.25">
      <c r="A133"/>
      <c r="D133" s="2" t="s">
        <v>1113</v>
      </c>
      <c r="G133" s="34"/>
      <c r="I133" s="1"/>
    </row>
    <row r="134" spans="1:13" ht="20.100000000000001" customHeight="1" x14ac:dyDescent="0.25">
      <c r="A134"/>
      <c r="D134" s="35"/>
      <c r="I134" s="1"/>
    </row>
    <row r="135" spans="1:13" ht="20.100000000000001" customHeight="1" x14ac:dyDescent="0.25">
      <c r="A135"/>
      <c r="D135" s="94" t="s">
        <v>1114</v>
      </c>
      <c r="E135" s="94" t="s">
        <v>881</v>
      </c>
      <c r="F135" s="94" t="s">
        <v>789</v>
      </c>
      <c r="I135" s="1"/>
    </row>
    <row r="136" spans="1:13" ht="20.100000000000001" customHeight="1" x14ac:dyDescent="0.25">
      <c r="A136"/>
      <c r="D136" s="43" t="s">
        <v>1115</v>
      </c>
      <c r="E136" s="85">
        <v>1000</v>
      </c>
      <c r="F136" s="43" t="s">
        <v>629</v>
      </c>
      <c r="I136" s="34"/>
    </row>
    <row r="137" spans="1:13" ht="20.100000000000001" customHeight="1" x14ac:dyDescent="0.25">
      <c r="A137"/>
      <c r="D137" s="43"/>
      <c r="E137" s="85"/>
      <c r="F137" s="43"/>
      <c r="I137" s="34"/>
      <c r="L137" s="34"/>
      <c r="M137" s="34"/>
    </row>
    <row r="138" spans="1:13" ht="20.100000000000001" customHeight="1" x14ac:dyDescent="0.25">
      <c r="A138"/>
      <c r="D138" s="43"/>
      <c r="E138" s="85"/>
      <c r="F138" s="43"/>
      <c r="L138" s="34"/>
      <c r="M138" s="34"/>
    </row>
    <row r="139" spans="1:13" ht="20.100000000000001" customHeight="1" x14ac:dyDescent="0.25">
      <c r="A139"/>
      <c r="D139" s="43"/>
      <c r="E139" s="85"/>
      <c r="F139" s="43"/>
    </row>
    <row r="140" spans="1:13" ht="20.100000000000001" customHeight="1" x14ac:dyDescent="0.25">
      <c r="A140"/>
      <c r="D140" s="43"/>
      <c r="E140" s="85"/>
      <c r="F140" s="43"/>
    </row>
    <row r="141" spans="1:13" ht="20.100000000000001" customHeight="1" x14ac:dyDescent="0.25">
      <c r="A141"/>
      <c r="D141" s="43"/>
      <c r="E141" s="85"/>
      <c r="F141" s="43"/>
    </row>
    <row r="142" spans="1:13" ht="20.100000000000001" customHeight="1" x14ac:dyDescent="0.25">
      <c r="A142"/>
      <c r="D142" s="43"/>
      <c r="E142" s="85"/>
      <c r="F142" s="43"/>
    </row>
    <row r="143" spans="1:13" ht="20.100000000000001" customHeight="1" x14ac:dyDescent="0.25">
      <c r="A143"/>
      <c r="D143" s="43"/>
      <c r="E143" s="85"/>
      <c r="F143" s="43"/>
    </row>
    <row r="144" spans="1:13" ht="20.100000000000001" customHeight="1" x14ac:dyDescent="0.25">
      <c r="A144"/>
      <c r="D144" s="43"/>
      <c r="E144" s="85"/>
      <c r="F144" s="43"/>
    </row>
    <row r="145" spans="1:6" ht="20.100000000000001" customHeight="1" x14ac:dyDescent="0.25">
      <c r="A145"/>
      <c r="D145" s="43"/>
      <c r="E145" s="85"/>
      <c r="F145" s="43"/>
    </row>
    <row r="146" spans="1:6" ht="20.100000000000001" customHeight="1" x14ac:dyDescent="0.25">
      <c r="A146"/>
    </row>
    <row r="147" spans="1:6" ht="20.100000000000001" customHeight="1" x14ac:dyDescent="0.25">
      <c r="A147"/>
    </row>
    <row r="148" spans="1:6" ht="20.100000000000001" customHeight="1" x14ac:dyDescent="0.25">
      <c r="A148"/>
    </row>
    <row r="149" spans="1:6" ht="20.100000000000001" customHeight="1" x14ac:dyDescent="0.25">
      <c r="A149"/>
    </row>
    <row r="150" spans="1:6" ht="20.100000000000001" customHeight="1" x14ac:dyDescent="0.25">
      <c r="A150"/>
    </row>
    <row r="151" spans="1:6" ht="20.100000000000001" customHeight="1" x14ac:dyDescent="0.25">
      <c r="A151"/>
    </row>
    <row r="152" spans="1:6" ht="20.100000000000001" customHeight="1" x14ac:dyDescent="0.25">
      <c r="A152"/>
    </row>
    <row r="153" spans="1:6" ht="20.100000000000001" customHeight="1" x14ac:dyDescent="0.25">
      <c r="A153"/>
    </row>
    <row r="154" spans="1:6" ht="20.100000000000001" customHeight="1" x14ac:dyDescent="0.25">
      <c r="A154"/>
    </row>
    <row r="155" spans="1:6" ht="20.100000000000001" customHeight="1" x14ac:dyDescent="0.25">
      <c r="A155"/>
    </row>
    <row r="156" spans="1:6" ht="20.100000000000001" customHeight="1" x14ac:dyDescent="0.25">
      <c r="A156"/>
    </row>
    <row r="157" spans="1:6" ht="20.100000000000001" customHeight="1" x14ac:dyDescent="0.25">
      <c r="A157"/>
    </row>
    <row r="158" spans="1:6" ht="20.100000000000001" customHeight="1" x14ac:dyDescent="0.25">
      <c r="A158"/>
    </row>
    <row r="159" spans="1:6" ht="20.100000000000001" customHeight="1" x14ac:dyDescent="0.25">
      <c r="A159"/>
    </row>
    <row r="160" spans="1:6"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96"/>
    </row>
    <row r="166" spans="11:19" ht="20.100000000000001" customHeight="1" x14ac:dyDescent="0.25">
      <c r="S166" s="96"/>
    </row>
    <row r="167" spans="11:19" ht="20.100000000000001" customHeight="1" x14ac:dyDescent="0.25">
      <c r="S167" s="96"/>
    </row>
    <row r="168" spans="11:19" ht="20.100000000000001" customHeight="1" x14ac:dyDescent="0.25">
      <c r="S168" s="96"/>
    </row>
    <row r="169" spans="11:19" ht="20.100000000000001" customHeight="1" x14ac:dyDescent="0.25">
      <c r="S169" s="96"/>
    </row>
    <row r="170" spans="11:19" ht="20.100000000000001" customHeight="1" x14ac:dyDescent="0.25">
      <c r="S170" s="96"/>
    </row>
    <row r="171" spans="11:19" ht="20.100000000000001" customHeight="1" x14ac:dyDescent="0.25">
      <c r="S171" s="96"/>
    </row>
    <row r="172" spans="11:19" ht="20.100000000000001" customHeight="1" x14ac:dyDescent="0.25">
      <c r="S172" s="96"/>
    </row>
    <row r="173" spans="11:19" ht="20.100000000000001" customHeight="1" x14ac:dyDescent="0.25">
      <c r="S173" s="96"/>
    </row>
    <row r="174" spans="11:19" ht="20.100000000000001" customHeight="1" x14ac:dyDescent="0.25">
      <c r="S174" s="96"/>
    </row>
    <row r="175" spans="11:19" ht="20.100000000000001" customHeight="1" x14ac:dyDescent="0.25">
      <c r="S175" s="96"/>
    </row>
    <row r="176" spans="11:19" ht="20.100000000000001" customHeight="1" x14ac:dyDescent="0.25">
      <c r="K176" s="34"/>
    </row>
    <row r="177" spans="11:19" ht="20.100000000000001" customHeight="1" x14ac:dyDescent="0.25">
      <c r="K177" s="34"/>
    </row>
    <row r="178" spans="11:19" ht="20.100000000000001" customHeight="1" x14ac:dyDescent="0.25"/>
    <row r="179" spans="11:19" ht="20.100000000000001" customHeight="1" x14ac:dyDescent="0.25"/>
    <row r="180" spans="11:19" ht="20.100000000000001" customHeight="1" x14ac:dyDescent="0.25">
      <c r="S180" s="96"/>
    </row>
    <row r="181" spans="11:19" ht="20.100000000000001" customHeight="1" x14ac:dyDescent="0.25">
      <c r="S181" s="96"/>
    </row>
    <row r="182" spans="11:19" ht="20.100000000000001" customHeight="1" x14ac:dyDescent="0.25">
      <c r="S182" s="96"/>
    </row>
    <row r="183" spans="11:19" ht="20.100000000000001" customHeight="1" x14ac:dyDescent="0.25">
      <c r="S183" s="96"/>
    </row>
    <row r="184" spans="11:19" ht="20.100000000000001" customHeight="1" x14ac:dyDescent="0.25">
      <c r="S184" s="96"/>
    </row>
    <row r="185" spans="11:19" ht="20.100000000000001" customHeight="1" x14ac:dyDescent="0.25">
      <c r="S185" s="96"/>
    </row>
    <row r="186" spans="11:19" ht="20.100000000000001" customHeight="1" x14ac:dyDescent="0.25">
      <c r="S186" s="96"/>
    </row>
    <row r="187" spans="11:19" ht="20.100000000000001" customHeight="1" x14ac:dyDescent="0.25">
      <c r="S187" s="96"/>
    </row>
    <row r="188" spans="11:19" ht="20.100000000000001" customHeight="1" x14ac:dyDescent="0.25">
      <c r="S188" s="96"/>
    </row>
    <row r="189" spans="11:19" ht="20.100000000000001" customHeight="1" x14ac:dyDescent="0.25">
      <c r="S189" s="96"/>
    </row>
    <row r="190" spans="11:19" ht="20.100000000000001" customHeight="1" x14ac:dyDescent="0.25">
      <c r="S190" s="96"/>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dataValidations count="11">
    <dataValidation type="list" allowBlank="1" showInputMessage="1" showErrorMessage="1" sqref="F108:F117" xr:uid="{AE658573-0C7A-45EB-ABAD-1B0DAE83A026}">
      <formula1>"kg, m3"</formula1>
    </dataValidation>
    <dataValidation type="list" allowBlank="1" showInputMessage="1" showErrorMessage="1" sqref="N122:N123 H122:H123 J125:J126 L135:L136" xr:uid="{DE8410D4-575C-4CC3-AC6B-60DE348076CC}">
      <formula1>INDIRECT("Table_Scope3_AquacultureFeedBait[Feed / Bait ingredient]")</formula1>
    </dataValidation>
    <dataValidation type="list" allowBlank="1" showInputMessage="1" showErrorMessage="1" sqref="F63:F72 I63:I72 L63:L72 O63:O72" xr:uid="{245D8777-25F9-4062-863E-98B0F3B65AAB}">
      <formula1>INDIRECT(_xlfn.UNIQUE("Table_SourceData_Scope3_Feed[Product]"))</formula1>
    </dataValidation>
    <dataValidation type="list" allowBlank="1" showInputMessage="1" showErrorMessage="1" sqref="M63:M72 P63:P72 J63:J72 G63:G72" xr:uid="{3A0EB958-3054-4157-8AEA-55D2718B987D}">
      <formula1>INDIRECT("Table_ProductRegions_" &amp; SUBSTITUTE(SUBSTITUTE(SUBSTITUTE(SUBSTITUTE(F63, " ", ""), ",", ""), "(", ""), ")", "") &amp; "[Region]")</formula1>
    </dataValidation>
    <dataValidation type="list" allowBlank="1" showInputMessage="1" showErrorMessage="1" sqref="G78:G87" xr:uid="{F1C5B050-BEBD-4A69-A206-AD254C7B198B}">
      <formula1>"Hour, Hectare"</formula1>
    </dataValidation>
    <dataValidation type="list" allowBlank="1" showInputMessage="1" showErrorMessage="1" sqref="E37:E46" xr:uid="{2C3091BB-DFF2-4EDB-BF6D-7FF3FDB03701}">
      <formula1>INDIRECT("Table_SourceData_Scope3_ChemicalsPharmacy[Product]")</formula1>
    </dataValidation>
    <dataValidation type="list" allowBlank="1" showInputMessage="1" showErrorMessage="1" sqref="F11:F20" xr:uid="{6CCCDE17-EAE5-4B6E-8D30-984B7086DD89}">
      <formula1>"kg / hectare, litre / hectare"</formula1>
    </dataValidation>
    <dataValidation type="list" allowBlank="1" showInputMessage="1" showErrorMessage="1" sqref="I11:I20" xr:uid="{3A36003A-C4E0-4B87-9A5C-9A3126B58C7E}">
      <formula1>"grams/litre or grams/kg, fraction of product"</formula1>
    </dataValidation>
    <dataValidation type="list" allowBlank="1" showInputMessage="1" showErrorMessage="1" sqref="J11:J20 M11:M20 P11:P20" xr:uid="{DC3AB798-1256-45C0-8E7E-7ADD2F3A3167}">
      <formula1>INDIRECT("Table_SourceData_Scope3_Pesticides[Product]")</formula1>
    </dataValidation>
    <dataValidation type="list" allowBlank="1" showInputMessage="1" showErrorMessage="1" sqref="F93:F102" xr:uid="{48BACE96-D3E2-4CD5-84B4-C3EDE4C9BFDD}">
      <formula1>INDIRECT("Table_SourceData_Scope3_Packaging[Product]")</formula1>
    </dataValidation>
    <dataValidation type="list" allowBlank="1" showInputMessage="1" showErrorMessage="1" sqref="E24:E33" xr:uid="{356505DF-77AB-4E6E-9CC4-13D7943762D1}">
      <formula1>INDIRECT("Table_SourceData_Scope3_ChemicalsCleaning[Product]")</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13373-9D58-47D5-B331-8E9A0BCEE90A}">
  <sheetPr>
    <tabColor theme="5" tint="-0.249977111117893"/>
  </sheetPr>
  <dimension ref="A1:J160"/>
  <sheetViews>
    <sheetView showGridLines="0" zoomScaleNormal="100" workbookViewId="0">
      <selection activeCell="A63" sqref="A63"/>
    </sheetView>
  </sheetViews>
  <sheetFormatPr defaultRowHeight="15.75" x14ac:dyDescent="0.25"/>
  <cols>
    <col min="1" max="1" width="35" style="260" customWidth="1"/>
    <col min="2" max="2" width="5.28515625" style="260" customWidth="1"/>
    <col min="3" max="3" width="5.28515625" style="1" customWidth="1"/>
    <col min="4" max="4" width="46.5703125" style="1" customWidth="1"/>
    <col min="5" max="9" width="35" style="1" customWidth="1"/>
    <col min="10" max="10" width="5.28515625" style="1" customWidth="1"/>
    <col min="11" max="16384" width="9.140625" style="260"/>
  </cols>
  <sheetData>
    <row r="1" spans="1:10" s="16" customFormat="1" ht="30" customHeight="1" x14ac:dyDescent="0.35">
      <c r="C1" s="16" t="s">
        <v>1116</v>
      </c>
    </row>
    <row r="2" spans="1:10" s="3" customFormat="1" ht="20.100000000000001" customHeight="1" x14ac:dyDescent="0.25">
      <c r="A2"/>
    </row>
    <row r="3" spans="1:10" ht="20.100000000000001" customHeight="1" x14ac:dyDescent="0.25">
      <c r="A3" s="5" t="str">
        <f>HYPERLINK("#'Home'!A1", "Home")</f>
        <v>Home</v>
      </c>
      <c r="C3" s="38"/>
      <c r="D3" s="38"/>
      <c r="E3" s="38"/>
      <c r="F3" s="38"/>
      <c r="G3" s="38"/>
      <c r="H3" s="38"/>
      <c r="I3" s="38"/>
      <c r="J3" s="38"/>
    </row>
    <row r="4" spans="1:10" ht="20.100000000000001" customHeight="1" x14ac:dyDescent="0.25">
      <c r="A4" s="5" t="str">
        <f>HYPERLINK("#'Overview'!A1", "Overview")</f>
        <v>Overview</v>
      </c>
    </row>
    <row r="5" spans="1:10" ht="20.100000000000001" customHeight="1" x14ac:dyDescent="0.25">
      <c r="A5" s="5" t="str">
        <f>HYPERLINK("#'Results'!A1", "Results")</f>
        <v>Results</v>
      </c>
    </row>
    <row r="6" spans="1:10" ht="20.100000000000001" customHeight="1" x14ac:dyDescent="0.25">
      <c r="A6"/>
      <c r="D6" s="2" t="s">
        <v>1117</v>
      </c>
    </row>
    <row r="7" spans="1:10" ht="20.100000000000001" customHeight="1" x14ac:dyDescent="0.25">
      <c r="A7"/>
    </row>
    <row r="8" spans="1:10" ht="20.100000000000001" customHeight="1" x14ac:dyDescent="0.25">
      <c r="A8" s="7" t="s">
        <v>0</v>
      </c>
      <c r="D8" s="29" t="s">
        <v>1118</v>
      </c>
      <c r="E8" s="29" t="s">
        <v>1119</v>
      </c>
      <c r="F8" s="29" t="s">
        <v>1120</v>
      </c>
      <c r="G8" s="29" t="s">
        <v>1121</v>
      </c>
      <c r="H8" s="29" t="s">
        <v>1122</v>
      </c>
    </row>
    <row r="9" spans="1:10" ht="20.100000000000001" customHeight="1" x14ac:dyDescent="0.25">
      <c r="A9" s="5" t="str">
        <f>HYPERLINK("#'Input - Enterprise'!A1", "Enterprise")</f>
        <v>Enterprise</v>
      </c>
      <c r="D9" s="29" t="s">
        <v>1123</v>
      </c>
      <c r="E9" s="23" t="s">
        <v>1124</v>
      </c>
      <c r="F9" s="29">
        <v>986</v>
      </c>
      <c r="G9" s="29">
        <v>10</v>
      </c>
      <c r="H9" s="29">
        <v>52</v>
      </c>
    </row>
    <row r="10" spans="1:10" ht="20.100000000000001" customHeight="1" x14ac:dyDescent="0.25">
      <c r="A10" s="5" t="str">
        <f>HYPERLINK("#'Input - Site'!A1", "Site")</f>
        <v>Site</v>
      </c>
      <c r="D10" s="29" t="s">
        <v>1125</v>
      </c>
      <c r="E10" s="23" t="s">
        <v>1126</v>
      </c>
      <c r="F10" s="29">
        <v>65</v>
      </c>
      <c r="G10" s="29">
        <v>10</v>
      </c>
      <c r="H10" s="29">
        <v>6</v>
      </c>
    </row>
    <row r="11" spans="1:10" ht="20.100000000000001" customHeight="1" x14ac:dyDescent="0.25">
      <c r="A11" s="5" t="str">
        <f>HYPERLINK("#'Input - Dairy'!A1", "Dairy")</f>
        <v>Dairy</v>
      </c>
      <c r="D11" s="29"/>
      <c r="E11" s="23"/>
      <c r="F11" s="29"/>
      <c r="G11" s="29"/>
      <c r="H11" s="29"/>
    </row>
    <row r="12" spans="1:10" ht="20.100000000000001" customHeight="1" x14ac:dyDescent="0.25">
      <c r="A12" s="5" t="str">
        <f>HYPERLINK("#'Input - Dairy (Enteric)'!A1", "Dairy (Enteric)")</f>
        <v>Dairy (Enteric)</v>
      </c>
      <c r="D12" s="29"/>
      <c r="E12" s="23"/>
      <c r="F12" s="29"/>
      <c r="G12" s="29"/>
      <c r="H12" s="29"/>
    </row>
    <row r="13" spans="1:10" ht="20.100000000000001" customHeight="1" x14ac:dyDescent="0.25">
      <c r="A13" s="5" t="str">
        <f>HYPERLINK("#'Input - Livestock sales'!A1", "Livestock sales")</f>
        <v>Livestock sales</v>
      </c>
      <c r="D13" s="29"/>
      <c r="E13" s="23"/>
      <c r="F13" s="29"/>
      <c r="G13" s="29"/>
      <c r="H13" s="29"/>
    </row>
    <row r="14" spans="1:10" ht="20.100000000000001" customHeight="1" x14ac:dyDescent="0.25">
      <c r="A14" s="5" t="str">
        <f>HYPERLINK("#'Input - Dairy cattle purchases'!A1", "Dairy cattle purchases")</f>
        <v>Dairy cattle purchases</v>
      </c>
      <c r="D14" s="29"/>
      <c r="E14" s="23"/>
      <c r="F14" s="29"/>
      <c r="G14" s="29"/>
      <c r="H14" s="29"/>
    </row>
    <row r="15" spans="1:10" ht="20.100000000000001" customHeight="1" x14ac:dyDescent="0.25">
      <c r="A15" s="5" t="str">
        <f>HYPERLINK("#'Input - Pasture'!A1", "Pasture")</f>
        <v>Pasture</v>
      </c>
      <c r="D15" s="29"/>
      <c r="E15" s="23"/>
      <c r="F15" s="29"/>
      <c r="G15" s="29"/>
      <c r="H15" s="29"/>
    </row>
    <row r="16" spans="1:10" ht="20.100000000000001" customHeight="1" x14ac:dyDescent="0.25">
      <c r="A16" s="5" t="str">
        <f>HYPERLINK("#'Input - Fert Prod System'!A1", "Fert Prod System")</f>
        <v>Fert Prod System</v>
      </c>
      <c r="D16" s="29"/>
      <c r="E16" s="23"/>
      <c r="F16" s="29"/>
      <c r="G16" s="29"/>
      <c r="H16" s="29"/>
    </row>
    <row r="17" spans="1:8" ht="20.100000000000001" customHeight="1" x14ac:dyDescent="0.25">
      <c r="A17" s="5" t="str">
        <f>HYPERLINK("#'Input - Fertiliser'!A1", "Fertiliser")</f>
        <v>Fertiliser</v>
      </c>
      <c r="D17" s="29"/>
      <c r="E17" s="23"/>
      <c r="F17" s="29"/>
      <c r="G17" s="29"/>
      <c r="H17" s="29"/>
    </row>
    <row r="18" spans="1:8" ht="20.100000000000001" customHeight="1" x14ac:dyDescent="0.25">
      <c r="A18" s="5" t="str">
        <f>HYPERLINK("#'Input - Fuel'!A1", "Fuel")</f>
        <v>Fuel</v>
      </c>
      <c r="D18" s="29"/>
      <c r="E18" s="23"/>
      <c r="F18" s="29"/>
      <c r="G18" s="29"/>
      <c r="H18" s="29"/>
    </row>
    <row r="19" spans="1:8" ht="20.100000000000001" customHeight="1" x14ac:dyDescent="0.25">
      <c r="A19" s="5" t="str">
        <f>HYPERLINK("#'Input - Electricity'!A1", "Electricity")</f>
        <v>Electricity</v>
      </c>
    </row>
    <row r="20" spans="1:8" ht="20.100000000000001" customHeight="1" x14ac:dyDescent="0.25">
      <c r="A20" s="5" t="str">
        <f>HYPERLINK("#'Input - Farm Inputs'!A1", "Farm Inputs")</f>
        <v>Farm Inputs</v>
      </c>
    </row>
    <row r="21" spans="1:8" ht="20.100000000000001" customHeight="1" x14ac:dyDescent="0.25">
      <c r="A21" s="98" t="str">
        <f>HYPERLINK("#'Input - Freight'!A1", "Freight")</f>
        <v>Freight</v>
      </c>
    </row>
    <row r="22" spans="1:8" ht="20.100000000000001" customHeight="1" x14ac:dyDescent="0.25">
      <c r="A22" s="5" t="str">
        <f>HYPERLINK("#'Input - Manure sent off-site'!A1", "Manure sent off-site")</f>
        <v>Manure sent off-site</v>
      </c>
      <c r="D22" s="2" t="s">
        <v>1127</v>
      </c>
    </row>
    <row r="23" spans="1:8" ht="20.100000000000001" customHeight="1" x14ac:dyDescent="0.25">
      <c r="A23" s="5" t="str">
        <f>HYPERLINK("#'Input - Solid waste'!A1", "Solid waste")</f>
        <v>Solid waste</v>
      </c>
    </row>
    <row r="24" spans="1:8" ht="20.100000000000001" customHeight="1" x14ac:dyDescent="0.25">
      <c r="A24" s="5" t="str">
        <f>HYPERLINK("#'Input - Data quality'!A1", "Data quality")</f>
        <v>Data quality</v>
      </c>
      <c r="D24" s="29" t="s">
        <v>1118</v>
      </c>
      <c r="E24" s="29" t="s">
        <v>1119</v>
      </c>
      <c r="F24" s="29" t="s">
        <v>1120</v>
      </c>
      <c r="G24" s="29" t="s">
        <v>1121</v>
      </c>
      <c r="H24" s="29" t="s">
        <v>1122</v>
      </c>
    </row>
    <row r="25" spans="1:8" ht="20.100000000000001" customHeight="1" x14ac:dyDescent="0.25">
      <c r="A25"/>
      <c r="D25" s="29" t="s">
        <v>1128</v>
      </c>
      <c r="E25" s="23" t="s">
        <v>1124</v>
      </c>
      <c r="F25" s="29">
        <v>65</v>
      </c>
      <c r="G25" s="29">
        <v>20</v>
      </c>
      <c r="H25" s="29">
        <v>52</v>
      </c>
    </row>
    <row r="26" spans="1:8" ht="20.100000000000001" customHeight="1" x14ac:dyDescent="0.25">
      <c r="A26"/>
      <c r="D26" s="29"/>
      <c r="E26" s="23"/>
      <c r="F26" s="29"/>
      <c r="G26" s="29"/>
      <c r="H26" s="29"/>
    </row>
    <row r="27" spans="1:8" ht="20.100000000000001" customHeight="1" x14ac:dyDescent="0.25">
      <c r="A27" s="6" t="s">
        <v>2</v>
      </c>
      <c r="D27" s="29"/>
      <c r="E27" s="23"/>
      <c r="F27" s="29"/>
      <c r="G27" s="29"/>
      <c r="H27" s="29"/>
    </row>
    <row r="28" spans="1:8" ht="20.100000000000001" customHeight="1" x14ac:dyDescent="0.25">
      <c r="A28" s="5" t="str">
        <f>HYPERLINK("#'5.1.1.1-2 Inorganic fert N2O'!A1", "5.1.1.1-2 Inorganic fert N2O")</f>
        <v>5.1.1.1-2 Inorganic fert N2O</v>
      </c>
      <c r="D28" s="29"/>
      <c r="E28" s="23"/>
      <c r="F28" s="29"/>
      <c r="G28" s="29"/>
      <c r="H28" s="29"/>
    </row>
    <row r="29" spans="1:8" ht="20.100000000000001" customHeight="1" x14ac:dyDescent="0.25">
      <c r="A29" s="5" t="str">
        <f>HYPERLINK("#'5.1.1.3-4 Inorganic fert CO2'!A1", "5.1.1.3-4 Inorganic fert CO2")</f>
        <v>5.1.1.3-4 Inorganic fert CO2</v>
      </c>
      <c r="D29" s="29"/>
      <c r="E29" s="23"/>
      <c r="F29" s="29"/>
      <c r="G29" s="29"/>
      <c r="H29" s="29"/>
    </row>
    <row r="30" spans="1:8" ht="20.100000000000001" customHeight="1" x14ac:dyDescent="0.25">
      <c r="A30" s="5" t="str">
        <f>HYPERLINK("#'5.2.1.1-2 Organic Fert N2O'!A1", "5.2.1.1-2 Organic fert N2O")</f>
        <v>5.2.1.1-2 Organic fert N2O</v>
      </c>
      <c r="D30" s="29"/>
      <c r="E30" s="23"/>
      <c r="F30" s="29"/>
      <c r="G30" s="29"/>
      <c r="H30" s="29"/>
    </row>
    <row r="31" spans="1:8" ht="20.100000000000001" customHeight="1" x14ac:dyDescent="0.25">
      <c r="A31" s="5" t="str">
        <f>HYPERLINK("#'5.3.1.1-2 Lime CO2'!A1", "5.3.1.1-2 Lime CO2")</f>
        <v>5.3.1.1-2 Lime CO2</v>
      </c>
      <c r="D31" s="29"/>
      <c r="E31" s="23"/>
      <c r="F31" s="29"/>
      <c r="G31" s="29"/>
      <c r="H31" s="29"/>
    </row>
    <row r="32" spans="1:8" ht="20.100000000000001" customHeight="1" x14ac:dyDescent="0.25">
      <c r="A32" s="5" t="str">
        <f>HYPERLINK("#'5.4.1.1-4 Atmos deposition'!A1", "5.4.1.1-4 Atmos. deposition")</f>
        <v>5.4.1.1-4 Atmos. deposition</v>
      </c>
      <c r="D32" s="29"/>
      <c r="E32" s="23"/>
      <c r="F32" s="29"/>
      <c r="G32" s="29"/>
      <c r="H32" s="29"/>
    </row>
    <row r="33" spans="1:8" ht="20.100000000000001" customHeight="1" x14ac:dyDescent="0.25">
      <c r="A33" s="5" t="str">
        <f>HYPERLINK("#'5.5.1.1-2 Leaching and runoff'!A1", "5.5.1.1-2 Leaching &amp; runoff")</f>
        <v>5.5.1.1-2 Leaching &amp; runoff</v>
      </c>
      <c r="D33" s="29"/>
      <c r="E33" s="23"/>
      <c r="F33" s="29"/>
      <c r="G33" s="29"/>
      <c r="H33" s="29"/>
    </row>
    <row r="34" spans="1:8" ht="20.100000000000001" customHeight="1" x14ac:dyDescent="0.25">
      <c r="A34" s="5" t="str">
        <f>HYPERLINK("#'6.2.1.1-2 Pasture residue N2O'!A1", "6.2.1.1-2 Pasture residue N2O")</f>
        <v>6.2.1.1-2 Pasture residue N2O</v>
      </c>
      <c r="D34" s="29"/>
      <c r="E34" s="23"/>
      <c r="F34" s="29"/>
      <c r="G34" s="29"/>
      <c r="H34" s="29"/>
    </row>
    <row r="35" spans="1:8" ht="20.100000000000001" customHeight="1" x14ac:dyDescent="0.25">
      <c r="A35" s="5" t="str">
        <f>HYPERLINK("#'6.3.1.1-2 Leach runoff pasture'!A1", "6.3.1.1-2 Leach &amp; runoff (pasture)")</f>
        <v>6.3.1.1-2 Leach &amp; runoff (pasture)</v>
      </c>
    </row>
    <row r="36" spans="1:8" ht="20.100000000000001" customHeight="1" x14ac:dyDescent="0.25">
      <c r="A36" s="5" t="str">
        <f>HYPERLINK("#'8.1.1.1-2 Transport fuel'!A1", "8.1.1.1-2 Transport fuel")</f>
        <v>8.1.1.1-2 Transport fuel</v>
      </c>
    </row>
    <row r="37" spans="1:8" ht="20.100000000000001" customHeight="1" x14ac:dyDescent="0.25">
      <c r="A37" s="5" t="str">
        <f>HYPERLINK("#'8.2.1.1-2 Stationary fuel'!A1", "8.2.1.1-2 Stationary fuel")</f>
        <v>8.2.1.1-2 Stationary fuel</v>
      </c>
    </row>
    <row r="38" spans="1:8" ht="20.100000000000001" customHeight="1" x14ac:dyDescent="0.25">
      <c r="A38" s="5" t="str">
        <f>HYPERLINK("#'14.1.1-2 Purchased electricity'!A1", "14.1.1-2 Purchased electricity")</f>
        <v>14.1.1-2 Purchased electricity</v>
      </c>
    </row>
    <row r="39" spans="1:8" ht="20.100000000000001" customHeight="1" x14ac:dyDescent="0.25">
      <c r="A39" s="5" t="str">
        <f>HYPERLINK("#'15 Scope 3'!A1", "15 Scope 3")</f>
        <v>15 Scope 3</v>
      </c>
    </row>
    <row r="40" spans="1:8" ht="20.100000000000001" customHeight="1" x14ac:dyDescent="0.25">
      <c r="A40" s="5" t="str">
        <f>HYPERLINK("#'Calcs - Manure sent off-site'!A1", "Calcs - Manure sent off-site")</f>
        <v>Calcs - Manure sent off-site</v>
      </c>
    </row>
    <row r="41" spans="1:8" ht="20.100000000000001" customHeight="1" x14ac:dyDescent="0.25">
      <c r="A41" s="5" t="str">
        <f>HYPERLINK("#'4.3.1.1-2 Methane'!A1", "4.3.1.1-2 Methane")</f>
        <v>4.3.1.1-2 Methane</v>
      </c>
    </row>
    <row r="42" spans="1:8" ht="20.100000000000001" customHeight="1" x14ac:dyDescent="0.25">
      <c r="A42" s="5" t="str">
        <f>HYPERLINK("#'4.3.1.3-4 Direct N20'!A1", "4.3.1.3-4 Direct N20")</f>
        <v>4.3.1.3-4 Direct N20</v>
      </c>
    </row>
    <row r="43" spans="1:8" ht="20.100000000000001" customHeight="1" x14ac:dyDescent="0.25">
      <c r="A43" s="5" t="str">
        <f>HYPERLINK("#'4.3.1.5 Atmos deposition'!A1", "4.3.1.5 Atmos deposition")</f>
        <v>4.3.1.5 Atmos deposition</v>
      </c>
    </row>
    <row r="44" spans="1:8" ht="20.100000000000001" customHeight="1" x14ac:dyDescent="0.25">
      <c r="A44" s="5" t="str">
        <f>HYPERLINK("#'4.3.1.6-7 Leaching and runoff'!A1", "4.3.1.6-7 Leaching and runoff")</f>
        <v>4.3.1.6-7 Leaching and runoff</v>
      </c>
    </row>
    <row r="45" spans="1:8" ht="20.100000000000001" customHeight="1" x14ac:dyDescent="0.25">
      <c r="A45" s="5" t="str">
        <f>HYPERLINK("#'4.3.1.8 Manure applied to soils'!A1", "4.3.1.8 Manure applied to soils")</f>
        <v>4.3.1.8 Manure applied to soils</v>
      </c>
    </row>
    <row r="46" spans="1:8" ht="20.100000000000001" customHeight="1" x14ac:dyDescent="0.25">
      <c r="A46" s="5" t="str">
        <f>HYPERLINK("#'4.3.1.9 Soil direct N2O'!A1", "4.3.1.9 Soil direct N2O")</f>
        <v>4.3.1.9 Soil direct N2O</v>
      </c>
    </row>
    <row r="47" spans="1:8" ht="20.100000000000001" customHeight="1" x14ac:dyDescent="0.25">
      <c r="A47" s="5" t="str">
        <f>HYPERLINK("#'4.3.1.10-11 Soil Atmos Dep'!A1", "4.3.1.10-11 Soil Atmos Dep")</f>
        <v>4.3.1.10-11 Soil Atmos Dep</v>
      </c>
    </row>
    <row r="48" spans="1:8" ht="20.100000000000001" customHeight="1" x14ac:dyDescent="0.25">
      <c r="A48" s="5" t="str">
        <f>HYPERLINK("#'4.3.1.12-13 Soil leach runoff'!A1", "4.3.1.12-13 Soil leach runoff")</f>
        <v>4.3.1.12-13 Soil leach runoff</v>
      </c>
    </row>
    <row r="49" spans="1:1" ht="20.100000000000001" customHeight="1" x14ac:dyDescent="0.25">
      <c r="A49" s="5" t="str">
        <f>HYPERLINK("#'3.3.1.1-2 Enteric Methane'!A1", "3.3.1.1-2 Enteric Methane")</f>
        <v>3.3.1.1-2 Enteric Methane</v>
      </c>
    </row>
    <row r="50" spans="1:1" ht="20.100000000000001" customHeight="1" x14ac:dyDescent="0.25">
      <c r="A50" s="5" t="str">
        <f>HYPERLINK("#'10.1.1-2 Solid waste treatment'!A1", "10.1.1-2 Solid waste treatment")</f>
        <v>10.1.1-2 Solid waste treatment</v>
      </c>
    </row>
    <row r="51" spans="1:1" ht="20.100000000000001" customHeight="1" x14ac:dyDescent="0.25">
      <c r="A51"/>
    </row>
    <row r="52" spans="1:1" x14ac:dyDescent="0.25">
      <c r="A52"/>
    </row>
    <row r="53" spans="1:1" x14ac:dyDescent="0.25">
      <c r="A53" s="100" t="s">
        <v>1</v>
      </c>
    </row>
    <row r="54" spans="1:1" x14ac:dyDescent="0.25">
      <c r="A54" s="5" t="str">
        <f>HYPERLINK("#'Constants - Dairy'!A1", "Constants - Dairy")</f>
        <v>Constants - Dairy</v>
      </c>
    </row>
    <row r="55" spans="1:1" x14ac:dyDescent="0.25">
      <c r="A55" s="5" t="str">
        <f>HYPERLINK("#'Constants - Ag Residue'!A1", "Constants - Ag residue")</f>
        <v>Constants - Ag residue</v>
      </c>
    </row>
    <row r="56" spans="1:1" x14ac:dyDescent="0.25">
      <c r="A56" s="5" t="str">
        <f>HYPERLINK("#'Constants - Common Livestock'!A1", "Constants - Common Livestock")</f>
        <v>Constants - Common Livestock</v>
      </c>
    </row>
    <row r="57" spans="1:1" x14ac:dyDescent="0.25">
      <c r="A57" s="5" t="str">
        <f>HYPERLINK("#'Constants - Electricity'!A1", "Constants - Electricity")</f>
        <v>Constants - Electricity</v>
      </c>
    </row>
    <row r="58" spans="1:1" x14ac:dyDescent="0.25">
      <c r="A58" s="5" t="str">
        <f>HYPERLINK("#'Constants - Fertiliser'!A1", "Constants - Fertiliser")</f>
        <v>Constants - Fertiliser</v>
      </c>
    </row>
    <row r="59" spans="1:1" x14ac:dyDescent="0.25">
      <c r="A59" s="5" t="str">
        <f>HYPERLINK("#'Constants - Fuel'!A1", "Constants - Fuel")</f>
        <v>Constants - Fuel</v>
      </c>
    </row>
    <row r="60" spans="1:1" x14ac:dyDescent="0.25">
      <c r="A60" s="5" t="str">
        <f>HYPERLINK("#'Constants - Scope 3'!A1", "Constants - Scope 3")</f>
        <v>Constants - Scope 3</v>
      </c>
    </row>
    <row r="61" spans="1:1" x14ac:dyDescent="0.25">
      <c r="A61" s="5" t="str">
        <f>HYPERLINK("#'Constants - Common'!A1", "Constants - Common")</f>
        <v>Constants - Common</v>
      </c>
    </row>
    <row r="62" spans="1:1" x14ac:dyDescent="0.25">
      <c r="A62" s="5" t="str">
        <f>HYPERLINK("#'Acknowledgements'!A1", "Acknowledgements")</f>
        <v>Acknowledgements</v>
      </c>
    </row>
    <row r="63" spans="1:1" x14ac:dyDescent="0.25">
      <c r="A63" s="5" t="str">
        <f>HYPERLINK("#'Constants - Solid Waste'!A1", "Constants - Solid Waste")</f>
        <v>Constants - Solid Waste</v>
      </c>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1">
    <dataValidation type="list" allowBlank="1" showInputMessage="1" showErrorMessage="1" sqref="E9:E18 E25:E34" xr:uid="{837F4EF7-2950-4DB9-9FEB-4A524A82A0CD}">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57F0E-3E20-42BB-9016-A4FCD94A0BE7}">
  <sheetPr>
    <tabColor theme="5" tint="-0.249977111117893"/>
  </sheetPr>
  <dimension ref="A1:K160"/>
  <sheetViews>
    <sheetView showGridLines="0" topLeftCell="A2" zoomScaleNormal="100" workbookViewId="0">
      <selection activeCell="A5" sqref="A5"/>
    </sheetView>
  </sheetViews>
  <sheetFormatPr defaultRowHeight="15.75" x14ac:dyDescent="0.25"/>
  <cols>
    <col min="1" max="1" width="35" style="260" customWidth="1"/>
    <col min="2" max="2" width="5.28515625" style="260" customWidth="1"/>
    <col min="3" max="3" width="5.28515625" style="1" customWidth="1"/>
    <col min="4" max="10" width="35" style="1" customWidth="1"/>
    <col min="11" max="11" width="5.28515625" style="1" customWidth="1"/>
    <col min="12" max="16384" width="9.140625" style="260"/>
  </cols>
  <sheetData>
    <row r="1" spans="1:11" ht="25.5" x14ac:dyDescent="0.35">
      <c r="A1" s="16" t="e" vm="1">
        <v>#VALUE!</v>
      </c>
      <c r="C1" s="16" t="s">
        <v>1129</v>
      </c>
      <c r="D1" s="16"/>
      <c r="E1" s="16"/>
      <c r="F1" s="16"/>
      <c r="G1" s="16"/>
      <c r="H1" s="16"/>
      <c r="I1" s="16"/>
      <c r="J1" s="16"/>
      <c r="K1" s="16"/>
    </row>
    <row r="2" spans="1:11" s="3" customFormat="1" x14ac:dyDescent="0.25">
      <c r="A2"/>
    </row>
    <row r="3" spans="1:11" ht="20.25" x14ac:dyDescent="0.25">
      <c r="A3" s="5" t="str">
        <f>HYPERLINK("#'Home'!A1", "Home")</f>
        <v>Home</v>
      </c>
      <c r="C3" s="38"/>
      <c r="D3" s="38"/>
      <c r="E3" s="38"/>
      <c r="F3" s="38"/>
      <c r="G3" s="38"/>
      <c r="H3" s="38"/>
      <c r="I3" s="38"/>
      <c r="J3" s="38"/>
      <c r="K3" s="38"/>
    </row>
    <row r="4" spans="1:11" x14ac:dyDescent="0.25">
      <c r="A4" s="5" t="str">
        <f>HYPERLINK("#'Overview'!A1", "Overview")</f>
        <v>Overview</v>
      </c>
    </row>
    <row r="5" spans="1:11" ht="23.25" x14ac:dyDescent="0.25">
      <c r="A5" s="5" t="str">
        <f>HYPERLINK("#'Results'!A1", "Results")</f>
        <v>Results</v>
      </c>
      <c r="D5" s="2" t="s">
        <v>1130</v>
      </c>
    </row>
    <row r="6" spans="1:11" x14ac:dyDescent="0.25">
      <c r="A6"/>
    </row>
    <row r="7" spans="1:11" x14ac:dyDescent="0.25">
      <c r="A7"/>
    </row>
    <row r="8" spans="1:11" x14ac:dyDescent="0.25">
      <c r="A8" s="7" t="s">
        <v>0</v>
      </c>
      <c r="D8" s="45" t="s">
        <v>1289</v>
      </c>
      <c r="E8" s="47"/>
      <c r="F8" s="47"/>
      <c r="G8" s="47"/>
      <c r="H8" s="48"/>
    </row>
    <row r="9" spans="1:11" x14ac:dyDescent="0.25">
      <c r="A9" s="5" t="str">
        <f>HYPERLINK("#'Input - Enterprise'!A1", "Enterprise")</f>
        <v>Enterprise</v>
      </c>
    </row>
    <row r="10" spans="1:11" x14ac:dyDescent="0.25">
      <c r="A10" s="5" t="str">
        <f>HYPERLINK("#'Input - Site'!A1", "Site")</f>
        <v>Site</v>
      </c>
      <c r="D10" s="1" t="s">
        <v>1131</v>
      </c>
      <c r="F10" s="25">
        <f ca="1">VEERG_4_3_1_8__2_MassOfNitrogenAppliedToSoilsScope3_Result_Method1</f>
        <v>3864.1929695395502</v>
      </c>
      <c r="G10" s="26" t="s">
        <v>1132</v>
      </c>
    </row>
    <row r="11" spans="1:11" x14ac:dyDescent="0.25">
      <c r="A11" s="5" t="str">
        <f>HYPERLINK("#'Input - Dairy'!A1", "Dairy")</f>
        <v>Dairy</v>
      </c>
      <c r="D11" s="1" t="s">
        <v>1133</v>
      </c>
      <c r="F11" s="25">
        <f ca="1">VEERG_4_3_1_8__2_MassOfNitrogenAppliedToSoilsScope3_Result_Method2</f>
        <v>3864.1929695395502</v>
      </c>
      <c r="G11" s="26" t="s">
        <v>1132</v>
      </c>
    </row>
    <row r="12" spans="1:11" x14ac:dyDescent="0.25">
      <c r="A12" s="5" t="str">
        <f>HYPERLINK("#'Input - Dairy (Enteric)'!A1", "Dairy (Enteric)")</f>
        <v>Dairy (Enteric)</v>
      </c>
    </row>
    <row r="13" spans="1:11" x14ac:dyDescent="0.25">
      <c r="A13" s="5" t="str">
        <f>HYPERLINK("#'Input - Livestock sales'!A1", "Livestock sales")</f>
        <v>Livestock sales</v>
      </c>
      <c r="D13" s="1" t="s">
        <v>1134</v>
      </c>
      <c r="F13" s="23" t="s">
        <v>710</v>
      </c>
      <c r="G13" s="26" t="s">
        <v>101</v>
      </c>
    </row>
    <row r="14" spans="1:11" x14ac:dyDescent="0.25">
      <c r="A14" s="5" t="str">
        <f>HYPERLINK("#'Input - Dairy cattle purchases'!A1", "Dairy cattle purchases")</f>
        <v>Dairy cattle purchases</v>
      </c>
      <c r="D14" s="1" t="s">
        <v>1135</v>
      </c>
      <c r="F14" s="23" t="s">
        <v>260</v>
      </c>
      <c r="G14" s="26" t="s">
        <v>101</v>
      </c>
    </row>
    <row r="15" spans="1:11" x14ac:dyDescent="0.25">
      <c r="A15" s="5" t="str">
        <f>HYPERLINK("#'Input - Pasture'!A1", "Pasture")</f>
        <v>Pasture</v>
      </c>
    </row>
    <row r="16" spans="1:11" x14ac:dyDescent="0.25">
      <c r="A16" s="5" t="str">
        <f>HYPERLINK("#'Input - Fert Prod System'!A1", "Fert Prod System")</f>
        <v>Fert Prod System</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Farm Inputs'!A1", "Farm Inputs")</f>
        <v>Farm Inputs</v>
      </c>
    </row>
    <row r="21" spans="1:1" x14ac:dyDescent="0.25">
      <c r="A21" s="5" t="str">
        <f>HYPERLINK("#'Input - Freight'!A1", "Freight")</f>
        <v>Freight</v>
      </c>
    </row>
    <row r="22" spans="1:1" x14ac:dyDescent="0.25">
      <c r="A22" s="98" t="str">
        <f>HYPERLINK("#'Input - Manure sent off-site'!A1", "Manure sent off-site")</f>
        <v>Manure sent off-site</v>
      </c>
    </row>
    <row r="23" spans="1:1" x14ac:dyDescent="0.25">
      <c r="A23" s="5" t="str">
        <f>HYPERLINK("#'Input - Solid waste'!A1", "Solid waste")</f>
        <v>Solid waste</v>
      </c>
    </row>
    <row r="24" spans="1:1" x14ac:dyDescent="0.25">
      <c r="A24" s="5" t="str">
        <f>HYPERLINK("#'Input - Data quality'!A1", "Data quality")</f>
        <v>Data quality</v>
      </c>
    </row>
    <row r="25" spans="1:1" x14ac:dyDescent="0.25">
      <c r="A25"/>
    </row>
    <row r="26" spans="1:1" x14ac:dyDescent="0.25">
      <c r="A26"/>
    </row>
    <row r="27" spans="1:1" x14ac:dyDescent="0.25">
      <c r="A27" s="6" t="s">
        <v>2</v>
      </c>
    </row>
    <row r="28" spans="1:1" x14ac:dyDescent="0.25">
      <c r="A28" s="5" t="str">
        <f>HYPERLINK("#'5.1.1.1-2 Inorganic fert N2O'!A1", "5.1.1.1-2 Inorganic fert N2O")</f>
        <v>5.1.1.1-2 Inorganic fert N2O</v>
      </c>
    </row>
    <row r="29" spans="1:1" x14ac:dyDescent="0.25">
      <c r="A29" s="5" t="str">
        <f>HYPERLINK("#'5.1.1.3-4 Inorganic fert CO2'!A1", "5.1.1.3-4 Inorganic fert CO2")</f>
        <v>5.1.1.3-4 Inorganic fert CO2</v>
      </c>
    </row>
    <row r="30" spans="1:1" x14ac:dyDescent="0.25">
      <c r="A30" s="5" t="str">
        <f>HYPERLINK("#'5.2.1.1-2 Organic Fert N2O'!A1", "5.2.1.1-2 Organic fert N2O")</f>
        <v>5.2.1.1-2 Organic fert N2O</v>
      </c>
    </row>
    <row r="31" spans="1:1" x14ac:dyDescent="0.25">
      <c r="A31" s="5" t="str">
        <f>HYPERLINK("#'5.3.1.1-2 Lime CO2'!A1", "5.3.1.1-2 Lime CO2")</f>
        <v>5.3.1.1-2 Lime CO2</v>
      </c>
    </row>
    <row r="32" spans="1:1" x14ac:dyDescent="0.25">
      <c r="A32" s="5" t="str">
        <f>HYPERLINK("#'5.4.1.1-4 Atmos deposition'!A1", "5.4.1.1-4 Atmos. deposition")</f>
        <v>5.4.1.1-4 Atmos. deposition</v>
      </c>
    </row>
    <row r="33" spans="1:1" x14ac:dyDescent="0.25">
      <c r="A33" s="5" t="str">
        <f>HYPERLINK("#'5.5.1.1-2 Leaching and runoff'!A1", "5.5.1.1-2 Leaching &amp; runoff")</f>
        <v>5.5.1.1-2 Leaching &amp; runoff</v>
      </c>
    </row>
    <row r="34" spans="1:1" x14ac:dyDescent="0.25">
      <c r="A34" s="5" t="str">
        <f>HYPERLINK("#'6.2.1.1-2 Pasture residue N2O'!A1", "6.2.1.1-2 Pasture residue N2O")</f>
        <v>6.2.1.1-2 Pasture residue N2O</v>
      </c>
    </row>
    <row r="35" spans="1:1" x14ac:dyDescent="0.25">
      <c r="A35" s="5" t="str">
        <f>HYPERLINK("#'6.3.1.1-2 Leach runoff pasture'!A1", "6.3.1.1-2 Leach &amp; runoff (pasture)")</f>
        <v>6.3.1.1-2 Leach &amp; runoff (pasture)</v>
      </c>
    </row>
    <row r="36" spans="1:1" x14ac:dyDescent="0.25">
      <c r="A36" s="5" t="str">
        <f>HYPERLINK("#'8.1.1.1-2 Transport fuel'!A1", "8.1.1.1-2 Transport fuel")</f>
        <v>8.1.1.1-2 Transport fuel</v>
      </c>
    </row>
    <row r="37" spans="1:1" x14ac:dyDescent="0.25">
      <c r="A37" s="5" t="str">
        <f>HYPERLINK("#'8.2.1.1-2 Stationary fuel'!A1", "8.2.1.1-2 Stationary fuel")</f>
        <v>8.2.1.1-2 Stationary fuel</v>
      </c>
    </row>
    <row r="38" spans="1:1" x14ac:dyDescent="0.25">
      <c r="A38" s="5" t="str">
        <f>HYPERLINK("#'14.1.1-2 Purchased electricity'!A1", "14.1.1-2 Purchased electricity")</f>
        <v>14.1.1-2 Purchased electricity</v>
      </c>
    </row>
    <row r="39" spans="1:1" x14ac:dyDescent="0.25">
      <c r="A39" s="5" t="str">
        <f>HYPERLINK("#'15 Scope 3'!A1", "15 Scope 3")</f>
        <v>15 Scope 3</v>
      </c>
    </row>
    <row r="40" spans="1:1" x14ac:dyDescent="0.25">
      <c r="A40" s="5" t="str">
        <f>HYPERLINK("#'Calcs - Manure sent off-site'!A1", "Calcs - Manure sent off-site")</f>
        <v>Calcs - Manure sent off-site</v>
      </c>
    </row>
    <row r="41" spans="1:1" x14ac:dyDescent="0.25">
      <c r="A41" s="5" t="str">
        <f>HYPERLINK("#'4.3.1.1-2 Methane'!A1", "4.3.1.1-2 Methane")</f>
        <v>4.3.1.1-2 Methane</v>
      </c>
    </row>
    <row r="42" spans="1:1" x14ac:dyDescent="0.25">
      <c r="A42" s="5" t="str">
        <f>HYPERLINK("#'4.3.1.3-4 Direct N20'!A1", "4.3.1.3-4 Direct N20")</f>
        <v>4.3.1.3-4 Direct N20</v>
      </c>
    </row>
    <row r="43" spans="1:1" x14ac:dyDescent="0.25">
      <c r="A43" s="5" t="str">
        <f>HYPERLINK("#'4.3.1.5 Atmos deposition'!A1", "4.3.1.5 Atmos deposition")</f>
        <v>4.3.1.5 Atmos deposition</v>
      </c>
    </row>
    <row r="44" spans="1:1" x14ac:dyDescent="0.25">
      <c r="A44" s="5" t="str">
        <f>HYPERLINK("#'4.3.1.6-7 Leaching and runoff'!A1", "4.3.1.6-7 Leaching and runoff")</f>
        <v>4.3.1.6-7 Leaching and runoff</v>
      </c>
    </row>
    <row r="45" spans="1:1" x14ac:dyDescent="0.25">
      <c r="A45" s="5" t="str">
        <f>HYPERLINK("#'4.3.1.8 Manure applied to soils'!A1", "4.3.1.8 Manure applied to soils")</f>
        <v>4.3.1.8 Manure applied to soils</v>
      </c>
    </row>
    <row r="46" spans="1:1" x14ac:dyDescent="0.25">
      <c r="A46" s="5" t="str">
        <f>HYPERLINK("#'4.3.1.9 Soil direct N2O'!A1", "4.3.1.9 Soil direct N2O")</f>
        <v>4.3.1.9 Soil direct N2O</v>
      </c>
    </row>
    <row r="47" spans="1:1" x14ac:dyDescent="0.25">
      <c r="A47" s="5" t="str">
        <f>HYPERLINK("#'4.3.1.10-11 Soil Atmos Dep'!A1", "4.3.1.10-11 Soil Atmos Dep")</f>
        <v>4.3.1.10-11 Soil Atmos Dep</v>
      </c>
    </row>
    <row r="48" spans="1:1" x14ac:dyDescent="0.25">
      <c r="A48" s="5" t="str">
        <f>HYPERLINK("#'4.3.1.12-13 Soil leach runoff'!A1", "4.3.1.12-13 Soil leach runoff")</f>
        <v>4.3.1.12-13 Soil leach runoff</v>
      </c>
    </row>
    <row r="49" spans="1:1" x14ac:dyDescent="0.25">
      <c r="A49" s="5" t="str">
        <f>HYPERLINK("#'3.3.1.1-2 Enteric Methane'!A1", "3.3.1.1-2 Enteric Methane")</f>
        <v>3.3.1.1-2 Enteric Methane</v>
      </c>
    </row>
    <row r="50" spans="1:1" x14ac:dyDescent="0.25">
      <c r="A50" s="5" t="str">
        <f>HYPERLINK("#'10.1.1-2 Solid waste treatment'!A1", "10.1.1-2 Solid waste treatment")</f>
        <v>10.1.1-2 Solid waste treatment</v>
      </c>
    </row>
    <row r="51" spans="1:1" x14ac:dyDescent="0.25">
      <c r="A51"/>
    </row>
    <row r="52" spans="1:1" x14ac:dyDescent="0.25">
      <c r="A52"/>
    </row>
    <row r="53" spans="1:1" x14ac:dyDescent="0.25">
      <c r="A53" s="100" t="s">
        <v>1</v>
      </c>
    </row>
    <row r="54" spans="1:1" x14ac:dyDescent="0.25">
      <c r="A54" s="5" t="str">
        <f>HYPERLINK("#'Constants - Dairy'!A1", "Constants - Dairy")</f>
        <v>Constants - Dairy</v>
      </c>
    </row>
    <row r="55" spans="1:1" x14ac:dyDescent="0.25">
      <c r="A55" s="5" t="str">
        <f>HYPERLINK("#'Constants - Ag Residue'!A1", "Constants - Ag residue")</f>
        <v>Constants - Ag residue</v>
      </c>
    </row>
    <row r="56" spans="1:1" x14ac:dyDescent="0.25">
      <c r="A56" s="5" t="str">
        <f>HYPERLINK("#'Constants - Common Livestock'!A1", "Constants - Common Livestock")</f>
        <v>Constants - Common Livestock</v>
      </c>
    </row>
    <row r="57" spans="1:1" x14ac:dyDescent="0.25">
      <c r="A57" s="5" t="str">
        <f>HYPERLINK("#'Constants - Electricity'!A1", "Constants - Electricity")</f>
        <v>Constants - Electricity</v>
      </c>
    </row>
    <row r="58" spans="1:1" x14ac:dyDescent="0.25">
      <c r="A58" s="5" t="str">
        <f>HYPERLINK("#'Constants - Fertiliser'!A1", "Constants - Fertiliser")</f>
        <v>Constants - Fertiliser</v>
      </c>
    </row>
    <row r="59" spans="1:1" x14ac:dyDescent="0.25">
      <c r="A59" s="5" t="str">
        <f>HYPERLINK("#'Constants - Fuel'!A1", "Constants - Fuel")</f>
        <v>Constants - Fuel</v>
      </c>
    </row>
    <row r="60" spans="1:1" x14ac:dyDescent="0.25">
      <c r="A60" s="5" t="str">
        <f>HYPERLINK("#'Constants - Scope 3'!A1", "Constants - Scope 3")</f>
        <v>Constants - Scope 3</v>
      </c>
    </row>
    <row r="61" spans="1:1" x14ac:dyDescent="0.25">
      <c r="A61" s="5" t="str">
        <f>HYPERLINK("#'Constants - Common'!A1", "Constants - Common")</f>
        <v>Constants - Common</v>
      </c>
    </row>
    <row r="62" spans="1:1" x14ac:dyDescent="0.25">
      <c r="A62" s="5" t="str">
        <f>HYPERLINK("#'Acknowledgements'!A1", "Acknowledgements")</f>
        <v>Acknowledgements</v>
      </c>
    </row>
    <row r="63" spans="1:1" x14ac:dyDescent="0.25">
      <c r="A63" s="5" t="str">
        <f>HYPERLINK("#'Constants - Solid Waste'!A1", "Constants - Solid Waste")</f>
        <v>Constants - Solid Waste</v>
      </c>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disablePrompts="1" count="2">
    <dataValidation type="list" allowBlank="1" showInputMessage="1" showErrorMessage="1" sqref="F14" xr:uid="{F4D53970-8D22-4AD6-9FC9-72BFD151B5F5}">
      <formula1>INDIRECT("Table_SourceData_Fertiliser_IrrigationMethods[Irrigation method]")</formula1>
    </dataValidation>
    <dataValidation type="list" allowBlank="1" showInputMessage="1" showErrorMessage="1" sqref="F13" xr:uid="{AFD9B488-1E2F-4F22-B72C-F3CDA95EDF5F}">
      <formula1>INDIRECT("Table_SourceData_Fertiliser_CropProdSystems[Production system]")</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6F641-6611-4035-96EC-5D24A159B49B}">
  <dimension ref="A1:X342"/>
  <sheetViews>
    <sheetView showGridLines="0" topLeftCell="B46"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30" customFormat="1" ht="30" customHeight="1" x14ac:dyDescent="0.35">
      <c r="A1" s="16" t="e" vm="1">
        <v>#VALUE!</v>
      </c>
      <c r="C1" s="30" t="s">
        <v>615</v>
      </c>
      <c r="K1"/>
    </row>
    <row r="2" spans="1:24" s="3" customFormat="1" ht="20.100000000000001" customHeight="1" x14ac:dyDescent="0.25">
      <c r="A2"/>
      <c r="K2"/>
    </row>
    <row r="3" spans="1:24" ht="20.100000000000001" customHeight="1" x14ac:dyDescent="0.25">
      <c r="A3" s="5" t="str">
        <f>HYPERLINK("#'Home'!A1", "Home")</f>
        <v>Home</v>
      </c>
      <c r="C3" s="32"/>
      <c r="D3" s="32" t="s">
        <v>136</v>
      </c>
      <c r="E3" s="32"/>
      <c r="F3" s="32"/>
      <c r="G3" s="32"/>
      <c r="H3" s="32"/>
      <c r="I3" s="32"/>
      <c r="J3" s="32"/>
      <c r="L3" s="32"/>
      <c r="M3" s="32" t="s">
        <v>137</v>
      </c>
      <c r="N3" s="32"/>
      <c r="O3" s="32"/>
      <c r="P3" s="32"/>
      <c r="Q3" s="32"/>
      <c r="R3" s="32"/>
      <c r="S3" s="32"/>
      <c r="T3" s="32"/>
      <c r="U3" s="32"/>
      <c r="V3" s="32"/>
      <c r="W3" s="32"/>
      <c r="X3" s="32"/>
    </row>
    <row r="4" spans="1:24" ht="20.100000000000001" customHeight="1" x14ac:dyDescent="0.25">
      <c r="A4" s="5" t="str">
        <f>HYPERLINK("#'Overview'!A1", "Overview")</f>
        <v>Overview</v>
      </c>
    </row>
    <row r="5" spans="1:24" ht="20.100000000000001" customHeight="1" x14ac:dyDescent="0.25">
      <c r="A5" s="5" t="str">
        <f>HYPERLINK("#'Results'!A1", "Results")</f>
        <v>Results</v>
      </c>
      <c r="D5" s="2" t="str" cm="1">
        <f t="array" ref="D5">Fertiliser_Equations_InorganicN2O.VEERG_5_1_1_1__2_MassOfNitrogenInInorganicFertiliser_Title()</f>
        <v>Mass of nitrogen in inorganic fertiliser applied to production system</v>
      </c>
      <c r="M5" s="2" t="str" cm="1">
        <f t="array" ref="M5">Fertiliser_Equations_InorganicN2O.VEERG_5_1_1_2__1_EmissionFactorIrrigatedMaize_Title()</f>
        <v>Emission factor for nitrous oxide for irrigated maize</v>
      </c>
    </row>
    <row r="6" spans="1:24" ht="20.100000000000001" customHeight="1" x14ac:dyDescent="0.25">
      <c r="D6" s="27" t="str" cm="1">
        <f t="array" ref="D6">Fertiliser_Equations_InorganicN2O.VEERG_5_1_1_1__2_MassOfNitrogenInInorganicFertiliser_Source()</f>
        <v>VEERG 2026: 5.1.1.1, Equation (2)</v>
      </c>
      <c r="M6" s="27" t="str" cm="1">
        <f t="array" ref="M6">Fertiliser_Equations_InorganicN2O.VEERG_5_1_1_2__1_EmissionFactorIrrigatedMaize_Source()</f>
        <v>VEERG 2026: 5.1.1.2, Equation (1)</v>
      </c>
    </row>
    <row r="7" spans="1:24" ht="20.100000000000001" customHeight="1" x14ac:dyDescent="0.25">
      <c r="D7" s="118" t="s">
        <v>262</v>
      </c>
      <c r="E7" s="118" t="str" cm="1">
        <f t="array" aca="1" ref="E7" ca="1">Common_InputFunctions.Utility_DisplayFunctionName(G19)</f>
        <v>=Fertiliser_Equations_InorganicN2O.VEERG_5_1_1_1__2_MassOfNitrogenInInorganicFertiliser</v>
      </c>
    </row>
    <row r="8" spans="1:24" ht="20.100000000000001" customHeight="1" x14ac:dyDescent="0.25">
      <c r="A8" s="7" t="s">
        <v>0</v>
      </c>
    </row>
    <row r="9" spans="1:24" ht="20.100000000000001" customHeight="1" x14ac:dyDescent="0.25">
      <c r="A9" s="5" t="str">
        <f>HYPERLINK("#'Input - Enterprise'!A1", "Enterprise")</f>
        <v>Enterprise</v>
      </c>
      <c r="M9" s="87" t="s">
        <v>263</v>
      </c>
      <c r="N9" s="1" t="str" cm="1">
        <f t="array" ref="N9">Fertiliser_Equations_InorganicN2O.VEERG_5_1_1_2__1_EmissionFactorIrrigatedMaize_Variable()</f>
        <v>EF_fjIrrigatedMaizeN2O</v>
      </c>
    </row>
    <row r="10" spans="1:24" ht="20.100000000000001" customHeight="1" x14ac:dyDescent="0.25">
      <c r="A10" s="5" t="str">
        <f>HYPERLINK("#'Input - Site'!A1", "Site")</f>
        <v>Site</v>
      </c>
      <c r="D10" s="87" t="s">
        <v>263</v>
      </c>
      <c r="E10" s="1" t="str" cm="1">
        <f t="array" ref="E10">Fertiliser_Equations_InorganicN2O.VEERG_5_1_1_1__2_MassOfNitrogenInInorganicFertiliser_Variable()</f>
        <v>MN_jf</v>
      </c>
      <c r="M10" s="87" t="s">
        <v>122</v>
      </c>
      <c r="N10" s="15" t="str" cm="1">
        <f t="array" ref="N10">Fertiliser_Equations_InorganicN2O.VEERG_5_1_1_2__1_EmissionFactorIrrigatedMaize_Unit()</f>
        <v>kg N2O-N/kg N applied</v>
      </c>
    </row>
    <row r="11" spans="1:24" ht="20.100000000000001" customHeight="1" x14ac:dyDescent="0.25">
      <c r="A11" s="5" t="str">
        <f>HYPERLINK("#'Input - Dairy'!A1", "Dairy")</f>
        <v>Dairy</v>
      </c>
      <c r="D11" s="87" t="s">
        <v>122</v>
      </c>
      <c r="E11" s="15" t="str" cm="1">
        <f t="array" ref="E11">Fertiliser_Equations_InorganicN2O.VEERG_5_1_1_1__2_MassOfNitrogenInInorganicFertiliser_Unit()</f>
        <v>kg N</v>
      </c>
    </row>
    <row r="12" spans="1:24" ht="20.100000000000001" customHeight="1" x14ac:dyDescent="0.25">
      <c r="A12" s="5" t="str">
        <f>HYPERLINK("#'Input - Dairy (Enteric)'!A1", "Dairy (Enteric)")</f>
        <v>Dairy (Enteric)</v>
      </c>
      <c r="M12" s="132" t="str" cm="1">
        <f t="array" ref="M12:N13">_xlfn.CHOOSECOLS(Fertiliser_Equations_InorganicN2O.VEERG_5_1_1_2__1_EmissionFactorIrrigatedMaize_Arguments(), 1, 2)</f>
        <v>N_fjIrrigatedMaize</v>
      </c>
      <c r="N12" s="138" t="str">
        <v>application rate of inorganic fertiliser type f in the irrigated maize crop</v>
      </c>
      <c r="O12" s="146"/>
      <c r="P12" s="132" t="str" cm="1">
        <f t="array" ref="P12:Q13">_xlfn.CHOOSECOLS(Fertiliser_Equations_InorganicN2O.VEERG_5_1_1_2__1_EmissionFactorIrrigatedMaize_Arguments(), 3,4)</f>
        <v>kg N/ha</v>
      </c>
      <c r="Q12" s="121" t="str">
        <v>Input</v>
      </c>
      <c r="R12" s="185" t="str" cm="1">
        <f t="array" aca="1" ref="R12" ca="1">HYPERLINK(Common_InputFunctions.Utility_SourceHyperlink($M$41), $M$41)</f>
        <v>M2_Table_FertApplications</v>
      </c>
      <c r="S12" s="186"/>
    </row>
    <row r="13" spans="1:24" ht="20.100000000000001" customHeight="1" x14ac:dyDescent="0.25">
      <c r="A13" s="5" t="str">
        <f>HYPERLINK("#'Input - Livestock sales'!A1", "Livestock sales")</f>
        <v>Livestock sales</v>
      </c>
      <c r="D13" s="132" t="str" cm="1">
        <f t="array" ref="D13:E14">_xlfn.CHOOSECOLS(Fertiliser_Equations_InorganicN2O.VEERG_5_1_1_1__2_MassOfNitrogenInInorganicFertiliser_Arguments(), 1,2)</f>
        <v>TM_jf</v>
      </c>
      <c r="E13" s="132" t="str">
        <v>total mass of inorganic fertiliser type f applied to production system j</v>
      </c>
      <c r="F13" s="132"/>
      <c r="G13" s="132" t="str" cm="1">
        <f t="array" ref="G13:H14">_xlfn.CHOOSECOLS(Fertiliser_Equations_InorganicN2O.VEERG_5_1_1_1__2_MassOfNitrogenInInorganicFertiliser_Arguments(), 3,4)</f>
        <v>kg</v>
      </c>
      <c r="H13" s="121" t="str">
        <v>Input</v>
      </c>
      <c r="I13" s="127" t="str" cm="1">
        <f t="array" aca="1" ref="I13" ca="1">HYPERLINK(Common_InputFunctions.Utility_SourceHyperlink($D$16), $D$16)</f>
        <v>Table_MN_j_f</v>
      </c>
      <c r="M13" s="132" t="str">
        <v>f</v>
      </c>
      <c r="N13" s="138" t="str">
        <v>Inorganic fertiliser type</v>
      </c>
      <c r="O13" s="146"/>
      <c r="P13" s="132" t="str">
        <v/>
      </c>
      <c r="Q13" s="128" t="str">
        <v>Constant</v>
      </c>
      <c r="R13" s="138" t="s">
        <v>616</v>
      </c>
      <c r="S13" s="186"/>
    </row>
    <row r="14" spans="1:24" ht="20.100000000000001" customHeight="1" x14ac:dyDescent="0.25">
      <c r="A14" s="5" t="str">
        <f>HYPERLINK("#'Input - Dairy cattle purchases'!A1", "Dairy cattle purchases")</f>
        <v>Dairy cattle purchases</v>
      </c>
      <c r="D14" s="132" t="str">
        <v>FN_inorganicf</v>
      </c>
      <c r="E14" s="138" t="str">
        <v xml:space="preserve">fraction of nitrogen in inorganic fertiliser type f </v>
      </c>
      <c r="F14" s="143"/>
      <c r="G14" s="132" t="str">
        <v>kg N/kg</v>
      </c>
      <c r="H14" s="128" t="str">
        <v>Constant</v>
      </c>
      <c r="I14" s="127" t="str" cm="1">
        <f t="array" aca="1" ref="I14" ca="1">HYPERLINK(Common_InputFunctions.Utility_SourceHyperlink($D$16), $D$16)</f>
        <v>Table_MN_j_f</v>
      </c>
    </row>
    <row r="15" spans="1:24" ht="20.100000000000001" customHeight="1" x14ac:dyDescent="0.25">
      <c r="A15" s="5" t="str">
        <f>HYPERLINK("#'Input - Pasture'!A1", "Pasture")</f>
        <v>Pasture</v>
      </c>
    </row>
    <row r="16" spans="1:24" ht="20.100000000000001" customHeight="1" x14ac:dyDescent="0.25">
      <c r="A16" s="5" t="str">
        <f>HYPERLINK("#'Input - Fert Prod System'!A1", "Fert Prod System")</f>
        <v>Fert Prod System</v>
      </c>
      <c r="D16" s="122" t="s">
        <v>617</v>
      </c>
      <c r="M16" s="2"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5" t="str">
        <f>HYPERLINK("#'Input - Fertiliser'!A1", "Fertiliser")</f>
        <v>Fertiliser</v>
      </c>
      <c r="D17" s="123" t="s">
        <v>618</v>
      </c>
      <c r="M17" s="27" t="str" cm="1">
        <f t="array" ref="M17">Fertiliser_Equations_InorganicN2O.VEERG_5_1_1_2__2_EmissionFactorNonIrrigatedGrainsHighRainfall_Source()</f>
        <v>VEERG 2026: 5.1.1.2, Equation (2)</v>
      </c>
    </row>
    <row r="18" spans="1:19" ht="20.100000000000001" customHeight="1" x14ac:dyDescent="0.25">
      <c r="A18" s="5" t="str">
        <f>HYPERLINK("#'Input - Fuel'!A1", "Fuel")</f>
        <v>Fuel</v>
      </c>
      <c r="D18" s="124" t="s">
        <v>619</v>
      </c>
      <c r="E18" s="94" t="s">
        <v>620</v>
      </c>
      <c r="F18" s="124" t="s">
        <v>621</v>
      </c>
      <c r="G18" s="124" t="s">
        <v>622</v>
      </c>
    </row>
    <row r="19" spans="1:19" ht="20.100000000000001" customHeight="1" x14ac:dyDescent="0.25">
      <c r="A19" s="5" t="str">
        <f>HYPERLINK("#'Input - Electricity'!A1", "Electricity")</f>
        <v>Electricity</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f],Table_Fertiliser_ChemicalCompounds[FNinorganic f])</f>
        <v>0.1</v>
      </c>
      <c r="G19" s="25" cm="1">
        <f t="array" ref="G19">Fertiliser_Equations_InorganicN2O.VEERG_5_1_1_1__2_MassOfNitrogenInInorganicFertiliser(E19,F19)</f>
        <v>0</v>
      </c>
    </row>
    <row r="20" spans="1:19" ht="20.100000000000001" customHeight="1" x14ac:dyDescent="0.25">
      <c r="A20" s="5" t="str">
        <f>HYPERLINK("#'Input - Farm Inputs'!A1", "Farm Inputs")</f>
        <v>Farm Inputs</v>
      </c>
      <c r="D20" s="25" t="str">
        <v>Diammonium phosphate (DAP)</v>
      </c>
      <c r="E20" s="2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f],Table_Fertiliser_ChemicalCompounds[FNinorganic f])</f>
        <v>0.18</v>
      </c>
      <c r="G20" s="25" cm="1">
        <f t="array" ref="G20">Fertiliser_Equations_InorganicN2O.VEERG_5_1_1_1__2_MassOfNitrogenInInorganicFertiliser(E20,F20)</f>
        <v>0</v>
      </c>
      <c r="M20" s="87" t="s">
        <v>263</v>
      </c>
      <c r="N20" s="1" t="str" cm="1">
        <f t="array" ref="N20">Fertiliser_Equations_InorganicN2O.VEERG_5_1_1_2__2_EmissionFactorNonIrrigatedGrainsHighRainfall_Variable()</f>
        <v>EF_fjNonIrrigatedGrainsN2O</v>
      </c>
    </row>
    <row r="21" spans="1:19" ht="20.100000000000001" customHeight="1" x14ac:dyDescent="0.25">
      <c r="A21" s="5" t="str">
        <f>HYPERLINK("#'Input - Freight'!A1", "Freight")</f>
        <v>Freight</v>
      </c>
      <c r="D21" s="25" t="str">
        <v>Urea</v>
      </c>
      <c r="E21" s="2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100000</v>
      </c>
      <c r="F21" s="25" cm="1">
        <f t="array" ref="F21">Common_InputFunctions.Utility_LookupValueInTableNumber(D21,Table_Fertiliser_ChemicalCompounds[Fertiliser type f],Table_Fertiliser_ChemicalCompounds[FNinorganic f])</f>
        <v>0.46</v>
      </c>
      <c r="G21" s="25" cm="1">
        <f t="array" ref="G21">Fertiliser_Equations_InorganicN2O.VEERG_5_1_1_1__2_MassOfNitrogenInInorganicFertiliser(E21,F21)</f>
        <v>46000</v>
      </c>
      <c r="M21" s="87" t="s">
        <v>122</v>
      </c>
      <c r="N21" s="15" t="str" cm="1">
        <f t="array" ref="N21">Fertiliser_Equations_InorganicN2O.VEERG_5_1_1_2__2_EmissionFactorNonIrrigatedGrainsHighRainfall_Unit()</f>
        <v>kg N2O-N/kg N applied</v>
      </c>
    </row>
    <row r="22" spans="1:19" ht="20.100000000000001" customHeight="1" x14ac:dyDescent="0.25">
      <c r="A22" s="5" t="str">
        <f>HYPERLINK("#'Input - Manure sent off-site'!A1", "Manure sent off-site")</f>
        <v>Manure sent off-site</v>
      </c>
      <c r="D22" s="25" t="str">
        <v>Sulphate of ammonia (SOA)</v>
      </c>
      <c r="E22" s="2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f],Table_Fertiliser_ChemicalCompounds[FNinorganic f])</f>
        <v>0.21</v>
      </c>
      <c r="G22" s="25" cm="1">
        <f t="array" ref="G22">Fertiliser_Equations_InorganicN2O.VEERG_5_1_1_1__2_MassOfNitrogenInInorganicFertiliser(E22,F22)</f>
        <v>0</v>
      </c>
    </row>
    <row r="23" spans="1:19" ht="20.100000000000001" customHeight="1" x14ac:dyDescent="0.25">
      <c r="A23" s="5" t="str">
        <f>HYPERLINK("#'Input - Solid waste'!A1", "Solid waste")</f>
        <v>Solid waste</v>
      </c>
      <c r="D23" s="25" t="str">
        <v>Urea-ammonium nitrate (UAN)</v>
      </c>
      <c r="E23" s="2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f],Table_Fertiliser_ChemicalCompounds[FNinorganic f])</f>
        <v>0.32</v>
      </c>
      <c r="G23" s="25" cm="1">
        <f t="array" ref="G23">Fertiliser_Equations_InorganicN2O.VEERG_5_1_1_1__2_MassOfNitrogenInInorganicFertiliser(E23,F23)</f>
        <v>0</v>
      </c>
      <c r="M23" s="132" t="str" cm="1">
        <f t="array" ref="M23:N24">_xlfn.CHOOSECOLS(Fertiliser_Equations_InorganicN2O.VEERG_5_1_1_2__2_EmissionFactorNonIrrigatedGrainsHighRainfall_Arguments(), 1, 2)</f>
        <v>N_fjNonIrrigatedGrains</v>
      </c>
      <c r="N23" s="138" t="str">
        <v>application rate of inorganic fertiliser type f in the grains crop</v>
      </c>
      <c r="O23" s="146"/>
      <c r="P23" s="132" t="str" cm="1">
        <f t="array" ref="P23:Q24">_xlfn.CHOOSECOLS(Fertiliser_Equations_InorganicN2O.VEERG_5_1_1_2__2_EmissionFactorNonIrrigatedGrainsHighRainfall_Arguments(), 3,4)</f>
        <v>kg N/ha</v>
      </c>
      <c r="Q23" s="121" t="str">
        <v>Input</v>
      </c>
      <c r="R23" s="185" t="str" cm="1">
        <f t="array" aca="1" ref="R23" ca="1">HYPERLINK(Common_InputFunctions.Utility_SourceHyperlink($M$41), $M$41)</f>
        <v>M2_Table_FertApplications</v>
      </c>
      <c r="S23" s="143"/>
    </row>
    <row r="24" spans="1:19" ht="20.100000000000001" customHeight="1" x14ac:dyDescent="0.25">
      <c r="A24" s="5" t="str">
        <f>HYPERLINK("#'Input - Data quality'!A1", "Data quality")</f>
        <v>Data quality</v>
      </c>
      <c r="D24" s="25" t="str">
        <v>Ammonium nitrate (AN)</v>
      </c>
      <c r="E24" s="2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f],Table_Fertiliser_ChemicalCompounds[FNinorganic f])</f>
        <v>0.33700000000000002</v>
      </c>
      <c r="G24" s="25" cm="1">
        <f t="array" ref="G24">Fertiliser_Equations_InorganicN2O.VEERG_5_1_1_1__2_MassOfNitrogenInInorganicFertiliser(E24,F24)</f>
        <v>0</v>
      </c>
      <c r="I24" s="26"/>
      <c r="M24" s="132" t="str">
        <v>f</v>
      </c>
      <c r="N24" s="138" t="str">
        <v>Inorganic fertiliser type</v>
      </c>
      <c r="O24" s="146"/>
      <c r="P24" s="132" t="str">
        <v/>
      </c>
      <c r="Q24" s="128" t="str">
        <v>Constant</v>
      </c>
      <c r="R24" s="138" t="s">
        <v>616</v>
      </c>
      <c r="S24" s="143"/>
    </row>
    <row r="25" spans="1:19" ht="20.100000000000001" customHeight="1" x14ac:dyDescent="0.25">
      <c r="D25" s="25" t="str">
        <v>Calcium ammonium nitrate (CAN)</v>
      </c>
      <c r="E25" s="2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f],Table_Fertiliser_ChemicalCompounds[FNinorganic f])</f>
        <v>0.27</v>
      </c>
      <c r="G25" s="25" cm="1">
        <f t="array" ref="G25">Fertiliser_Equations_InorganicN2O.VEERG_5_1_1_1__2_MassOfNitrogenInInorganicFertiliser(E25,F25)</f>
        <v>0</v>
      </c>
      <c r="I25" s="26"/>
    </row>
    <row r="26" spans="1:19" ht="20.100000000000001" customHeight="1" x14ac:dyDescent="0.25">
      <c r="D26" s="25" t="str">
        <v>Nitrogen - Ammoniacal</v>
      </c>
      <c r="E26" s="2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f],Table_Fertiliser_ChemicalCompounds[FNinorganic f])</f>
        <v>1</v>
      </c>
      <c r="G26" s="25" cm="1">
        <f t="array" ref="G26">Fertiliser_Equations_InorganicN2O.VEERG_5_1_1_1__2_MassOfNitrogenInInorganicFertiliser(E26,F26)</f>
        <v>0</v>
      </c>
      <c r="I26" s="26"/>
    </row>
    <row r="27" spans="1:19" ht="20.100000000000001" customHeight="1" x14ac:dyDescent="0.25">
      <c r="A27" s="6" t="s">
        <v>2</v>
      </c>
      <c r="D27" s="25" t="str">
        <v>Nitrogen - Nitrate</v>
      </c>
      <c r="E27" s="2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19800</v>
      </c>
      <c r="F27" s="25" cm="1">
        <f t="array" ref="F27">Common_InputFunctions.Utility_LookupValueInTableNumber(D27,Table_Fertiliser_ChemicalCompounds[Fertiliser type f],Table_Fertiliser_ChemicalCompounds[FNinorganic f])</f>
        <v>1</v>
      </c>
      <c r="G27" s="25" cm="1">
        <f t="array" ref="G27">Fertiliser_Equations_InorganicN2O.VEERG_5_1_1_1__2_MassOfNitrogenInInorganicFertiliser(E27,F27)</f>
        <v>19800</v>
      </c>
      <c r="I27" s="26"/>
      <c r="M27" s="2" t="str" cm="1">
        <f t="array" ref="M27">Fertiliser_Equations_InorganicN2O.VEERG_5_1_1_2__3_EmissionFactorCotton_Title()</f>
        <v>Emission factor for nitrous oxide for cotton</v>
      </c>
    </row>
    <row r="28" spans="1:19" ht="20.100000000000001" customHeight="1" x14ac:dyDescent="0.25">
      <c r="A28" s="119" t="str">
        <f>HYPERLINK("#'5.1.1.1-2 Inorganic fert N2O'!A1", "5.1.1.1-2 Inorganic fert N2O")</f>
        <v>5.1.1.1-2 Inorganic fert N2O</v>
      </c>
      <c r="D28" s="25" t="str">
        <v>Nitrogen - Generic</v>
      </c>
      <c r="E28" s="2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25" cm="1">
        <f t="array" ref="F28">Common_InputFunctions.Utility_LookupValueInTableNumber(D28,Table_Fertiliser_ChemicalCompounds[Fertiliser type f],Table_Fertiliser_ChemicalCompounds[FNinorganic f])</f>
        <v>1</v>
      </c>
      <c r="G28" s="25" cm="1">
        <f t="array" ref="G28">Fertiliser_Equations_InorganicN2O.VEERG_5_1_1_1__2_MassOfNitrogenInInorganicFertiliser(E28,F28)</f>
        <v>15372</v>
      </c>
      <c r="I28" s="26"/>
      <c r="M28" s="27" t="str" cm="1">
        <f t="array" ref="M28">Fertiliser_Equations_InorganicN2O.VEERG_5_1_1_2__3_EmissionFactorCotton_Source()</f>
        <v>VEERG 2026: 5.1.1.2, Equation (3)</v>
      </c>
    </row>
    <row r="29" spans="1:19" ht="20.100000000000001" customHeight="1" x14ac:dyDescent="0.25">
      <c r="A29" s="5" t="str">
        <f>HYPERLINK("#'5.1.1.3-4 Inorganic fert CO2'!A1", "5.1.1.3-4 Inorganic fert CO2")</f>
        <v>5.1.1.3-4 Inorganic fert CO2</v>
      </c>
      <c r="D29" s="25" t="str">
        <v>Phosphorus - Generic</v>
      </c>
      <c r="E29" s="2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25" cm="1">
        <f t="array" ref="F29">Common_InputFunctions.Utility_LookupValueInTableNumber(D29,Table_Fertiliser_ChemicalCompounds[Fertiliser type f],Table_Fertiliser_ChemicalCompounds[FNinorganic f])</f>
        <v>0</v>
      </c>
      <c r="G29" s="25" cm="1">
        <f t="array" ref="G29">Fertiliser_Equations_InorganicN2O.VEERG_5_1_1_1__2_MassOfNitrogenInInorganicFertiliser(E29,F29)</f>
        <v>0</v>
      </c>
      <c r="I29" s="26"/>
    </row>
    <row r="30" spans="1:19" ht="20.100000000000001" customHeight="1" x14ac:dyDescent="0.25">
      <c r="A30" s="5" t="str">
        <f>HYPERLINK("#'5.2.1.1-2 Organic Fert N2O'!A1", "5.2.1.1-2 Organic fert N2O")</f>
        <v>5.2.1.1-2 Organic fert N2O</v>
      </c>
      <c r="D30" s="25" t="str">
        <v>Potassium - Generic</v>
      </c>
      <c r="E30" s="2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61580</v>
      </c>
      <c r="F30" s="25" cm="1">
        <f t="array" ref="F30">Common_InputFunctions.Utility_LookupValueInTableNumber(D30,Table_Fertiliser_ChemicalCompounds[Fertiliser type f],Table_Fertiliser_ChemicalCompounds[FNinorganic f])</f>
        <v>0</v>
      </c>
      <c r="G30" s="25" cm="1">
        <f t="array" ref="G30">Fertiliser_Equations_InorganicN2O.VEERG_5_1_1_1__2_MassOfNitrogenInInorganicFertiliser(E30,F30)</f>
        <v>0</v>
      </c>
      <c r="I30" s="26"/>
    </row>
    <row r="31" spans="1:19" ht="20.100000000000001" customHeight="1" x14ac:dyDescent="0.25">
      <c r="A31" s="5" t="str">
        <f>HYPERLINK("#'5.3.1.1-2 Lime CO2'!A1", "5.3.1.1-2 Lime CO2")</f>
        <v>5.3.1.1-2 Lime CO2</v>
      </c>
      <c r="D31" s="25" t="str">
        <v>Sulfur - Generic</v>
      </c>
      <c r="E31" s="2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31" s="25" cm="1">
        <f t="array" ref="F31">Common_InputFunctions.Utility_LookupValueInTableNumber(D31,Table_Fertiliser_ChemicalCompounds[Fertiliser type f],Table_Fertiliser_ChemicalCompounds[FNinorganic f])</f>
        <v>0</v>
      </c>
      <c r="G31" s="25" cm="1">
        <f t="array" ref="G31">Fertiliser_Equations_InorganicN2O.VEERG_5_1_1_1__2_MassOfNitrogenInInorganicFertiliser(E31,F31)</f>
        <v>0</v>
      </c>
      <c r="I31" s="26"/>
    </row>
    <row r="32" spans="1:19" ht="20.100000000000001" customHeight="1" x14ac:dyDescent="0.25">
      <c r="A32" s="5" t="str">
        <f>HYPERLINK("#'5.4.1.1-4 Atmos deposition'!A1", "5.4.1.1-4 Atmos. deposition")</f>
        <v>5.4.1.1-4 Atmos. deposition</v>
      </c>
      <c r="D32" s="25" t="str">
        <v>Zinc - Generic</v>
      </c>
      <c r="E32" s="2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25" cm="1">
        <f t="array" ref="F32">Common_InputFunctions.Utility_LookupValueInTableNumber(D32,Table_Fertiliser_ChemicalCompounds[Fertiliser type f],Table_Fertiliser_ChemicalCompounds[FNinorganic f])</f>
        <v>0</v>
      </c>
      <c r="G32" s="25" cm="1">
        <f t="array" ref="G32">Fertiliser_Equations_InorganicN2O.VEERG_5_1_1_1__2_MassOfNitrogenInInorganicFertiliser(E32,F32)</f>
        <v>0</v>
      </c>
      <c r="I32" s="26"/>
      <c r="M32" s="87" t="s">
        <v>263</v>
      </c>
      <c r="N32" s="1" t="str" cm="1">
        <f t="array" ref="N32">Fertiliser_Equations_InorganicN2O.VEERG_5_1_1_2__3_EmissionFactorCotton_Variable()</f>
        <v>EF_fjCottonN2O</v>
      </c>
    </row>
    <row r="33" spans="1:23" ht="20.100000000000001" customHeight="1" x14ac:dyDescent="0.25">
      <c r="A33" s="5" t="str">
        <f>HYPERLINK("#'5.5.1.1-2 Leaching and runoff'!A1", "5.5.1.1-2 Leaching &amp; runoff")</f>
        <v>5.5.1.1-2 Leaching &amp; runoff</v>
      </c>
      <c r="D33" s="25" t="str">
        <v>Muriate of potash (MOP)</v>
      </c>
      <c r="E33" s="2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f],Table_Fertiliser_ChemicalCompounds[FNinorganic f])</f>
        <v>0</v>
      </c>
      <c r="G33" s="25" cm="1">
        <f t="array" ref="G33">Fertiliser_Equations_InorganicN2O.VEERG_5_1_1_1__2_MassOfNitrogenInInorganicFertiliser(E33,F33)</f>
        <v>0</v>
      </c>
      <c r="I33" s="26"/>
      <c r="M33" s="87" t="s">
        <v>122</v>
      </c>
      <c r="N33" s="15" t="str" cm="1">
        <f t="array" ref="N33">Fertiliser_Equations_InorganicN2O.VEERG_5_1_1_2__3_EmissionFactorCotton_Unit()</f>
        <v>kg N2O-N/kg N applied</v>
      </c>
    </row>
    <row r="34" spans="1:23" ht="20.100000000000001" customHeight="1" x14ac:dyDescent="0.25">
      <c r="A34" s="5" t="str">
        <f>HYPERLINK("#'6.2.1.1-2 Pasture residue N2O'!A1", "6.2.1.1-2 Pasture residue N2O")</f>
        <v>6.2.1.1-2 Pasture residue N2O</v>
      </c>
      <c r="D34" s="25" t="str">
        <v>Double superphosphate</v>
      </c>
      <c r="E34" s="2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f],Table_Fertiliser_ChemicalCompounds[FNinorganic f])</f>
        <v>0</v>
      </c>
      <c r="G34" s="25" cm="1">
        <f t="array" ref="G34">Fertiliser_Equations_InorganicN2O.VEERG_5_1_1_1__2_MassOfNitrogenInInorganicFertiliser(E34,F34)</f>
        <v>0</v>
      </c>
      <c r="I34" s="26"/>
    </row>
    <row r="35" spans="1:23" ht="20.100000000000001" customHeight="1" x14ac:dyDescent="0.25">
      <c r="A35" s="5" t="str">
        <f>HYPERLINK("#'6.3.1.1-2 Leach runoff pasture'!A1", "6.3.1.1-2 Leach &amp; runoff (pasture)")</f>
        <v>6.3.1.1-2 Leach &amp; runoff (pasture)</v>
      </c>
      <c r="D35" s="25" t="str">
        <v>Single superphosphate (SSP)</v>
      </c>
      <c r="E35" s="2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f],Table_Fertiliser_ChemicalCompounds[FNinorganic f])</f>
        <v>0</v>
      </c>
      <c r="G35" s="25" cm="1">
        <f t="array" ref="G35">Fertiliser_Equations_InorganicN2O.VEERG_5_1_1_1__2_MassOfNitrogenInInorganicFertiliser(E35,F35)</f>
        <v>0</v>
      </c>
      <c r="I35" s="26"/>
      <c r="M35" s="132" t="str" cm="1">
        <f t="array" ref="M35:N36">_xlfn.CHOOSECOLS(Fertiliser_Equations_InorganicN2O.VEERG_5_1_1_2__3_EmissionFactorCotton_Arguments(), 1, 2)</f>
        <v>N_fjCotton</v>
      </c>
      <c r="N35" s="138" t="str">
        <v>application rate of inorganic fertiliser type f in the cotton crop</v>
      </c>
      <c r="O35" s="146"/>
      <c r="P35" s="138" t="str" cm="1">
        <f t="array" ref="P35:Q36">_xlfn.CHOOSECOLS(Fertiliser_Equations_InorganicN2O.VEERG_5_1_1_2__3_EmissionFactorCotton_Arguments(), 3,4)</f>
        <v>kg N/ha</v>
      </c>
      <c r="Q35" s="121" t="str">
        <v>Input</v>
      </c>
      <c r="R35" s="185" t="str" cm="1">
        <f t="array" aca="1" ref="R35" ca="1">HYPERLINK(Common_InputFunctions.Utility_SourceHyperlink($M$41), $M$41)</f>
        <v>M2_Table_FertApplications</v>
      </c>
      <c r="S35" s="143"/>
    </row>
    <row r="36" spans="1:23" ht="20.100000000000001" customHeight="1" x14ac:dyDescent="0.25">
      <c r="A36" s="5" t="str">
        <f>HYPERLINK("#'8.1.1.1-2 Transport fuel'!A1", "8.1.1.1-2 Transport fuel")</f>
        <v>8.1.1.1-2 Transport fuel</v>
      </c>
      <c r="D36" s="25" t="str">
        <v>Ammonia</v>
      </c>
      <c r="E36" s="2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25" cm="1">
        <f t="array" ref="F36">Common_InputFunctions.Utility_LookupValueInTableNumber(D36,Table_Fertiliser_ChemicalCompounds[Fertiliser type f],Table_Fertiliser_ChemicalCompounds[FNinorganic f])</f>
        <v>0.82350000000000001</v>
      </c>
      <c r="G36" s="25" cm="1">
        <f t="array" ref="G36">Fertiliser_Equations_InorganicN2O.VEERG_5_1_1_1__2_MassOfNitrogenInInorganicFertiliser(E36,F36)</f>
        <v>41175</v>
      </c>
      <c r="I36" s="26"/>
      <c r="M36" s="132" t="str">
        <v>f</v>
      </c>
      <c r="N36" s="138" t="str">
        <v>Inorganic fertiliser type</v>
      </c>
      <c r="O36" s="146"/>
      <c r="P36" s="138" t="str">
        <v/>
      </c>
      <c r="Q36" s="128" t="str">
        <v>Constant</v>
      </c>
      <c r="R36" s="138" t="s">
        <v>616</v>
      </c>
      <c r="S36" s="143"/>
    </row>
    <row r="37" spans="1:23" ht="20.100000000000001" customHeight="1" x14ac:dyDescent="0.25">
      <c r="A37" s="5" t="str">
        <f>HYPERLINK("#'8.2.1.1-2 Stationary fuel'!A1", "8.2.1.1-2 Stationary fuel")</f>
        <v>8.2.1.1-2 Stationary fuel</v>
      </c>
      <c r="D37" s="25" t="str">
        <v>Calcium nitrate</v>
      </c>
      <c r="E37" s="2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25" cm="1">
        <f t="array" ref="F37">Common_InputFunctions.Utility_LookupValueInTableNumber(D37,Table_Fertiliser_ChemicalCompounds[Fertiliser type f],Table_Fertiliser_ChemicalCompounds[FNinorganic f])</f>
        <v>0.155</v>
      </c>
      <c r="G37" s="25" cm="1">
        <f t="array" ref="G37">Fertiliser_Equations_InorganicN2O.VEERG_5_1_1_1__2_MassOfNitrogenInInorganicFertiliser(E37,F37)</f>
        <v>7750</v>
      </c>
      <c r="H37" s="87"/>
      <c r="I37" s="26"/>
    </row>
    <row r="38" spans="1:23" ht="20.100000000000001" customHeight="1" x14ac:dyDescent="0.25">
      <c r="A38" s="5" t="str">
        <f>HYPERLINK("#'14.1.1-2 Purchased electricity'!A1", "14.1.1-2 Purchased electricity")</f>
        <v>14.1.1-2 Purchased electricity</v>
      </c>
      <c r="N38" s="91"/>
      <c r="O38" s="91"/>
      <c r="P38" s="91"/>
    </row>
    <row r="39" spans="1:23" ht="20.100000000000001" customHeight="1" x14ac:dyDescent="0.25">
      <c r="A39" s="5" t="str">
        <f>HYPERLINK("#'15 Scope 3'!A1", "15 Scope 3")</f>
        <v>15 Scope 3</v>
      </c>
      <c r="C39" s="101"/>
      <c r="D39" s="101"/>
      <c r="E39" s="101"/>
      <c r="F39" s="101"/>
      <c r="G39" s="101"/>
      <c r="H39" s="101"/>
      <c r="I39" s="101"/>
      <c r="J39" s="101"/>
      <c r="M39" s="91" t="s">
        <v>623</v>
      </c>
    </row>
    <row r="40" spans="1:23" ht="20.100000000000001" customHeight="1" x14ac:dyDescent="0.25">
      <c r="A40" s="5" t="str">
        <f>HYPERLINK("#'Calcs - Manure sent off-site'!A1", "Calcs - Manure sent off-site")</f>
        <v>Calcs - Manure sent off-site</v>
      </c>
      <c r="D40" s="2"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A41" s="5" t="str">
        <f>HYPERLINK("#'4.3.1.1-2 Methane'!A1", "4.3.1.1-2 Methane")</f>
        <v>4.3.1.1-2 Methane</v>
      </c>
      <c r="D41" s="27" t="str" cm="1">
        <f t="array" ref="D41">Fertiliser_Equations_InorganicN2O.VEERG_5_1_1_1__1_InorganicFertiliserApplicationN2OEmissions_Source()</f>
        <v>VEERG 2026: 5.1.1.1, Equation (1)</v>
      </c>
      <c r="M41" s="122" t="s">
        <v>624</v>
      </c>
      <c r="T41" s="150" t="s">
        <v>625</v>
      </c>
    </row>
    <row r="42" spans="1:23" ht="20.100000000000001" customHeight="1" x14ac:dyDescent="0.25">
      <c r="A42" s="5" t="str">
        <f>HYPERLINK("#'4.3.1.3-4 Direct N20'!A1", "4.3.1.3-4 Direct N20")</f>
        <v>4.3.1.3-4 Direct N20</v>
      </c>
      <c r="D42" s="118" t="s">
        <v>262</v>
      </c>
      <c r="E42" s="118" t="str" cm="1">
        <f t="array" aca="1" ref="E42" ca="1">Common_InputFunctions.Utility_DisplayFunctionName($E$60)</f>
        <v>=Fertiliser_Equations_InorganicN2O.VEERG_5_1_1_1__1_InorganicFertiliserApplicationN2OEmissions</v>
      </c>
      <c r="F42" s="26"/>
      <c r="M42" s="123" t="s">
        <v>626</v>
      </c>
    </row>
    <row r="43" spans="1:23" ht="20.100000000000001" customHeight="1" x14ac:dyDescent="0.25">
      <c r="A43" s="5" t="str">
        <f>HYPERLINK("#'4.3.1.5 Atmos deposition'!A1", "4.3.1.5 Atmos deposition")</f>
        <v>4.3.1.5 Atmos deposition</v>
      </c>
      <c r="F43" s="26"/>
      <c r="O43" s="187" t="s">
        <v>627</v>
      </c>
      <c r="P43" s="187" t="s">
        <v>628</v>
      </c>
      <c r="Q43" s="187" t="s">
        <v>629</v>
      </c>
      <c r="R43" s="187" t="str">
        <f>$N$10</f>
        <v>kg N2O-N/kg N applied</v>
      </c>
      <c r="S43" s="187" t="str">
        <f>$N$21</f>
        <v>kg N2O-N/kg N applied</v>
      </c>
      <c r="T43" s="187" t="s">
        <v>627</v>
      </c>
      <c r="U43" s="187" t="s">
        <v>629</v>
      </c>
      <c r="V43" s="187" t="str">
        <f>$N$33</f>
        <v>kg N2O-N/kg N applied</v>
      </c>
      <c r="W43" s="187" t="s">
        <v>630</v>
      </c>
    </row>
    <row r="44" spans="1:23" ht="20.100000000000001" customHeight="1" x14ac:dyDescent="0.25">
      <c r="A44" s="5" t="str">
        <f>HYPERLINK("#'4.3.1.6-7 Leaching and runoff'!A1", "4.3.1.6-7 Leaching and runoff")</f>
        <v>4.3.1.6-7 Leaching and runoff</v>
      </c>
      <c r="F44" s="26"/>
      <c r="M44" s="124" t="s">
        <v>631</v>
      </c>
      <c r="N44" s="94" t="s">
        <v>631</v>
      </c>
      <c r="O44" s="94" t="s">
        <v>632</v>
      </c>
      <c r="P44" s="94" t="s">
        <v>633</v>
      </c>
      <c r="Q44" s="124" t="s">
        <v>634</v>
      </c>
      <c r="R44" s="124" t="str">
        <f>N9</f>
        <v>EF_fjIrrigatedMaizeN2O</v>
      </c>
      <c r="S44" s="124" t="str">
        <f>N20</f>
        <v>EF_fjNonIrrigatedGrainsN2O</v>
      </c>
      <c r="T44" s="124" t="s">
        <v>635</v>
      </c>
      <c r="U44" s="124" t="s">
        <v>636</v>
      </c>
      <c r="V44" s="124" t="str">
        <f>N32</f>
        <v>EF_fjCottonN2O</v>
      </c>
      <c r="W44" s="124" t="s">
        <v>637</v>
      </c>
    </row>
    <row r="45" spans="1:23" ht="20.100000000000001" customHeight="1" x14ac:dyDescent="0.25">
      <c r="A45" s="5" t="str">
        <f>HYPERLINK("#'4.3.1.8 Manure applied to soils'!A1", "4.3.1.8 Manure applied to soils")</f>
        <v>4.3.1.8 Manure applied to soils</v>
      </c>
      <c r="F45" s="26"/>
      <c r="M45" s="25" t="s">
        <v>638</v>
      </c>
      <c r="N45" s="25" t="str" cm="1">
        <f t="array" ref="N45:N49">Table_Input_InorganicFertiliser_Brands[Product (select)]</f>
        <v>Aqua Finish</v>
      </c>
      <c r="O45" s="25" cm="1">
        <f t="array" ref="O45:O49">Table_Input_InorganicFertiliser_Brands[N application rate (kg/ha)]</f>
        <v>3.2759999999999998</v>
      </c>
      <c r="P45" s="25" cm="1">
        <f t="array" ref="P45:P49">Table_Input_InorganicFertiliser_Brands[Application area (ha)]</f>
        <v>1000</v>
      </c>
      <c r="Q45" s="25">
        <f>O45*P45</f>
        <v>3276</v>
      </c>
      <c r="R45" s="25" cm="1">
        <f t="array" ref="R45">IF(O45&gt;0, Fertiliser_Equations_InorganicN2O.VEERG_5_1_1_2__1_EmissionFactorIrrigatedMaize(O45), 0)</f>
        <v>-1.2741640000000002E-3</v>
      </c>
      <c r="S45" s="25" cm="1">
        <f t="array" ref="S45">IF(O45&gt;0, Fertiliser_Equations_InorganicN2O.VEERG_5_1_1_2__2_EmissionFactorNonIrrigatedGrainsHighRainfall(O45), 0)</f>
        <v>1.0267E-3</v>
      </c>
      <c r="T45" s="25">
        <f>IF(O45&gt;0, MIN(300, O45), 0)</f>
        <v>3.2759999999999998</v>
      </c>
      <c r="U45" s="25">
        <f>P45*T45</f>
        <v>3276</v>
      </c>
      <c r="V45" s="25" cm="1">
        <f t="array" ref="V45">IF(O45&gt;0, Fertiliser_Equations_InorganicN2O.VEERG_5_1_1_2__3_EmissionFactorCotton(T45), 0)</f>
        <v>2.902753508679765E-5</v>
      </c>
      <c r="W45" s="25">
        <f>IF(O45&gt;0,Common_InputFunctions.Utility_LookupN2OEFFromProdIrrigationRainfall($S$70,$S$73,$S$74,Table_SourceData_Common_EFN2O[Production system only],Table_SourceData_Common_EFN2O[Irrigation method],Table_SourceData_Common_EFN2O[Rainfall zone],Table_SourceData_Common_EFN2O[EFN2O]), 0)</f>
        <v>5.8999999999999999E-3</v>
      </c>
    </row>
    <row r="46" spans="1:23" ht="20.100000000000001" customHeight="1" x14ac:dyDescent="0.25">
      <c r="A46" s="5" t="str">
        <f>HYPERLINK("#'4.3.1.9 Soil direct N2O'!A1", "4.3.1.9 Soil direct N2O")</f>
        <v>4.3.1.9 Soil direct N2O</v>
      </c>
      <c r="D46" s="87" t="s">
        <v>263</v>
      </c>
      <c r="E46" s="1" t="str" cm="1">
        <f t="array" ref="E46">Fertiliser_Equations_InorganicN2O.VEERG_5_1_1_1__1_InorganicFertiliserApplicationN2OEmissions_Variable()</f>
        <v>E_N2O</v>
      </c>
      <c r="F46" s="26"/>
      <c r="M46" s="25" t="s">
        <v>638</v>
      </c>
      <c r="N46" s="25" t="str">
        <v>CalPhos</v>
      </c>
      <c r="O46" s="25">
        <v>0</v>
      </c>
      <c r="P46" s="25">
        <v>1000</v>
      </c>
      <c r="Q46" s="25">
        <f>O46*P46</f>
        <v>0</v>
      </c>
      <c r="R46" s="25" cm="1">
        <f t="array" ref="R46">IF(O46&gt;0, Fertiliser_Equations_InorganicN2O.VEERG_5_1_1_2__1_EmissionFactorIrrigatedMaize(O46), 0)</f>
        <v>0</v>
      </c>
      <c r="S46" s="25" cm="1">
        <f t="array" ref="S46">IF(O46&gt;0, Fertiliser_Equations_InorganicN2O.VEERG_5_1_1_2__2_EmissionFactorNonIrrigatedGrainsHighRainfall(O46), 0)</f>
        <v>0</v>
      </c>
      <c r="T46" s="25">
        <f t="shared" ref="T46:T54" si="0">IF(O46&gt;0, MIN(300, O46), 0)</f>
        <v>0</v>
      </c>
      <c r="U46" s="25">
        <f t="shared" ref="U46:U54" si="1">P46*T46</f>
        <v>0</v>
      </c>
      <c r="V46" s="25" cm="1">
        <f t="array" ref="V46">IF(O46&gt;0, Fertiliser_Equations_InorganicN2O.VEERG_5_1_1_2__3_EmissionFactorCotton(T46), 0)</f>
        <v>0</v>
      </c>
      <c r="W46" s="25">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A47" s="5" t="str">
        <f>HYPERLINK("#'4.3.1.10-11 Soil Atmos Dep'!A1", "4.3.1.10-11 Soil Atmos Dep")</f>
        <v>4.3.1.10-11 Soil Atmos Dep</v>
      </c>
      <c r="D47" s="87" t="s">
        <v>122</v>
      </c>
      <c r="E47" s="15" t="str" cm="1">
        <f t="array" ref="E47">Fertiliser_Equations_InorganicN2O.VEERG_5_1_1_1__1_InorganicFertiliserApplicationN2OEmissions_Unit()</f>
        <v>t N2O</v>
      </c>
      <c r="F47" s="26"/>
      <c r="M47" s="25" t="s">
        <v>638</v>
      </c>
      <c r="N47" s="25" t="str">
        <v>CalPhos</v>
      </c>
      <c r="O47" s="25">
        <v>0</v>
      </c>
      <c r="P47" s="25">
        <v>1000</v>
      </c>
      <c r="Q47" s="25">
        <f t="shared" ref="Q47:Q54" si="2">O47*P47</f>
        <v>0</v>
      </c>
      <c r="R47" s="25" cm="1">
        <f t="array" ref="R47">IF(O47&gt;0, Fertiliser_Equations_InorganicN2O.VEERG_5_1_1_2__1_EmissionFactorIrrigatedMaize(O47), 0)</f>
        <v>0</v>
      </c>
      <c r="S47" s="25" cm="1">
        <f t="array" ref="S47">IF(O47&gt;0, Fertiliser_Equations_InorganicN2O.VEERG_5_1_1_2__2_EmissionFactorNonIrrigatedGrainsHighRainfall(O47), 0)</f>
        <v>0</v>
      </c>
      <c r="T47" s="25">
        <f t="shared" si="0"/>
        <v>0</v>
      </c>
      <c r="U47" s="25">
        <f t="shared" si="1"/>
        <v>0</v>
      </c>
      <c r="V47" s="25" cm="1">
        <f t="array" ref="V47">IF(O47&gt;0, Fertiliser_Equations_InorganicN2O.VEERG_5_1_1_2__3_EmissionFactorCotton(T47), 0)</f>
        <v>0</v>
      </c>
      <c r="W47" s="25">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A48" s="5" t="str">
        <f>HYPERLINK("#'4.3.1.12-13 Soil leach runoff'!A1", "4.3.1.12-13 Soil leach runoff")</f>
        <v>4.3.1.12-13 Soil leach runoff</v>
      </c>
      <c r="F48" s="26"/>
      <c r="M48" s="25" t="s">
        <v>638</v>
      </c>
      <c r="N48" s="25" t="str">
        <v>Aqua Grow</v>
      </c>
      <c r="O48" s="25">
        <v>12.096</v>
      </c>
      <c r="P48" s="25">
        <v>1000</v>
      </c>
      <c r="Q48" s="25">
        <f t="shared" si="2"/>
        <v>12096</v>
      </c>
      <c r="R48" s="25" cm="1">
        <f t="array" ref="R48">IF(O48&gt;0, Fertiliser_Equations_InorganicN2O.VEERG_5_1_1_2__1_EmissionFactorIrrigatedMaize(O48), 0)</f>
        <v>-7.3614399999999999E-4</v>
      </c>
      <c r="S48" s="25" cm="1">
        <f t="array" ref="S48">IF(O48&gt;0, Fertiliser_Equations_InorganicN2O.VEERG_5_1_1_2__2_EmissionFactorNonIrrigatedGrainsHighRainfall(O48), 0)</f>
        <v>1.6881999999999999E-3</v>
      </c>
      <c r="T48" s="25">
        <f t="shared" si="0"/>
        <v>12.096</v>
      </c>
      <c r="U48" s="25">
        <f t="shared" si="1"/>
        <v>12096</v>
      </c>
      <c r="V48" s="25" cm="1">
        <f t="array" ref="V48">IF(O48&gt;0, Fertiliser_Equations_InorganicN2O.VEERG_5_1_1_2__3_EmissionFactorCotton(T48), 0)</f>
        <v>2.903266653082426E-5</v>
      </c>
      <c r="W48" s="25">
        <f>IF(O48&gt;0,Common_InputFunctions.Utility_LookupN2OEFFromProdIrrigationRainfall($S$70,$S$73,$S$74,Table_SourceData_Common_EFN2O[Production system only],Table_SourceData_Common_EFN2O[Irrigation method],Table_SourceData_Common_EFN2O[Rainfall zone],Table_SourceData_Common_EFN2O[EFN2O]), 0)</f>
        <v>5.8999999999999999E-3</v>
      </c>
    </row>
    <row r="49" spans="1:24" ht="20.100000000000001" customHeight="1" x14ac:dyDescent="0.25">
      <c r="A49" s="5" t="str">
        <f>HYPERLINK("#'3.3.1.1-2 Enteric Methane'!A1", "3.3.1.1-2 Enteric Methane")</f>
        <v>3.3.1.1-2 Enteric Methane</v>
      </c>
      <c r="D49" s="132" t="str" cm="1">
        <f t="array" ref="D49:E55">_xlfn.CHOOSECOLS(Fertiliser_Equations_InorganicN2O.VEERG_5_1_1_1__1_InorganicFertiliserApplicationN2OEmissions_Arguments(), 1, 2)</f>
        <v>MN_jf</v>
      </c>
      <c r="E49" s="138" t="str">
        <v>mass of nitrogen in inorganic fertiliser type f applied to production system j</v>
      </c>
      <c r="F49" s="146"/>
      <c r="G49" s="132" t="str" cm="1">
        <f t="array" ref="G49:H55">_xlfn.CHOOSECOLS(Fertiliser_Equations_InorganicN2O.VEERG_5_1_1_1__1_InorganicFertiliserApplicationN2OEmissions_Arguments(), 3,4)</f>
        <v>kg N</v>
      </c>
      <c r="H49" s="128" t="str">
        <v>Calculated from 5.1.1.1 (2)</v>
      </c>
      <c r="I49" s="127" t="str" cm="1">
        <f t="array" aca="1" ref="I49" ca="1">HYPERLINK(Common_InputFunctions.Utility_SourceHyperlink(D16), D16)</f>
        <v>Table_MN_j_f</v>
      </c>
      <c r="M49" s="25" t="s">
        <v>638</v>
      </c>
      <c r="N49" s="25" t="str">
        <v>Aqua NitroCal</v>
      </c>
      <c r="O49" s="25">
        <v>19.8</v>
      </c>
      <c r="P49" s="25">
        <v>1000</v>
      </c>
      <c r="Q49" s="25">
        <f t="shared" si="2"/>
        <v>19800</v>
      </c>
      <c r="R49" s="25" cm="1">
        <f t="array" ref="R49">IF(O49&gt;0, Fertiliser_Equations_InorganicN2O.VEERG_5_1_1_2__1_EmissionFactorIrrigatedMaize(O49), 0)</f>
        <v>-2.6619999999999991E-4</v>
      </c>
      <c r="S49" s="25" cm="1">
        <f t="array" ref="S49">IF(O49&gt;0, Fertiliser_Equations_InorganicN2O.VEERG_5_1_1_2__2_EmissionFactorNonIrrigatedGrainsHighRainfall(O49), 0)</f>
        <v>2.2660000000000002E-3</v>
      </c>
      <c r="T49" s="25">
        <f t="shared" si="0"/>
        <v>19.8</v>
      </c>
      <c r="U49" s="25">
        <f t="shared" si="1"/>
        <v>19800</v>
      </c>
      <c r="V49" s="25" cm="1">
        <f t="array" ref="V49">IF(O49&gt;0, Fertiliser_Equations_InorganicN2O.VEERG_5_1_1_2__3_EmissionFactorCotton(T49), 0)</f>
        <v>2.9038198888180622E-5</v>
      </c>
      <c r="W49" s="25">
        <f>IF(O49&gt;0,Common_InputFunctions.Utility_LookupN2OEFFromProdIrrigationRainfall($S$70,$S$73,$S$74,Table_SourceData_Common_EFN2O[Production system only],Table_SourceData_Common_EFN2O[Irrigation method],Table_SourceData_Common_EFN2O[Rainfall zone],Table_SourceData_Common_EFN2O[EFN2O]), 0)</f>
        <v>5.8999999999999999E-3</v>
      </c>
    </row>
    <row r="50" spans="1:24" ht="20.100000000000001" customHeight="1" x14ac:dyDescent="0.25">
      <c r="A50" s="5" t="str">
        <f>HYPERLINK("#'10.1.1-2 Solid waste treatment'!A1", "10.1.1-2 Solid waste treatment")</f>
        <v>10.1.1-2 Solid waste treatment</v>
      </c>
      <c r="D50" s="132" t="str">
        <v>EF_jN2O</v>
      </c>
      <c r="E50" s="138" t="str">
        <v>emission factor for nitrous oxide for inorganic fertilisers</v>
      </c>
      <c r="F50" s="146"/>
      <c r="G50" s="132" t="str">
        <v>kg N2O-N/kg N applied</v>
      </c>
      <c r="H50" s="128" t="str">
        <v>Constant</v>
      </c>
      <c r="I50" s="132">
        <f>Common_InputFunctions.Utility_LookupN2OEFFromProdIrrigationRainfall(I52,I54,I55,Table_SourceData_Common_EFN2O[Production system only],Table_SourceData_Common_EFN2O[Irrigation method],Table_SourceData_Common_EFN2O[Rainfall zone],Table_SourceData_Common_EFN2O[EFN2O])</f>
        <v>5.8999999999999999E-3</v>
      </c>
      <c r="M50" s="25" t="s">
        <v>639</v>
      </c>
      <c r="N50" s="25" t="str" cm="1">
        <f t="array" ref="N50:N52">Table_Input_InorganicFertiliser_Custom[Custom blend name]</f>
        <v>My first custom blend</v>
      </c>
      <c r="O50" s="25" cm="1">
        <f t="array" ref="O50:O52">Table_Input_InorganicFertiliser_Custom[N application rate (kg/ha)]</f>
        <v>7.75</v>
      </c>
      <c r="P50" s="25" cm="1">
        <f t="array" ref="P50:P52">Table_Input_InorganicFertiliser_Custom[Application area (ha)]</f>
        <v>1000</v>
      </c>
      <c r="Q50" s="25">
        <f t="shared" si="2"/>
        <v>7750</v>
      </c>
      <c r="R50" s="25" cm="1">
        <f t="array" ref="R50">IF(O50&gt;0, Fertiliser_Equations_InorganicN2O.VEERG_5_1_1_2__1_EmissionFactorIrrigatedMaize(O50), 0)</f>
        <v>-1.00125E-3</v>
      </c>
      <c r="S50" s="25" cm="1">
        <f t="array" ref="S50">IF(O50&gt;0, Fertiliser_Equations_InorganicN2O.VEERG_5_1_1_2__2_EmissionFactorNonIrrigatedGrainsHighRainfall(O50), 0)</f>
        <v>1.36225E-3</v>
      </c>
      <c r="T50" s="25">
        <f t="shared" si="0"/>
        <v>7.75</v>
      </c>
      <c r="U50" s="25">
        <f t="shared" si="1"/>
        <v>7750</v>
      </c>
      <c r="V50" s="25" cm="1">
        <f t="array" ref="V50">IF(O50&gt;0, Fertiliser_Equations_InorganicN2O.VEERG_5_1_1_2__3_EmissionFactorCotton(T50), 0)</f>
        <v>2.9029995329592254E-5</v>
      </c>
      <c r="W50" s="25">
        <f>IF(O50&gt;0,Common_InputFunctions.Utility_LookupN2OEFFromProdIrrigationRainfall($S$70,$S$73,$S$74,Table_SourceData_Common_EFN2O[Production system only],Table_SourceData_Common_EFN2O[Irrigation method],Table_SourceData_Common_EFN2O[Rainfall zone],Table_SourceData_Common_EFN2O[EFN2O]), 0)</f>
        <v>5.8999999999999999E-3</v>
      </c>
    </row>
    <row r="51" spans="1:24" ht="20.100000000000001" customHeight="1" x14ac:dyDescent="0.25">
      <c r="D51" s="132" t="str">
        <v>C_N2O</v>
      </c>
      <c r="E51" s="138" t="str">
        <v>factor to convert elemental mass of nitrous oxide to molecular mass</v>
      </c>
      <c r="F51" s="146"/>
      <c r="G51" s="132" t="str">
        <v/>
      </c>
      <c r="H51" s="128" t="str">
        <v>Constant</v>
      </c>
      <c r="I51" s="132">
        <f>Common_InputFunctions.Utility_LookupValueInTableNumber("N2O",Table_GasToMolecularConversionFactor[Gas],Table_GasToMolecularConversionFactor[Conversion factor combined])</f>
        <v>1.5714285714285714</v>
      </c>
      <c r="M51" s="25" t="s">
        <v>639</v>
      </c>
      <c r="N51" s="25" t="str">
        <v>My second custom blend</v>
      </c>
      <c r="O51" s="25">
        <v>46</v>
      </c>
      <c r="P51" s="25">
        <v>1000</v>
      </c>
      <c r="Q51" s="25">
        <f t="shared" si="2"/>
        <v>46000</v>
      </c>
      <c r="R51" s="25" cm="1">
        <f t="array" ref="R51">IF(O51&gt;0, Fertiliser_Equations_InorganicN2O.VEERG_5_1_1_2__1_EmissionFactorIrrigatedMaize(O51), 0)</f>
        <v>1.3320000000000001E-3</v>
      </c>
      <c r="S51" s="25" cm="1">
        <f t="array" ref="S51">IF(O51&gt;0, Fertiliser_Equations_InorganicN2O.VEERG_5_1_1_2__2_EmissionFactorNonIrrigatedGrainsHighRainfall(O51), 0)</f>
        <v>4.2309999999999995E-3</v>
      </c>
      <c r="T51" s="25">
        <f t="shared" si="0"/>
        <v>46</v>
      </c>
      <c r="U51" s="25">
        <f t="shared" si="1"/>
        <v>46000</v>
      </c>
      <c r="V51" s="25" cm="1">
        <f t="array" ref="V51">IF(O51&gt;0, Fertiliser_Equations_InorganicN2O.VEERG_5_1_1_2__3_EmissionFactorCotton(T51), 0)</f>
        <v>2.9068248573243379E-5</v>
      </c>
      <c r="W51" s="25">
        <f>IF(O51&gt;0,Common_InputFunctions.Utility_LookupN2OEFFromProdIrrigationRainfall($S$70,$S$73,$S$74,Table_SourceData_Common_EFN2O[Production system only],Table_SourceData_Common_EFN2O[Irrigation method],Table_SourceData_Common_EFN2O[Rainfall zone],Table_SourceData_Common_EFN2O[EFN2O]), 0)</f>
        <v>5.8999999999999999E-3</v>
      </c>
    </row>
    <row r="52" spans="1:24" ht="20.100000000000001" customHeight="1" x14ac:dyDescent="0.25">
      <c r="D52" s="132" t="str">
        <v>j</v>
      </c>
      <c r="E52" s="138" t="str">
        <v>Production system</v>
      </c>
      <c r="F52" s="146"/>
      <c r="G52" s="132" t="str">
        <v/>
      </c>
      <c r="H52" s="121" t="str">
        <v>Input</v>
      </c>
      <c r="I52" s="132" t="str">
        <f>X_Cell_Fertiliser_ProductionSystem</f>
        <v>Pasture</v>
      </c>
      <c r="M52" s="25" t="s">
        <v>639</v>
      </c>
      <c r="N52" s="25" t="str">
        <v>My third custom blend</v>
      </c>
      <c r="O52" s="25">
        <v>41.174999999999997</v>
      </c>
      <c r="P52" s="25">
        <v>1000</v>
      </c>
      <c r="Q52" s="25">
        <f t="shared" si="2"/>
        <v>41175</v>
      </c>
      <c r="R52" s="25" cm="1">
        <f t="array" ref="R52">IF(O52&gt;0, Fertiliser_Equations_InorganicN2O.VEERG_5_1_1_2__1_EmissionFactorIrrigatedMaize(O52), 0)</f>
        <v>1.0376749999999998E-3</v>
      </c>
      <c r="S52" s="25" cm="1">
        <f t="array" ref="S52">IF(O52&gt;0, Fertiliser_Equations_InorganicN2O.VEERG_5_1_1_2__2_EmissionFactorNonIrrigatedGrainsHighRainfall(O52), 0)</f>
        <v>3.8691250000000002E-3</v>
      </c>
      <c r="T52" s="25">
        <f t="shared" si="0"/>
        <v>41.174999999999997</v>
      </c>
      <c r="U52" s="25">
        <f t="shared" si="1"/>
        <v>41175</v>
      </c>
      <c r="V52" s="25" cm="1">
        <f t="array" ref="V52">IF(O52&gt;0, Fertiliser_Equations_InorganicN2O.VEERG_5_1_1_2__3_EmissionFactorCotton(T52), 0)</f>
        <v>2.9061000580963132E-5</v>
      </c>
      <c r="W52" s="25">
        <f>IF(O52&gt;0,Common_InputFunctions.Utility_LookupN2OEFFromProdIrrigationRainfall($S$70,$S$73,$S$74,Table_SourceData_Common_EFN2O[Production system only],Table_SourceData_Common_EFN2O[Irrigation method],Table_SourceData_Common_EFN2O[Rainfall zone],Table_SourceData_Common_EFN2O[EFN2O]), 0)</f>
        <v>5.8999999999999999E-3</v>
      </c>
    </row>
    <row r="53" spans="1:24" ht="20.100000000000001" customHeight="1" x14ac:dyDescent="0.25">
      <c r="A53" s="100" t="s">
        <v>1</v>
      </c>
      <c r="D53" s="132" t="str">
        <v>f</v>
      </c>
      <c r="E53" s="138" t="str">
        <v>Inorganic fertiliser type</v>
      </c>
      <c r="F53" s="146"/>
      <c r="G53" s="132" t="str">
        <v/>
      </c>
      <c r="H53" s="128" t="str">
        <v>Constant</v>
      </c>
      <c r="I53" s="132" t="str">
        <f>"See " &amp; D57</f>
        <v>See M1_Table_E_N2O</v>
      </c>
      <c r="M53" s="25" t="s">
        <v>639</v>
      </c>
      <c r="N53" s="25"/>
      <c r="O53" s="25"/>
      <c r="P53" s="25"/>
      <c r="Q53" s="25">
        <f t="shared" si="2"/>
        <v>0</v>
      </c>
      <c r="R53" s="25" cm="1">
        <f t="array" ref="R53">IF(O53&gt;0, Fertiliser_Equations_InorganicN2O.VEERG_5_1_1_2__1_EmissionFactorIrrigatedMaize(O53), 0)</f>
        <v>0</v>
      </c>
      <c r="S53" s="25" cm="1">
        <f t="array" ref="S53">IF(O53&gt;0, Fertiliser_Equations_InorganicN2O.VEERG_5_1_1_2__2_EmissionFactorNonIrrigatedGrainsHighRainfall(O53), 0)</f>
        <v>0</v>
      </c>
      <c r="T53" s="25">
        <f t="shared" si="0"/>
        <v>0</v>
      </c>
      <c r="U53" s="25">
        <f t="shared" si="1"/>
        <v>0</v>
      </c>
      <c r="V53" s="25" cm="1">
        <f t="array" ref="V53">IF(O53&gt;0, Fertiliser_Equations_InorganicN2O.VEERG_5_1_1_2__3_EmissionFactorCotton(T53), 0)</f>
        <v>0</v>
      </c>
      <c r="W53" s="25">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1:24" ht="20.100000000000001" customHeight="1" x14ac:dyDescent="0.25">
      <c r="A54" s="5" t="str">
        <f>HYPERLINK("#'Constants - Dairy'!A1", "Constants - Dairy")</f>
        <v>Constants - Dairy</v>
      </c>
      <c r="D54" s="132" t="str">
        <v>ir</v>
      </c>
      <c r="E54" s="138" t="str">
        <v>irrigation method</v>
      </c>
      <c r="F54" s="146"/>
      <c r="G54" s="132" t="str">
        <v/>
      </c>
      <c r="H54" s="121" t="str">
        <v>Input</v>
      </c>
      <c r="I54" s="132" t="str">
        <f>X_Cell_Fertiliser_IrrigationMethod</f>
        <v>Surface irrigation</v>
      </c>
      <c r="M54" s="25" t="s">
        <v>639</v>
      </c>
      <c r="N54" s="25"/>
      <c r="O54" s="25"/>
      <c r="P54" s="25"/>
      <c r="Q54" s="25">
        <f t="shared" si="2"/>
        <v>0</v>
      </c>
      <c r="R54" s="25" cm="1">
        <f t="array" ref="R54">IF(O54&gt;0, Fertiliser_Equations_InorganicN2O.VEERG_5_1_1_2__1_EmissionFactorIrrigatedMaize(O54), 0)</f>
        <v>0</v>
      </c>
      <c r="S54" s="25" cm="1">
        <f t="array" ref="S54">IF(O54&gt;0, Fertiliser_Equations_InorganicN2O.VEERG_5_1_1_2__2_EmissionFactorNonIrrigatedGrainsHighRainfall(O54), 0)</f>
        <v>0</v>
      </c>
      <c r="T54" s="25">
        <f t="shared" si="0"/>
        <v>0</v>
      </c>
      <c r="U54" s="25">
        <f t="shared" si="1"/>
        <v>0</v>
      </c>
      <c r="V54" s="25" cm="1">
        <f t="array" ref="V54">IF(O54&gt;0, Fertiliser_Equations_InorganicN2O.VEERG_5_1_1_2__3_EmissionFactorCotton(T54), 0)</f>
        <v>0</v>
      </c>
      <c r="W54" s="25">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1:24" ht="20.100000000000001" customHeight="1" x14ac:dyDescent="0.25">
      <c r="A55" s="5" t="str">
        <f>HYPERLINK("#'Constants - Ag Residue'!A1", "Constants - Ag residue")</f>
        <v>Constants - Ag residue</v>
      </c>
      <c r="D55" s="132" t="str">
        <v>z</v>
      </c>
      <c r="E55" s="138" t="str">
        <v>rainfall zone</v>
      </c>
      <c r="F55" s="146"/>
      <c r="G55" s="132" t="str">
        <v/>
      </c>
      <c r="H55" s="121" t="str">
        <v>Input</v>
      </c>
      <c r="I55" s="132" t="str">
        <f>X_Cell_Site_RainfallZone</f>
        <v>High rainfall</v>
      </c>
    </row>
    <row r="56" spans="1:24" ht="20.100000000000001" customHeight="1" x14ac:dyDescent="0.25">
      <c r="A56" s="5" t="str">
        <f>HYPERLINK("#'Constants - Common Livestock'!A1", "Constants - Common Livestock")</f>
        <v>Constants - Common Livestock</v>
      </c>
      <c r="F56" s="26"/>
    </row>
    <row r="57" spans="1:24" ht="20.100000000000001" customHeight="1" x14ac:dyDescent="0.25">
      <c r="A57" s="5" t="str">
        <f>HYPERLINK("#'Constants - Electricity'!A1", "Constants - Electricity")</f>
        <v>Constants - Electricity</v>
      </c>
      <c r="D57" s="122" t="s">
        <v>640</v>
      </c>
      <c r="F57" s="26"/>
      <c r="L57" s="101"/>
      <c r="M57" s="101"/>
      <c r="N57" s="101"/>
      <c r="O57" s="101"/>
      <c r="P57" s="101"/>
      <c r="Q57" s="101"/>
      <c r="R57" s="101"/>
      <c r="S57" s="101"/>
      <c r="T57" s="101"/>
      <c r="U57" s="101"/>
      <c r="V57" s="101"/>
      <c r="W57" s="101"/>
      <c r="X57" s="101"/>
    </row>
    <row r="58" spans="1:24" ht="20.100000000000001" customHeight="1" x14ac:dyDescent="0.25">
      <c r="A58" s="5" t="str">
        <f>HYPERLINK("#'Constants - Fertiliser'!A1", "Constants - Fertiliser")</f>
        <v>Constants - Fertiliser</v>
      </c>
      <c r="D58" s="123" t="s">
        <v>641</v>
      </c>
      <c r="F58" s="26"/>
      <c r="M58" s="2" t="str" cm="1">
        <f t="array" ref="M58">Fertiliser_Equations_InorganicN2O.VEERG_5_1_1_1__1_InorganicFertiliserApplicationN2OEmissions_Title()</f>
        <v>Nitrous oxide emissions from the application of all inorganic fertiliser types f to all production systems j</v>
      </c>
    </row>
    <row r="59" spans="1:24" ht="20.100000000000001" customHeight="1" x14ac:dyDescent="0.25">
      <c r="A59" s="5" t="str">
        <f>HYPERLINK("#'Constants - Fuel'!A1", "Constants - Fuel")</f>
        <v>Constants - Fuel</v>
      </c>
      <c r="D59" s="124" t="s">
        <v>619</v>
      </c>
      <c r="E59" s="124" t="s">
        <v>642</v>
      </c>
      <c r="M59" s="27" t="str" cm="1">
        <f t="array" ref="M59">Fertiliser_Equations_InorganicN2O.VEERG_5_1_1_1__1_InorganicFertiliserApplicationN2OEmissions_Source()</f>
        <v>VEERG 2026: 5.1.1.1, Equation (1)</v>
      </c>
    </row>
    <row r="60" spans="1:24" ht="20.100000000000001" customHeight="1" x14ac:dyDescent="0.25">
      <c r="A60" s="5" t="str">
        <f>HYPERLINK("#'Constants - Scope 3'!A1", "Constants - Scope 3")</f>
        <v>Constants - Scope 3</v>
      </c>
      <c r="D60" s="25" t="str" cm="1">
        <f t="array" ref="D60:D78">Table_Fertiliser_ChemicalCompounds[Fertiliser type f]</f>
        <v>Monoammonium phosphate (MAP)</v>
      </c>
      <c r="E60" s="25" cm="1">
        <f t="array" ref="E60">Fertiliser_Equations_InorganicN2O.VEERG_5_1_1_1__1_InorganicFertiliserApplicationN2OEmissions(G19,$I$50,$I$51)</f>
        <v>0</v>
      </c>
      <c r="F60" s="26" t="str">
        <f>E47</f>
        <v>t N2O</v>
      </c>
      <c r="M60" s="118" t="s">
        <v>262</v>
      </c>
      <c r="N60" s="118" t="str" cm="1">
        <f t="array" aca="1" ref="N60" ca="1">Common_InputFunctions.Utility_DisplayFunctionName($E$60)</f>
        <v>=Fertiliser_Equations_InorganicN2O.VEERG_5_1_1_1__1_InorganicFertiliserApplicationN2OEmissions</v>
      </c>
    </row>
    <row r="61" spans="1:24" ht="20.100000000000001" customHeight="1" x14ac:dyDescent="0.25">
      <c r="A61" s="5" t="str">
        <f>HYPERLINK("#'Constants - Common'!A1", "Constants - Common")</f>
        <v>Constants - Common</v>
      </c>
      <c r="D61" s="25" t="str">
        <v>Diammonium phosphate (DAP)</v>
      </c>
      <c r="E61" s="25" cm="1">
        <f t="array" ref="E61">Fertiliser_Equations_InorganicN2O.VEERG_5_1_1_1__1_InorganicFertiliserApplicationN2OEmissions(G20,$I$50,$I$51)</f>
        <v>0</v>
      </c>
    </row>
    <row r="62" spans="1:24" ht="20.100000000000001" customHeight="1" x14ac:dyDescent="0.25">
      <c r="A62" s="5" t="str">
        <f>HYPERLINK("#'Acknowledgements'!A1", "Acknowledgements")</f>
        <v>Acknowledgements</v>
      </c>
      <c r="D62" s="25" t="str">
        <v>Urea</v>
      </c>
      <c r="E62" s="25" cm="1">
        <f t="array" ref="E62">Fertiliser_Equations_InorganicN2O.VEERG_5_1_1_1__1_InorganicFertiliserApplicationN2OEmissions(G21,$I$50,$I$51)</f>
        <v>0.4264857142857143</v>
      </c>
    </row>
    <row r="63" spans="1:24" ht="20.100000000000001" customHeight="1" x14ac:dyDescent="0.25">
      <c r="A63" s="5" t="str">
        <f>HYPERLINK("#'Constants - Solid Waste'!A1", "Constants - Solid Waste")</f>
        <v>Constants - Solid Waste</v>
      </c>
      <c r="D63" s="25" t="str">
        <v>Sulphate of ammonia (SOA)</v>
      </c>
      <c r="E63" s="25" cm="1">
        <f t="array" ref="E63">Fertiliser_Equations_InorganicN2O.VEERG_5_1_1_1__1_InorganicFertiliserApplicationN2OEmissions(G22,$I$50,$I$51)</f>
        <v>0</v>
      </c>
    </row>
    <row r="64" spans="1:24" ht="20.100000000000001" customHeight="1" x14ac:dyDescent="0.25">
      <c r="D64" s="25" t="str">
        <v>Urea-ammonium nitrate (UAN)</v>
      </c>
      <c r="E64" s="25" cm="1">
        <f t="array" ref="E64">Fertiliser_Equations_InorganicN2O.VEERG_5_1_1_1__1_InorganicFertiliserApplicationN2OEmissions(G23,$I$50,$I$51)</f>
        <v>0</v>
      </c>
      <c r="M64" s="87" t="s">
        <v>263</v>
      </c>
      <c r="N64" s="1" t="str" cm="1">
        <f t="array" ref="N64">Fertiliser_Equations_InorganicN2O.VEERG_5_1_1_1__1_InorganicFertiliserApplicationN2OEmissions_Variable()</f>
        <v>E_N2O</v>
      </c>
    </row>
    <row r="65" spans="4:19" ht="20.100000000000001" customHeight="1" x14ac:dyDescent="0.25">
      <c r="D65" s="25" t="str">
        <v>Ammonium nitrate (AN)</v>
      </c>
      <c r="E65" s="25" cm="1">
        <f t="array" ref="E65">Fertiliser_Equations_InorganicN2O.VEERG_5_1_1_1__1_InorganicFertiliserApplicationN2OEmissions(G24,$I$50,$I$51)</f>
        <v>0</v>
      </c>
      <c r="M65" s="87" t="s">
        <v>122</v>
      </c>
      <c r="N65" s="15" t="str" cm="1">
        <f t="array" ref="N65">Fertiliser_Equations_InorganicN2O.VEERG_5_1_1_1__1_InorganicFertiliserApplicationN2OEmissions_Unit()</f>
        <v>t N2O</v>
      </c>
    </row>
    <row r="66" spans="4:19" ht="20.100000000000001" customHeight="1" x14ac:dyDescent="0.25">
      <c r="D66" s="25" t="str">
        <v>Calcium ammonium nitrate (CAN)</v>
      </c>
      <c r="E66" s="25" cm="1">
        <f t="array" ref="E66">Fertiliser_Equations_InorganicN2O.VEERG_5_1_1_1__1_InorganicFertiliserApplicationN2OEmissions(G25,$I$50,$I$51)</f>
        <v>0</v>
      </c>
    </row>
    <row r="67" spans="4:19" ht="20.100000000000001" customHeight="1" x14ac:dyDescent="0.25">
      <c r="D67" s="25" t="str">
        <v>Nitrogen - Ammoniacal</v>
      </c>
      <c r="E67" s="25" cm="1">
        <f t="array" ref="E67">Fertiliser_Equations_InorganicN2O.VEERG_5_1_1_1__1_InorganicFertiliserApplicationN2OEmissions(G26,$I$50,$I$51)</f>
        <v>0</v>
      </c>
      <c r="M67" s="132" t="str" cm="1">
        <f t="array" ref="M67:N74">_xlfn.CHOOSECOLS(Fertiliser_Equations_InorganicN2O.VEERG_5_1_1_1__1_InorganicFertiliserApplicationN2OEmissions_Arguments_Method2(), 1, 2)</f>
        <v>MN_jf</v>
      </c>
      <c r="N67" s="138" t="str">
        <v>mass of nitrogen in inorganic fertiliser type f applied to production system j</v>
      </c>
      <c r="O67" s="146"/>
      <c r="P67" s="143"/>
      <c r="Q67" s="132" t="str" cm="1">
        <f t="array" ref="Q67:R74">_xlfn.CHOOSECOLS(Fertiliser_Equations_InorganicN2O.VEERG_5_1_1_1__1_InorganicFertiliserApplicationN2OEmissions_Arguments_Method2(), 3,4)</f>
        <v>kg N</v>
      </c>
      <c r="R67" s="128" t="str">
        <v>Calculated from 5.1.1.1 (2)</v>
      </c>
      <c r="S67" s="127" t="str" cm="1">
        <f t="array" aca="1" ref="S67" ca="1">HYPERLINK(Common_InputFunctions.Utility_SourceHyperlink(M41), M41)</f>
        <v>M2_Table_FertApplications</v>
      </c>
    </row>
    <row r="68" spans="4:19" ht="20.100000000000001" customHeight="1" x14ac:dyDescent="0.25">
      <c r="D68" s="25" t="str">
        <v>Nitrogen - Nitrate</v>
      </c>
      <c r="E68" s="25" cm="1">
        <f t="array" ref="E68">Fertiliser_Equations_InorganicN2O.VEERG_5_1_1_1__1_InorganicFertiliserApplicationN2OEmissions(G27,$I$50,$I$51)</f>
        <v>0.18357428571428572</v>
      </c>
      <c r="M68" s="132" t="str">
        <v>EF_jN2O</v>
      </c>
      <c r="N68" s="138" t="str">
        <v>emission factor for nitrous oxide for inorganic fertilisers</v>
      </c>
      <c r="O68" s="146"/>
      <c r="P68" s="143"/>
      <c r="Q68" s="132" t="str">
        <v>kg N2O-N/kg N applied</v>
      </c>
      <c r="R68" s="128" t="str">
        <v>Calculated from 5.1.1.2 (1)(2)(3)</v>
      </c>
      <c r="S68" s="132" t="str" cm="1">
        <f t="array" ref="S68">_xlfn.IFS(
  AND(S70="crop", S71="grains", S73="not irrigated", S74="high rainfall"), $S$44,
  AND(S70="Crop", S71="maize", S73&lt;&gt;"not irrigated"), $R$44,
  AND(S70="Crop", S71="cotton"), $V$44,
  TRUE, $W$44
)</f>
        <v>EF_jN2O</v>
      </c>
    </row>
    <row r="69" spans="4:19" ht="20.100000000000001" customHeight="1" x14ac:dyDescent="0.25">
      <c r="D69" s="25" t="str">
        <v>Nitrogen - Generic</v>
      </c>
      <c r="E69" s="25" cm="1">
        <f t="array" ref="E69">Fertiliser_Equations_InorganicN2O.VEERG_5_1_1_1__1_InorganicFertiliserApplicationN2OEmissions(G28,$I$50,$I$51)</f>
        <v>0.14252039999999999</v>
      </c>
      <c r="M69" s="132" t="str">
        <v>C_N2O</v>
      </c>
      <c r="N69" s="138" t="str">
        <v>factor to convert elemental mass of nitrous oxide to molecular mass</v>
      </c>
      <c r="O69" s="146"/>
      <c r="P69" s="143"/>
      <c r="Q69" s="132" t="str">
        <v/>
      </c>
      <c r="R69" s="128" t="str">
        <v>Constant</v>
      </c>
      <c r="S69" s="132">
        <f>Common_InputFunctions.Utility_LookupValueInTableNumber("N2O",Table_GasToMolecularConversionFactor[Gas],Table_GasToMolecularConversionFactor[Conversion factor combined])</f>
        <v>1.5714285714285714</v>
      </c>
    </row>
    <row r="70" spans="4:19" ht="20.100000000000001" customHeight="1" x14ac:dyDescent="0.25">
      <c r="D70" s="25" t="str">
        <v>Phosphorus - Generic</v>
      </c>
      <c r="E70" s="25" cm="1">
        <f t="array" ref="E70">Fertiliser_Equations_InorganicN2O.VEERG_5_1_1_1__1_InorganicFertiliserApplicationN2OEmissions(G29,$I$50,$I$51)</f>
        <v>0</v>
      </c>
      <c r="M70" s="132" t="str">
        <v>j</v>
      </c>
      <c r="N70" s="138" t="str">
        <v>Production system</v>
      </c>
      <c r="O70" s="146"/>
      <c r="P70" s="143"/>
      <c r="Q70" s="132" t="str">
        <v/>
      </c>
      <c r="R70" s="121" t="str">
        <v>Input</v>
      </c>
      <c r="S70" s="132" t="str">
        <f>X_Cell_Fertiliser_ProductionSystem</f>
        <v>Pasture</v>
      </c>
    </row>
    <row r="71" spans="4:19" ht="20.100000000000001" customHeight="1" x14ac:dyDescent="0.25">
      <c r="D71" s="25" t="str">
        <v>Potassium - Generic</v>
      </c>
      <c r="E71" s="25" cm="1">
        <f t="array" ref="E71">Fertiliser_Equations_InorganicN2O.VEERG_5_1_1_1__1_InorganicFertiliserApplicationN2OEmissions(G30,$I$50,$I$51)</f>
        <v>0</v>
      </c>
      <c r="M71" s="132" t="str">
        <v>c</v>
      </c>
      <c r="N71" s="138" t="str">
        <v>Crop type</v>
      </c>
      <c r="O71" s="146"/>
      <c r="P71" s="143"/>
      <c r="Q71" s="132" t="str">
        <v/>
      </c>
      <c r="R71" s="121" t="str">
        <v>Input</v>
      </c>
      <c r="S71" s="132" t="str">
        <f>X_Cell_Fertiliser_CropType</f>
        <v>Pasture</v>
      </c>
    </row>
    <row r="72" spans="4:19" ht="20.100000000000001" customHeight="1" x14ac:dyDescent="0.25">
      <c r="D72" s="25" t="str">
        <v>Sulfur - Generic</v>
      </c>
      <c r="E72" s="25" cm="1">
        <f t="array" ref="E72">Fertiliser_Equations_InorganicN2O.VEERG_5_1_1_1__1_InorganicFertiliserApplicationN2OEmissions(G31,$I$50,$I$51)</f>
        <v>0</v>
      </c>
      <c r="M72" s="132" t="str">
        <v>f</v>
      </c>
      <c r="N72" s="138" t="str">
        <v>Inorganic fertiliser type</v>
      </c>
      <c r="O72" s="146"/>
      <c r="P72" s="143"/>
      <c r="Q72" s="132" t="str">
        <v/>
      </c>
      <c r="R72" s="128" t="str">
        <v>Constant</v>
      </c>
      <c r="S72" s="132" t="s">
        <v>643</v>
      </c>
    </row>
    <row r="73" spans="4:19" ht="20.100000000000001" customHeight="1" x14ac:dyDescent="0.25">
      <c r="D73" s="25" t="str">
        <v>Zinc - Generic</v>
      </c>
      <c r="E73" s="25" cm="1">
        <f t="array" ref="E73">Fertiliser_Equations_InorganicN2O.VEERG_5_1_1_1__1_InorganicFertiliserApplicationN2OEmissions(G32,$I$50,$I$51)</f>
        <v>0</v>
      </c>
      <c r="M73" s="132" t="str">
        <v>ir</v>
      </c>
      <c r="N73" s="138" t="str">
        <v>irrigation method</v>
      </c>
      <c r="O73" s="146"/>
      <c r="P73" s="143"/>
      <c r="Q73" s="132" t="str">
        <v/>
      </c>
      <c r="R73" s="121" t="str">
        <v>Input</v>
      </c>
      <c r="S73" s="132" t="str">
        <f>X_Cell_Fertiliser_IrrigationMethod</f>
        <v>Surface irrigation</v>
      </c>
    </row>
    <row r="74" spans="4:19" ht="20.100000000000001" customHeight="1" x14ac:dyDescent="0.25">
      <c r="D74" s="25" t="str">
        <v>Muriate of potash (MOP)</v>
      </c>
      <c r="E74" s="25" cm="1">
        <f t="array" ref="E74">Fertiliser_Equations_InorganicN2O.VEERG_5_1_1_1__1_InorganicFertiliserApplicationN2OEmissions(G33,$I$50,$I$51)</f>
        <v>0</v>
      </c>
      <c r="M74" s="138" t="str">
        <v>z</v>
      </c>
      <c r="N74" s="138" t="str">
        <v>rainfall zone</v>
      </c>
      <c r="O74" s="146"/>
      <c r="P74" s="146"/>
      <c r="Q74" s="132" t="str">
        <v/>
      </c>
      <c r="R74" s="121" t="str">
        <v>Input</v>
      </c>
      <c r="S74" s="132" t="str">
        <f>X_Cell_Site_RainfallZone</f>
        <v>High rainfall</v>
      </c>
    </row>
    <row r="75" spans="4:19" ht="20.100000000000001" customHeight="1" x14ac:dyDescent="0.25">
      <c r="D75" s="25" t="str">
        <v>Double superphosphate</v>
      </c>
      <c r="E75" s="25" cm="1">
        <f t="array" ref="E75">Fertiliser_Equations_InorganicN2O.VEERG_5_1_1_1__1_InorganicFertiliserApplicationN2OEmissions(G34,$I$50,$I$51)</f>
        <v>0</v>
      </c>
    </row>
    <row r="76" spans="4:19" ht="20.100000000000001" customHeight="1" x14ac:dyDescent="0.25">
      <c r="D76" s="25" t="str">
        <v>Single superphosphate (SSP)</v>
      </c>
      <c r="E76" s="25" cm="1">
        <f t="array" ref="E76">Fertiliser_Equations_InorganicN2O.VEERG_5_1_1_1__1_InorganicFertiliserApplicationN2OEmissions(G35,$I$50,$I$51)</f>
        <v>0</v>
      </c>
      <c r="M76" s="124" t="s">
        <v>631</v>
      </c>
      <c r="N76" s="124" t="s">
        <v>631</v>
      </c>
      <c r="O76" s="124" t="s">
        <v>644</v>
      </c>
      <c r="P76" s="124" t="s">
        <v>642</v>
      </c>
    </row>
    <row r="77" spans="4:19" ht="20.100000000000001" customHeight="1" x14ac:dyDescent="0.25">
      <c r="D77" s="25" t="str">
        <v>Ammonia</v>
      </c>
      <c r="E77" s="25" cm="1">
        <f t="array" ref="E77">Fertiliser_Equations_InorganicN2O.VEERG_5_1_1_1__1_InorganicFertiliserApplicationN2OEmissions(G36,$I$50,$I$51)</f>
        <v>0.38175107142857145</v>
      </c>
      <c r="M77" s="25" t="s">
        <v>638</v>
      </c>
      <c r="N77" s="25" t="str" cm="1">
        <f t="array" ref="N77:N81">Table_Input_InorganicFertiliser_Brands[Product (select)]</f>
        <v>Aqua Finish</v>
      </c>
      <c r="O77" s="25" cm="1">
        <f t="array" ref="O77">_xlfn.XLOOKUP(N77,$N$45:$N$54,_xlfn.XLOOKUP($S$68,$R$44:$W$44,$R$45:$W$54), "")</f>
        <v>5.8999999999999999E-3</v>
      </c>
      <c r="P77" s="25" cm="1">
        <f t="array" ref="P77">Fertiliser_Equations_InorganicN2O.VEERG_5_1_1_1__1_InorganicFertiliserApplicationN2OEmissions(Q45,O77,$S$69)</f>
        <v>3.0373199999999996E-2</v>
      </c>
    </row>
    <row r="78" spans="4:19" ht="20.100000000000001" customHeight="1" x14ac:dyDescent="0.25">
      <c r="D78" s="25" t="str">
        <v>Calcium nitrate</v>
      </c>
      <c r="E78" s="25" cm="1">
        <f t="array" ref="E78">Fertiliser_Equations_InorganicN2O.VEERG_5_1_1_1__1_InorganicFertiliserApplicationN2OEmissions(G37,$I$50,$I$51)</f>
        <v>7.1853571428571433E-2</v>
      </c>
      <c r="M78" s="25" t="s">
        <v>638</v>
      </c>
      <c r="N78" s="25" t="str">
        <v>CalPhos</v>
      </c>
      <c r="O78" s="25" cm="1">
        <f t="array" ref="O78">_xlfn.XLOOKUP(N78,$N$45:$N$54,_xlfn.XLOOKUP($S$68,$R$44:$W$44,$R$45:$W$54), FALSE)</f>
        <v>0</v>
      </c>
      <c r="P78" s="25" cm="1">
        <f t="array" ref="P78">Fertiliser_Equations_InorganicN2O.VEERG_5_1_1_1__1_InorganicFertiliserApplicationN2OEmissions(Q46,O78,$S$69)</f>
        <v>0</v>
      </c>
    </row>
    <row r="79" spans="4:19" ht="20.100000000000001" customHeight="1" x14ac:dyDescent="0.25">
      <c r="M79" s="25" t="s">
        <v>638</v>
      </c>
      <c r="N79" s="25" t="str">
        <v>CalPhos</v>
      </c>
      <c r="O79" s="25" cm="1">
        <f t="array" ref="O79">_xlfn.XLOOKUP(N79,$N$45:$N$54,_xlfn.XLOOKUP($S$68,$R$44:$W$44,$R$45:$W$54))</f>
        <v>0</v>
      </c>
      <c r="P79" s="25" cm="1">
        <f t="array" ref="P79">Fertiliser_Equations_InorganicN2O.VEERG_5_1_1_1__1_InorganicFertiliserApplicationN2OEmissions(Q47,O79,$S$69)</f>
        <v>0</v>
      </c>
    </row>
    <row r="80" spans="4:19" ht="20.100000000000001" customHeight="1" x14ac:dyDescent="0.25">
      <c r="D80" s="135" t="s">
        <v>645</v>
      </c>
      <c r="E80" s="136">
        <f>SUM(E60:E78)</f>
        <v>1.206185042857143</v>
      </c>
      <c r="F80" s="137" t="str">
        <f>$E$47</f>
        <v>t N2O</v>
      </c>
      <c r="M80" s="25" t="s">
        <v>638</v>
      </c>
      <c r="N80" s="25" t="str">
        <v>Aqua Grow</v>
      </c>
      <c r="O80" s="25" cm="1">
        <f t="array" ref="O80">_xlfn.XLOOKUP(N80,$N$45:$N$54,_xlfn.XLOOKUP($S$68,$R$44:$W$44,$R$45:$W$54))</f>
        <v>5.8999999999999999E-3</v>
      </c>
      <c r="P80" s="25" cm="1">
        <f t="array" ref="P80">Fertiliser_Equations_InorganicN2O.VEERG_5_1_1_1__1_InorganicFertiliserApplicationN2OEmissions(Q48,O80,$S$69)</f>
        <v>0.1121472</v>
      </c>
    </row>
    <row r="81" spans="4:16" ht="20.100000000000001" customHeight="1" x14ac:dyDescent="0.25">
      <c r="M81" s="25" t="s">
        <v>638</v>
      </c>
      <c r="N81" s="25" t="str">
        <v>Aqua NitroCal</v>
      </c>
      <c r="O81" s="25" cm="1">
        <f t="array" ref="O81">_xlfn.XLOOKUP(N81,$N$45:$N$54,_xlfn.XLOOKUP($S$68,$R$44:$W$44,$R$45:$W$54))</f>
        <v>5.8999999999999999E-3</v>
      </c>
      <c r="P81" s="25" cm="1">
        <f t="array" ref="P81">Fertiliser_Equations_InorganicN2O.VEERG_5_1_1_1__1_InorganicFertiliserApplicationN2OEmissions(Q49,O81,$S$69)</f>
        <v>0.18357428571428572</v>
      </c>
    </row>
    <row r="82" spans="4:16" ht="20.100000000000001" customHeight="1" x14ac:dyDescent="0.25">
      <c r="D82" s="132" t="str" cm="1">
        <f t="array" ref="D82:E83">Common_Equations.Common_ConvertN2OToCO2e_Arguments()</f>
        <v>EN2O</v>
      </c>
      <c r="E82" s="138" t="str">
        <v>Nitrous oxide emissions (t N2O)</v>
      </c>
      <c r="F82" s="139"/>
      <c r="G82" s="25">
        <f>VEERG_5_1_1_1__1_InorganicFertiliserApplicationN2OEmissions_Result_Method1</f>
        <v>1.206185042857143</v>
      </c>
      <c r="M82" s="25" t="s">
        <v>639</v>
      </c>
      <c r="N82" s="25" t="str" cm="1">
        <f t="array" ref="N82:N84">Table_Input_InorganicFertiliser_Custom[Custom blend name]</f>
        <v>My first custom blend</v>
      </c>
      <c r="O82" s="25" cm="1">
        <f t="array" ref="O82">_xlfn.XLOOKUP(N82,$N$45:$N$54,_xlfn.XLOOKUP($S$68,$R$44:$W$44,$R$45:$W$54))</f>
        <v>5.8999999999999999E-3</v>
      </c>
      <c r="P82" s="25" cm="1">
        <f t="array" ref="P82">Fertiliser_Equations_InorganicN2O.VEERG_5_1_1_1__1_InorganicFertiliserApplicationN2OEmissions(Q50,O82,$S$69)</f>
        <v>7.1853571428571433E-2</v>
      </c>
    </row>
    <row r="83" spans="4:16" ht="20.100000000000001" customHeight="1" x14ac:dyDescent="0.25">
      <c r="D83" s="132" t="str">
        <v>GWPN2O</v>
      </c>
      <c r="E83" s="138" t="str">
        <v>Global warming potential for nitrous oxide (t CO2-e / t N2O)</v>
      </c>
      <c r="F83" s="139"/>
      <c r="G83" s="25">
        <f>Common_InputFunctions.Utility_LookupValueInTableNumber("N2O",Table_GWPData[Gas],Table_GWPData[CO2-e factor])</f>
        <v>265</v>
      </c>
      <c r="M83" s="25" t="s">
        <v>639</v>
      </c>
      <c r="N83" s="25" t="str">
        <v>My second custom blend</v>
      </c>
      <c r="O83" s="25" cm="1">
        <f t="array" ref="O83">_xlfn.XLOOKUP(N83,$N$45:$N$54,_xlfn.XLOOKUP($S$68,$R$44:$W$44,$R$45:$W$54))</f>
        <v>5.8999999999999999E-3</v>
      </c>
      <c r="P83" s="25" cm="1">
        <f t="array" ref="P83">Fertiliser_Equations_InorganicN2O.VEERG_5_1_1_1__1_InorganicFertiliserApplicationN2OEmissions(Q51,O83,$S$69)</f>
        <v>0.4264857142857143</v>
      </c>
    </row>
    <row r="84" spans="4:16" ht="20.100000000000001" customHeight="1" x14ac:dyDescent="0.25">
      <c r="M84" s="25" t="s">
        <v>639</v>
      </c>
      <c r="N84" s="25" t="str">
        <v>My third custom blend</v>
      </c>
      <c r="O84" s="25" cm="1">
        <f t="array" ref="O84">_xlfn.XLOOKUP(N84,$N$45:$N$54,_xlfn.XLOOKUP($S$68,$R$44:$W$44,$R$45:$W$54))</f>
        <v>5.8999999999999999E-3</v>
      </c>
      <c r="P84" s="25" cm="1">
        <f t="array" ref="P84">Fertiliser_Equations_InorganicN2O.VEERG_5_1_1_1__1_InorganicFertiliserApplicationN2OEmissions(Q52,O84,$S$69)</f>
        <v>0.38175107142857145</v>
      </c>
    </row>
    <row r="85" spans="4:16" ht="20.100000000000001" customHeight="1" x14ac:dyDescent="0.25">
      <c r="D85" s="101" t="s">
        <v>412</v>
      </c>
      <c r="E85" s="101" cm="1">
        <f t="array" ref="E85">Common_Equations.Common_ConvertN2OToCO2e(G82,G83)</f>
        <v>319.63903635714291</v>
      </c>
      <c r="F85" s="140" t="str" cm="1">
        <f t="array" ref="F85">Common_Equations.Common_ConvertN2OToCO2e_Unit()</f>
        <v>t CO2e</v>
      </c>
      <c r="M85" s="25" t="s">
        <v>639</v>
      </c>
      <c r="N85" s="25"/>
      <c r="O85" s="25" cm="1">
        <f t="array" ref="O85">_xlfn.XLOOKUP(N85,$N$45:$N$54,_xlfn.XLOOKUP($S$68,$R$44:$W$44,$R$45:$W$54))</f>
        <v>0</v>
      </c>
      <c r="P85" s="25" cm="1">
        <f t="array" ref="P85">Fertiliser_Equations_InorganicN2O.VEERG_5_1_1_1__1_InorganicFertiliserApplicationN2OEmissions(Q53,O85,$S$69)</f>
        <v>0</v>
      </c>
    </row>
    <row r="86" spans="4:16" ht="20.100000000000001" customHeight="1" x14ac:dyDescent="0.25">
      <c r="M86" s="25" t="s">
        <v>639</v>
      </c>
      <c r="N86" s="25"/>
      <c r="O86" s="25" cm="1">
        <f t="array" ref="O86">_xlfn.XLOOKUP(N86,$N$45:$N$54,_xlfn.XLOOKUP($S$68,$R$44:$W$44,$R$45:$W$54))</f>
        <v>0</v>
      </c>
      <c r="P86" s="25" cm="1">
        <f t="array" ref="P86">Fertiliser_Equations_InorganicN2O.VEERG_5_1_1_1__1_InorganicFertiliserApplicationN2OEmissions(Q54,O86,$S$69)</f>
        <v>0</v>
      </c>
    </row>
    <row r="87" spans="4:16" ht="20.100000000000001" customHeight="1" x14ac:dyDescent="0.25"/>
    <row r="88" spans="4:16" ht="20.100000000000001" customHeight="1" x14ac:dyDescent="0.25">
      <c r="M88" s="135" t="s">
        <v>645</v>
      </c>
      <c r="N88" s="136">
        <f>SUM(P77:P86)</f>
        <v>1.2061850428571428</v>
      </c>
      <c r="O88" s="137" t="str">
        <f>$E$47</f>
        <v>t N2O</v>
      </c>
    </row>
    <row r="89" spans="4:16" ht="20.100000000000001" customHeight="1" x14ac:dyDescent="0.25"/>
    <row r="90" spans="4:16" ht="20.100000000000001" customHeight="1" x14ac:dyDescent="0.25">
      <c r="M90" s="132" t="str" cm="1">
        <f t="array" ref="M90:N91">Common_Equations.Common_ConvertN2OToCO2e_Arguments()</f>
        <v>EN2O</v>
      </c>
      <c r="N90" s="138" t="str">
        <v>Nitrous oxide emissions (t N2O)</v>
      </c>
      <c r="O90" s="139"/>
      <c r="P90" s="25">
        <f>VEERG_5_1_1_1__1_InorganicFertiliserApplicationN2OEmissions_Result_Method2</f>
        <v>1.2061850428571428</v>
      </c>
    </row>
    <row r="91" spans="4:16" ht="20.100000000000001" customHeight="1" x14ac:dyDescent="0.25">
      <c r="M91" s="132" t="str">
        <v>GWPN2O</v>
      </c>
      <c r="N91" s="138" t="str">
        <v>Global warming potential for nitrous oxide (t CO2-e / t N2O)</v>
      </c>
      <c r="O91" s="139"/>
      <c r="P91" s="25">
        <f>Common_InputFunctions.Utility_LookupValueInTableNumber("N2O",Table_GWPData[Gas],Table_GWPData[CO2-e factor])</f>
        <v>265</v>
      </c>
    </row>
    <row r="92" spans="4:16" ht="20.100000000000001" customHeight="1" x14ac:dyDescent="0.25"/>
    <row r="93" spans="4:16" ht="20.100000000000001" customHeight="1" x14ac:dyDescent="0.25">
      <c r="M93" s="101" t="s">
        <v>412</v>
      </c>
      <c r="N93" s="101" cm="1">
        <f t="array" ref="N93">Common_Equations.Common_ConvertN2OToCO2e(P90,P91)</f>
        <v>319.63903635714286</v>
      </c>
      <c r="O93" s="140"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O150:R150 E269 N166:W166 O143:W144 E228 O167:W167 G132 I129:I133 F134:I134 F129:F132 H128:H132 G129 F148:I148 I149 F150:I150 R149:W149" xr:uid="{E34BFFDE-6C04-4DEE-9391-418D521F2271}"/>
  </dataValidation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BA2A9-8F9D-47AE-8B06-58EFC3F1A9E8}">
  <dimension ref="A1:U165"/>
  <sheetViews>
    <sheetView showGridLines="0" topLeftCell="A51"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0" customFormat="1" ht="30" customHeight="1" x14ac:dyDescent="0.35">
      <c r="A1" s="16" t="e" vm="1">
        <v>#VALUE!</v>
      </c>
      <c r="C1" s="30" t="s">
        <v>646</v>
      </c>
    </row>
    <row r="2" spans="1:21" s="3" customFormat="1" ht="20.100000000000001" customHeight="1" x14ac:dyDescent="0.25">
      <c r="A2"/>
    </row>
    <row r="3" spans="1:21" ht="20.100000000000001" customHeight="1" x14ac:dyDescent="0.25">
      <c r="A3" s="5" t="str">
        <f>HYPERLINK("#'Home'!A1", "Home")</f>
        <v>Home</v>
      </c>
      <c r="C3" s="32"/>
      <c r="D3" s="32" t="s">
        <v>136</v>
      </c>
      <c r="E3" s="32"/>
      <c r="F3" s="32"/>
      <c r="G3" s="32"/>
      <c r="H3" s="32"/>
      <c r="I3" s="32"/>
      <c r="J3" s="32"/>
      <c r="K3" s="32"/>
      <c r="L3" s="32"/>
      <c r="N3" s="32"/>
      <c r="O3" s="32" t="s">
        <v>137</v>
      </c>
      <c r="P3" s="32"/>
      <c r="Q3" s="32"/>
      <c r="R3" s="32"/>
      <c r="S3" s="32"/>
      <c r="T3" s="32"/>
      <c r="U3" s="32"/>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Fertiliser_Equations_InorganicCO2.VEERG_5_1_1_3__2_MassOfUreaInInorganicFertiliser_Title()</f>
        <v>Mass of urea applied to production system</v>
      </c>
    </row>
    <row r="6" spans="1:21" ht="20.100000000000001" customHeight="1" x14ac:dyDescent="0.25">
      <c r="D6" s="27" t="str" cm="1">
        <f t="array" ref="D6">Fertiliser_Equations_InorganicCO2.VEERG_5_1_1_3__2_MassOfUreaInInorganicFertiliser_Source()</f>
        <v>VEERG 2026: 5.1.1.3, Equation (2)</v>
      </c>
    </row>
    <row r="7" spans="1:21" ht="20.100000000000001" customHeight="1" x14ac:dyDescent="0.25">
      <c r="D7" s="118" t="s">
        <v>262</v>
      </c>
      <c r="E7" s="118" t="str" cm="1">
        <f t="array" aca="1" ref="E7" ca="1">Common_InputFunctions.Utility_DisplayFunctionName(G19)</f>
        <v>=Fertiliser_Equations_InorganicCO2.VEERG_5_1_1_3__2_MassOfUreaInInorganicFertiliser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7" t="s">
        <v>263</v>
      </c>
      <c r="E10" s="1" t="str" cm="1">
        <f t="array" ref="E10">Fertiliser_Equations_InorganicCO2.VEERG_5_1_1_3__2_MassOfUreaInInorganicFertiliser_Variable()</f>
        <v>MU_jf</v>
      </c>
    </row>
    <row r="11" spans="1:21" ht="20.100000000000001" customHeight="1" x14ac:dyDescent="0.25">
      <c r="A11" s="5" t="str">
        <f>HYPERLINK("#'Input - Dairy'!A1", "Dairy")</f>
        <v>Dairy</v>
      </c>
      <c r="D11" s="87" t="s">
        <v>122</v>
      </c>
      <c r="E11" s="15" t="str" cm="1">
        <f t="array" ref="E11">Fertiliser_Equations_InorganicCO2.VEERG_5_1_1_3__2_MassOfUreaInInorganicFertiliser_Unit()</f>
        <v>kg urea</v>
      </c>
    </row>
    <row r="12" spans="1:21" ht="20.100000000000001" customHeight="1" x14ac:dyDescent="0.25">
      <c r="A12" s="5" t="str">
        <f>HYPERLINK("#'Input - Dairy (Enteric)'!A1", "Dairy (Enteric)")</f>
        <v>Dairy (Enteric)</v>
      </c>
    </row>
    <row r="13" spans="1:21" ht="20.100000000000001" customHeight="1" x14ac:dyDescent="0.25">
      <c r="A13" s="5" t="str">
        <f>HYPERLINK("#'Input - Livestock sales'!A1", "Livestock sales")</f>
        <v>Livestock sales</v>
      </c>
      <c r="D13" s="132" t="str" cm="1">
        <f t="array" ref="D13:E14">_xlfn.CHOOSECOLS(Fertiliser_Equations_InorganicCO2.VEERG_5_1_1_3__2_MassOfUreaInInorganicFertiliser_Arguments(), 1, 2)</f>
        <v>TM_jf</v>
      </c>
      <c r="E13" s="138" t="str">
        <v>total mass of inorganic fertiliser type f applied to production system j</v>
      </c>
      <c r="F13" s="143"/>
      <c r="G13" s="132" t="str" cm="1">
        <f t="array" ref="G13:H14">_xlfn.CHOOSECOLS(Fertiliser_Equations_InorganicCO2.VEERG_5_1_1_3__2_MassOfUreaInInorganicFertiliser_Arguments(), 3, 4)</f>
        <v>kg</v>
      </c>
      <c r="H13" s="121" t="str">
        <v>Input</v>
      </c>
      <c r="I13" s="127" t="str" cm="1">
        <f t="array" aca="1" ref="I13" ca="1">HYPERLINK(Common_InputFunctions.Utility_SourceHyperlink($D$16), $D$16)</f>
        <v>Table_MU_j_f</v>
      </c>
    </row>
    <row r="14" spans="1:21" ht="20.100000000000001" customHeight="1" x14ac:dyDescent="0.25">
      <c r="A14" s="5" t="str">
        <f>HYPERLINK("#'Input - Dairy cattle purchases'!A1", "Dairy cattle purchases")</f>
        <v>Dairy cattle purchases</v>
      </c>
      <c r="D14" s="132" t="str">
        <v>FU_f</v>
      </c>
      <c r="E14" s="138" t="str">
        <v>fraction of urea in fertiliser type f</v>
      </c>
      <c r="F14" s="143"/>
      <c r="G14" s="132" t="str">
        <v>kg urea/kg</v>
      </c>
      <c r="H14" s="128" t="str">
        <v>Lookup</v>
      </c>
      <c r="I14" s="127" t="str" cm="1">
        <f t="array" aca="1" ref="I14" ca="1">HYPERLINK(Common_InputFunctions.Utility_SourceHyperlink($D$16), $D$16)</f>
        <v>Table_MU_j_f</v>
      </c>
    </row>
    <row r="15" spans="1:21" ht="20.100000000000001" customHeight="1" x14ac:dyDescent="0.25">
      <c r="A15" s="5" t="str">
        <f>HYPERLINK("#'Input - Pasture'!A1", "Pasture")</f>
        <v>Pasture</v>
      </c>
    </row>
    <row r="16" spans="1:21" ht="20.100000000000001" customHeight="1" x14ac:dyDescent="0.25">
      <c r="A16" s="5" t="str">
        <f>HYPERLINK("#'Input - Fert Prod System'!A1", "Fert Prod System")</f>
        <v>Fert Prod System</v>
      </c>
      <c r="D16" s="122" t="s">
        <v>647</v>
      </c>
    </row>
    <row r="17" spans="1:7" ht="20.100000000000001" customHeight="1" x14ac:dyDescent="0.25">
      <c r="A17" s="5" t="str">
        <f>HYPERLINK("#'Input - Fertiliser'!A1", "Fertiliser")</f>
        <v>Fertiliser</v>
      </c>
      <c r="D17" s="123" t="s">
        <v>648</v>
      </c>
    </row>
    <row r="18" spans="1:7" ht="20.100000000000001" customHeight="1" x14ac:dyDescent="0.25">
      <c r="A18" s="5" t="str">
        <f>HYPERLINK("#'Input - Fuel'!A1", "Fuel")</f>
        <v>Fuel</v>
      </c>
      <c r="D18" s="124" t="s">
        <v>619</v>
      </c>
      <c r="E18" s="94" t="s">
        <v>620</v>
      </c>
      <c r="F18" s="124" t="s">
        <v>649</v>
      </c>
      <c r="G18" s="124" t="s">
        <v>650</v>
      </c>
    </row>
    <row r="19" spans="1:7" ht="20.100000000000001" customHeight="1" x14ac:dyDescent="0.25">
      <c r="A19" s="5" t="str">
        <f>HYPERLINK("#'Input - Electricity'!A1", "Electricity")</f>
        <v>Electricity</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f],Table_Fertiliser_ChemicalCompounds[FU f])</f>
        <v>0</v>
      </c>
      <c r="G19" s="25" cm="1">
        <f t="array" ref="G19">Fertiliser_Equations_InorganicCO2.VEERG_5_1_1_3__2_MassOfUreaInInorganicFertiliser(E19,F19)</f>
        <v>0</v>
      </c>
    </row>
    <row r="20" spans="1:7" ht="20.100000000000001" customHeight="1" x14ac:dyDescent="0.25">
      <c r="A20" s="5" t="str">
        <f>HYPERLINK("#'Input - Farm Inputs'!A1", "Farm Inputs")</f>
        <v>Farm Inputs</v>
      </c>
      <c r="D20" s="25" t="str">
        <v>Diammonium phosphate (DAP)</v>
      </c>
      <c r="E20" s="2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f],Table_Fertiliser_ChemicalCompounds[FU f])</f>
        <v>0</v>
      </c>
      <c r="G20" s="25" cm="1">
        <f t="array" ref="G20">Fertiliser_Equations_InorganicCO2.VEERG_5_1_1_3__2_MassOfUreaInInorganicFertiliser(E20,F20)</f>
        <v>0</v>
      </c>
    </row>
    <row r="21" spans="1:7" ht="20.100000000000001" customHeight="1" x14ac:dyDescent="0.25">
      <c r="A21" s="5" t="str">
        <f>HYPERLINK("#'Input - Freight'!A1", "Freight")</f>
        <v>Freight</v>
      </c>
      <c r="D21" s="25" t="str">
        <v>Urea</v>
      </c>
      <c r="E21" s="2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100000</v>
      </c>
      <c r="F21" s="25" cm="1">
        <f t="array" ref="F21">Common_InputFunctions.Utility_LookupValueInTableNumber(D21,Table_Fertiliser_ChemicalCompounds[Fertiliser type f],Table_Fertiliser_ChemicalCompounds[FU f])</f>
        <v>1</v>
      </c>
      <c r="G21" s="25" cm="1">
        <f t="array" ref="G21">Fertiliser_Equations_InorganicCO2.VEERG_5_1_1_3__2_MassOfUreaInInorganicFertiliser(E21,F21)</f>
        <v>100000</v>
      </c>
    </row>
    <row r="22" spans="1:7" ht="20.100000000000001" customHeight="1" x14ac:dyDescent="0.25">
      <c r="A22" s="5" t="str">
        <f>HYPERLINK("#'Input - Manure sent off-site'!A1", "Manure sent off-site")</f>
        <v>Manure sent off-site</v>
      </c>
      <c r="D22" s="25" t="str">
        <v>Sulphate of ammonia (SOA)</v>
      </c>
      <c r="E22" s="2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f],Table_Fertiliser_ChemicalCompounds[FU f])</f>
        <v>0</v>
      </c>
      <c r="G22" s="25" cm="1">
        <f t="array" ref="G22">Fertiliser_Equations_InorganicCO2.VEERG_5_1_1_3__2_MassOfUreaInInorganicFertiliser(E22,F22)</f>
        <v>0</v>
      </c>
    </row>
    <row r="23" spans="1:7" ht="20.100000000000001" customHeight="1" x14ac:dyDescent="0.25">
      <c r="A23" s="5" t="str">
        <f>HYPERLINK("#'Input - Solid waste'!A1", "Solid waste")</f>
        <v>Solid waste</v>
      </c>
      <c r="D23" s="25" t="str">
        <v>Urea-ammonium nitrate (UAN)</v>
      </c>
      <c r="E23" s="2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f],Table_Fertiliser_ChemicalCompounds[FU f])</f>
        <v>0.35</v>
      </c>
      <c r="G23" s="25" cm="1">
        <f t="array" ref="G23">Fertiliser_Equations_InorganicCO2.VEERG_5_1_1_3__2_MassOfUreaInInorganicFertiliser(E23,F23)</f>
        <v>0</v>
      </c>
    </row>
    <row r="24" spans="1:7" ht="20.100000000000001" customHeight="1" x14ac:dyDescent="0.25">
      <c r="A24" s="5" t="str">
        <f>HYPERLINK("#'Input - Data quality'!A1", "Data quality")</f>
        <v>Data quality</v>
      </c>
      <c r="D24" s="25" t="str">
        <v>Ammonium nitrate (AN)</v>
      </c>
      <c r="E24" s="2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f],Table_Fertiliser_ChemicalCompounds[FU f])</f>
        <v>0</v>
      </c>
      <c r="G24" s="25" cm="1">
        <f t="array" ref="G24">Fertiliser_Equations_InorganicCO2.VEERG_5_1_1_3__2_MassOfUreaInInorganicFertiliser(E24,F24)</f>
        <v>0</v>
      </c>
    </row>
    <row r="25" spans="1:7" ht="20.100000000000001" customHeight="1" x14ac:dyDescent="0.25">
      <c r="D25" s="25" t="str">
        <v>Calcium ammonium nitrate (CAN)</v>
      </c>
      <c r="E25" s="2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f],Table_Fertiliser_ChemicalCompounds[FU f])</f>
        <v>0</v>
      </c>
      <c r="G25" s="25" cm="1">
        <f t="array" ref="G25">Fertiliser_Equations_InorganicCO2.VEERG_5_1_1_3__2_MassOfUreaInInorganicFertiliser(E25,F25)</f>
        <v>0</v>
      </c>
    </row>
    <row r="26" spans="1:7" ht="20.100000000000001" customHeight="1" x14ac:dyDescent="0.25">
      <c r="D26" s="25" t="str">
        <v>Nitrogen - Ammoniacal</v>
      </c>
      <c r="E26" s="2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f],Table_Fertiliser_ChemicalCompounds[FU f])</f>
        <v>0</v>
      </c>
      <c r="G26" s="25" cm="1">
        <f t="array" ref="G26">Fertiliser_Equations_InorganicCO2.VEERG_5_1_1_3__2_MassOfUreaInInorganicFertiliser(E26,F26)</f>
        <v>0</v>
      </c>
    </row>
    <row r="27" spans="1:7" ht="20.100000000000001" customHeight="1" x14ac:dyDescent="0.25">
      <c r="A27" s="6" t="s">
        <v>2</v>
      </c>
      <c r="D27" s="25" t="str">
        <v>Nitrogen - Nitrate</v>
      </c>
      <c r="E27" s="2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29700</v>
      </c>
      <c r="F27" s="25" cm="1">
        <f t="array" ref="F27">Common_InputFunctions.Utility_LookupValueInTableNumber(D27,Table_Fertiliser_ChemicalCompounds[Fertiliser type f],Table_Fertiliser_ChemicalCompounds[FU f])</f>
        <v>0</v>
      </c>
      <c r="G27" s="25" cm="1">
        <f t="array" ref="G27">Fertiliser_Equations_InorganicCO2.VEERG_5_1_1_3__2_MassOfUreaInInorganicFertiliser(E27,F27)</f>
        <v>0</v>
      </c>
    </row>
    <row r="28" spans="1:7" ht="20.100000000000001" customHeight="1" x14ac:dyDescent="0.25">
      <c r="A28" s="5" t="str">
        <f>HYPERLINK("#'5.1.1.1-2 Inorganic fert N2O'!A1", "5.1.1.1-2 Inorganic fert N2O")</f>
        <v>5.1.1.1-2 Inorganic fert N2O</v>
      </c>
      <c r="D28" s="25" t="str">
        <v>Nitrogen - Generic</v>
      </c>
      <c r="E28" s="2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19368.72</v>
      </c>
      <c r="F28" s="25" cm="1">
        <f t="array" ref="F28">Common_InputFunctions.Utility_LookupValueInTableNumber(D28,Table_Fertiliser_ChemicalCompounds[Fertiliser type f],Table_Fertiliser_ChemicalCompounds[FU f])</f>
        <v>0</v>
      </c>
      <c r="G28" s="25" cm="1">
        <f t="array" ref="G28">Fertiliser_Equations_InorganicCO2.VEERG_5_1_1_3__2_MassOfUreaInInorganicFertiliser(E28,F28)</f>
        <v>0</v>
      </c>
    </row>
    <row r="29" spans="1:7" ht="20.100000000000001" customHeight="1" x14ac:dyDescent="0.25">
      <c r="A29" s="119" t="str">
        <f>HYPERLINK("#'5.1.1.3-4 Inorganic fert CO2'!A1", "5.1.1.3-4 Inorganic fert CO2")</f>
        <v>5.1.1.3-4 Inorganic fert CO2</v>
      </c>
      <c r="D29" s="25" t="str">
        <v>Phosphorus - Generic</v>
      </c>
      <c r="E29" s="2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58871.475000000006</v>
      </c>
      <c r="F29" s="25" cm="1">
        <f t="array" ref="F29">Common_InputFunctions.Utility_LookupValueInTableNumber(D29,Table_Fertiliser_ChemicalCompounds[Fertiliser type f],Table_Fertiliser_ChemicalCompounds[FU f])</f>
        <v>0</v>
      </c>
      <c r="G29" s="25" cm="1">
        <f t="array" ref="G29">Fertiliser_Equations_InorganicCO2.VEERG_5_1_1_3__2_MassOfUreaInInorganicFertiliser(E29,F29)</f>
        <v>0</v>
      </c>
    </row>
    <row r="30" spans="1:7" ht="20.100000000000001" customHeight="1" x14ac:dyDescent="0.25">
      <c r="A30" s="5" t="str">
        <f>HYPERLINK("#'5.2.1.1-2 Organic Fert N2O'!A1", "5.2.1.1-2 Organic fert N2O")</f>
        <v>5.2.1.1-2 Organic fert N2O</v>
      </c>
      <c r="D30" s="25" t="str">
        <v>Potassium - Generic</v>
      </c>
      <c r="E30" s="2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25" cm="1">
        <f t="array" ref="F30">Common_InputFunctions.Utility_LookupValueInTableNumber(D30,Table_Fertiliser_ChemicalCompounds[Fertiliser type f],Table_Fertiliser_ChemicalCompounds[FU f])</f>
        <v>0</v>
      </c>
      <c r="G30" s="25" cm="1">
        <f t="array" ref="G30">Fertiliser_Equations_InorganicCO2.VEERG_5_1_1_3__2_MassOfUreaInInorganicFertiliser(E30,F30)</f>
        <v>0</v>
      </c>
    </row>
    <row r="31" spans="1:7" ht="20.100000000000001" customHeight="1" x14ac:dyDescent="0.25">
      <c r="A31" s="5" t="str">
        <f>HYPERLINK("#'5.3.1.1-2 Lime CO2'!A1", "5.3.1.1-2 Lime CO2")</f>
        <v>5.3.1.1-2 Lime CO2</v>
      </c>
      <c r="D31" s="25" t="str">
        <v>Sulfur - Generic</v>
      </c>
      <c r="E31" s="2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31" s="25" cm="1">
        <f t="array" ref="F31">Common_InputFunctions.Utility_LookupValueInTableNumber(D31,Table_Fertiliser_ChemicalCompounds[Fertiliser type f],Table_Fertiliser_ChemicalCompounds[FU f])</f>
        <v>0</v>
      </c>
      <c r="G31" s="25" cm="1">
        <f t="array" ref="G31">Fertiliser_Equations_InorganicCO2.VEERG_5_1_1_3__2_MassOfUreaInInorganicFertiliser(E31,F31)</f>
        <v>0</v>
      </c>
    </row>
    <row r="32" spans="1:7" ht="20.100000000000001" customHeight="1" x14ac:dyDescent="0.25">
      <c r="A32" s="5" t="str">
        <f>HYPERLINK("#'5.4.1.1-4 Atmos deposition'!A1", "5.4.1.1-4 Atmos. deposition")</f>
        <v>5.4.1.1-4 Atmos. deposition</v>
      </c>
      <c r="D32" s="25" t="str">
        <v>Zinc - Generic</v>
      </c>
      <c r="E32" s="2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25" cm="1">
        <f t="array" ref="F32">Common_InputFunctions.Utility_LookupValueInTableNumber(D32,Table_Fertiliser_ChemicalCompounds[Fertiliser type f],Table_Fertiliser_ChemicalCompounds[FU f])</f>
        <v>0</v>
      </c>
      <c r="G32" s="25" cm="1">
        <f t="array" ref="G32">Fertiliser_Equations_InorganicCO2.VEERG_5_1_1_3__2_MassOfUreaInInorganicFertiliser(E32,F32)</f>
        <v>0</v>
      </c>
    </row>
    <row r="33" spans="1:12" ht="20.100000000000001" customHeight="1" x14ac:dyDescent="0.25">
      <c r="A33" s="5" t="str">
        <f>HYPERLINK("#'5.5.1.1-2 Leaching and runoff'!A1", "5.5.1.1-2 Leaching &amp; runoff")</f>
        <v>5.5.1.1-2 Leaching &amp; runoff</v>
      </c>
      <c r="D33" s="25" t="str">
        <v>Muriate of potash (MOP)</v>
      </c>
      <c r="E33" s="2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f],Table_Fertiliser_ChemicalCompounds[FU f])</f>
        <v>0</v>
      </c>
      <c r="G33" s="25" cm="1">
        <f t="array" ref="G33">Fertiliser_Equations_InorganicCO2.VEERG_5_1_1_3__2_MassOfUreaInInorganicFertiliser(E33,F33)</f>
        <v>0</v>
      </c>
    </row>
    <row r="34" spans="1:12" ht="20.100000000000001" customHeight="1" x14ac:dyDescent="0.25">
      <c r="A34" s="5" t="str">
        <f>HYPERLINK("#'6.2.1.1-2 Pasture residue N2O'!A1", "6.2.1.1-2 Pasture residue N2O")</f>
        <v>6.2.1.1-2 Pasture residue N2O</v>
      </c>
      <c r="D34" s="25" t="str">
        <v>Double superphosphate</v>
      </c>
      <c r="E34" s="2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f],Table_Fertiliser_ChemicalCompounds[FU f])</f>
        <v>0</v>
      </c>
      <c r="G34" s="25" cm="1">
        <f t="array" ref="G34">Fertiliser_Equations_InorganicCO2.VEERG_5_1_1_3__2_MassOfUreaInInorganicFertiliser(E34,F34)</f>
        <v>0</v>
      </c>
    </row>
    <row r="35" spans="1:12" ht="20.100000000000001" customHeight="1" x14ac:dyDescent="0.25">
      <c r="A35" s="5" t="str">
        <f>HYPERLINK("#'6.3.1.1-2 Leach runoff pasture'!A1", "6.3.1.1-2 Leach &amp; runoff (pasture)")</f>
        <v>6.3.1.1-2 Leach &amp; runoff (pasture)</v>
      </c>
      <c r="D35" s="25" t="str">
        <v>Single superphosphate (SSP)</v>
      </c>
      <c r="E35" s="2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f],Table_Fertiliser_ChemicalCompounds[FU f])</f>
        <v>0</v>
      </c>
      <c r="G35" s="25" cm="1">
        <f t="array" ref="G35">Fertiliser_Equations_InorganicCO2.VEERG_5_1_1_3__2_MassOfUreaInInorganicFertiliser(E35,F35)</f>
        <v>0</v>
      </c>
    </row>
    <row r="36" spans="1:12" ht="20.100000000000001" customHeight="1" x14ac:dyDescent="0.25">
      <c r="A36" s="5" t="str">
        <f>HYPERLINK("#'8.1.1.1-2 Transport fuel'!A1", "8.1.1.1-2 Transport fuel")</f>
        <v>8.1.1.1-2 Transport fuel</v>
      </c>
      <c r="D36" s="25" t="str">
        <v>Ammonia</v>
      </c>
      <c r="E36" s="2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25" cm="1">
        <f t="array" ref="F36">Common_InputFunctions.Utility_LookupValueInTableNumber(D36,Table_Fertiliser_ChemicalCompounds[Fertiliser type f],Table_Fertiliser_ChemicalCompounds[FU f])</f>
        <v>0</v>
      </c>
      <c r="G36" s="25" cm="1">
        <f t="array" ref="G36">Fertiliser_Equations_InorganicCO2.VEERG_5_1_1_3__2_MassOfUreaInInorganicFertiliser(E36,F36)</f>
        <v>0</v>
      </c>
    </row>
    <row r="37" spans="1:12" ht="20.100000000000001" customHeight="1" x14ac:dyDescent="0.25">
      <c r="A37" s="5" t="str">
        <f>HYPERLINK("#'8.2.1.1-2 Stationary fuel'!A1", "8.2.1.1-2 Stationary fuel")</f>
        <v>8.2.1.1-2 Stationary fuel</v>
      </c>
      <c r="D37" s="25" t="str">
        <v>Calcium nitrate</v>
      </c>
      <c r="E37" s="2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25" cm="1">
        <f t="array" ref="F37">Common_InputFunctions.Utility_LookupValueInTableNumber(D37,Table_Fertiliser_ChemicalCompounds[Fertiliser type f],Table_Fertiliser_ChemicalCompounds[FU f])</f>
        <v>0</v>
      </c>
      <c r="G37" s="25" cm="1">
        <f t="array" ref="G37">Fertiliser_Equations_InorganicCO2.VEERG_5_1_1_3__2_MassOfUreaInInorganicFertiliser(E37,F37)</f>
        <v>0</v>
      </c>
    </row>
    <row r="38" spans="1:12" ht="20.100000000000001" customHeight="1" x14ac:dyDescent="0.25">
      <c r="A38" s="5" t="str">
        <f>HYPERLINK("#'14.1.1-2 Purchased electricity'!A1", "14.1.1-2 Purchased electricity")</f>
        <v>14.1.1-2 Purchased electricity</v>
      </c>
    </row>
    <row r="39" spans="1:12" ht="20.100000000000001" customHeight="1" x14ac:dyDescent="0.25">
      <c r="A39" s="5" t="str">
        <f>HYPERLINK("#'15 Scope 3'!A1", "15 Scope 3")</f>
        <v>15 Scope 3</v>
      </c>
    </row>
    <row r="40" spans="1:12" ht="20.100000000000001" customHeight="1" x14ac:dyDescent="0.25">
      <c r="A40" s="5" t="str">
        <f>HYPERLINK("#'Calcs - Manure sent off-site'!A1", "Calcs - Manure sent off-site")</f>
        <v>Calcs - Manure sent off-site</v>
      </c>
      <c r="C40" s="101"/>
      <c r="D40" s="101"/>
      <c r="E40" s="101"/>
      <c r="F40" s="101"/>
      <c r="G40" s="101"/>
      <c r="H40" s="101"/>
      <c r="I40" s="101"/>
      <c r="J40" s="101"/>
      <c r="K40" s="101"/>
      <c r="L40" s="101"/>
    </row>
    <row r="41" spans="1:12" ht="20.100000000000001" customHeight="1" x14ac:dyDescent="0.25">
      <c r="A41" s="5" t="str">
        <f>HYPERLINK("#'4.3.1.1-2 Methane'!A1", "4.3.1.1-2 Methane")</f>
        <v>4.3.1.1-2 Methane</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HYPERLINK("#'4.3.1.3-4 Direct N20'!A1", "4.3.1.3-4 Direct N20")</f>
        <v>4.3.1.3-4 Direct N20</v>
      </c>
      <c r="D42" s="27" t="str" cm="1">
        <f t="array" ref="D42">Fertiliser_Equations_InorganicCO2.VEERG_5_1_1_3__1_InorganicFertiliserApplicationCO2Emissions_Source()</f>
        <v>VEERG 2026: 5.1.1.3, Equation (1)</v>
      </c>
    </row>
    <row r="43" spans="1:12" ht="20.100000000000001" customHeight="1" x14ac:dyDescent="0.25">
      <c r="A43" s="5" t="str">
        <f>HYPERLINK("#'4.3.1.5 Atmos deposition'!A1", "4.3.1.5 Atmos deposition")</f>
        <v>4.3.1.5 Atmos deposition</v>
      </c>
      <c r="D43" s="118" t="s">
        <v>262</v>
      </c>
      <c r="E43" s="118"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HYPERLINK("#'4.3.1.6-7 Leaching and runoff'!A1", "4.3.1.6-7 Leaching and runoff")</f>
        <v>4.3.1.6-7 Leaching and runoff</v>
      </c>
    </row>
    <row r="45" spans="1:12" ht="20.100000000000001" customHeight="1" x14ac:dyDescent="0.25">
      <c r="A45" s="5" t="str">
        <f>HYPERLINK("#'4.3.1.8 Manure applied to soils'!A1", "4.3.1.8 Manure applied to soils")</f>
        <v>4.3.1.8 Manure applied to soils</v>
      </c>
    </row>
    <row r="46" spans="1:12" ht="20.100000000000001" customHeight="1" x14ac:dyDescent="0.25">
      <c r="A46" s="5" t="str">
        <f>HYPERLINK("#'4.3.1.9 Soil direct N2O'!A1", "4.3.1.9 Soil direct N2O")</f>
        <v>4.3.1.9 Soil direct N2O</v>
      </c>
      <c r="D46" s="87" t="s">
        <v>263</v>
      </c>
      <c r="E46" s="1" t="str" cm="1">
        <f t="array" ref="E46">Fertiliser_Equations_InorganicCO2.VEERG_5_1_1_3__1_InorganicFertiliserApplicationCO2Emissions_Variable()</f>
        <v>E_CO2</v>
      </c>
    </row>
    <row r="47" spans="1:12" ht="20.100000000000001" customHeight="1" x14ac:dyDescent="0.25">
      <c r="A47" s="5" t="str">
        <f>HYPERLINK("#'4.3.1.10-11 Soil Atmos Dep'!A1", "4.3.1.10-11 Soil Atmos Dep")</f>
        <v>4.3.1.10-11 Soil Atmos Dep</v>
      </c>
      <c r="D47" s="87" t="s">
        <v>122</v>
      </c>
      <c r="E47" s="15" t="str" cm="1">
        <f t="array" ref="E47">Fertiliser_Equations_InorganicCO2.VEERG_5_1_1_3__1_InorganicFertiliserApplicationCO2Emissions_Unit()</f>
        <v>t CO2</v>
      </c>
    </row>
    <row r="48" spans="1:12" ht="20.100000000000001" customHeight="1" x14ac:dyDescent="0.25">
      <c r="A48" s="5" t="str">
        <f>HYPERLINK("#'4.3.1.12-13 Soil leach runoff'!A1", "4.3.1.12-13 Soil leach runoff")</f>
        <v>4.3.1.12-13 Soil leach runoff</v>
      </c>
    </row>
    <row r="49" spans="1:9" ht="20.100000000000001" customHeight="1" x14ac:dyDescent="0.25">
      <c r="A49" s="5" t="str">
        <f>HYPERLINK("#'3.3.1.1-2 Enteric Methane'!A1", "3.3.1.1-2 Enteric Methane")</f>
        <v>3.3.1.1-2 Enteric Methane</v>
      </c>
      <c r="D49" s="132" t="str" cm="1">
        <f t="array" ref="D49:E53">_xlfn.CHOOSECOLS(Fertiliser_Equations_InorganicCO2.VEERG_5_1_1_3__1_InorganicFertiliserApplicationCO2Emissions_Arguments(), 1, 2)</f>
        <v>MU_jf</v>
      </c>
      <c r="E49" s="138" t="str">
        <v>mass of urea of inorganic fertiliser type f applied to production system j</v>
      </c>
      <c r="F49" s="143"/>
      <c r="G49" s="132" t="str" cm="1">
        <f t="array" ref="G49:H53">_xlfn.CHOOSECOLS(Fertiliser_Equations_InorganicCO2.VEERG_5_1_1_3__1_InorganicFertiliserApplicationCO2Emissions_Arguments(), 3,4)</f>
        <v>kg urea</v>
      </c>
      <c r="H49" s="128" t="str">
        <v>Calculated</v>
      </c>
      <c r="I49" s="127" t="str" cm="1">
        <f t="array" aca="1" ref="I49" ca="1">HYPERLINK(Common_InputFunctions.Utility_SourceHyperlink($D$16), $D$16)</f>
        <v>Table_MU_j_f</v>
      </c>
    </row>
    <row r="50" spans="1:9" ht="20.100000000000001" customHeight="1" x14ac:dyDescent="0.25">
      <c r="A50" s="5" t="str">
        <f>HYPERLINK("#'10.1.1-2 Solid waste treatment'!A1", "10.1.1-2 Solid waste treatment")</f>
        <v>10.1.1-2 Solid waste treatment</v>
      </c>
      <c r="D50" s="132" t="str">
        <v>EF_ureaCO2</v>
      </c>
      <c r="E50" s="138" t="str">
        <v>emission factor for carbon emissions from urea-based fertilisers</v>
      </c>
      <c r="F50" s="143"/>
      <c r="G50" s="132" t="str">
        <v>kg C/kg urea</v>
      </c>
      <c r="H50" s="128" t="str">
        <v>Constant</v>
      </c>
      <c r="I50" s="132">
        <f>Fertiliser_EFUreaCO2_Data</f>
        <v>0.2</v>
      </c>
    </row>
    <row r="51" spans="1:9" ht="20.100000000000001" customHeight="1" x14ac:dyDescent="0.25">
      <c r="D51" s="132" t="str">
        <v>C_CO2</v>
      </c>
      <c r="E51" s="138" t="str">
        <v>factor to convert elemental mass of carbon to molecular mass of carbon dioxide</v>
      </c>
      <c r="F51" s="143"/>
      <c r="G51" s="132" t="str">
        <v/>
      </c>
      <c r="H51" s="128" t="str">
        <v>Constant</v>
      </c>
      <c r="I51" s="132">
        <f>Common_InputFunctions.Utility_LookupValueInTableNumber("CO2",Table_GasToMolecularConversionFactor[Gas], Table_GasToMolecularConversionFactor[Conversion factor combined])</f>
        <v>3.6666666666666665</v>
      </c>
    </row>
    <row r="52" spans="1:9" ht="20.100000000000001" customHeight="1" x14ac:dyDescent="0.25">
      <c r="D52" s="132" t="str">
        <v>j</v>
      </c>
      <c r="E52" s="138" t="str">
        <v>Production system</v>
      </c>
      <c r="F52" s="143"/>
      <c r="G52" s="132" t="str">
        <v/>
      </c>
      <c r="H52" s="121" t="str">
        <v>Input</v>
      </c>
      <c r="I52" s="132" t="str">
        <f>X_Cell_Fertiliser_ProductionSystem</f>
        <v>Pasture</v>
      </c>
    </row>
    <row r="53" spans="1:9" ht="20.100000000000001" customHeight="1" x14ac:dyDescent="0.25">
      <c r="A53" s="100" t="s">
        <v>1</v>
      </c>
      <c r="D53" s="132" t="str">
        <v>f</v>
      </c>
      <c r="E53" s="138" t="str">
        <v>Inorganic fertiliser type</v>
      </c>
      <c r="F53" s="143"/>
      <c r="G53" s="132" t="str">
        <v/>
      </c>
      <c r="H53" s="128" t="str">
        <v>Lookup</v>
      </c>
      <c r="I53" s="127" t="str" cm="1">
        <f t="array" aca="1" ref="I53" ca="1">HYPERLINK(Common_InputFunctions.Utility_SourceHyperlink($D$16), $D$16)</f>
        <v>Table_MU_j_f</v>
      </c>
    </row>
    <row r="54" spans="1:9" ht="20.100000000000001" customHeight="1" x14ac:dyDescent="0.25">
      <c r="A54" s="5" t="str">
        <f>HYPERLINK("#'Constants - Dairy'!A1", "Constants - Dairy")</f>
        <v>Constants - Dairy</v>
      </c>
    </row>
    <row r="55" spans="1:9" ht="20.100000000000001" customHeight="1" x14ac:dyDescent="0.25">
      <c r="A55" s="5" t="str">
        <f>HYPERLINK("#'Constants - Ag Residue'!A1", "Constants - Ag residue")</f>
        <v>Constants - Ag residue</v>
      </c>
      <c r="D55" s="122" t="s">
        <v>651</v>
      </c>
    </row>
    <row r="56" spans="1:9" ht="20.100000000000001" customHeight="1" x14ac:dyDescent="0.25">
      <c r="A56" s="5" t="str">
        <f>HYPERLINK("#'Constants - Common Livestock'!A1", "Constants - Common Livestock")</f>
        <v>Constants - Common Livestock</v>
      </c>
      <c r="D56" s="123" t="s">
        <v>652</v>
      </c>
    </row>
    <row r="57" spans="1:9" ht="20.100000000000001" customHeight="1" x14ac:dyDescent="0.25">
      <c r="A57" s="5" t="str">
        <f>HYPERLINK("#'Constants - Electricity'!A1", "Constants - Electricity")</f>
        <v>Constants - Electricity</v>
      </c>
      <c r="D57" s="124" t="s">
        <v>619</v>
      </c>
      <c r="E57" s="124" t="s">
        <v>642</v>
      </c>
    </row>
    <row r="58" spans="1:9" ht="20.100000000000001" customHeight="1" x14ac:dyDescent="0.25">
      <c r="A58" s="5" t="str">
        <f>HYPERLINK("#'Constants - Fertiliser'!A1", "Constants - Fertiliser")</f>
        <v>Constants - Fertiliser</v>
      </c>
      <c r="D58" s="25" t="str" cm="1">
        <f t="array" ref="D58:D76">Table_Fertiliser_ChemicalCompounds[Fertiliser type f]</f>
        <v>Monoammonium phosphate (MAP)</v>
      </c>
      <c r="E58" s="25" cm="1">
        <f t="array" ref="E58">Fertiliser_Equations_InorganicCO2.VEERG_5_1_1_3__1_InorganicFertiliserApplicationCO2Emissions(G19,$I$50,$I$51)</f>
        <v>0</v>
      </c>
      <c r="F58" s="26" t="str">
        <f>$E$47</f>
        <v>t CO2</v>
      </c>
    </row>
    <row r="59" spans="1:9" ht="20.100000000000001" customHeight="1" x14ac:dyDescent="0.25">
      <c r="A59" s="5" t="str">
        <f>HYPERLINK("#'Constants - Fuel'!A1", "Constants - Fuel")</f>
        <v>Constants - Fuel</v>
      </c>
      <c r="D59" s="25" t="str">
        <v>Diammonium phosphate (DAP)</v>
      </c>
      <c r="E59" s="25" cm="1">
        <f t="array" ref="E59">Fertiliser_Equations_InorganicCO2.VEERG_5_1_1_3__1_InorganicFertiliserApplicationCO2Emissions(G20,$I$50,$I$51)</f>
        <v>0</v>
      </c>
    </row>
    <row r="60" spans="1:9" ht="20.100000000000001" customHeight="1" x14ac:dyDescent="0.25">
      <c r="A60" s="5" t="str">
        <f>HYPERLINK("#'Constants - Scope 3'!A1", "Constants - Scope 3")</f>
        <v>Constants - Scope 3</v>
      </c>
      <c r="D60" s="25" t="str">
        <v>Urea</v>
      </c>
      <c r="E60" s="25" cm="1">
        <f t="array" ref="E60">Fertiliser_Equations_InorganicCO2.VEERG_5_1_1_3__1_InorganicFertiliserApplicationCO2Emissions(G21,$I$50,$I$51)</f>
        <v>73.333333333333329</v>
      </c>
    </row>
    <row r="61" spans="1:9" ht="20.100000000000001" customHeight="1" x14ac:dyDescent="0.25">
      <c r="A61" s="5" t="str">
        <f>HYPERLINK("#'Constants - Common'!A1", "Constants - Common")</f>
        <v>Constants - Common</v>
      </c>
      <c r="D61" s="25" t="str">
        <v>Sulphate of ammonia (SOA)</v>
      </c>
      <c r="E61" s="25" cm="1">
        <f t="array" ref="E61">Fertiliser_Equations_InorganicCO2.VEERG_5_1_1_3__1_InorganicFertiliserApplicationCO2Emissions(G22,$I$50,$I$51)</f>
        <v>0</v>
      </c>
    </row>
    <row r="62" spans="1:9" ht="20.100000000000001" customHeight="1" x14ac:dyDescent="0.25">
      <c r="A62" s="5" t="str">
        <f>HYPERLINK("#'Acknowledgements'!A1", "Acknowledgements")</f>
        <v>Acknowledgements</v>
      </c>
      <c r="D62" s="25" t="str">
        <v>Urea-ammonium nitrate (UAN)</v>
      </c>
      <c r="E62" s="25" cm="1">
        <f t="array" ref="E62">Fertiliser_Equations_InorganicCO2.VEERG_5_1_1_3__1_InorganicFertiliserApplicationCO2Emissions(G23,$I$50,$I$51)</f>
        <v>0</v>
      </c>
    </row>
    <row r="63" spans="1:9" ht="20.100000000000001" customHeight="1" x14ac:dyDescent="0.25">
      <c r="A63" s="5" t="str">
        <f>HYPERLINK("#'Constants - Solid Waste'!A1", "Constants - Solid Waste")</f>
        <v>Constants - Solid Waste</v>
      </c>
      <c r="D63" s="25" t="str">
        <v>Ammonium nitrate (AN)</v>
      </c>
      <c r="E63" s="25" cm="1">
        <f t="array" ref="E63">Fertiliser_Equations_InorganicCO2.VEERG_5_1_1_3__1_InorganicFertiliserApplicationCO2Emissions(G24,$I$50,$I$51)</f>
        <v>0</v>
      </c>
    </row>
    <row r="64" spans="1:9" ht="20.100000000000001" customHeight="1" x14ac:dyDescent="0.25">
      <c r="D64" s="25" t="str">
        <v>Calcium ammonium nitrate (CAN)</v>
      </c>
      <c r="E64" s="25" cm="1">
        <f t="array" ref="E64">Fertiliser_Equations_InorganicCO2.VEERG_5_1_1_3__1_InorganicFertiliserApplicationCO2Emissions(G25,$I$50,$I$51)</f>
        <v>0</v>
      </c>
    </row>
    <row r="65" spans="4:6" ht="20.100000000000001" customHeight="1" x14ac:dyDescent="0.25">
      <c r="D65" s="25" t="str">
        <v>Nitrogen - Ammoniacal</v>
      </c>
      <c r="E65" s="25" cm="1">
        <f t="array" ref="E65">Fertiliser_Equations_InorganicCO2.VEERG_5_1_1_3__1_InorganicFertiliserApplicationCO2Emissions(G26,$I$50,$I$51)</f>
        <v>0</v>
      </c>
    </row>
    <row r="66" spans="4:6" ht="20.100000000000001" customHeight="1" x14ac:dyDescent="0.25">
      <c r="D66" s="25" t="str">
        <v>Nitrogen - Nitrate</v>
      </c>
      <c r="E66" s="25" cm="1">
        <f t="array" ref="E66">Fertiliser_Equations_InorganicCO2.VEERG_5_1_1_3__1_InorganicFertiliserApplicationCO2Emissions(G27,$I$50,$I$51)</f>
        <v>0</v>
      </c>
    </row>
    <row r="67" spans="4:6" ht="20.100000000000001" customHeight="1" x14ac:dyDescent="0.25">
      <c r="D67" s="25" t="str">
        <v>Nitrogen - Generic</v>
      </c>
      <c r="E67" s="25" cm="1">
        <f t="array" ref="E67">Fertiliser_Equations_InorganicCO2.VEERG_5_1_1_3__1_InorganicFertiliserApplicationCO2Emissions(G28,$I$50,$I$51)</f>
        <v>0</v>
      </c>
    </row>
    <row r="68" spans="4:6" ht="20.100000000000001" customHeight="1" x14ac:dyDescent="0.25">
      <c r="D68" s="25" t="str">
        <v>Phosphorus - Generic</v>
      </c>
      <c r="E68" s="25" cm="1">
        <f t="array" ref="E68">Fertiliser_Equations_InorganicCO2.VEERG_5_1_1_3__1_InorganicFertiliserApplicationCO2Emissions(G29,$I$50,$I$51)</f>
        <v>0</v>
      </c>
    </row>
    <row r="69" spans="4:6" ht="20.100000000000001" customHeight="1" x14ac:dyDescent="0.25">
      <c r="D69" s="25" t="str">
        <v>Potassium - Generic</v>
      </c>
      <c r="E69" s="25" cm="1">
        <f t="array" ref="E69">Fertiliser_Equations_InorganicCO2.VEERG_5_1_1_3__1_InorganicFertiliserApplicationCO2Emissions(G30,$I$50,$I$51)</f>
        <v>0</v>
      </c>
    </row>
    <row r="70" spans="4:6" ht="20.100000000000001" customHeight="1" x14ac:dyDescent="0.25">
      <c r="D70" s="25" t="str">
        <v>Sulfur - Generic</v>
      </c>
      <c r="E70" s="25" cm="1">
        <f t="array" ref="E70">Fertiliser_Equations_InorganicCO2.VEERG_5_1_1_3__1_InorganicFertiliserApplicationCO2Emissions(G31,$I$50,$I$51)</f>
        <v>0</v>
      </c>
    </row>
    <row r="71" spans="4:6" ht="20.100000000000001" customHeight="1" x14ac:dyDescent="0.25">
      <c r="D71" s="25" t="str">
        <v>Zinc - Generic</v>
      </c>
      <c r="E71" s="25" cm="1">
        <f t="array" ref="E71">Fertiliser_Equations_InorganicCO2.VEERG_5_1_1_3__1_InorganicFertiliserApplicationCO2Emissions(G32,$I$50,$I$51)</f>
        <v>0</v>
      </c>
    </row>
    <row r="72" spans="4:6" ht="20.100000000000001" customHeight="1" x14ac:dyDescent="0.25">
      <c r="D72" s="25" t="str">
        <v>Muriate of potash (MOP)</v>
      </c>
      <c r="E72" s="25" cm="1">
        <f t="array" ref="E72">Fertiliser_Equations_InorganicCO2.VEERG_5_1_1_3__1_InorganicFertiliserApplicationCO2Emissions(G33,$I$50,$I$51)</f>
        <v>0</v>
      </c>
    </row>
    <row r="73" spans="4:6" ht="20.100000000000001" customHeight="1" x14ac:dyDescent="0.25">
      <c r="D73" s="25" t="str">
        <v>Double superphosphate</v>
      </c>
      <c r="E73" s="25" cm="1">
        <f t="array" ref="E73">Fertiliser_Equations_InorganicCO2.VEERG_5_1_1_3__1_InorganicFertiliserApplicationCO2Emissions(G34,$I$50,$I$51)</f>
        <v>0</v>
      </c>
    </row>
    <row r="74" spans="4:6" ht="20.100000000000001" customHeight="1" x14ac:dyDescent="0.25">
      <c r="D74" s="25" t="str">
        <v>Single superphosphate (SSP)</v>
      </c>
      <c r="E74" s="25" cm="1">
        <f t="array" ref="E74">Fertiliser_Equations_InorganicCO2.VEERG_5_1_1_3__1_InorganicFertiliserApplicationCO2Emissions(G35,$I$50,$I$51)</f>
        <v>0</v>
      </c>
    </row>
    <row r="75" spans="4:6" ht="20.100000000000001" customHeight="1" x14ac:dyDescent="0.25">
      <c r="D75" s="25" t="str">
        <v>Ammonia</v>
      </c>
      <c r="E75" s="25" cm="1">
        <f t="array" ref="E75">Fertiliser_Equations_InorganicCO2.VEERG_5_1_1_3__1_InorganicFertiliserApplicationCO2Emissions(G36,$I$50,$I$51)</f>
        <v>0</v>
      </c>
    </row>
    <row r="76" spans="4:6" ht="20.100000000000001" customHeight="1" x14ac:dyDescent="0.25">
      <c r="D76" s="25" t="str">
        <v>Calcium nitrate</v>
      </c>
      <c r="E76" s="25" cm="1">
        <f t="array" ref="E76">Fertiliser_Equations_InorganicCO2.VEERG_5_1_1_3__1_InorganicFertiliserApplicationCO2Emissions(G37,$I$50,$I$51)</f>
        <v>0</v>
      </c>
    </row>
    <row r="77" spans="4:6" ht="20.100000000000001" customHeight="1" x14ac:dyDescent="0.25"/>
    <row r="78" spans="4:6" ht="20.100000000000001" customHeight="1" x14ac:dyDescent="0.25">
      <c r="D78" s="135" t="s">
        <v>653</v>
      </c>
      <c r="E78" s="136">
        <f>SUM(E58:E76)</f>
        <v>73.333333333333329</v>
      </c>
      <c r="F78" s="137"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24174-1909-43AC-AD27-6873FBFFFEFA}">
  <dimension ref="A1:U165"/>
  <sheetViews>
    <sheetView showGridLines="0" topLeftCell="A5"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0" customFormat="1" ht="30" customHeight="1" x14ac:dyDescent="0.35">
      <c r="A1" s="16" t="e" vm="1">
        <v>#VALUE!</v>
      </c>
      <c r="C1" s="30" t="s">
        <v>654</v>
      </c>
    </row>
    <row r="2" spans="1:21" s="3" customFormat="1" ht="20.100000000000001" customHeight="1" x14ac:dyDescent="0.25">
      <c r="A2"/>
    </row>
    <row r="3" spans="1:21" ht="20.100000000000001" customHeight="1" x14ac:dyDescent="0.25">
      <c r="A3" s="5" t="str">
        <f>HYPERLINK("#'Home'!A1", "Home")</f>
        <v>Home</v>
      </c>
      <c r="C3" s="32"/>
      <c r="D3" s="32" t="s">
        <v>136</v>
      </c>
      <c r="E3" s="32"/>
      <c r="F3" s="32"/>
      <c r="G3" s="32"/>
      <c r="H3" s="32"/>
      <c r="I3" s="32"/>
      <c r="J3" s="32"/>
      <c r="K3" s="32"/>
      <c r="L3" s="32"/>
      <c r="N3" s="32"/>
      <c r="O3" s="32" t="s">
        <v>137</v>
      </c>
      <c r="P3" s="32"/>
      <c r="Q3" s="32"/>
      <c r="R3" s="32"/>
      <c r="S3" s="32"/>
      <c r="T3" s="32"/>
      <c r="U3" s="32"/>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27" t="str" cm="1">
        <f t="array" ref="D6">Fertiliser_Equations_OrganicN2O.VEERG_5_2_1_1__2_MassOfNitrogenInOrganicFertiliser_Source()</f>
        <v>VEERG 2026: 5.2.1.1, Equation (2)</v>
      </c>
    </row>
    <row r="7" spans="1:21" ht="20.100000000000001" customHeight="1" x14ac:dyDescent="0.25">
      <c r="D7" s="118" t="s">
        <v>262</v>
      </c>
      <c r="E7" s="118" t="str" cm="1">
        <f t="array" aca="1" ref="E7" ca="1">Common_InputFunctions.Utility_DisplayFunctionName($I$20)</f>
        <v>=Fertiliser_Equations_OrganicN2O.VEERG_5_2_1_1__2_MassOfNitrogenInOrganicFertiliser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7" t="s">
        <v>263</v>
      </c>
      <c r="E10" s="1" t="str" cm="1">
        <f t="array" ref="E10">Fertiliser_Equations_OrganicN2O.VEERG_5_2_1_1__2_MassOfNitrogenInOrganicFertiliser_Variable()</f>
        <v>MNSoil_jf</v>
      </c>
    </row>
    <row r="11" spans="1:21" ht="20.100000000000001" customHeight="1" x14ac:dyDescent="0.25">
      <c r="A11" s="5" t="str">
        <f>HYPERLINK("#'Input - Dairy'!A1", "Dairy")</f>
        <v>Dairy</v>
      </c>
      <c r="D11" s="87" t="s">
        <v>122</v>
      </c>
      <c r="E11" s="15" t="str" cm="1">
        <f t="array" ref="E11">Fertiliser_Equations_OrganicN2O.VEERG_5_2_1_1__2_MassOfNitrogenInOrganicFertiliser_Unit()</f>
        <v>kg N</v>
      </c>
    </row>
    <row r="12" spans="1:21" ht="20.100000000000001" customHeight="1" x14ac:dyDescent="0.25">
      <c r="A12" s="5" t="str">
        <f>HYPERLINK("#'Input - Dairy (Enteric)'!A1", "Dairy (Enteric)")</f>
        <v>Dairy (Enteric)</v>
      </c>
    </row>
    <row r="13" spans="1:21" ht="20.100000000000001" customHeight="1" x14ac:dyDescent="0.25">
      <c r="A13" s="5" t="str">
        <f>HYPERLINK("#'Input - Livestock sales'!A1", "Livestock sales")</f>
        <v>Livestock sales</v>
      </c>
      <c r="D13" s="132" t="str" cm="1">
        <f t="array" ref="D13:E15">_xlfn.CHOOSECOLS(Fertiliser_Equations_OrganicN2O.VEERG_5_2_1_1__2_MassOfNitrogenInOrganicFertiliser_Arguments(), 1, 2)</f>
        <v>M_organicjf</v>
      </c>
      <c r="E13" s="138" t="str">
        <v>mass of organic fertiliser type f applied to production system j</v>
      </c>
      <c r="F13" s="143"/>
      <c r="G13" s="120" t="str" cm="1">
        <f t="array" ref="G13:H15">_xlfn.CHOOSECOLS(Fertiliser_Equations_OrganicN2O.VEERG_5_2_1_1__2_MassOfNitrogenInOrganicFertiliser_Arguments(), 3,4)</f>
        <v>kg</v>
      </c>
      <c r="H13" s="121" t="str">
        <v>Input</v>
      </c>
      <c r="I13" s="127" t="str" cm="1">
        <f t="array" aca="1" ref="I13" ca="1">HYPERLINK(Common_InputFunctions.Utility_SourceHyperlink($D$17), $D$17)</f>
        <v>Table_MNSoil_j_f</v>
      </c>
    </row>
    <row r="14" spans="1:21" ht="20.100000000000001" customHeight="1" x14ac:dyDescent="0.25">
      <c r="A14" s="5" t="str">
        <f>HYPERLINK("#'Input - Dairy cattle purchases'!A1", "Dairy cattle purchases")</f>
        <v>Dairy cattle purchases</v>
      </c>
      <c r="D14" s="132" t="str">
        <v>FN_organicf</v>
      </c>
      <c r="E14" s="138" t="str">
        <v>nitrogen fraction of organic fertiliser type f</v>
      </c>
      <c r="F14" s="143"/>
      <c r="G14" s="120" t="str">
        <v>kg N/kg</v>
      </c>
      <c r="H14" s="121" t="str">
        <v>Input</v>
      </c>
      <c r="I14" s="127" t="str" cm="1">
        <f t="array" aca="1" ref="I14" ca="1">HYPERLINK(Common_InputFunctions.Utility_SourceHyperlink($D$17), $D$17)</f>
        <v>Table_MNSoil_j_f</v>
      </c>
    </row>
    <row r="15" spans="1:21" ht="20.100000000000001" customHeight="1" x14ac:dyDescent="0.25">
      <c r="A15" s="5" t="str">
        <f>HYPERLINK("#'Input - Pasture'!A1", "Pasture")</f>
        <v>Pasture</v>
      </c>
      <c r="D15" s="132" t="str">
        <v>f</v>
      </c>
      <c r="E15" s="138" t="str">
        <v>Organic fertiliser type</v>
      </c>
      <c r="F15" s="143"/>
      <c r="G15" s="120" t="str">
        <v/>
      </c>
      <c r="H15" s="121" t="str">
        <v>Input</v>
      </c>
      <c r="I15" s="127" t="str" cm="1">
        <f t="array" aca="1" ref="I15" ca="1">HYPERLINK(Common_InputFunctions.Utility_SourceHyperlink($D$17), $D$17)</f>
        <v>Table_MNSoil_j_f</v>
      </c>
    </row>
    <row r="16" spans="1:21" ht="20.100000000000001" customHeight="1" x14ac:dyDescent="0.25">
      <c r="A16" s="5" t="str">
        <f>HYPERLINK("#'Input - Fert Prod System'!A1", "Fert Prod System")</f>
        <v>Fert Prod System</v>
      </c>
    </row>
    <row r="17" spans="1:10" ht="20.100000000000001" customHeight="1" x14ac:dyDescent="0.25">
      <c r="A17" s="5" t="str">
        <f>HYPERLINK("#'Input - Fertiliser'!A1", "Fertiliser")</f>
        <v>Fertiliser</v>
      </c>
      <c r="D17" s="122" t="s">
        <v>655</v>
      </c>
    </row>
    <row r="18" spans="1:10" ht="20.100000000000001" customHeight="1" x14ac:dyDescent="0.25">
      <c r="A18" s="5" t="str">
        <f>HYPERLINK("#'Input - Fuel'!A1", "Fuel")</f>
        <v>Fuel</v>
      </c>
      <c r="D18" s="123" t="s">
        <v>656</v>
      </c>
    </row>
    <row r="19" spans="1:10" ht="20.100000000000001" customHeight="1" x14ac:dyDescent="0.25">
      <c r="A19" s="5" t="str">
        <f>HYPERLINK("#'Input - Electricity'!A1", "Electricity")</f>
        <v>Electricity</v>
      </c>
      <c r="D19" s="94" t="s">
        <v>657</v>
      </c>
      <c r="E19" s="94" t="s">
        <v>658</v>
      </c>
      <c r="F19" s="94" t="s">
        <v>558</v>
      </c>
      <c r="G19" s="188" t="s">
        <v>659</v>
      </c>
      <c r="H19" s="94" t="s">
        <v>660</v>
      </c>
      <c r="I19" s="188" t="s">
        <v>661</v>
      </c>
    </row>
    <row r="20" spans="1:10" ht="20.100000000000001" customHeight="1" x14ac:dyDescent="0.25">
      <c r="A20" s="5" t="str">
        <f>HYPERLINK("#'Input - Farm Inputs'!A1", "Farm Inputs")</f>
        <v>Farm Inputs</v>
      </c>
      <c r="D20" s="25" t="str" cm="1">
        <f t="array" ref="D20:D22">Table_Input_OrganicFertiliser[Organic fertiliser type (select)]</f>
        <v>Manure - Other</v>
      </c>
      <c r="E20" s="189" cm="1">
        <f t="array" ref="E20:E22">Table_Input_OrganicFertiliser[Amount applied (kg/hectare)]</f>
        <v>10</v>
      </c>
      <c r="F20" s="189" cm="1">
        <f t="array" ref="F20:F22">Table_Input_OrganicFertiliser[Application area (ha)]</f>
        <v>1000</v>
      </c>
      <c r="G20" s="25" cm="1">
        <f t="array" ref="G20:G22">Table_Input_OrganicFertiliser[Amount applied (kg/hectare)]*Table_Input_OrganicFertiliser[Application area (ha)]</f>
        <v>10000</v>
      </c>
      <c r="H20" s="190" cm="1">
        <f t="array" ref="H20:H22">Table_Input_OrganicFertiliser[Percentage of N in fertiliser]</f>
        <v>0.3</v>
      </c>
      <c r="I20" s="25" cm="1">
        <f t="array" ref="I20">Fertiliser_Equations_OrganicN2O.VEERG_5_2_1_1__2_MassOfNitrogenInOrganicFertiliser(G20,H20)</f>
        <v>3000</v>
      </c>
    </row>
    <row r="21" spans="1:10" ht="20.100000000000001" customHeight="1" x14ac:dyDescent="0.25">
      <c r="A21" s="5" t="str">
        <f>HYPERLINK("#'Input - Freight'!A1", "Freight")</f>
        <v>Freight</v>
      </c>
      <c r="D21" s="25" t="str">
        <v>Manure - Poultry</v>
      </c>
      <c r="E21" s="25">
        <v>10</v>
      </c>
      <c r="F21" s="25">
        <v>1000</v>
      </c>
      <c r="G21" s="25">
        <v>10000</v>
      </c>
      <c r="H21" s="25">
        <v>0.25</v>
      </c>
      <c r="I21" s="25" cm="1">
        <f t="array" ref="I21">Fertiliser_Equations_Organic.VEERG_5_2_1_1__2_MassOfNitrogenInOrganicFertiliser(G21,H21)</f>
        <v>2500</v>
      </c>
    </row>
    <row r="22" spans="1:10" ht="20.100000000000001" customHeight="1" x14ac:dyDescent="0.25">
      <c r="A22" s="5" t="str">
        <f>HYPERLINK("#'Input - Manure sent off-site'!A1", "Manure sent off-site")</f>
        <v>Manure sent off-site</v>
      </c>
      <c r="D22" s="25" t="str">
        <v>Other organic fertiliser</v>
      </c>
      <c r="E22" s="25">
        <v>10</v>
      </c>
      <c r="F22" s="25">
        <v>1000</v>
      </c>
      <c r="G22" s="25">
        <v>10000</v>
      </c>
      <c r="H22" s="25">
        <v>0.16</v>
      </c>
      <c r="I22" s="25" cm="1">
        <f t="array" ref="I22">Fertiliser_Equations_Organic.VEERG_5_2_1_1__2_MassOfNitrogenInOrganicFertiliser(G22,H22)</f>
        <v>1600</v>
      </c>
    </row>
    <row r="23" spans="1:10" ht="20.100000000000001" customHeight="1" x14ac:dyDescent="0.25">
      <c r="A23" s="5" t="str">
        <f>HYPERLINK("#'Input - Solid waste'!A1", "Solid waste")</f>
        <v>Solid waste</v>
      </c>
      <c r="D23" s="25"/>
      <c r="E23" s="25"/>
      <c r="F23" s="25"/>
      <c r="G23" s="25"/>
      <c r="H23" s="25"/>
      <c r="I23" s="25" cm="1">
        <f t="array" ref="I23">Fertiliser_Equations_Organic.VEERG_5_2_1_1__2_MassOfNitrogenInOrganicFertiliser(G23,H23)</f>
        <v>0</v>
      </c>
    </row>
    <row r="24" spans="1:10" ht="20.100000000000001" customHeight="1" x14ac:dyDescent="0.25">
      <c r="A24" s="5" t="str">
        <f>HYPERLINK("#'Input - Data quality'!A1", "Data quality")</f>
        <v>Data quality</v>
      </c>
      <c r="D24" s="25"/>
      <c r="E24" s="25"/>
      <c r="F24" s="25"/>
      <c r="G24" s="25"/>
      <c r="H24" s="25"/>
      <c r="I24" s="25" cm="1">
        <f t="array" ref="I24">Fertiliser_Equations_Organic.VEERG_5_2_1_1__2_MassOfNitrogenInOrganicFertiliser(G24,H24)</f>
        <v>0</v>
      </c>
    </row>
    <row r="25" spans="1:10" ht="20.100000000000001" customHeight="1" x14ac:dyDescent="0.25">
      <c r="D25" s="25"/>
      <c r="E25" s="25"/>
      <c r="F25" s="25"/>
      <c r="G25" s="25"/>
      <c r="H25" s="25"/>
      <c r="I25" s="25" cm="1">
        <f t="array" ref="I25">Fertiliser_Equations_Organic.VEERG_5_2_1_1__2_MassOfNitrogenInOrganicFertiliser(G25,H25)</f>
        <v>0</v>
      </c>
    </row>
    <row r="26" spans="1:10" ht="20.100000000000001" customHeight="1" x14ac:dyDescent="0.25">
      <c r="D26" s="25"/>
      <c r="E26" s="25"/>
      <c r="F26" s="25"/>
      <c r="G26" s="25"/>
      <c r="H26" s="25"/>
      <c r="I26" s="25" cm="1">
        <f t="array" ref="I26">Fertiliser_Equations_Organic.VEERG_5_2_1_1__2_MassOfNitrogenInOrganicFertiliser(G26,H26)</f>
        <v>0</v>
      </c>
    </row>
    <row r="27" spans="1:10" ht="20.100000000000001" customHeight="1" x14ac:dyDescent="0.25">
      <c r="A27" s="6" t="s">
        <v>2</v>
      </c>
      <c r="D27" s="25"/>
      <c r="E27" s="25"/>
      <c r="F27" s="25"/>
      <c r="G27" s="25"/>
      <c r="H27" s="25"/>
      <c r="I27" s="25" cm="1">
        <f t="array" ref="I27">Fertiliser_Equations_Organic.VEERG_5_2_1_1__2_MassOfNitrogenInOrganicFertiliser(G27,H27)</f>
        <v>0</v>
      </c>
    </row>
    <row r="28" spans="1:10" ht="20.100000000000001" customHeight="1" x14ac:dyDescent="0.25">
      <c r="A28" s="5" t="str">
        <f>HYPERLINK("#'5.1.1.1-2 Inorganic fert N2O'!A1", "5.1.1.1-2 Inorganic fert N2O")</f>
        <v>5.1.1.1-2 Inorganic fert N2O</v>
      </c>
      <c r="D28" s="25"/>
      <c r="E28" s="25"/>
      <c r="F28" s="25"/>
      <c r="G28" s="25"/>
      <c r="H28" s="25"/>
      <c r="I28" s="25" cm="1">
        <f t="array" ref="I28">Fertiliser_Equations_Organic.VEERG_5_2_1_1__2_MassOfNitrogenInOrganicFertiliser(G28,H28)</f>
        <v>0</v>
      </c>
    </row>
    <row r="29" spans="1:10" ht="20.100000000000001" customHeight="1" x14ac:dyDescent="0.25">
      <c r="A29" s="5" t="str">
        <f>HYPERLINK("#'5.1.1.3-4 Inorganic fert CO2'!A1", "5.1.1.3-4 Inorganic fert CO2")</f>
        <v>5.1.1.3-4 Inorganic fert CO2</v>
      </c>
      <c r="D29" s="25"/>
      <c r="E29" s="25"/>
      <c r="F29" s="25"/>
      <c r="G29" s="25"/>
      <c r="H29" s="25"/>
      <c r="I29" s="25" cm="1">
        <f t="array" ref="I29">Fertiliser_Equations_Organic.VEERG_5_2_1_1__2_MassOfNitrogenInOrganicFertiliser(G29,H29)</f>
        <v>0</v>
      </c>
    </row>
    <row r="30" spans="1:10" ht="20.100000000000001" customHeight="1" x14ac:dyDescent="0.25">
      <c r="A30" s="119" t="str">
        <f>HYPERLINK("#'5.2.1.1-2 Organic Fert N2O'!A1", "5.2.1.1-2 Organic fert N2O")</f>
        <v>5.2.1.1-2 Organic fert N2O</v>
      </c>
      <c r="D30" s="25"/>
      <c r="E30" s="25"/>
      <c r="F30" s="25"/>
      <c r="G30" s="25"/>
      <c r="H30" s="25"/>
      <c r="I30" s="25" cm="1">
        <f t="array" ref="I30">Fertiliser_Equations_Organic.VEERG_5_2_1_1__2_MassOfNitrogenInOrganicFertiliser(G30,H30)</f>
        <v>0</v>
      </c>
    </row>
    <row r="31" spans="1:10" ht="20.100000000000001" customHeight="1" x14ac:dyDescent="0.25">
      <c r="A31" s="5" t="str">
        <f>HYPERLINK("#'5.3.1.1-2 Lime CO2'!A1", "5.3.1.1-2 Lime CO2")</f>
        <v>5.3.1.1-2 Lime CO2</v>
      </c>
      <c r="D31" s="191"/>
      <c r="E31" s="191"/>
      <c r="F31" s="191"/>
      <c r="G31" s="191"/>
      <c r="H31" s="191"/>
      <c r="I31" s="191"/>
      <c r="J31" s="191"/>
    </row>
    <row r="32" spans="1:10" ht="20.100000000000001" customHeight="1" x14ac:dyDescent="0.25">
      <c r="A32" s="5" t="str">
        <f>HYPERLINK("#'5.4.1.1-4 Atmos deposition'!A1", "5.4.1.1-4 Atmos. deposition")</f>
        <v>5.4.1.1-4 Atmos. deposition</v>
      </c>
      <c r="D32" s="142" t="s">
        <v>662</v>
      </c>
      <c r="E32" s="142">
        <f>SUM(I20:I30)</f>
        <v>7100</v>
      </c>
      <c r="F32" s="192" t="str">
        <f>$E$11</f>
        <v>kg N</v>
      </c>
      <c r="G32" s="191"/>
      <c r="H32" s="191"/>
      <c r="I32" s="191"/>
      <c r="J32" s="191"/>
    </row>
    <row r="33" spans="1:12" ht="20.100000000000001" customHeight="1" x14ac:dyDescent="0.25">
      <c r="A33" s="5" t="str">
        <f>HYPERLINK("#'5.5.1.1-2 Leaching and runoff'!A1", "5.5.1.1-2 Leaching &amp; runoff")</f>
        <v>5.5.1.1-2 Leaching &amp; runoff</v>
      </c>
    </row>
    <row r="34" spans="1:12" ht="20.100000000000001" customHeight="1" x14ac:dyDescent="0.25">
      <c r="A34" s="5" t="str">
        <f>HYPERLINK("#'6.2.1.1-2 Pasture residue N2O'!A1", "6.2.1.1-2 Pasture residue N2O")</f>
        <v>6.2.1.1-2 Pasture residue N2O</v>
      </c>
    </row>
    <row r="35" spans="1:12" ht="20.100000000000001" customHeight="1" x14ac:dyDescent="0.25">
      <c r="A35" s="5" t="str">
        <f>HYPERLINK("#'6.3.1.1-2 Leach runoff pasture'!A1", "6.3.1.1-2 Leach &amp; runoff (pasture)")</f>
        <v>6.3.1.1-2 Leach &amp; runoff (pasture)</v>
      </c>
      <c r="C35" s="193"/>
      <c r="D35" s="193"/>
      <c r="E35" s="193"/>
      <c r="F35" s="193"/>
      <c r="G35" s="193"/>
      <c r="H35" s="193"/>
      <c r="I35" s="193"/>
      <c r="J35" s="193"/>
      <c r="K35" s="193"/>
      <c r="L35" s="193"/>
    </row>
    <row r="36" spans="1:12" ht="20.100000000000001" customHeight="1" x14ac:dyDescent="0.25">
      <c r="A36" s="5" t="str">
        <f>HYPERLINK("#'8.1.1.1-2 Transport fuel'!A1", "8.1.1.1-2 Transport fuel")</f>
        <v>8.1.1.1-2 Transport fuel</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5" t="str">
        <f>HYPERLINK("#'8.2.1.1-2 Stationary fuel'!A1", "8.2.1.1-2 Stationary fuel")</f>
        <v>8.2.1.1-2 Stationary fuel</v>
      </c>
      <c r="D37" s="27" t="str" cm="1">
        <f t="array" ref="D37">Fertiliser_Equations_OrganicN2O.VEERG_5_2_1_1__1_OrganicFertiliserApplicationN2OEmissions_Source()</f>
        <v>VEERG 2026: 5.2.1.1, Equation (1)</v>
      </c>
    </row>
    <row r="38" spans="1:12" ht="20.100000000000001" customHeight="1" x14ac:dyDescent="0.25">
      <c r="A38" s="5" t="str">
        <f>HYPERLINK("#'14.1.1-2 Purchased electricity'!A1", "14.1.1-2 Purchased electricity")</f>
        <v>14.1.1-2 Purchased electricity</v>
      </c>
      <c r="D38" s="118" t="s">
        <v>262</v>
      </c>
      <c r="E38" s="118" t="str" cm="1">
        <f t="array" aca="1" ref="E38" ca="1">Common_InputFunctions.Utility_DisplayFunctionName($I$20)</f>
        <v>=Fertiliser_Equations_OrganicN2O.VEERG_5_2_1_1__2_MassOfNitrogenInOrganicFertiliser</v>
      </c>
    </row>
    <row r="39" spans="1:12" ht="20.100000000000001" customHeight="1" x14ac:dyDescent="0.25">
      <c r="A39" s="5" t="str">
        <f>HYPERLINK("#'15 Scope 3'!A1", "15 Scope 3")</f>
        <v>15 Scope 3</v>
      </c>
    </row>
    <row r="40" spans="1:12" ht="20.100000000000001" customHeight="1" x14ac:dyDescent="0.25">
      <c r="A40" s="5" t="str">
        <f>HYPERLINK("#'Calcs - Manure sent off-site'!A1", "Calcs - Manure sent off-site")</f>
        <v>Calcs - Manure sent off-site</v>
      </c>
    </row>
    <row r="41" spans="1:12" ht="20.100000000000001" customHeight="1" x14ac:dyDescent="0.25">
      <c r="A41" s="5" t="str">
        <f>HYPERLINK("#'4.3.1.1-2 Methane'!A1", "4.3.1.1-2 Methane")</f>
        <v>4.3.1.1-2 Methane</v>
      </c>
      <c r="D41" s="87" t="s">
        <v>263</v>
      </c>
      <c r="E41" s="1" t="str" cm="1">
        <f t="array" ref="E41">Fertiliser_Equations_OrganicN2O.VEERG_5_2_1_1__1_OrganicFertiliserApplicationN2OEmissions_Variable()</f>
        <v>E_N2O</v>
      </c>
    </row>
    <row r="42" spans="1:12" ht="20.100000000000001" customHeight="1" x14ac:dyDescent="0.25">
      <c r="A42" s="5" t="str">
        <f>HYPERLINK("#'4.3.1.3-4 Direct N20'!A1", "4.3.1.3-4 Direct N20")</f>
        <v>4.3.1.3-4 Direct N20</v>
      </c>
      <c r="D42" s="87" t="s">
        <v>122</v>
      </c>
      <c r="E42" s="15" t="str" cm="1">
        <f t="array" ref="E42">Fertiliser_Equations_OrganicN2O.VEERG_5_2_1_1__1_OrganicFertiliserApplicationN2OEmissions_Unit()</f>
        <v>t N2O</v>
      </c>
    </row>
    <row r="43" spans="1:12" ht="20.100000000000001" customHeight="1" x14ac:dyDescent="0.25">
      <c r="A43" s="5" t="str">
        <f>HYPERLINK("#'4.3.1.5 Atmos deposition'!A1", "4.3.1.5 Atmos deposition")</f>
        <v>4.3.1.5 Atmos deposition</v>
      </c>
    </row>
    <row r="44" spans="1:12" ht="20.100000000000001" customHeight="1" x14ac:dyDescent="0.25">
      <c r="A44" s="5" t="str">
        <f>HYPERLINK("#'4.3.1.6-7 Leaching and runoff'!A1", "4.3.1.6-7 Leaching and runoff")</f>
        <v>4.3.1.6-7 Leaching and runoff</v>
      </c>
      <c r="D44" s="120" t="str" cm="1">
        <f t="array" ref="D44:E48">_xlfn.CHOOSECOLS(Fertiliser_Equations_OrganicN2O.VEERG_5_2_1_1__1_OrganicFertiliserApplicationN2OEmissions_Arguments(), 1, 2)</f>
        <v>MNSoil_jf</v>
      </c>
      <c r="E44" s="125" t="str">
        <v>mass of nitrogen in organic fertiliser type f applied to production system j</v>
      </c>
      <c r="F44" s="133"/>
      <c r="G44" s="133"/>
      <c r="H44" s="126"/>
      <c r="I44" s="120" t="str" cm="1">
        <f t="array" ref="I44:J48">_xlfn.CHOOSECOLS(Fertiliser_Equations_OrganicN2O.VEERG_5_2_1_1__1_OrganicFertiliserApplicationN2OEmissions_Arguments(), 3,4)</f>
        <v>kg N</v>
      </c>
      <c r="J44" s="128" t="str">
        <v>Calculated from 5.2.1.1 (2)</v>
      </c>
      <c r="K44" s="120">
        <f>$E$32</f>
        <v>7100</v>
      </c>
    </row>
    <row r="45" spans="1:12" ht="20.100000000000001" customHeight="1" x14ac:dyDescent="0.25">
      <c r="A45" s="5" t="str">
        <f>HYPERLINK("#'4.3.1.8 Manure applied to soils'!A1", "4.3.1.8 Manure applied to soils")</f>
        <v>4.3.1.8 Manure applied to soils</v>
      </c>
      <c r="D45" s="120" t="str">
        <v>EF_N2Oi</v>
      </c>
      <c r="E45" s="125" t="str">
        <v>emission factor for direct nitrous oxide emissions from organic fertiliser applied to soils and aquatic systems in climate zone i</v>
      </c>
      <c r="F45" s="133"/>
      <c r="G45" s="133"/>
      <c r="H45" s="126"/>
      <c r="I45" s="120" t="str">
        <v>kg N2O-N/kg N</v>
      </c>
      <c r="J45" s="128" t="str">
        <v>Lookup</v>
      </c>
      <c r="K45" s="120">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s="5" t="str">
        <f>HYPERLINK("#'4.3.1.9 Soil direct N2O'!A1", "4.3.1.9 Soil direct N2O")</f>
        <v>4.3.1.9 Soil direct N2O</v>
      </c>
      <c r="D46" s="120" t="str">
        <v>C_N2O</v>
      </c>
      <c r="E46" s="125" t="str">
        <v>factor to convert elemental mass of nitrous oxide to molecular mass</v>
      </c>
      <c r="F46" s="133"/>
      <c r="G46" s="133"/>
      <c r="H46" s="126"/>
      <c r="I46" s="120" t="str">
        <v/>
      </c>
      <c r="J46" s="128" t="str">
        <v>Constant</v>
      </c>
      <c r="K46" s="132">
        <f>Common_InputFunctions.Utility_LookupValueInTableNumber("N2O",Table_GasToMolecularConversionFactor[Gas],Table_GasToMolecularConversionFactor[Conversion factor combined])</f>
        <v>1.5714285714285714</v>
      </c>
    </row>
    <row r="47" spans="1:12" ht="20.100000000000001" customHeight="1" x14ac:dyDescent="0.25">
      <c r="A47" s="5" t="str">
        <f>HYPERLINK("#'4.3.1.10-11 Soil Atmos Dep'!A1", "4.3.1.10-11 Soil Atmos Dep")</f>
        <v>4.3.1.10-11 Soil Atmos Dep</v>
      </c>
      <c r="D47" s="120" t="str">
        <v>j</v>
      </c>
      <c r="E47" s="125" t="str">
        <v>Production system</v>
      </c>
      <c r="F47" s="133"/>
      <c r="G47" s="133"/>
      <c r="H47" s="126"/>
      <c r="I47" s="120" t="str">
        <v/>
      </c>
      <c r="J47" s="121" t="str">
        <v>Input</v>
      </c>
      <c r="K47" s="120" t="str">
        <f>X_Cell_Fertiliser_ProductionSystem</f>
        <v>Pasture</v>
      </c>
    </row>
    <row r="48" spans="1:12" ht="20.100000000000001" customHeight="1" x14ac:dyDescent="0.25">
      <c r="A48" s="5" t="str">
        <f>HYPERLINK("#'4.3.1.12-13 Soil leach runoff'!A1", "4.3.1.12-13 Soil leach runoff")</f>
        <v>4.3.1.12-13 Soil leach runoff</v>
      </c>
      <c r="D48" s="120" t="str">
        <v>i</v>
      </c>
      <c r="E48" s="125" t="str">
        <v>Wet or dry climate zone</v>
      </c>
      <c r="F48" s="133"/>
      <c r="G48" s="133"/>
      <c r="H48" s="126"/>
      <c r="I48" s="120" t="str">
        <v/>
      </c>
      <c r="J48" s="121" t="str">
        <v>Input</v>
      </c>
      <c r="K48" s="120" t="str">
        <f>X_Cell_Site_WetOrDryClimateZone</f>
        <v>Dry climate zone</v>
      </c>
    </row>
    <row r="49" spans="1:7" ht="20.100000000000001" customHeight="1" x14ac:dyDescent="0.25">
      <c r="A49" s="5" t="str">
        <f>HYPERLINK("#'3.3.1.1-2 Enteric Methane'!A1", "3.3.1.1-2 Enteric Methane")</f>
        <v>3.3.1.1-2 Enteric Methane</v>
      </c>
    </row>
    <row r="50" spans="1:7" ht="20.100000000000001" customHeight="1" x14ac:dyDescent="0.25">
      <c r="A50" s="5" t="str">
        <f>HYPERLINK("#'10.1.1-2 Solid waste treatment'!A1", "10.1.1-2 Solid waste treatment")</f>
        <v>10.1.1-2 Solid waste treatment</v>
      </c>
      <c r="D50" s="135" t="s">
        <v>645</v>
      </c>
      <c r="E50" s="136" cm="1">
        <f t="array" ref="E50">Fertiliser_Equations_OrganicN2O.VEERG_5_2_1_1__1_OrganicFertiliserApplicationN2OEmissions(K44,K45,K46)</f>
        <v>5.5785714285714286E-2</v>
      </c>
      <c r="F50" s="137" t="str">
        <f>$E$42</f>
        <v>t N2O</v>
      </c>
    </row>
    <row r="51" spans="1:7" ht="20.100000000000001" customHeight="1" x14ac:dyDescent="0.25"/>
    <row r="52" spans="1:7" ht="20.100000000000001" customHeight="1" x14ac:dyDescent="0.25">
      <c r="D52" s="132" t="str" cm="1">
        <f t="array" ref="D52:E53">Common_Equations.Common_ConvertN2OToCO2e_Arguments()</f>
        <v>EN2O</v>
      </c>
      <c r="E52" s="138" t="str">
        <v>Nitrous oxide emissions (t N2O)</v>
      </c>
      <c r="F52" s="139"/>
      <c r="G52" s="25">
        <f>VEERG_5_2_1_1__2_MassOfNitrogenInOrganicFertiliser_Result_Method1</f>
        <v>5.5785714285714286E-2</v>
      </c>
    </row>
    <row r="53" spans="1:7" ht="20.100000000000001" customHeight="1" x14ac:dyDescent="0.25">
      <c r="A53" s="100" t="s">
        <v>1</v>
      </c>
      <c r="D53" s="132" t="str">
        <v>GWPN2O</v>
      </c>
      <c r="E53" s="138" t="str">
        <v>Global warming potential for nitrous oxide (t CO2-e / t N2O)</v>
      </c>
      <c r="F53" s="139"/>
      <c r="G53" s="25">
        <f>Common_InputFunctions.Utility_LookupValueInTableNumber("N2O",Table_GWPData[Gas],Table_GWPData[CO2-e factor])</f>
        <v>265</v>
      </c>
    </row>
    <row r="54" spans="1:7" ht="20.100000000000001" customHeight="1" x14ac:dyDescent="0.25">
      <c r="A54" s="5" t="str">
        <f>HYPERLINK("#'Constants - Dairy'!A1", "Constants - Dairy")</f>
        <v>Constants - Dairy</v>
      </c>
    </row>
    <row r="55" spans="1:7" ht="20.100000000000001" customHeight="1" x14ac:dyDescent="0.25">
      <c r="A55" s="5" t="str">
        <f>HYPERLINK("#'Constants - Ag Residue'!A1", "Constants - Ag residue")</f>
        <v>Constants - Ag residue</v>
      </c>
      <c r="D55" s="101" t="s">
        <v>412</v>
      </c>
      <c r="E55" s="101" cm="1">
        <f t="array" ref="E55">Common_Equations.Common_ConvertN2OToCO2e(G52,G53)</f>
        <v>14.783214285714285</v>
      </c>
      <c r="F55" s="140" t="str" cm="1">
        <f t="array" ref="F55">Common_Equations.Common_ConvertN2OToCO2e_Unit()</f>
        <v>t CO2e</v>
      </c>
    </row>
    <row r="56" spans="1:7" ht="20.100000000000001" customHeight="1" x14ac:dyDescent="0.25">
      <c r="A56" s="5" t="str">
        <f>HYPERLINK("#'Constants - Common Livestock'!A1", "Constants - Common Livestock")</f>
        <v>Constants - Common Livestock</v>
      </c>
    </row>
    <row r="57" spans="1:7" ht="20.100000000000001" customHeight="1" x14ac:dyDescent="0.25">
      <c r="A57" s="5" t="str">
        <f>HYPERLINK("#'Constants - Electricity'!A1", "Constants - Electricity")</f>
        <v>Constants - Electricity</v>
      </c>
    </row>
    <row r="58" spans="1:7" ht="20.100000000000001" customHeight="1" x14ac:dyDescent="0.25">
      <c r="A58" s="5" t="str">
        <f>HYPERLINK("#'Constants - Fertiliser'!A1", "Constants - Fertiliser")</f>
        <v>Constants - Fertiliser</v>
      </c>
    </row>
    <row r="59" spans="1:7" ht="20.100000000000001" customHeight="1" x14ac:dyDescent="0.25">
      <c r="A59" s="5" t="str">
        <f>HYPERLINK("#'Constants - Fuel'!A1", "Constants - Fuel")</f>
        <v>Constants - Fuel</v>
      </c>
    </row>
    <row r="60" spans="1:7" ht="20.100000000000001" customHeight="1" x14ac:dyDescent="0.25">
      <c r="A60" s="5" t="str">
        <f>HYPERLINK("#'Constants - Scope 3'!A1", "Constants - Scope 3")</f>
        <v>Constants - Scope 3</v>
      </c>
    </row>
    <row r="61" spans="1:7" ht="20.100000000000001" customHeight="1" x14ac:dyDescent="0.25">
      <c r="A61" s="5" t="str">
        <f>HYPERLINK("#'Constants - Common'!A1", "Constants - Common")</f>
        <v>Constants - Common</v>
      </c>
    </row>
    <row r="62" spans="1:7" ht="20.100000000000001" customHeight="1" x14ac:dyDescent="0.25">
      <c r="A62" s="5" t="str">
        <f>HYPERLINK("#'Acknowledgements'!A1", "Acknowledgements")</f>
        <v>Acknowledgements</v>
      </c>
    </row>
    <row r="63" spans="1:7" ht="20.100000000000001" customHeight="1" x14ac:dyDescent="0.25">
      <c r="A63" s="5" t="str">
        <f>HYPERLINK("#'Constants - Solid Waste'!A1", "Constants - Solid Waste")</f>
        <v>Constants - Solid Waste</v>
      </c>
    </row>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1CDD8-C1C8-4A9F-8B73-0EB6A5B7F8F6}">
  <dimension ref="A1:U165"/>
  <sheetViews>
    <sheetView showGridLines="0" topLeftCell="A9"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0" customFormat="1" ht="30" customHeight="1" x14ac:dyDescent="0.35">
      <c r="A1" s="16" t="e" vm="1">
        <v>#VALUE!</v>
      </c>
      <c r="C1" s="30" t="s">
        <v>663</v>
      </c>
    </row>
    <row r="2" spans="1:21" s="3" customFormat="1" ht="20.100000000000001" customHeight="1" x14ac:dyDescent="0.25">
      <c r="A2"/>
    </row>
    <row r="3" spans="1:21" ht="20.100000000000001" customHeight="1" x14ac:dyDescent="0.25">
      <c r="A3" s="5" t="str">
        <f>HYPERLINK("#'Home'!A1", "Home")</f>
        <v>Home</v>
      </c>
      <c r="C3" s="32"/>
      <c r="D3" s="32" t="s">
        <v>136</v>
      </c>
      <c r="E3" s="32"/>
      <c r="F3" s="32"/>
      <c r="G3" s="32"/>
      <c r="H3" s="32"/>
      <c r="I3" s="32"/>
      <c r="J3" s="32"/>
      <c r="K3" s="32"/>
      <c r="L3" s="32"/>
      <c r="N3" s="32"/>
      <c r="O3" s="32" t="s">
        <v>137</v>
      </c>
      <c r="P3" s="32"/>
      <c r="Q3" s="32"/>
      <c r="R3" s="32"/>
      <c r="S3" s="32"/>
      <c r="T3" s="32"/>
      <c r="U3" s="32"/>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Fertiliser_Equations_Lime.VEERG_5_3_1_1__1_LimeApplicationCO2Emissions_Title()</f>
        <v>Emissions from the application of lime and dolomite to production systems</v>
      </c>
    </row>
    <row r="6" spans="1:21" ht="20.100000000000001" customHeight="1" x14ac:dyDescent="0.25">
      <c r="D6" s="27" t="str" cm="1">
        <f t="array" ref="D6">Fertiliser_Equations_Lime.VEERG_5_3_1_1__1_LimeApplicationCO2Emissions_Source()</f>
        <v>VEERG 2026: 5.3.1.1, Equation (1)</v>
      </c>
    </row>
    <row r="7" spans="1:21" ht="20.100000000000001" customHeight="1" x14ac:dyDescent="0.25">
      <c r="D7" s="118" t="s">
        <v>262</v>
      </c>
      <c r="E7" s="118" t="str" cm="1">
        <f t="array" aca="1" ref="E7" ca="1">Common_InputFunctions.Utility_DisplayFunctionName(H25)</f>
        <v>=Fertiliser_Equations_Lime.VEERG_5_3_1_1__1_LimeApplicationCO2Emissions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7" t="s">
        <v>263</v>
      </c>
      <c r="E10" s="1" t="str" cm="1">
        <f t="array" ref="E10">Fertiliser_Equations_Lime.VEERG_5_3_1_1__1_LimeApplicationCO2Emissions_Variable()</f>
        <v>E_lime</v>
      </c>
    </row>
    <row r="11" spans="1:21" ht="20.100000000000001" customHeight="1" x14ac:dyDescent="0.25">
      <c r="A11" s="5" t="str">
        <f>HYPERLINK("#'Input - Dairy'!A1", "Dairy")</f>
        <v>Dairy</v>
      </c>
      <c r="D11" s="87" t="s">
        <v>122</v>
      </c>
      <c r="E11" s="15" t="str" cm="1">
        <f t="array" ref="E11">Fertiliser_Equations_Lime.VEERG_5_3_1_1__1_LimeApplicationCO2Emissions_Unit()</f>
        <v>t CO2</v>
      </c>
    </row>
    <row r="12" spans="1:21" ht="20.100000000000001" customHeight="1" x14ac:dyDescent="0.25">
      <c r="A12" s="5" t="str">
        <f>HYPERLINK("#'Input - Dairy (Enteric)'!A1", "Dairy (Enteric)")</f>
        <v>Dairy (Enteric)</v>
      </c>
    </row>
    <row r="13" spans="1:21" ht="20.100000000000001" customHeight="1" x14ac:dyDescent="0.25">
      <c r="A13" s="5" t="str">
        <f>HYPERLINK("#'Input - Livestock sales'!A1", "Livestock sales")</f>
        <v>Livestock sales</v>
      </c>
      <c r="D13" s="120" t="str" cm="1">
        <f t="array" ref="D13:E20">_xlfn.CHOOSECOLS(Fertiliser_Equations_Lime.VEERG_5_3_1_1__1_LimeApplicationCO2Emissions_Arguments(), 1, 2)</f>
        <v>M_lime</v>
      </c>
      <c r="E13" s="125" t="str">
        <v>total mass of lime applied to production system</v>
      </c>
      <c r="F13" s="126"/>
      <c r="G13" s="120" t="str" cm="1">
        <f t="array" ref="G13:H20">_xlfn.CHOOSECOLS(Fertiliser_Equations_Lime.VEERG_5_3_1_1__1_LimeApplicationCO2Emissions_Arguments(), 3,4)</f>
        <v>kg</v>
      </c>
      <c r="H13" s="121" t="str">
        <v>Input</v>
      </c>
      <c r="I13" s="127" t="str" cm="1">
        <f t="array" aca="1" ref="I13" ca="1">HYPERLINK(Common_InputFunctions.Utility_SourceHyperlink($D$22), $D$22)</f>
        <v>Table_E_lime</v>
      </c>
    </row>
    <row r="14" spans="1:21" ht="20.100000000000001" customHeight="1" x14ac:dyDescent="0.25">
      <c r="A14" s="5" t="str">
        <f>HYPERLINK("#'Input - Dairy cattle purchases'!A1", "Dairy cattle purchases")</f>
        <v>Dairy cattle purchases</v>
      </c>
      <c r="D14" s="120" t="str">
        <v>FracLime</v>
      </c>
      <c r="E14" s="125" t="str">
        <v>fraction of lime as limestone (CaCO3)</v>
      </c>
      <c r="F14" s="126"/>
      <c r="G14" s="120" t="str">
        <v>fraction</v>
      </c>
      <c r="H14" s="121" t="str">
        <v>Input</v>
      </c>
      <c r="I14" s="127" t="str" cm="1">
        <f t="array" aca="1" ref="I14" ca="1">HYPERLINK(Common_InputFunctions.Utility_SourceHyperlink($D$22), $D$22)</f>
        <v>Table_E_lime</v>
      </c>
    </row>
    <row r="15" spans="1:21" ht="20.100000000000001" customHeight="1" x14ac:dyDescent="0.25">
      <c r="A15" s="5" t="str">
        <f>HYPERLINK("#'Input - Pasture'!A1", "Pasture")</f>
        <v>Pasture</v>
      </c>
      <c r="D15" s="120" t="str">
        <v>P_lime</v>
      </c>
      <c r="E15" s="125" t="str">
        <v>fractional purity of limestone</v>
      </c>
      <c r="F15" s="126"/>
      <c r="G15" s="120" t="str">
        <v>fraction</v>
      </c>
      <c r="H15" s="128" t="str">
        <v>Constant</v>
      </c>
      <c r="I15" s="120">
        <f>'Constants - Fertiliser'!$E$66</f>
        <v>0.9</v>
      </c>
    </row>
    <row r="16" spans="1:21" ht="20.100000000000001" customHeight="1" x14ac:dyDescent="0.25">
      <c r="A16" s="5" t="str">
        <f>HYPERLINK("#'Input - Fert Prod System'!A1", "Fert Prod System")</f>
        <v>Fert Prod System</v>
      </c>
      <c r="D16" s="120" t="str">
        <v>EF_lime</v>
      </c>
      <c r="E16" s="125" t="str">
        <v>emission factor for limestone fraction of lime</v>
      </c>
      <c r="F16" s="126"/>
      <c r="G16" s="120" t="str">
        <v>kg C/kg</v>
      </c>
      <c r="H16" s="128" t="str">
        <v>Constant</v>
      </c>
      <c r="I16" s="120">
        <f>'Constants - Fertiliser'!$F$66</f>
        <v>0.12</v>
      </c>
    </row>
    <row r="17" spans="1:9" ht="20.100000000000001" customHeight="1" x14ac:dyDescent="0.25">
      <c r="A17" s="5" t="str">
        <f>HYPERLINK("#'Input - Fertiliser'!A1", "Fertiliser")</f>
        <v>Fertiliser</v>
      </c>
      <c r="D17" s="120" t="str">
        <v>FracDol</v>
      </c>
      <c r="E17" s="125" t="str">
        <v>fraction of lime as dolomite</v>
      </c>
      <c r="F17" s="126"/>
      <c r="G17" s="120" t="str">
        <v>fraction</v>
      </c>
      <c r="H17" s="121" t="str">
        <v>Input</v>
      </c>
      <c r="I17" s="127" t="str" cm="1">
        <f t="array" aca="1" ref="I17" ca="1">HYPERLINK(Common_InputFunctions.Utility_SourceHyperlink($D$22), $D$22)</f>
        <v>Table_E_lime</v>
      </c>
    </row>
    <row r="18" spans="1:9" ht="20.100000000000001" customHeight="1" x14ac:dyDescent="0.25">
      <c r="A18" s="5" t="str">
        <f>HYPERLINK("#'Input - Fuel'!A1", "Fuel")</f>
        <v>Fuel</v>
      </c>
      <c r="D18" s="120" t="str">
        <v>P_dol</v>
      </c>
      <c r="E18" s="125" t="str">
        <v>fractional purity of dolomite</v>
      </c>
      <c r="F18" s="126"/>
      <c r="G18" s="120" t="str">
        <v>fraction</v>
      </c>
      <c r="H18" s="128" t="str">
        <v>Constant</v>
      </c>
      <c r="I18" s="120">
        <f>'Constants - Fertiliser'!$E$67</f>
        <v>0.95</v>
      </c>
    </row>
    <row r="19" spans="1:9" ht="20.100000000000001" customHeight="1" x14ac:dyDescent="0.25">
      <c r="A19" s="5" t="str">
        <f>HYPERLINK("#'Input - Electricity'!A1", "Electricity")</f>
        <v>Electricity</v>
      </c>
      <c r="D19" s="120" t="str">
        <v>EF_dol</v>
      </c>
      <c r="E19" s="125" t="str">
        <v>emission factor for dolomite fraction of lime</v>
      </c>
      <c r="F19" s="126"/>
      <c r="G19" s="120" t="str">
        <v>kg C/kg</v>
      </c>
      <c r="H19" s="128" t="str">
        <v>Constant</v>
      </c>
      <c r="I19" s="120">
        <f>'Constants - Fertiliser'!$F$67</f>
        <v>0.13</v>
      </c>
    </row>
    <row r="20" spans="1:9" ht="20.100000000000001" customHeight="1" x14ac:dyDescent="0.25">
      <c r="A20" s="5" t="str">
        <f>HYPERLINK("#'Input - Farm Inputs'!A1", "Farm Inputs")</f>
        <v>Farm Inputs</v>
      </c>
      <c r="D20" s="120" t="str">
        <v>C_CO2</v>
      </c>
      <c r="E20" s="125" t="str">
        <v>factor to convert elemental mass of carbon dioxide to molecular mass</v>
      </c>
      <c r="F20" s="126"/>
      <c r="G20" s="120" t="str">
        <v/>
      </c>
      <c r="H20" s="128" t="str">
        <v>Constant</v>
      </c>
      <c r="I20" s="132">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HYPERLINK("#'Input - Freight'!A1", "Freight")</f>
        <v>Freight</v>
      </c>
    </row>
    <row r="22" spans="1:9" ht="20.100000000000001" customHeight="1" x14ac:dyDescent="0.25">
      <c r="A22" s="5" t="str">
        <f>HYPERLINK("#'Input - Manure sent off-site'!A1", "Manure sent off-site")</f>
        <v>Manure sent off-site</v>
      </c>
      <c r="D22" s="122" t="s">
        <v>664</v>
      </c>
    </row>
    <row r="23" spans="1:9" ht="20.100000000000001" customHeight="1" x14ac:dyDescent="0.25">
      <c r="A23" s="5" t="str">
        <f>HYPERLINK("#'Input - Solid waste'!A1", "Solid waste")</f>
        <v>Solid waste</v>
      </c>
      <c r="D23" s="123" t="s">
        <v>665</v>
      </c>
    </row>
    <row r="24" spans="1:9" ht="20.100000000000001" customHeight="1" x14ac:dyDescent="0.25">
      <c r="A24" s="5" t="str">
        <f>HYPERLINK("#'Input - Data quality'!A1", "Data quality")</f>
        <v>Data quality</v>
      </c>
      <c r="D24" s="94" t="s">
        <v>666</v>
      </c>
      <c r="E24" s="94" t="s">
        <v>667</v>
      </c>
      <c r="F24" s="94" t="s">
        <v>668</v>
      </c>
      <c r="G24" s="94" t="s">
        <v>669</v>
      </c>
      <c r="H24" s="124" t="s">
        <v>670</v>
      </c>
    </row>
    <row r="25" spans="1:9" ht="20.100000000000001" customHeight="1" x14ac:dyDescent="0.25">
      <c r="D25" s="25" t="str" cm="1">
        <f t="array" ref="D25:D27">Table_Input_Lime[Product]</f>
        <v>Lime product 1</v>
      </c>
      <c r="E25" s="134" cm="1">
        <f t="array" ref="E25:E27">Table_Input_Lime[Total amount applied (t)]*10^3</f>
        <v>1000000</v>
      </c>
      <c r="F25" s="194" cm="1">
        <f t="array" ref="F25:F27">Table_Input_Lime[Percent Lime CaCO3]</f>
        <v>0.8</v>
      </c>
      <c r="G25" s="194" cm="1">
        <f t="array" ref="G25:G27">Table_Input_Lime[Percent Dolomite CaMg(CO3)2]</f>
        <v>0.1</v>
      </c>
      <c r="H25" s="25" cm="1">
        <f t="array" ref="H25">Fertiliser_Equations_Lime.VEERG_5_3_1_1__1_LimeApplicationCO2Emissions(E25,F25,$I$15,$I$16,G25,$I$18,$I$19,$I$20)</f>
        <v>362.08333333333331</v>
      </c>
    </row>
    <row r="26" spans="1:9" ht="20.100000000000001" customHeight="1" x14ac:dyDescent="0.25">
      <c r="D26" s="25" t="str">
        <v>Lime product 2</v>
      </c>
      <c r="E26" s="25">
        <v>1000000</v>
      </c>
      <c r="F26" s="25">
        <v>1</v>
      </c>
      <c r="G26" s="25">
        <v>0</v>
      </c>
      <c r="H26" s="25" cm="1">
        <f t="array" ref="H26">Fertiliser_Equations_Lime.VEERG_5_3_1_1__1_LimeApplicationCO2Emissions(E26,F26,$I$15,$I$16,G26,$I$18,$I$19,$I$20)</f>
        <v>396</v>
      </c>
    </row>
    <row r="27" spans="1:9" ht="20.100000000000001" customHeight="1" x14ac:dyDescent="0.25">
      <c r="A27" s="6" t="s">
        <v>2</v>
      </c>
      <c r="D27" s="25" t="str">
        <v>Lime product 3</v>
      </c>
      <c r="E27" s="25">
        <v>1000000</v>
      </c>
      <c r="F27" s="25">
        <v>0</v>
      </c>
      <c r="G27" s="25">
        <v>0</v>
      </c>
      <c r="H27" s="25" cm="1">
        <f t="array" ref="H27">Fertiliser_Equations_Lime.VEERG_5_3_1_1__1_LimeApplicationCO2Emissions(E27,F27,$I$15,$I$16,G27,$I$18,$I$19,$I$20)</f>
        <v>0</v>
      </c>
    </row>
    <row r="28" spans="1:9" ht="20.100000000000001" customHeight="1" x14ac:dyDescent="0.25">
      <c r="A28" s="5" t="str">
        <f>HYPERLINK("#'5.1.1.1-2 Inorganic fert N2O'!A1", "5.1.1.1-2 Inorganic fert N2O")</f>
        <v>5.1.1.1-2 Inorganic fert N2O</v>
      </c>
      <c r="D28" s="25"/>
      <c r="E28" s="25"/>
      <c r="F28" s="25"/>
      <c r="G28" s="25"/>
      <c r="H28" s="25" cm="1">
        <f t="array" ref="H28">Fertiliser_Equations_Lime.VEERG_5_3_1_1__1_LimeApplicationCO2Emissions(E28,F28,$I$15,$I$16,G28,$I$18,$I$19,$I$20)</f>
        <v>0</v>
      </c>
    </row>
    <row r="29" spans="1:9" ht="20.100000000000001" customHeight="1" x14ac:dyDescent="0.25">
      <c r="A29" s="5" t="str">
        <f>HYPERLINK("#'5.1.1.3-4 Inorganic fert CO2'!A1", "5.1.1.3-4 Inorganic fert CO2")</f>
        <v>5.1.1.3-4 Inorganic fert CO2</v>
      </c>
      <c r="D29" s="25"/>
      <c r="E29" s="25"/>
      <c r="F29" s="25"/>
      <c r="G29" s="25"/>
      <c r="H29" s="25" cm="1">
        <f t="array" ref="H29">Fertiliser_Equations_Lime.VEERG_5_3_1_1__1_LimeApplicationCO2Emissions(E29,F29,$I$15,$I$16,G29,$I$18,$I$19,$I$20)</f>
        <v>0</v>
      </c>
    </row>
    <row r="30" spans="1:9" ht="20.100000000000001" customHeight="1" x14ac:dyDescent="0.25">
      <c r="A30" s="5" t="str">
        <f>HYPERLINK("#'5.2.1.1-2 Organic Fert N2O'!A1", "5.2.1.1-2 Organic fert N2O")</f>
        <v>5.2.1.1-2 Organic fert N2O</v>
      </c>
    </row>
    <row r="31" spans="1:9" ht="20.100000000000001" customHeight="1" x14ac:dyDescent="0.25">
      <c r="A31" s="119" t="str">
        <f>HYPERLINK("#'5.3.1.1-2 Lime CO2'!A1", "5.3.1.1-2 Lime CO2")</f>
        <v>5.3.1.1-2 Lime CO2</v>
      </c>
      <c r="D31" s="135" t="s">
        <v>671</v>
      </c>
      <c r="E31" s="136">
        <f>SUM(H25:H29)</f>
        <v>758.08333333333326</v>
      </c>
      <c r="F31" s="195" t="s">
        <v>132</v>
      </c>
    </row>
    <row r="32" spans="1:9" ht="20.100000000000001" customHeight="1" x14ac:dyDescent="0.25">
      <c r="A32" s="5" t="str">
        <f>HYPERLINK("#'5.4.1.1-4 Atmos deposition'!A1", "5.4.1.1-4 Atmos. deposition")</f>
        <v>5.4.1.1-4 Atmos. deposition</v>
      </c>
    </row>
    <row r="33" spans="1:1" ht="20.100000000000001" customHeight="1" x14ac:dyDescent="0.25">
      <c r="A33" s="5" t="str">
        <f>HYPERLINK("#'5.5.1.1-2 Leaching and runoff'!A1", "5.5.1.1-2 Leaching &amp; runoff")</f>
        <v>5.5.1.1-2 Leaching &amp; runoff</v>
      </c>
    </row>
    <row r="34" spans="1:1" ht="20.100000000000001" customHeight="1" x14ac:dyDescent="0.25">
      <c r="A34" s="5" t="str">
        <f>HYPERLINK("#'6.2.1.1-2 Pasture residue N2O'!A1", "6.2.1.1-2 Pasture residue N2O")</f>
        <v>6.2.1.1-2 Pasture residue N2O</v>
      </c>
    </row>
    <row r="35" spans="1:1" ht="20.100000000000001" customHeight="1" x14ac:dyDescent="0.25">
      <c r="A35" s="5" t="str">
        <f>HYPERLINK("#'6.3.1.1-2 Leach runoff pasture'!A1", "6.3.1.1-2 Leach &amp; runoff (pasture)")</f>
        <v>6.3.1.1-2 Leach &amp; runoff (pasture)</v>
      </c>
    </row>
    <row r="36" spans="1:1" ht="20.100000000000001" customHeight="1" x14ac:dyDescent="0.25">
      <c r="A36" s="5" t="str">
        <f>HYPERLINK("#'8.1.1.1-2 Transport fuel'!A1", "8.1.1.1-2 Transport fuel")</f>
        <v>8.1.1.1-2 Transport fuel</v>
      </c>
    </row>
    <row r="37" spans="1:1" ht="20.100000000000001" customHeight="1" x14ac:dyDescent="0.25">
      <c r="A37" s="5" t="str">
        <f>HYPERLINK("#'8.2.1.1-2 Stationary fuel'!A1", "8.2.1.1-2 Stationary fuel")</f>
        <v>8.2.1.1-2 Stationary fuel</v>
      </c>
    </row>
    <row r="38" spans="1:1" ht="20.100000000000001" customHeight="1" x14ac:dyDescent="0.25">
      <c r="A38" s="5" t="str">
        <f>HYPERLINK("#'14.1.1-2 Purchased electricity'!A1", "14.1.1-2 Purchased electricity")</f>
        <v>14.1.1-2 Purchased electricity</v>
      </c>
    </row>
    <row r="39" spans="1:1" ht="20.100000000000001" customHeight="1" x14ac:dyDescent="0.25">
      <c r="A39" s="5" t="str">
        <f>HYPERLINK("#'15 Scope 3'!A1", "15 Scope 3")</f>
        <v>15 Scope 3</v>
      </c>
    </row>
    <row r="40" spans="1:1" ht="20.100000000000001" customHeight="1" x14ac:dyDescent="0.25">
      <c r="A40" s="5" t="str">
        <f>HYPERLINK("#'Calcs - Manure sent off-site'!A1", "Calcs - Manure sent off-site")</f>
        <v>Calcs - Manure sent off-site</v>
      </c>
    </row>
    <row r="41" spans="1:1" ht="20.100000000000001" customHeight="1" x14ac:dyDescent="0.25">
      <c r="A41" s="5" t="str">
        <f>HYPERLINK("#'4.3.1.1-2 Methane'!A1", "4.3.1.1-2 Methane")</f>
        <v>4.3.1.1-2 Methane</v>
      </c>
    </row>
    <row r="42" spans="1:1" ht="20.100000000000001" customHeight="1" x14ac:dyDescent="0.25">
      <c r="A42" s="5" t="str">
        <f>HYPERLINK("#'4.3.1.3-4 Direct N20'!A1", "4.3.1.3-4 Direct N20")</f>
        <v>4.3.1.3-4 Direct N20</v>
      </c>
    </row>
    <row r="43" spans="1:1" ht="20.100000000000001" customHeight="1" x14ac:dyDescent="0.25">
      <c r="A43" s="5" t="str">
        <f>HYPERLINK("#'4.3.1.5 Atmos deposition'!A1", "4.3.1.5 Atmos deposition")</f>
        <v>4.3.1.5 Atmos deposition</v>
      </c>
    </row>
    <row r="44" spans="1:1" ht="20.100000000000001" customHeight="1" x14ac:dyDescent="0.25">
      <c r="A44" s="5" t="str">
        <f>HYPERLINK("#'4.3.1.6-7 Leaching and runoff'!A1", "4.3.1.6-7 Leaching and runoff")</f>
        <v>4.3.1.6-7 Leaching and runoff</v>
      </c>
    </row>
    <row r="45" spans="1:1" ht="20.100000000000001" customHeight="1" x14ac:dyDescent="0.25">
      <c r="A45" s="5" t="str">
        <f>HYPERLINK("#'4.3.1.8 Manure applied to soils'!A1", "4.3.1.8 Manure applied to soils")</f>
        <v>4.3.1.8 Manure applied to soils</v>
      </c>
    </row>
    <row r="46" spans="1:1" ht="20.100000000000001" customHeight="1" x14ac:dyDescent="0.25">
      <c r="A46" s="5" t="str">
        <f>HYPERLINK("#'4.3.1.9 Soil direct N2O'!A1", "4.3.1.9 Soil direct N2O")</f>
        <v>4.3.1.9 Soil direct N2O</v>
      </c>
    </row>
    <row r="47" spans="1:1" ht="20.100000000000001" customHeight="1" x14ac:dyDescent="0.25">
      <c r="A47" s="5" t="str">
        <f>HYPERLINK("#'4.3.1.10-11 Soil Atmos Dep'!A1", "4.3.1.10-11 Soil Atmos Dep")</f>
        <v>4.3.1.10-11 Soil Atmos Dep</v>
      </c>
    </row>
    <row r="48" spans="1:1" ht="20.100000000000001" customHeight="1" x14ac:dyDescent="0.25">
      <c r="A48" s="5" t="str">
        <f>HYPERLINK("#'4.3.1.12-13 Soil leach runoff'!A1", "4.3.1.12-13 Soil leach runoff")</f>
        <v>4.3.1.12-13 Soil leach runoff</v>
      </c>
    </row>
    <row r="49" spans="1:1" ht="20.100000000000001" customHeight="1" x14ac:dyDescent="0.25">
      <c r="A49" s="5" t="str">
        <f>HYPERLINK("#'3.3.1.1-2 Enteric Methane'!A1", "3.3.1.1-2 Enteric Methane")</f>
        <v>3.3.1.1-2 Enteric Methane</v>
      </c>
    </row>
    <row r="50" spans="1:1" ht="20.100000000000001" customHeight="1" x14ac:dyDescent="0.25">
      <c r="A50" s="5" t="str">
        <f>HYPERLINK("#'10.1.1-2 Solid waste treatment'!A1", "10.1.1-2 Solid waste treatment")</f>
        <v>10.1.1-2 Solid waste treatment</v>
      </c>
    </row>
    <row r="51" spans="1:1" ht="20.100000000000001" customHeight="1" x14ac:dyDescent="0.25"/>
    <row r="52" spans="1:1" ht="20.100000000000001" customHeight="1" x14ac:dyDescent="0.25"/>
    <row r="53" spans="1:1" ht="20.100000000000001" customHeight="1" x14ac:dyDescent="0.25">
      <c r="A53" s="100" t="s">
        <v>1</v>
      </c>
    </row>
    <row r="54" spans="1:1" ht="20.100000000000001" customHeight="1" x14ac:dyDescent="0.25">
      <c r="A54" s="5" t="str">
        <f>HYPERLINK("#'Constants - Dairy'!A1", "Constants - Dairy")</f>
        <v>Constants - Dairy</v>
      </c>
    </row>
    <row r="55" spans="1:1" ht="20.100000000000001" customHeight="1" x14ac:dyDescent="0.25">
      <c r="A55" s="5" t="str">
        <f>HYPERLINK("#'Constants - Ag Residue'!A1", "Constants - Ag residue")</f>
        <v>Constants - Ag residue</v>
      </c>
    </row>
    <row r="56" spans="1:1" ht="20.100000000000001" customHeight="1" x14ac:dyDescent="0.25">
      <c r="A56" s="5" t="str">
        <f>HYPERLINK("#'Constants - Common Livestock'!A1", "Constants - Common Livestock")</f>
        <v>Constants - Common Livestock</v>
      </c>
    </row>
    <row r="57" spans="1:1" ht="20.100000000000001" customHeight="1" x14ac:dyDescent="0.25">
      <c r="A57" s="5" t="str">
        <f>HYPERLINK("#'Constants - Electricity'!A1", "Constants - Electricity")</f>
        <v>Constants - Electricity</v>
      </c>
    </row>
    <row r="58" spans="1:1" ht="20.100000000000001" customHeight="1" x14ac:dyDescent="0.25">
      <c r="A58" s="5" t="str">
        <f>HYPERLINK("#'Constants - Fertiliser'!A1", "Constants - Fertiliser")</f>
        <v>Constants - Fertiliser</v>
      </c>
    </row>
    <row r="59" spans="1:1" ht="20.100000000000001" customHeight="1" x14ac:dyDescent="0.25">
      <c r="A59" s="5" t="str">
        <f>HYPERLINK("#'Constants - Fuel'!A1", "Constants - Fuel")</f>
        <v>Constants - Fuel</v>
      </c>
    </row>
    <row r="60" spans="1:1" ht="20.100000000000001" customHeight="1" x14ac:dyDescent="0.25">
      <c r="A60" s="5" t="str">
        <f>HYPERLINK("#'Constants - Scope 3'!A1", "Constants - Scope 3")</f>
        <v>Constants - Scope 3</v>
      </c>
    </row>
    <row r="61" spans="1:1" ht="20.100000000000001" customHeight="1" x14ac:dyDescent="0.25">
      <c r="A61" s="5" t="str">
        <f>HYPERLINK("#'Constants - Common'!A1", "Constants - Common")</f>
        <v>Constants - Common</v>
      </c>
    </row>
    <row r="62" spans="1:1" ht="20.100000000000001" customHeight="1" x14ac:dyDescent="0.25">
      <c r="A62" s="5" t="str">
        <f>HYPERLINK("#'Acknowledgements'!A1", "Acknowledgements")</f>
        <v>Acknowledgements</v>
      </c>
    </row>
    <row r="63" spans="1:1" ht="20.100000000000001" customHeight="1" x14ac:dyDescent="0.25">
      <c r="A63" s="5" t="str">
        <f>HYPERLINK("#'Constants - Solid Waste'!A1", "Constants - Solid Waste")</f>
        <v>Constants - Solid Waste</v>
      </c>
    </row>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0B5E-E0F8-42AD-B43C-3EA36C2FEFED}">
  <dimension ref="A1:U165"/>
  <sheetViews>
    <sheetView showGridLines="0" topLeftCell="A107"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0" customFormat="1" ht="30" customHeight="1" x14ac:dyDescent="0.35">
      <c r="A1" s="16" t="e" vm="1">
        <v>#VALUE!</v>
      </c>
      <c r="C1" s="30" t="s">
        <v>672</v>
      </c>
    </row>
    <row r="2" spans="1:21" s="3" customFormat="1" ht="20.100000000000001" customHeight="1" x14ac:dyDescent="0.25">
      <c r="A2"/>
    </row>
    <row r="3" spans="1:21" ht="20.100000000000001" customHeight="1" x14ac:dyDescent="0.25">
      <c r="A3" s="5" t="str">
        <f>HYPERLINK("#'Home'!A1", "Home")</f>
        <v>Home</v>
      </c>
      <c r="C3" s="32"/>
      <c r="D3" s="32" t="s">
        <v>136</v>
      </c>
      <c r="E3" s="32"/>
      <c r="F3" s="32"/>
      <c r="G3" s="32"/>
      <c r="H3" s="32"/>
      <c r="I3" s="32"/>
      <c r="J3" s="32"/>
      <c r="K3" s="32"/>
      <c r="L3" s="32"/>
      <c r="N3" s="32"/>
      <c r="O3" s="32" t="s">
        <v>137</v>
      </c>
      <c r="P3" s="32"/>
      <c r="Q3" s="32"/>
      <c r="R3" s="32"/>
      <c r="S3" s="32"/>
      <c r="T3" s="32"/>
      <c r="U3" s="32"/>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27" t="str" cm="1">
        <f t="array" ref="D6">Fertiliser_Equations_AtmosphericDeposition.VEERG_5_4_1_1__2_MassOfNitrogenVolatilisedFromInorganicFertiliser_Source()</f>
        <v>VEERG 2026: 5.4.1.1, Equation (2)</v>
      </c>
    </row>
    <row r="7" spans="1:21" ht="20.100000000000001" customHeight="1" x14ac:dyDescent="0.25">
      <c r="D7" s="118" t="s">
        <v>262</v>
      </c>
      <c r="E7" s="118" t="str" cm="1">
        <f t="array" aca="1" ref="E7" ca="1">Common_InputFunctions.Utility_DisplayFunctionName(H19)</f>
        <v>=Fertiliser_Equations_AtmosphericDeposition.VEERG_5_4_1_1__2_MassOfNitrogenVolatilisedFromInorganicFertiliser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7" t="s">
        <v>263</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Dairy'!A1", "Dairy")</f>
        <v>Dairy</v>
      </c>
      <c r="D11" s="87" t="s">
        <v>122</v>
      </c>
      <c r="E11" s="15" t="str" cm="1">
        <f t="array" ref="E11">Fertiliser_Equations_AtmosphericDeposition.VEERG_5_4_1_1__2_MassOfNitrogenVolatilisedFromInorganicFertiliser_Unit()</f>
        <v>kg N</v>
      </c>
    </row>
    <row r="12" spans="1:21" ht="20.100000000000001" customHeight="1" x14ac:dyDescent="0.25">
      <c r="A12" s="5" t="str">
        <f>HYPERLINK("#'Input - Dairy (Enteric)'!A1", "Dairy (Enteric)")</f>
        <v>Dairy (Enteric)</v>
      </c>
    </row>
    <row r="13" spans="1:21" ht="20.100000000000001" customHeight="1" x14ac:dyDescent="0.25">
      <c r="A13" s="5" t="str">
        <f>HYPERLINK("#'Input - Livestock sales'!A1", "Livestock sales")</f>
        <v>Livestock sales</v>
      </c>
      <c r="D13" s="120" t="str" cm="1">
        <f t="array" ref="D13:E14">_xlfn.CHOOSECOLS(Fertiliser_Equations_AtmosphericDeposition.VEERG_5_4_1_1__2_MassOfNitrogenVolatilisedFromInorganicFertiliser_Arguments(), 1, 2)</f>
        <v>MN_jf</v>
      </c>
      <c r="E13" s="125" t="str">
        <v>mass of nitrogen in inorganic fertiliser applied</v>
      </c>
      <c r="F13" s="126"/>
      <c r="G13" s="120" t="str" cm="1">
        <f t="array" ref="G13:H14">_xlfn.CHOOSECOLS(Fertiliser_Equations_AtmosphericDeposition.VEERG_5_4_1_1__2_MassOfNitrogenVolatilisedFromInorganicFertiliser_Arguments(), 3,4)</f>
        <v>kg N</v>
      </c>
      <c r="H13" s="128" t="str">
        <v>Calculated from 5.1.1.1 (2)</v>
      </c>
      <c r="I13" s="127" t="str" cm="1">
        <f t="array" aca="1" ref="I13" ca="1">HYPERLINK(Common_InputFunctions.Utility_SourceHyperlink($D$16),$D$16)</f>
        <v>Table_M_vol_inorganic_j_f</v>
      </c>
    </row>
    <row r="14" spans="1:21" ht="20.100000000000001" customHeight="1" x14ac:dyDescent="0.25">
      <c r="A14" s="5" t="str">
        <f>HYPERLINK("#'Input - Dairy cattle purchases'!A1", "Dairy cattle purchases")</f>
        <v>Dairy cattle purchases</v>
      </c>
      <c r="D14" s="120" t="str">
        <v>FracGASF_f</v>
      </c>
      <c r="E14" s="125" t="str">
        <v>fraction of inorganic fertiliser that volatilises</v>
      </c>
      <c r="F14" s="126"/>
      <c r="G14" s="120" t="str">
        <v>(kg NH3-N + NOx-N)/kg N</v>
      </c>
      <c r="H14" s="128" t="str">
        <v>Constant</v>
      </c>
      <c r="I14" s="127" t="str" cm="1">
        <f t="array" aca="1" ref="I14" ca="1">HYPERLINK(Common_InputFunctions.Utility_SourceHyperlink($D$16),$D$16)</f>
        <v>Table_M_vol_inorganic_j_f</v>
      </c>
    </row>
    <row r="15" spans="1:21" ht="20.100000000000001" customHeight="1" x14ac:dyDescent="0.25">
      <c r="A15" s="5" t="str">
        <f>HYPERLINK("#'Input - Pasture'!A1", "Pasture")</f>
        <v>Pasture</v>
      </c>
    </row>
    <row r="16" spans="1:21" ht="20.100000000000001" customHeight="1" x14ac:dyDescent="0.25">
      <c r="A16" s="5" t="str">
        <f>HYPERLINK("#'Input - Fert Prod System'!A1", "Fert Prod System")</f>
        <v>Fert Prod System</v>
      </c>
      <c r="D16" s="122" t="s">
        <v>673</v>
      </c>
    </row>
    <row r="17" spans="1:8" ht="20.100000000000001" customHeight="1" x14ac:dyDescent="0.25">
      <c r="A17" s="5" t="str">
        <f>HYPERLINK("#'Input - Fertiliser'!A1", "Fertiliser")</f>
        <v>Fertiliser</v>
      </c>
      <c r="D17" s="123" t="s">
        <v>674</v>
      </c>
    </row>
    <row r="18" spans="1:8" ht="20.100000000000001" customHeight="1" x14ac:dyDescent="0.25">
      <c r="A18" s="5" t="str">
        <f>HYPERLINK("#'Input - Fuel'!A1", "Fuel")</f>
        <v>Fuel</v>
      </c>
      <c r="D18" s="124" t="s">
        <v>675</v>
      </c>
      <c r="E18" s="124" t="s">
        <v>676</v>
      </c>
      <c r="F18" s="124" t="s">
        <v>677</v>
      </c>
      <c r="G18" s="196" t="s">
        <v>678</v>
      </c>
      <c r="H18" s="196" t="s">
        <v>679</v>
      </c>
    </row>
    <row r="19" spans="1:8" ht="20.100000000000001" customHeight="1" x14ac:dyDescent="0.25">
      <c r="A19" s="5" t="str">
        <f>HYPERLINK("#'Input - Electricity'!A1", "Electricity")</f>
        <v>Electricity</v>
      </c>
      <c r="D19" s="25" t="str" cm="1">
        <f t="array" ref="D19:D37">Table_Fertiliser_ChemicalCompounds[Fertiliser type f]</f>
        <v>Monoammonium phosphate (MAP)</v>
      </c>
      <c r="E19" s="25">
        <f>INDEX(Table_MN_j_f,2,4)</f>
        <v>0</v>
      </c>
      <c r="F19" s="25" t="str" cm="1">
        <f t="array" ref="F19">Common_InputFunctions.Utility_LookupValueInTable(D19, Table_Fertiliser_ChemicalCompounds[Fertiliser type f],Table_Fertiliser_ChemicalCompounds[Basis])</f>
        <v>Ammonium-based fertilisers</v>
      </c>
      <c r="G19" s="25" cm="1">
        <f t="array" ref="G19">Common_InputFunctions.Utility_LookupValueInTableNumber(F19, Table_SourceData_Fertiliser_FracGASF[Fertiliser type f],Table_SourceData_Fertiliser_FracGASF[FracGASF f])</f>
        <v>0.08</v>
      </c>
      <c r="H19" s="25" cm="1">
        <f t="array" ref="H19">Fertiliser_Equations_AtmosphericDeposition.VEERG_5_4_1_1__2_MassOfNitrogenVolatilisedFromInorganicFertiliser(E19,G19)</f>
        <v>0</v>
      </c>
    </row>
    <row r="20" spans="1:8" ht="20.100000000000001" customHeight="1" x14ac:dyDescent="0.25">
      <c r="A20" s="5" t="str">
        <f>HYPERLINK("#'Input - Farm Inputs'!A1", "Farm Inputs")</f>
        <v>Farm Inputs</v>
      </c>
      <c r="D20" s="25" t="str">
        <v>Diammonium phosphate (DAP)</v>
      </c>
      <c r="E20" s="25">
        <f>INDEX(Table_MN_j_f,3,4)</f>
        <v>0</v>
      </c>
      <c r="F20" s="25" t="str" cm="1">
        <f t="array" ref="F20">Common_InputFunctions.Utility_LookupValueInTable(D20, Table_Fertiliser_ChemicalCompounds[Fertiliser type f],Table_Fertiliser_ChemicalCompounds[Basis])</f>
        <v>Ammonium-based fertilisers</v>
      </c>
      <c r="G20" s="25" cm="1">
        <f t="array" ref="G20">Common_InputFunctions.Utility_LookupValueInTableNumber(F20, Table_SourceData_Fertiliser_FracGASF[Fertiliser type f],Table_SourceData_Fertiliser_FracGASF[FracGASF f])</f>
        <v>0.08</v>
      </c>
      <c r="H20" s="25" cm="1">
        <f t="array" ref="H20">Fertiliser_Equations_AtmosphericDeposition.VEERG_5_4_1_1__2_MassOfNitrogenVolatilisedFromInorganicFertiliser(E20,G20)</f>
        <v>0</v>
      </c>
    </row>
    <row r="21" spans="1:8" ht="20.100000000000001" customHeight="1" x14ac:dyDescent="0.25">
      <c r="A21" s="5" t="str">
        <f>HYPERLINK("#'Input - Freight'!A1", "Freight")</f>
        <v>Freight</v>
      </c>
      <c r="D21" s="25" t="str">
        <v>Urea</v>
      </c>
      <c r="E21" s="25">
        <f>INDEX(Table_MN_j_f,4,4)</f>
        <v>46000</v>
      </c>
      <c r="F21" s="25" t="str" cm="1">
        <f t="array" ref="F21">Common_InputFunctions.Utility_LookupValueInTable(D21, Table_Fertiliser_ChemicalCompounds[Fertiliser type f],Table_Fertiliser_ChemicalCompounds[Basis])</f>
        <v>Urea-based fertilisers</v>
      </c>
      <c r="G21" s="25" cm="1">
        <f t="array" ref="G21">Common_InputFunctions.Utility_LookupValueInTableNumber(F21, Table_SourceData_Fertiliser_FracGASF[Fertiliser type f],Table_SourceData_Fertiliser_FracGASF[FracGASF f])</f>
        <v>0.15</v>
      </c>
      <c r="H21" s="25" cm="1">
        <f t="array" ref="H21">Fertiliser_Equations_AtmosphericDeposition.VEERG_5_4_1_1__2_MassOfNitrogenVolatilisedFromInorganicFertiliser(E21,G21)</f>
        <v>6900</v>
      </c>
    </row>
    <row r="22" spans="1:8" ht="20.100000000000001" customHeight="1" x14ac:dyDescent="0.25">
      <c r="A22" s="5" t="str">
        <f>HYPERLINK("#'Input - Manure sent off-site'!A1", "Manure sent off-site")</f>
        <v>Manure sent off-site</v>
      </c>
      <c r="D22" s="25" t="str">
        <v>Sulphate of ammonia (SOA)</v>
      </c>
      <c r="E22" s="25">
        <f>INDEX(Table_MN_j_f,5,4)</f>
        <v>0</v>
      </c>
      <c r="F22" s="25" t="str" cm="1">
        <f t="array" ref="F22">Common_InputFunctions.Utility_LookupValueInTable(D22, Table_Fertiliser_ChemicalCompounds[Fertiliser type f],Table_Fertiliser_ChemicalCompounds[Basis])</f>
        <v>Ammonium-based fertilisers</v>
      </c>
      <c r="G22" s="25" cm="1">
        <f t="array" ref="G22">Common_InputFunctions.Utility_LookupValueInTableNumber(F22, Table_SourceData_Fertiliser_FracGASF[Fertiliser type f],Table_SourceData_Fertiliser_FracGASF[FracGASF f])</f>
        <v>0.08</v>
      </c>
      <c r="H22" s="25" cm="1">
        <f t="array" ref="H22">Fertiliser_Equations_AtmosphericDeposition.VEERG_5_4_1_1__2_MassOfNitrogenVolatilisedFromInorganicFertiliser(E22,G22)</f>
        <v>0</v>
      </c>
    </row>
    <row r="23" spans="1:8" ht="20.100000000000001" customHeight="1" x14ac:dyDescent="0.25">
      <c r="A23" s="5" t="str">
        <f>HYPERLINK("#'Input - Solid waste'!A1", "Solid waste")</f>
        <v>Solid waste</v>
      </c>
      <c r="D23" s="25" t="str">
        <v>Urea-ammonium nitrate (UAN)</v>
      </c>
      <c r="E23" s="25">
        <f>INDEX(Table_MN_j_f,6,4)</f>
        <v>0</v>
      </c>
      <c r="F23" s="25" t="str" cm="1">
        <f t="array" ref="F23">Common_InputFunctions.Utility_LookupValueInTable(D23, Table_Fertiliser_ChemicalCompounds[Fertiliser type f],Table_Fertiliser_ChemicalCompounds[Basis])</f>
        <v>Urea-based fertilisers</v>
      </c>
      <c r="G23" s="25" cm="1">
        <f t="array" ref="G23">Common_InputFunctions.Utility_LookupValueInTableNumber(F23, Table_SourceData_Fertiliser_FracGASF[Fertiliser type f],Table_SourceData_Fertiliser_FracGASF[FracGASF f])</f>
        <v>0.15</v>
      </c>
      <c r="H23" s="25" cm="1">
        <f t="array" ref="H23">Fertiliser_Equations_AtmosphericDeposition.VEERG_5_4_1_1__2_MassOfNitrogenVolatilisedFromInorganicFertiliser(E23,G23)</f>
        <v>0</v>
      </c>
    </row>
    <row r="24" spans="1:8" ht="20.100000000000001" customHeight="1" x14ac:dyDescent="0.25">
      <c r="A24" s="5" t="str">
        <f>HYPERLINK("#'Input - Data quality'!A1", "Data quality")</f>
        <v>Data quality</v>
      </c>
      <c r="D24" s="25" t="str">
        <v>Ammonium nitrate (AN)</v>
      </c>
      <c r="E24" s="25">
        <f>INDEX(Table_MN_j_f,7,4)</f>
        <v>0</v>
      </c>
      <c r="F24" s="25" t="str" cm="1">
        <f t="array" ref="F24">Common_InputFunctions.Utility_LookupValueInTable(D24, Table_Fertiliser_ChemicalCompounds[Fertiliser type f],Table_Fertiliser_ChemicalCompounds[Basis])</f>
        <v>Ammonium-nitrate based fertilisers</v>
      </c>
      <c r="G24" s="25" cm="1">
        <f t="array" ref="G24">Common_InputFunctions.Utility_LookupValueInTableNumber(F24, Table_SourceData_Fertiliser_FracGASF[Fertiliser type f],Table_SourceData_Fertiliser_FracGASF[FracGASF f])</f>
        <v>0.05</v>
      </c>
      <c r="H24" s="25" cm="1">
        <f t="array" ref="H24">Fertiliser_Equations_AtmosphericDeposition.VEERG_5_4_1_1__2_MassOfNitrogenVolatilisedFromInorganicFertiliser(E24,G24)</f>
        <v>0</v>
      </c>
    </row>
    <row r="25" spans="1:8" ht="20.100000000000001" customHeight="1" x14ac:dyDescent="0.25">
      <c r="D25" s="25" t="str">
        <v>Calcium ammonium nitrate (CAN)</v>
      </c>
      <c r="E25" s="25">
        <f>INDEX(Table_MN_j_f,8,4)</f>
        <v>0</v>
      </c>
      <c r="F25" s="25" t="str" cm="1">
        <f t="array" ref="F25">Common_InputFunctions.Utility_LookupValueInTable(D25, Table_Fertiliser_ChemicalCompounds[Fertiliser type f],Table_Fertiliser_ChemicalCompounds[Basis])</f>
        <v>Ammonium-nitrate based fertilisers</v>
      </c>
      <c r="G25" s="25" cm="1">
        <f t="array" ref="G25">Common_InputFunctions.Utility_LookupValueInTableNumber(F25, Table_SourceData_Fertiliser_FracGASF[Fertiliser type f],Table_SourceData_Fertiliser_FracGASF[FracGASF f])</f>
        <v>0.05</v>
      </c>
      <c r="H25" s="25" cm="1">
        <f t="array" ref="H25">Fertiliser_Equations_AtmosphericDeposition.VEERG_5_4_1_1__2_MassOfNitrogenVolatilisedFromInorganicFertiliser(E25,G25)</f>
        <v>0</v>
      </c>
    </row>
    <row r="26" spans="1:8" ht="20.100000000000001" customHeight="1" x14ac:dyDescent="0.25">
      <c r="D26" s="25" t="str">
        <v>Nitrogen - Ammoniacal</v>
      </c>
      <c r="E26" s="25">
        <f>INDEX(Table_MN_j_f,9,4)</f>
        <v>0</v>
      </c>
      <c r="F26" s="25" t="str" cm="1">
        <f t="array" ref="F26">Common_InputFunctions.Utility_LookupValueInTable(D26, Table_Fertiliser_ChemicalCompounds[Fertiliser type f],Table_Fertiliser_ChemicalCompounds[Basis])</f>
        <v>Ammonium-based fertilisers</v>
      </c>
      <c r="G26" s="25" cm="1">
        <f t="array" ref="G26">Common_InputFunctions.Utility_LookupValueInTableNumber(F26, Table_SourceData_Fertiliser_FracGASF[Fertiliser type f],Table_SourceData_Fertiliser_FracGASF[FracGASF f])</f>
        <v>0.08</v>
      </c>
      <c r="H26" s="25" cm="1">
        <f t="array" ref="H26">Fertiliser_Equations_AtmosphericDeposition.VEERG_5_4_1_1__2_MassOfNitrogenVolatilisedFromInorganicFertiliser(E26,G26)</f>
        <v>0</v>
      </c>
    </row>
    <row r="27" spans="1:8" ht="20.100000000000001" customHeight="1" x14ac:dyDescent="0.25">
      <c r="A27" s="6" t="s">
        <v>2</v>
      </c>
      <c r="D27" s="25" t="str">
        <v>Nitrogen - Nitrate</v>
      </c>
      <c r="E27" s="25">
        <f>INDEX(Table_MN_j_f,10,4)</f>
        <v>19800</v>
      </c>
      <c r="F27" s="25" t="str" cm="1">
        <f t="array" ref="F27">Common_InputFunctions.Utility_LookupValueInTable(D27, Table_Fertiliser_ChemicalCompounds[Fertiliser type f],Table_Fertiliser_ChemicalCompounds[Basis])</f>
        <v>Nitrate-based fertilisers</v>
      </c>
      <c r="G27" s="25" cm="1">
        <f t="array" ref="G27">Common_InputFunctions.Utility_LookupValueInTableNumber(F27, Table_SourceData_Fertiliser_FracGASF[Fertiliser type f],Table_SourceData_Fertiliser_FracGASF[FracGASF f])</f>
        <v>0.01</v>
      </c>
      <c r="H27" s="25" cm="1">
        <f t="array" ref="H27">Fertiliser_Equations_AtmosphericDeposition.VEERG_5_4_1_1__2_MassOfNitrogenVolatilisedFromInorganicFertiliser(E27,G27)</f>
        <v>198</v>
      </c>
    </row>
    <row r="28" spans="1:8" ht="20.100000000000001" customHeight="1" x14ac:dyDescent="0.25">
      <c r="A28" s="5" t="str">
        <f>HYPERLINK("#'5.1.1.1-2 Inorganic fert N2O'!A1", "5.1.1.1-2 Inorganic fert N2O")</f>
        <v>5.1.1.1-2 Inorganic fert N2O</v>
      </c>
      <c r="D28" s="25" t="str">
        <v>Nitrogen - Generic</v>
      </c>
      <c r="E28" s="25">
        <f>INDEX(Table_MN_j_f,11,4)</f>
        <v>15372</v>
      </c>
      <c r="F28" s="25" t="str" cm="1">
        <f t="array" ref="F28">Common_InputFunctions.Utility_LookupValueInTable(D28, Table_Fertiliser_ChemicalCompounds[Fertiliser type f],Table_Fertiliser_ChemicalCompounds[Basis])</f>
        <v>Urea-based fertilisers</v>
      </c>
      <c r="G28" s="25" cm="1">
        <f t="array" ref="G28">Common_InputFunctions.Utility_LookupValueInTableNumber(F28, Table_SourceData_Fertiliser_FracGASF[Fertiliser type f],Table_SourceData_Fertiliser_FracGASF[FracGASF f])</f>
        <v>0.15</v>
      </c>
      <c r="H28" s="25" cm="1">
        <f t="array" ref="H28">Fertiliser_Equations_AtmosphericDeposition.VEERG_5_4_1_1__2_MassOfNitrogenVolatilisedFromInorganicFertiliser(E28,G28)</f>
        <v>2305.7999999999997</v>
      </c>
    </row>
    <row r="29" spans="1:8" ht="20.100000000000001" customHeight="1" x14ac:dyDescent="0.25">
      <c r="A29" s="5" t="str">
        <f>HYPERLINK("#'5.1.1.3-4 Inorganic fert CO2'!A1", "5.1.1.3-4 Inorganic fert CO2")</f>
        <v>5.1.1.3-4 Inorganic fert CO2</v>
      </c>
      <c r="D29" s="25" t="str">
        <v>Phosphorus - Generic</v>
      </c>
      <c r="E29" s="25">
        <f>INDEX(Table_MN_j_f,12,4)</f>
        <v>0</v>
      </c>
      <c r="F29" s="25" t="str" cm="1">
        <f t="array" ref="F29">Common_InputFunctions.Utility_LookupValueInTable(D29, Table_Fertiliser_ChemicalCompounds[Fertiliser type f],Table_Fertiliser_ChemicalCompounds[Basis])</f>
        <v>Other fertilisers</v>
      </c>
      <c r="G29" s="25" cm="1">
        <f t="array" ref="G29">Common_InputFunctions.Utility_LookupValueInTableNumber(F29, Table_SourceData_Fertiliser_FracGASF[Fertiliser type f],Table_SourceData_Fertiliser_FracGASF[FracGASF f])</f>
        <v>0.11</v>
      </c>
      <c r="H29" s="25" cm="1">
        <f t="array" ref="H29">Fertiliser_Equations_AtmosphericDeposition.VEERG_5_4_1_1__2_MassOfNitrogenVolatilisedFromInorganicFertiliser(E29,G29)</f>
        <v>0</v>
      </c>
    </row>
    <row r="30" spans="1:8" ht="20.100000000000001" customHeight="1" x14ac:dyDescent="0.25">
      <c r="A30" s="5" t="str">
        <f>HYPERLINK("#'5.2.1.1-2 Organic Fert N2O'!A1", "5.2.1.1-2 Organic fert N2O")</f>
        <v>5.2.1.1-2 Organic fert N2O</v>
      </c>
      <c r="D30" s="25" t="str">
        <v>Potassium - Generic</v>
      </c>
      <c r="E30" s="25">
        <f>INDEX(Table_MN_j_f,13,4)</f>
        <v>0</v>
      </c>
      <c r="F30" s="25" t="str" cm="1">
        <f t="array" ref="F30">Common_InputFunctions.Utility_LookupValueInTable(D30, Table_Fertiliser_ChemicalCompounds[Fertiliser type f],Table_Fertiliser_ChemicalCompounds[Basis])</f>
        <v>Other fertilisers</v>
      </c>
      <c r="G30" s="25" cm="1">
        <f t="array" ref="G30">Common_InputFunctions.Utility_LookupValueInTableNumber(F30, Table_SourceData_Fertiliser_FracGASF[Fertiliser type f],Table_SourceData_Fertiliser_FracGASF[FracGASF f])</f>
        <v>0.11</v>
      </c>
      <c r="H30" s="25" cm="1">
        <f t="array" ref="H30">Fertiliser_Equations_AtmosphericDeposition.VEERG_5_4_1_1__2_MassOfNitrogenVolatilisedFromInorganicFertiliser(E30,G30)</f>
        <v>0</v>
      </c>
    </row>
    <row r="31" spans="1:8" ht="20.100000000000001" customHeight="1" x14ac:dyDescent="0.25">
      <c r="A31" s="5" t="str">
        <f>HYPERLINK("#'5.3.1.1-2 Lime CO2'!A1", "5.3.1.1-2 Lime CO2")</f>
        <v>5.3.1.1-2 Lime CO2</v>
      </c>
      <c r="D31" s="25" t="str">
        <v>Sulfur - Generic</v>
      </c>
      <c r="E31" s="25">
        <f>INDEX(Table_MN_j_f,14,4)</f>
        <v>0</v>
      </c>
      <c r="F31" s="25" t="str" cm="1">
        <f t="array" ref="F31">Common_InputFunctions.Utility_LookupValueInTable(D31, Table_Fertiliser_ChemicalCompounds[Fertiliser type f],Table_Fertiliser_ChemicalCompounds[Basis])</f>
        <v>Other fertilisers</v>
      </c>
      <c r="G31" s="25" cm="1">
        <f t="array" ref="G31">Common_InputFunctions.Utility_LookupValueInTableNumber(F31, Table_SourceData_Fertiliser_FracGASF[Fertiliser type f],Table_SourceData_Fertiliser_FracGASF[FracGASF f])</f>
        <v>0.11</v>
      </c>
      <c r="H31" s="25" cm="1">
        <f t="array" ref="H31">Fertiliser_Equations_AtmosphericDeposition.VEERG_5_4_1_1__2_MassOfNitrogenVolatilisedFromInorganicFertiliser(E31,G31)</f>
        <v>0</v>
      </c>
    </row>
    <row r="32" spans="1:8" ht="20.100000000000001" customHeight="1" x14ac:dyDescent="0.25">
      <c r="A32" s="119" t="str">
        <f>HYPERLINK("#'5.4.1.1-4 Atmos deposition'!A1", "5.4.1.1-4 Atmos. deposition")</f>
        <v>5.4.1.1-4 Atmos. deposition</v>
      </c>
      <c r="D32" s="25" t="str">
        <v>Zinc - Generic</v>
      </c>
      <c r="E32" s="25">
        <f>INDEX(Table_MN_j_f,15,4)</f>
        <v>0</v>
      </c>
      <c r="F32" s="25" t="str" cm="1">
        <f t="array" ref="F32">Common_InputFunctions.Utility_LookupValueInTable(D32, Table_Fertiliser_ChemicalCompounds[Fertiliser type f],Table_Fertiliser_ChemicalCompounds[Basis])</f>
        <v>Other fertilisers</v>
      </c>
      <c r="G32" s="25" cm="1">
        <f t="array" ref="G32">Common_InputFunctions.Utility_LookupValueInTableNumber(F32, Table_SourceData_Fertiliser_FracGASF[Fertiliser type f],Table_SourceData_Fertiliser_FracGASF[FracGASF f])</f>
        <v>0.11</v>
      </c>
      <c r="H32" s="25" cm="1">
        <f t="array" ref="H32">Fertiliser_Equations_AtmosphericDeposition.VEERG_5_4_1_1__2_MassOfNitrogenVolatilisedFromInorganicFertiliser(E32,G32)</f>
        <v>0</v>
      </c>
    </row>
    <row r="33" spans="1:12" ht="20.100000000000001" customHeight="1" x14ac:dyDescent="0.25">
      <c r="A33" s="5" t="str">
        <f>HYPERLINK("#'5.5.1.1-2 Leaching and runoff'!A1", "5.5.1.1-2 Leaching &amp; runoff")</f>
        <v>5.5.1.1-2 Leaching &amp; runoff</v>
      </c>
      <c r="D33" s="25" t="str">
        <v>Muriate of potash (MOP)</v>
      </c>
      <c r="E33" s="25">
        <f>INDEX(Table_MN_j_f,16,4)</f>
        <v>0</v>
      </c>
      <c r="F33" s="25" t="str" cm="1">
        <f t="array" ref="F33">Common_InputFunctions.Utility_LookupValueInTable(D33, Table_Fertiliser_ChemicalCompounds[Fertiliser type f],Table_Fertiliser_ChemicalCompounds[Basis])</f>
        <v>Other fertilisers</v>
      </c>
      <c r="G33" s="25" cm="1">
        <f t="array" ref="G33">Common_InputFunctions.Utility_LookupValueInTableNumber(F33, Table_SourceData_Fertiliser_FracGASF[Fertiliser type f],Table_SourceData_Fertiliser_FracGASF[FracGASF f])</f>
        <v>0.11</v>
      </c>
      <c r="H33" s="25" cm="1">
        <f t="array" ref="H33">Fertiliser_Equations_AtmosphericDeposition.VEERG_5_4_1_1__2_MassOfNitrogenVolatilisedFromInorganicFertiliser(E33,G33)</f>
        <v>0</v>
      </c>
    </row>
    <row r="34" spans="1:12" ht="20.100000000000001" customHeight="1" x14ac:dyDescent="0.25">
      <c r="A34" s="5" t="str">
        <f>HYPERLINK("#'6.2.1.1-2 Pasture residue N2O'!A1", "6.2.1.1-2 Pasture residue N2O")</f>
        <v>6.2.1.1-2 Pasture residue N2O</v>
      </c>
      <c r="D34" s="25" t="str">
        <v>Double superphosphate</v>
      </c>
      <c r="E34" s="25">
        <f>INDEX(Table_MN_j_f,17,4)</f>
        <v>0</v>
      </c>
      <c r="F34" s="25" t="str" cm="1">
        <f t="array" ref="F34">Common_InputFunctions.Utility_LookupValueInTable(D34, Table_Fertiliser_ChemicalCompounds[Fertiliser type f],Table_Fertiliser_ChemicalCompounds[Basis])</f>
        <v>Other fertilisers</v>
      </c>
      <c r="G34" s="25" cm="1">
        <f t="array" ref="G34">Common_InputFunctions.Utility_LookupValueInTableNumber(F34, Table_SourceData_Fertiliser_FracGASF[Fertiliser type f],Table_SourceData_Fertiliser_FracGASF[FracGASF f])</f>
        <v>0.11</v>
      </c>
      <c r="H34" s="25" cm="1">
        <f t="array" ref="H34">Fertiliser_Equations_AtmosphericDeposition.VEERG_5_4_1_1__2_MassOfNitrogenVolatilisedFromInorganicFertiliser(E34,G34)</f>
        <v>0</v>
      </c>
    </row>
    <row r="35" spans="1:12" ht="20.100000000000001" customHeight="1" x14ac:dyDescent="0.25">
      <c r="A35" s="5" t="str">
        <f>HYPERLINK("#'6.3.1.1-2 Leach runoff pasture'!A1", "6.3.1.1-2 Leach &amp; runoff (pasture)")</f>
        <v>6.3.1.1-2 Leach &amp; runoff (pasture)</v>
      </c>
      <c r="D35" s="25" t="str">
        <v>Single superphosphate (SSP)</v>
      </c>
      <c r="E35" s="25">
        <f>INDEX(Table_MN_j_f,18,4)</f>
        <v>0</v>
      </c>
      <c r="F35" s="25" t="str" cm="1">
        <f t="array" ref="F35">Common_InputFunctions.Utility_LookupValueInTable(D35, Table_Fertiliser_ChemicalCompounds[Fertiliser type f],Table_Fertiliser_ChemicalCompounds[Basis])</f>
        <v>Other fertilisers</v>
      </c>
      <c r="G35" s="25" cm="1">
        <f t="array" ref="G35">Common_InputFunctions.Utility_LookupValueInTableNumber(F35, Table_SourceData_Fertiliser_FracGASF[Fertiliser type f],Table_SourceData_Fertiliser_FracGASF[FracGASF f])</f>
        <v>0.11</v>
      </c>
      <c r="H35" s="25" cm="1">
        <f t="array" ref="H35">Fertiliser_Equations_AtmosphericDeposition.VEERG_5_4_1_1__2_MassOfNitrogenVolatilisedFromInorganicFertiliser(E35,G35)</f>
        <v>0</v>
      </c>
    </row>
    <row r="36" spans="1:12" ht="20.100000000000001" customHeight="1" x14ac:dyDescent="0.25">
      <c r="A36" s="5" t="str">
        <f>HYPERLINK("#'8.1.1.1-2 Transport fuel'!A1", "8.1.1.1-2 Transport fuel")</f>
        <v>8.1.1.1-2 Transport fuel</v>
      </c>
      <c r="D36" s="25" t="str">
        <v>Ammonia</v>
      </c>
      <c r="E36" s="25">
        <f>INDEX(Table_MN_j_f,19,4)</f>
        <v>41175</v>
      </c>
      <c r="F36" s="25" t="str" cm="1">
        <f t="array" ref="F36">Common_InputFunctions.Utility_LookupValueInTable(D36, Table_Fertiliser_ChemicalCompounds[Fertiliser type f],Table_Fertiliser_ChemicalCompounds[Basis])</f>
        <v>Ammonium-based fertilisers</v>
      </c>
      <c r="G36" s="25" cm="1">
        <f t="array" ref="G36">Common_InputFunctions.Utility_LookupValueInTableNumber(F36, Table_SourceData_Fertiliser_FracGASF[Fertiliser type f],Table_SourceData_Fertiliser_FracGASF[FracGASF f])</f>
        <v>0.08</v>
      </c>
      <c r="H36" s="25" cm="1">
        <f t="array" ref="H36">Fertiliser_Equations_AtmosphericDeposition.VEERG_5_4_1_1__2_MassOfNitrogenVolatilisedFromInorganicFertiliser(E36,G36)</f>
        <v>3294</v>
      </c>
    </row>
    <row r="37" spans="1:12" ht="20.100000000000001" customHeight="1" x14ac:dyDescent="0.25">
      <c r="A37" s="5" t="str">
        <f>HYPERLINK("#'8.2.1.1-2 Stationary fuel'!A1", "8.2.1.1-2 Stationary fuel")</f>
        <v>8.2.1.1-2 Stationary fuel</v>
      </c>
      <c r="D37" s="25" t="str">
        <v>Calcium nitrate</v>
      </c>
      <c r="E37" s="25">
        <f>INDEX(Table_MN_j_f,20,4)</f>
        <v>7750</v>
      </c>
      <c r="F37" s="25" t="str" cm="1">
        <f t="array" ref="F37">Common_InputFunctions.Utility_LookupValueInTable(D37, Table_Fertiliser_ChemicalCompounds[Fertiliser type f],Table_Fertiliser_ChemicalCompounds[Basis])</f>
        <v>Nitrate-based fertilisers</v>
      </c>
      <c r="G37" s="25" cm="1">
        <f t="array" ref="G37">Common_InputFunctions.Utility_LookupValueInTableNumber(F37, Table_SourceData_Fertiliser_FracGASF[Fertiliser type f],Table_SourceData_Fertiliser_FracGASF[FracGASF f])</f>
        <v>0.01</v>
      </c>
      <c r="H37" s="25" cm="1">
        <f t="array" ref="H37">Fertiliser_Equations_AtmosphericDeposition.VEERG_5_4_1_1__2_MassOfNitrogenVolatilisedFromInorganicFertiliser(E37,G37)</f>
        <v>77.5</v>
      </c>
    </row>
    <row r="38" spans="1:12" ht="20.100000000000001" customHeight="1" x14ac:dyDescent="0.25">
      <c r="A38" s="5" t="str">
        <f>HYPERLINK("#'14.1.1-2 Purchased electricity'!A1", "14.1.1-2 Purchased electricity")</f>
        <v>14.1.1-2 Purchased electricity</v>
      </c>
    </row>
    <row r="39" spans="1:12" ht="20.100000000000001" customHeight="1" x14ac:dyDescent="0.25">
      <c r="A39" s="5" t="str">
        <f>HYPERLINK("#'15 Scope 3'!A1", "15 Scope 3")</f>
        <v>15 Scope 3</v>
      </c>
    </row>
    <row r="40" spans="1:12" ht="20.100000000000001" customHeight="1" x14ac:dyDescent="0.25">
      <c r="A40" s="5" t="str">
        <f>HYPERLINK("#'Calcs - Manure sent off-site'!A1", "Calcs - Manure sent off-site")</f>
        <v>Calcs - Manure sent off-site</v>
      </c>
      <c r="C40" s="193"/>
      <c r="D40" s="193"/>
      <c r="E40" s="193"/>
      <c r="F40" s="193"/>
      <c r="G40" s="193"/>
      <c r="H40" s="193"/>
      <c r="I40" s="193"/>
      <c r="J40" s="193"/>
      <c r="K40" s="193"/>
      <c r="L40" s="193"/>
    </row>
    <row r="41" spans="1:12" ht="20.100000000000001" customHeight="1" x14ac:dyDescent="0.25">
      <c r="A41" s="5" t="str">
        <f>HYPERLINK("#'4.3.1.1-2 Methane'!A1", "4.3.1.1-2 Methane")</f>
        <v>4.3.1.1-2 Methane</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HYPERLINK("#'4.3.1.3-4 Direct N20'!A1", "4.3.1.3-4 Direct N20")</f>
        <v>4.3.1.3-4 Direct N20</v>
      </c>
      <c r="D42" s="27" t="str" cm="1">
        <f t="array" ref="D42">Fertiliser_Equations_AtmosphericDeposition.VEERG_5_4_1_1__1_InorganicFertiliserAtmosphericDepositionN2OEmissions_Source()</f>
        <v>VEERG 2026: 5.4.1.1, Equation (1)</v>
      </c>
    </row>
    <row r="43" spans="1:12" ht="20.100000000000001" customHeight="1" x14ac:dyDescent="0.25">
      <c r="A43" s="5" t="str">
        <f>HYPERLINK("#'4.3.1.5 Atmos deposition'!A1", "4.3.1.5 Atmos deposition")</f>
        <v>4.3.1.5 Atmos deposition</v>
      </c>
      <c r="D43" s="118" t="s">
        <v>262</v>
      </c>
      <c r="E43" s="118"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HYPERLINK("#'4.3.1.6-7 Leaching and runoff'!A1", "4.3.1.6-7 Leaching and runoff")</f>
        <v>4.3.1.6-7 Leaching and runoff</v>
      </c>
    </row>
    <row r="45" spans="1:12" ht="20.100000000000001" customHeight="1" x14ac:dyDescent="0.25">
      <c r="A45" s="5" t="str">
        <f>HYPERLINK("#'4.3.1.8 Manure applied to soils'!A1", "4.3.1.8 Manure applied to soils")</f>
        <v>4.3.1.8 Manure applied to soils</v>
      </c>
    </row>
    <row r="46" spans="1:12" ht="20.100000000000001" customHeight="1" x14ac:dyDescent="0.25">
      <c r="A46" s="5" t="str">
        <f>HYPERLINK("#'4.3.1.9 Soil direct N2O'!A1", "4.3.1.9 Soil direct N2O")</f>
        <v>4.3.1.9 Soil direct N2O</v>
      </c>
      <c r="D46" s="87" t="s">
        <v>263</v>
      </c>
      <c r="E46" s="1" t="str" cm="1">
        <f t="array" ref="E46">Fertiliser_Equations_AtmosphericDeposition.VEERG_5_4_1_1__1_InorganicFertiliserAtmosphericDepositionN2OEmissions_Variable()</f>
        <v>E_adinorganic</v>
      </c>
    </row>
    <row r="47" spans="1:12" ht="20.100000000000001" customHeight="1" x14ac:dyDescent="0.25">
      <c r="A47" s="5" t="str">
        <f>HYPERLINK("#'4.3.1.10-11 Soil Atmos Dep'!A1", "4.3.1.10-11 Soil Atmos Dep")</f>
        <v>4.3.1.10-11 Soil Atmos Dep</v>
      </c>
      <c r="D47" s="87" t="s">
        <v>122</v>
      </c>
      <c r="E47" s="15" t="str" cm="1">
        <f t="array" ref="E47">Fertiliser_Equations_AtmosphericDeposition.VEERG_5_4_1_1__1_InorganicFertiliserAtmosphericDepositionN2OEmissions_Unit()</f>
        <v>t N2O</v>
      </c>
    </row>
    <row r="48" spans="1:12" ht="20.100000000000001" customHeight="1" x14ac:dyDescent="0.25">
      <c r="A48" s="5" t="str">
        <f>HYPERLINK("#'4.3.1.12-13 Soil leach runoff'!A1", "4.3.1.12-13 Soil leach runoff")</f>
        <v>4.3.1.12-13 Soil leach runoff</v>
      </c>
    </row>
    <row r="49" spans="1:10" ht="20.100000000000001" customHeight="1" x14ac:dyDescent="0.25">
      <c r="A49" s="5" t="str">
        <f>HYPERLINK("#'3.3.1.1-2 Enteric Methane'!A1", "3.3.1.1-2 Enteric Methane")</f>
        <v>3.3.1.1-2 Enteric Methane</v>
      </c>
      <c r="D49" s="120" t="str" cm="1">
        <f t="array" ref="D49:E54">_xlfn.CHOOSECOLS(Fertiliser_Equations_AtmosphericDeposition.VEERG_5_4_1_1__1_InorganicFertiliserAtmosphericDepositionN2OEmissions_Arguments(), 1, 2)</f>
        <v>M_volinorganicjf</v>
      </c>
      <c r="E49" s="125" t="str">
        <v>mass of nitrogen volatilised from inorganic fertiliser applied to production system</v>
      </c>
      <c r="F49" s="133"/>
      <c r="G49" s="126"/>
      <c r="H49" s="120" t="str" cm="1">
        <f t="array" ref="H49:I54">_xlfn.CHOOSECOLS(Fertiliser_Equations_AtmosphericDeposition.VEERG_5_4_1_1__1_InorganicFertiliserAtmosphericDepositionN2OEmissions_Arguments(), 3,4)</f>
        <v>kg N</v>
      </c>
      <c r="I49" s="128" t="str">
        <v>Calculated from 5.4.1.1 (2)</v>
      </c>
      <c r="J49" s="127" t="str" cm="1">
        <f t="array" aca="1" ref="J49" ca="1">HYPERLINK(Common_InputFunctions.Utility_SourceHyperlink($D$16),$D$16)</f>
        <v>Table_M_vol_inorganic_j_f</v>
      </c>
    </row>
    <row r="50" spans="1:10" ht="20.100000000000001" customHeight="1" x14ac:dyDescent="0.25">
      <c r="A50" s="5" t="str">
        <f>HYPERLINK("#'10.1.1-2 Solid waste treatment'!A1", "10.1.1-2 Solid waste treatment")</f>
        <v>10.1.1-2 Solid waste treatment</v>
      </c>
      <c r="D50" s="120" t="str">
        <v>EF_N2Oj</v>
      </c>
      <c r="E50" s="125" t="str">
        <v>emission factor for atmospheric deposition</v>
      </c>
      <c r="F50" s="133"/>
      <c r="G50" s="126"/>
      <c r="H50" s="120" t="str">
        <v>kg N2O-N/kg N</v>
      </c>
      <c r="I50" s="128" t="str">
        <v>Constant</v>
      </c>
      <c r="J50" s="120">
        <f>Common_InputFunctions.Utility_LookupN2OEFFromProdIrrigationRainfall(J52,J53,J54,Table_SourceData_Common_EFN2O[Production system only],Table_SourceData_Common_EFN2O[Irrigation method],Table_SourceData_Common_EFN2O[Rainfall zone],Table_SourceData_Common_EFN2O[EFN2O])</f>
        <v>5.8999999999999999E-3</v>
      </c>
    </row>
    <row r="51" spans="1:10" ht="20.100000000000001" customHeight="1" x14ac:dyDescent="0.25">
      <c r="D51" s="120" t="str">
        <v>C_N2O</v>
      </c>
      <c r="E51" s="125" t="str">
        <v>factor to convert elemental mass of nitrous oxide to molecular mass</v>
      </c>
      <c r="F51" s="133"/>
      <c r="G51" s="126"/>
      <c r="H51" s="120" t="str">
        <v/>
      </c>
      <c r="I51" s="128" t="str">
        <v>Constant</v>
      </c>
      <c r="J51" s="132">
        <f>Common_InputFunctions.Utility_LookupValueInTableNumber("N2O",Table_GasToMolecularConversionFactor[Gas],Table_GasToMolecularConversionFactor[Conversion factor combined])</f>
        <v>1.5714285714285714</v>
      </c>
    </row>
    <row r="52" spans="1:10" ht="20.100000000000001" customHeight="1" x14ac:dyDescent="0.25">
      <c r="D52" s="120" t="str">
        <v>j</v>
      </c>
      <c r="E52" s="125" t="str">
        <v>Production system</v>
      </c>
      <c r="F52" s="133"/>
      <c r="G52" s="126"/>
      <c r="H52" s="120" t="str">
        <v/>
      </c>
      <c r="I52" s="121" t="str">
        <v>Input</v>
      </c>
      <c r="J52" s="120" t="str">
        <f>X_Cell_Fertiliser_ProductionSystem</f>
        <v>Pasture</v>
      </c>
    </row>
    <row r="53" spans="1:10" ht="20.100000000000001" customHeight="1" x14ac:dyDescent="0.25">
      <c r="A53" s="100" t="s">
        <v>1</v>
      </c>
      <c r="D53" s="120" t="str">
        <v>ir</v>
      </c>
      <c r="E53" s="125" t="str">
        <v>irrigation method</v>
      </c>
      <c r="F53" s="133"/>
      <c r="G53" s="126"/>
      <c r="H53" s="120" t="str">
        <v/>
      </c>
      <c r="I53" s="121" t="str">
        <v>Input</v>
      </c>
      <c r="J53" s="120" t="str">
        <f>X_Cell_Fertiliser_IrrigationMethod</f>
        <v>Surface irrigation</v>
      </c>
    </row>
    <row r="54" spans="1:10" ht="20.100000000000001" customHeight="1" x14ac:dyDescent="0.25">
      <c r="A54" s="5" t="str">
        <f>HYPERLINK("#'Constants - Dairy'!A1", "Constants - Dairy")</f>
        <v>Constants - Dairy</v>
      </c>
      <c r="D54" s="120" t="str">
        <v>r</v>
      </c>
      <c r="E54" s="125" t="str">
        <v>rainfall region</v>
      </c>
      <c r="F54" s="133"/>
      <c r="G54" s="126"/>
      <c r="H54" s="120" t="str">
        <v/>
      </c>
      <c r="I54" s="121" t="str">
        <v>Input</v>
      </c>
      <c r="J54" s="120" t="str">
        <f>X_Cell_Site_RainfallZone</f>
        <v>High rainfall</v>
      </c>
    </row>
    <row r="55" spans="1:10" ht="20.100000000000001" customHeight="1" x14ac:dyDescent="0.25">
      <c r="A55" s="5" t="str">
        <f>HYPERLINK("#'Constants - Ag Residue'!A1", "Constants - Ag residue")</f>
        <v>Constants - Ag residue</v>
      </c>
    </row>
    <row r="56" spans="1:10" ht="20.100000000000001" customHeight="1" x14ac:dyDescent="0.25">
      <c r="A56" s="5" t="str">
        <f>HYPERLINK("#'Constants - Common Livestock'!A1", "Constants - Common Livestock")</f>
        <v>Constants - Common Livestock</v>
      </c>
      <c r="D56" s="122" t="s">
        <v>680</v>
      </c>
    </row>
    <row r="57" spans="1:10" ht="20.100000000000001" customHeight="1" x14ac:dyDescent="0.25">
      <c r="A57" s="5" t="str">
        <f>HYPERLINK("#'Constants - Electricity'!A1", "Constants - Electricity")</f>
        <v>Constants - Electricity</v>
      </c>
      <c r="D57" s="123" t="s">
        <v>681</v>
      </c>
    </row>
    <row r="58" spans="1:10" ht="20.100000000000001" customHeight="1" x14ac:dyDescent="0.25">
      <c r="A58" s="5" t="str">
        <f>HYPERLINK("#'Constants - Fertiliser'!A1", "Constants - Fertiliser")</f>
        <v>Constants - Fertiliser</v>
      </c>
      <c r="D58" s="124" t="s">
        <v>675</v>
      </c>
      <c r="E58" s="196" t="s">
        <v>679</v>
      </c>
      <c r="F58" s="196" t="s">
        <v>682</v>
      </c>
    </row>
    <row r="59" spans="1:10" ht="20.100000000000001" customHeight="1" x14ac:dyDescent="0.25">
      <c r="A59" s="5" t="str">
        <f>HYPERLINK("#'Constants - Fuel'!A1", "Constants - Fuel")</f>
        <v>Constants - Fuel</v>
      </c>
      <c r="D59" s="25" t="str" cm="1">
        <f t="array" ref="D59:D77">Table_Fertiliser_ChemicalCompounds[Fertiliser type f]</f>
        <v>Monoammonium phosphate (MAP)</v>
      </c>
      <c r="E59" s="25">
        <f t="shared" ref="E59:E77" si="0">H19</f>
        <v>0</v>
      </c>
      <c r="F59" s="25" cm="1">
        <f t="array" ref="F59">Fertiliser_Equations_AtmosphericDeposition.VEERG_5_4_1_1__1_InorganicFertiliserAtmosphericDepositionN2OEmissions(E59,$J$50,$J$51)</f>
        <v>0</v>
      </c>
      <c r="G59" s="26" t="str">
        <f>E47</f>
        <v>t N2O</v>
      </c>
    </row>
    <row r="60" spans="1:10" ht="20.100000000000001" customHeight="1" x14ac:dyDescent="0.25">
      <c r="A60" s="5" t="str">
        <f>HYPERLINK("#'Constants - Scope 3'!A1", "Constants - Scope 3")</f>
        <v>Constants - Scope 3</v>
      </c>
      <c r="D60" s="25" t="str">
        <v>Diammonium phosphate (DAP)</v>
      </c>
      <c r="E60" s="25">
        <f t="shared" si="0"/>
        <v>0</v>
      </c>
      <c r="F60" s="25" cm="1">
        <f t="array" ref="F60">Fertiliser_Equations_AtmosphericDeposition.VEERG_5_4_1_1__1_InorganicFertiliserAtmosphericDepositionN2OEmissions(E60,$J$50,$J$51)</f>
        <v>0</v>
      </c>
    </row>
    <row r="61" spans="1:10" ht="20.100000000000001" customHeight="1" x14ac:dyDescent="0.25">
      <c r="A61" s="5" t="str">
        <f>HYPERLINK("#'Constants - Common'!A1", "Constants - Common")</f>
        <v>Constants - Common</v>
      </c>
      <c r="D61" s="25" t="str">
        <v>Urea</v>
      </c>
      <c r="E61" s="25">
        <f t="shared" si="0"/>
        <v>6900</v>
      </c>
      <c r="F61" s="25" cm="1">
        <f t="array" ref="F61">Fertiliser_Equations_AtmosphericDeposition.VEERG_5_4_1_1__1_InorganicFertiliserAtmosphericDepositionN2OEmissions(E61,$J$50,$J$51)</f>
        <v>6.3972857142857151E-2</v>
      </c>
    </row>
    <row r="62" spans="1:10" ht="20.100000000000001" customHeight="1" x14ac:dyDescent="0.25">
      <c r="A62" s="5" t="str">
        <f>HYPERLINK("#'Acknowledgements'!A1", "Acknowledgements")</f>
        <v>Acknowledgements</v>
      </c>
      <c r="D62" s="25" t="str">
        <v>Sulphate of ammonia (SOA)</v>
      </c>
      <c r="E62" s="25">
        <f t="shared" si="0"/>
        <v>0</v>
      </c>
      <c r="F62" s="25" cm="1">
        <f t="array" ref="F62">Fertiliser_Equations_AtmosphericDeposition.VEERG_5_4_1_1__1_InorganicFertiliserAtmosphericDepositionN2OEmissions(E62,$J$50,$J$51)</f>
        <v>0</v>
      </c>
    </row>
    <row r="63" spans="1:10" ht="20.100000000000001" customHeight="1" x14ac:dyDescent="0.25">
      <c r="A63" s="5" t="str">
        <f>HYPERLINK("#'Constants - Solid Waste'!A1", "Constants - Solid Waste")</f>
        <v>Constants - Solid Waste</v>
      </c>
      <c r="D63" s="25" t="str">
        <v>Urea-ammonium nitrate (UAN)</v>
      </c>
      <c r="E63" s="25">
        <f t="shared" si="0"/>
        <v>0</v>
      </c>
      <c r="F63" s="25" cm="1">
        <f t="array" ref="F63">Fertiliser_Equations_AtmosphericDeposition.VEERG_5_4_1_1__1_InorganicFertiliserAtmosphericDepositionN2OEmissions(E63,$J$50,$J$51)</f>
        <v>0</v>
      </c>
    </row>
    <row r="64" spans="1:10" ht="20.100000000000001" customHeight="1" x14ac:dyDescent="0.25">
      <c r="D64" s="25" t="str">
        <v>Ammonium nitrate (AN)</v>
      </c>
      <c r="E64" s="25">
        <f t="shared" si="0"/>
        <v>0</v>
      </c>
      <c r="F64" s="25" cm="1">
        <f t="array" ref="F64">Fertiliser_Equations_AtmosphericDeposition.VEERG_5_4_1_1__1_InorganicFertiliserAtmosphericDepositionN2OEmissions(E64,$J$50,$J$51)</f>
        <v>0</v>
      </c>
    </row>
    <row r="65" spans="4:6" ht="20.100000000000001" customHeight="1" x14ac:dyDescent="0.25">
      <c r="D65" s="25" t="str">
        <v>Calcium ammonium nitrate (CAN)</v>
      </c>
      <c r="E65" s="25">
        <f t="shared" si="0"/>
        <v>0</v>
      </c>
      <c r="F65" s="25" cm="1">
        <f t="array" ref="F65">Fertiliser_Equations_AtmosphericDeposition.VEERG_5_4_1_1__1_InorganicFertiliserAtmosphericDepositionN2OEmissions(E65,$J$50,$J$51)</f>
        <v>0</v>
      </c>
    </row>
    <row r="66" spans="4:6" ht="20.100000000000001" customHeight="1" x14ac:dyDescent="0.25">
      <c r="D66" s="25" t="str">
        <v>Nitrogen - Ammoniacal</v>
      </c>
      <c r="E66" s="25">
        <f t="shared" si="0"/>
        <v>0</v>
      </c>
      <c r="F66" s="25" cm="1">
        <f t="array" ref="F66">Fertiliser_Equations_AtmosphericDeposition.VEERG_5_4_1_1__1_InorganicFertiliserAtmosphericDepositionN2OEmissions(E66,$J$50,$J$51)</f>
        <v>0</v>
      </c>
    </row>
    <row r="67" spans="4:6" ht="20.100000000000001" customHeight="1" x14ac:dyDescent="0.25">
      <c r="D67" s="25" t="str">
        <v>Nitrogen - Nitrate</v>
      </c>
      <c r="E67" s="25">
        <f t="shared" si="0"/>
        <v>198</v>
      </c>
      <c r="F67" s="25" cm="1">
        <f t="array" ref="F67">Fertiliser_Equations_AtmosphericDeposition.VEERG_5_4_1_1__1_InorganicFertiliserAtmosphericDepositionN2OEmissions(E67,$J$50,$J$51)</f>
        <v>1.8357428571428569E-3</v>
      </c>
    </row>
    <row r="68" spans="4:6" ht="20.100000000000001" customHeight="1" x14ac:dyDescent="0.25">
      <c r="D68" s="25" t="str">
        <v>Nitrogen - Generic</v>
      </c>
      <c r="E68" s="25">
        <f t="shared" si="0"/>
        <v>2305.7999999999997</v>
      </c>
      <c r="F68" s="25" cm="1">
        <f t="array" ref="F68">Fertiliser_Equations_AtmosphericDeposition.VEERG_5_4_1_1__1_InorganicFertiliserAtmosphericDepositionN2OEmissions(E68,$J$50,$J$51)</f>
        <v>2.1378059999999997E-2</v>
      </c>
    </row>
    <row r="69" spans="4:6" ht="20.100000000000001" customHeight="1" x14ac:dyDescent="0.25">
      <c r="D69" s="25" t="str">
        <v>Phosphorus - Generic</v>
      </c>
      <c r="E69" s="25">
        <f t="shared" si="0"/>
        <v>0</v>
      </c>
      <c r="F69" s="25" cm="1">
        <f t="array" ref="F69">Fertiliser_Equations_AtmosphericDeposition.VEERG_5_4_1_1__1_InorganicFertiliserAtmosphericDepositionN2OEmissions(E69,$J$50,$J$51)</f>
        <v>0</v>
      </c>
    </row>
    <row r="70" spans="4:6" ht="20.100000000000001" customHeight="1" x14ac:dyDescent="0.25">
      <c r="D70" s="25" t="str">
        <v>Potassium - Generic</v>
      </c>
      <c r="E70" s="25">
        <f t="shared" si="0"/>
        <v>0</v>
      </c>
      <c r="F70" s="25" cm="1">
        <f t="array" ref="F70">Fertiliser_Equations_AtmosphericDeposition.VEERG_5_4_1_1__1_InorganicFertiliserAtmosphericDepositionN2OEmissions(E70,$J$50,$J$51)</f>
        <v>0</v>
      </c>
    </row>
    <row r="71" spans="4:6" ht="20.100000000000001" customHeight="1" x14ac:dyDescent="0.25">
      <c r="D71" s="25" t="str">
        <v>Sulfur - Generic</v>
      </c>
      <c r="E71" s="25">
        <f t="shared" si="0"/>
        <v>0</v>
      </c>
      <c r="F71" s="25" cm="1">
        <f t="array" ref="F71">Fertiliser_Equations_AtmosphericDeposition.VEERG_5_4_1_1__1_InorganicFertiliserAtmosphericDepositionN2OEmissions(E71,$J$50,$J$51)</f>
        <v>0</v>
      </c>
    </row>
    <row r="72" spans="4:6" ht="20.100000000000001" customHeight="1" x14ac:dyDescent="0.25">
      <c r="D72" s="25" t="str">
        <v>Zinc - Generic</v>
      </c>
      <c r="E72" s="25">
        <f t="shared" si="0"/>
        <v>0</v>
      </c>
      <c r="F72" s="25" cm="1">
        <f t="array" ref="F72">Fertiliser_Equations_AtmosphericDeposition.VEERG_5_4_1_1__1_InorganicFertiliserAtmosphericDepositionN2OEmissions(E72,$J$50,$J$51)</f>
        <v>0</v>
      </c>
    </row>
    <row r="73" spans="4:6" ht="20.100000000000001" customHeight="1" x14ac:dyDescent="0.25">
      <c r="D73" s="25" t="str">
        <v>Muriate of potash (MOP)</v>
      </c>
      <c r="E73" s="25">
        <f t="shared" si="0"/>
        <v>0</v>
      </c>
      <c r="F73" s="25" cm="1">
        <f t="array" ref="F73">Fertiliser_Equations_AtmosphericDeposition.VEERG_5_4_1_1__1_InorganicFertiliserAtmosphericDepositionN2OEmissions(E73,$J$50,$J$51)</f>
        <v>0</v>
      </c>
    </row>
    <row r="74" spans="4:6" ht="20.100000000000001" customHeight="1" x14ac:dyDescent="0.25">
      <c r="D74" s="25" t="str">
        <v>Double superphosphate</v>
      </c>
      <c r="E74" s="25">
        <f t="shared" si="0"/>
        <v>0</v>
      </c>
      <c r="F74" s="25" cm="1">
        <f t="array" ref="F74">Fertiliser_Equations_AtmosphericDeposition.VEERG_5_4_1_1__1_InorganicFertiliserAtmosphericDepositionN2OEmissions(E74,$J$50,$J$51)</f>
        <v>0</v>
      </c>
    </row>
    <row r="75" spans="4:6" ht="20.100000000000001" customHeight="1" x14ac:dyDescent="0.25">
      <c r="D75" s="25" t="str">
        <v>Single superphosphate (SSP)</v>
      </c>
      <c r="E75" s="25">
        <f t="shared" si="0"/>
        <v>0</v>
      </c>
      <c r="F75" s="25" cm="1">
        <f t="array" ref="F75">Fertiliser_Equations_AtmosphericDeposition.VEERG_5_4_1_1__1_InorganicFertiliserAtmosphericDepositionN2OEmissions(E75,$J$50,$J$51)</f>
        <v>0</v>
      </c>
    </row>
    <row r="76" spans="4:6" ht="20.100000000000001" customHeight="1" x14ac:dyDescent="0.25">
      <c r="D76" s="25" t="str">
        <v>Ammonia</v>
      </c>
      <c r="E76" s="25">
        <f t="shared" si="0"/>
        <v>3294</v>
      </c>
      <c r="F76" s="25" cm="1">
        <f t="array" ref="F76">Fertiliser_Equations_AtmosphericDeposition.VEERG_5_4_1_1__1_InorganicFertiliserAtmosphericDepositionN2OEmissions(E76,$J$50,$J$51)</f>
        <v>3.0540085714285712E-2</v>
      </c>
    </row>
    <row r="77" spans="4:6" ht="20.100000000000001" customHeight="1" x14ac:dyDescent="0.25">
      <c r="D77" s="25" t="str">
        <v>Calcium nitrate</v>
      </c>
      <c r="E77" s="25">
        <f t="shared" si="0"/>
        <v>77.5</v>
      </c>
      <c r="F77" s="25" cm="1">
        <f t="array" ref="F77">Fertiliser_Equations_AtmosphericDeposition.VEERG_5_4_1_1__1_InorganicFertiliserAtmosphericDepositionN2OEmissions(E77,$J$50,$J$51)</f>
        <v>7.1853571428571431E-4</v>
      </c>
    </row>
    <row r="78" spans="4:6" ht="20.100000000000001" customHeight="1" x14ac:dyDescent="0.25"/>
    <row r="79" spans="4:6" ht="20.100000000000001" customHeight="1" x14ac:dyDescent="0.25">
      <c r="D79" s="135" t="s">
        <v>683</v>
      </c>
      <c r="E79" s="136">
        <f>SUM(F59:F77)</f>
        <v>0.11844528142857143</v>
      </c>
      <c r="F79" s="137" t="str">
        <f>$E$47</f>
        <v>t N2O</v>
      </c>
    </row>
    <row r="80" spans="4:6" ht="20.100000000000001" customHeight="1" x14ac:dyDescent="0.25"/>
    <row r="81" spans="3:12" ht="20.100000000000001" customHeight="1" x14ac:dyDescent="0.25">
      <c r="D81" s="132" t="str" cm="1">
        <f t="array" ref="D81:E82">Common_Equations.Common_ConvertN2OToCO2e_Arguments()</f>
        <v>EN2O</v>
      </c>
      <c r="E81" s="138" t="str">
        <v>Nitrous oxide emissions (t N2O)</v>
      </c>
      <c r="F81" s="139"/>
      <c r="G81" s="25">
        <f>VEERG_5_4_1_1__1_InorganicFertiliserAtmosphericDepositionN2OEmissions_Result_Method1</f>
        <v>0.11844528142857143</v>
      </c>
    </row>
    <row r="82" spans="3:12" ht="20.100000000000001" customHeight="1" x14ac:dyDescent="0.25">
      <c r="D82" s="132" t="str">
        <v>GWPN2O</v>
      </c>
      <c r="E82" s="138" t="str">
        <v>Global warming potential for nitrous oxide (t CO2-e / t N2O)</v>
      </c>
      <c r="F82" s="139"/>
      <c r="G82" s="25">
        <f>Common_InputFunctions.Utility_LookupValueInTableNumber("N2O",Table_GWPData[Gas],Table_GWPData[CO2-e factor])</f>
        <v>265</v>
      </c>
    </row>
    <row r="83" spans="3:12" ht="20.100000000000001" customHeight="1" x14ac:dyDescent="0.25"/>
    <row r="84" spans="3:12" ht="20.100000000000001" customHeight="1" x14ac:dyDescent="0.25">
      <c r="D84" s="101" t="s">
        <v>412</v>
      </c>
      <c r="E84" s="101" cm="1">
        <f t="array" ref="E84">Common_Equations.Common_ConvertN2OToCO2e(G81,G82)</f>
        <v>31.387999578571428</v>
      </c>
      <c r="F84" s="140"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93"/>
      <c r="D87" s="193"/>
      <c r="E87" s="193"/>
      <c r="F87" s="193"/>
      <c r="G87" s="193"/>
      <c r="H87" s="193"/>
      <c r="I87" s="193"/>
      <c r="J87" s="193"/>
      <c r="K87" s="193"/>
      <c r="L87" s="193"/>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27" t="str" cm="1">
        <f t="array" ref="D89">Fertiliser_Equations_AtmosphericDeposition.VEERG_5_4_1_3__2_MassOfNitrogenVolatilisedFromOrganicFertiliser_Source()</f>
        <v>VEERG 2026: 5.4.1.3, Equation (2)</v>
      </c>
    </row>
    <row r="90" spans="3:12" ht="20.100000000000001" customHeight="1" x14ac:dyDescent="0.25">
      <c r="D90" s="118" t="s">
        <v>262</v>
      </c>
      <c r="E90" s="118"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87" t="s">
        <v>263</v>
      </c>
      <c r="E93" s="1" t="str" cm="1">
        <f t="array" ref="E93">Fertiliser_Equations_AtmosphericDeposition.VEERG_5_4_1_3__2_MassOfNitrogenVolatilisedFromOrganicFertiliser_Variable()</f>
        <v>M_volorganicjf</v>
      </c>
    </row>
    <row r="94" spans="3:12" ht="20.100000000000001" customHeight="1" x14ac:dyDescent="0.25">
      <c r="D94" s="87" t="s">
        <v>122</v>
      </c>
      <c r="E94" s="15"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20" t="str" cm="1">
        <f t="array" ref="D96:E97">_xlfn.CHOOSECOLS(Fertiliser_Equations_AtmosphericDeposition.VEERG_5_4_1_3__2_MassOfNitrogenVolatilisedFromOrganicFertiliser_Arguments(), 1, 2)</f>
        <v>MNSoil_jf</v>
      </c>
      <c r="E96" s="120" t="str">
        <v>mass of nitrogen in organic fertiliser type f applied to production system j</v>
      </c>
      <c r="F96" s="120"/>
      <c r="G96" s="120" t="str" cm="1">
        <f t="array" ref="G96:H97">_xlfn.CHOOSECOLS(Fertiliser_Equations_AtmosphericDeposition.VEERG_5_4_1_3__2_MassOfNitrogenVolatilisedFromOrganicFertiliser_Arguments(), 3,4)</f>
        <v>kg N</v>
      </c>
      <c r="H96" s="128" t="str">
        <v>Calculated from 5.2.1.1 (2)</v>
      </c>
      <c r="I96" s="127" t="str" cm="1">
        <f t="array" aca="1" ref="I96" ca="1">HYPERLINK(Common_InputFunctions.Utility_SourceHyperlink($D$99), $D$99)</f>
        <v>Table_M_vol_organic_j_f</v>
      </c>
    </row>
    <row r="97" spans="4:9" ht="20.100000000000001" customHeight="1" x14ac:dyDescent="0.25">
      <c r="D97" s="120" t="str">
        <v>FracGASM_soil</v>
      </c>
      <c r="E97" s="120" t="str">
        <v>fraction of organic fertiliser N that volatilises</v>
      </c>
      <c r="F97" s="120"/>
      <c r="G97" s="120" t="str">
        <v>(kg NH3-N + NOx-N)/kg N</v>
      </c>
      <c r="H97" s="128" t="str">
        <v>Constant</v>
      </c>
      <c r="I97" s="120">
        <f>Fertiliser_FracGASMSoil_Data</f>
        <v>0.21</v>
      </c>
    </row>
    <row r="98" spans="4:9" ht="20.100000000000001" customHeight="1" x14ac:dyDescent="0.25"/>
    <row r="99" spans="4:9" ht="20.100000000000001" customHeight="1" x14ac:dyDescent="0.25">
      <c r="D99" s="122" t="s">
        <v>684</v>
      </c>
    </row>
    <row r="100" spans="4:9" ht="20.100000000000001" customHeight="1" x14ac:dyDescent="0.25">
      <c r="D100" s="123" t="s">
        <v>685</v>
      </c>
    </row>
    <row r="101" spans="4:9" ht="20.100000000000001" customHeight="1" x14ac:dyDescent="0.25">
      <c r="D101" s="94" t="s">
        <v>657</v>
      </c>
      <c r="E101" s="188" t="s">
        <v>661</v>
      </c>
      <c r="F101" s="188" t="s">
        <v>686</v>
      </c>
    </row>
    <row r="102" spans="4:9" ht="20.100000000000001" customHeight="1" x14ac:dyDescent="0.25">
      <c r="D102" s="25" t="str" cm="1">
        <f t="array" ref="D102:D104">Table_Input_OrganicFertiliser[Organic fertiliser type (select)]</f>
        <v>Manure - Other</v>
      </c>
      <c r="E102" s="25">
        <f>INDEX(Table_MNSoil_j_f,2,6)</f>
        <v>3000</v>
      </c>
      <c r="F102" s="25" cm="1">
        <f t="array" ref="F102">Fertiliser_Equations_AtmosphericDeposition.VEERG_5_4_1_3__2_MassOfNitrogenVolatilisedFromOrganicFertiliser(E102,$I$97)</f>
        <v>630</v>
      </c>
      <c r="G102" s="26" t="str">
        <f>$E$94</f>
        <v>kg N</v>
      </c>
    </row>
    <row r="103" spans="4:9" ht="20.100000000000001" customHeight="1" x14ac:dyDescent="0.25">
      <c r="D103" s="25" t="str">
        <v>Manure - Poultry</v>
      </c>
      <c r="E103" s="25">
        <f>INDEX(Table_MNSoil_j_f,3,6)</f>
        <v>2500</v>
      </c>
      <c r="F103" s="25" cm="1">
        <f t="array" ref="F103">Fertiliser_Equations_AtmosphericDeposition.VEERG_5_4_1_3__2_MassOfNitrogenVolatilisedFromOrganicFertiliser(E103,$I$97)</f>
        <v>525</v>
      </c>
    </row>
    <row r="104" spans="4:9" ht="20.100000000000001" customHeight="1" x14ac:dyDescent="0.25">
      <c r="D104" s="25" t="str">
        <v>Other organic fertiliser</v>
      </c>
      <c r="E104" s="25">
        <f>INDEX(Table_MNSoil_j_f,4,6)</f>
        <v>1600</v>
      </c>
      <c r="F104" s="25" cm="1">
        <f t="array" ref="F104">Fertiliser_Equations_AtmosphericDeposition.VEERG_5_4_1_3__2_MassOfNitrogenVolatilisedFromOrganicFertiliser(E104,$I$97)</f>
        <v>336</v>
      </c>
    </row>
    <row r="105" spans="4:9" ht="20.100000000000001" customHeight="1" x14ac:dyDescent="0.25">
      <c r="D105" s="25"/>
      <c r="E105" s="25">
        <f>'5.2.1.1-2 Organic Fert N2O'!I23</f>
        <v>0</v>
      </c>
      <c r="F105" s="25" cm="1">
        <f t="array" ref="F105">Fertiliser_Equations_AtmosphericDeposition.VEERG_5_4_1_3__2_MassOfNitrogenVolatilisedFromOrganicFertiliser(E105,$I$97)</f>
        <v>0</v>
      </c>
    </row>
    <row r="106" spans="4:9" ht="20.100000000000001" customHeight="1" x14ac:dyDescent="0.25">
      <c r="D106" s="25"/>
      <c r="E106" s="25">
        <f>'5.2.1.1-2 Organic Fert N2O'!I24</f>
        <v>0</v>
      </c>
      <c r="F106" s="25" cm="1">
        <f t="array" ref="F106">Fertiliser_Equations_AtmosphericDeposition.VEERG_5_4_1_3__2_MassOfNitrogenVolatilisedFromOrganicFertiliser(E106,$I$97)</f>
        <v>0</v>
      </c>
    </row>
    <row r="107" spans="4:9" ht="20.100000000000001" customHeight="1" x14ac:dyDescent="0.25">
      <c r="D107" s="25"/>
      <c r="E107" s="25">
        <f>'5.2.1.1-2 Organic Fert N2O'!I25</f>
        <v>0</v>
      </c>
      <c r="F107" s="25" cm="1">
        <f t="array" ref="F107">Fertiliser_Equations_AtmosphericDeposition.VEERG_5_4_1_3__2_MassOfNitrogenVolatilisedFromOrganicFertiliser(E107,$I$97)</f>
        <v>0</v>
      </c>
    </row>
    <row r="108" spans="4:9" ht="20.100000000000001" customHeight="1" x14ac:dyDescent="0.25">
      <c r="D108" s="25"/>
      <c r="E108" s="25">
        <f>'5.2.1.1-2 Organic Fert N2O'!I26</f>
        <v>0</v>
      </c>
      <c r="F108" s="25" cm="1">
        <f t="array" ref="F108">Fertiliser_Equations_AtmosphericDeposition.VEERG_5_4_1_3__2_MassOfNitrogenVolatilisedFromOrganicFertiliser(E108,$I$97)</f>
        <v>0</v>
      </c>
    </row>
    <row r="109" spans="4:9" ht="20.100000000000001" customHeight="1" x14ac:dyDescent="0.25">
      <c r="D109" s="25"/>
      <c r="E109" s="25">
        <f>'5.2.1.1-2 Organic Fert N2O'!I27</f>
        <v>0</v>
      </c>
      <c r="F109" s="25" cm="1">
        <f t="array" ref="F109">Fertiliser_Equations_AtmosphericDeposition.VEERG_5_4_1_3__2_MassOfNitrogenVolatilisedFromOrganicFertiliser(E109,$I$97)</f>
        <v>0</v>
      </c>
    </row>
    <row r="110" spans="4:9" ht="20.100000000000001" customHeight="1" x14ac:dyDescent="0.25">
      <c r="D110" s="25"/>
      <c r="E110" s="25">
        <f>'5.2.1.1-2 Organic Fert N2O'!I28</f>
        <v>0</v>
      </c>
      <c r="F110" s="25" cm="1">
        <f t="array" ref="F110">Fertiliser_Equations_AtmosphericDeposition.VEERG_5_4_1_3__2_MassOfNitrogenVolatilisedFromOrganicFertiliser(E110,$I$97)</f>
        <v>0</v>
      </c>
    </row>
    <row r="111" spans="4:9" ht="20.100000000000001" customHeight="1" x14ac:dyDescent="0.25">
      <c r="D111" s="25"/>
      <c r="E111" s="25">
        <f>'5.2.1.1-2 Organic Fert N2O'!I29</f>
        <v>0</v>
      </c>
      <c r="F111" s="25" cm="1">
        <f t="array" ref="F111">Fertiliser_Equations_AtmosphericDeposition.VEERG_5_4_1_3__2_MassOfNitrogenVolatilisedFromOrganicFertiliser(E111,$I$97)</f>
        <v>0</v>
      </c>
    </row>
    <row r="112" spans="4:9" ht="20.100000000000001" customHeight="1" x14ac:dyDescent="0.25">
      <c r="D112" s="25"/>
      <c r="E112" s="25">
        <f>'5.2.1.1-2 Organic Fert N2O'!I30</f>
        <v>0</v>
      </c>
      <c r="F112" s="2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93"/>
      <c r="D115" s="193"/>
      <c r="E115" s="193"/>
      <c r="F115" s="193"/>
      <c r="G115" s="193"/>
      <c r="H115" s="193"/>
      <c r="I115" s="193"/>
      <c r="J115" s="193"/>
      <c r="K115" s="193"/>
      <c r="L115" s="193"/>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27" t="str" cm="1">
        <f t="array" ref="D117">Fertiliser_Equations_AtmosphericDeposition.VEERG_5_4_1_3__1_OrganicFertiliserAtmosphericDepositionN2OEmissions_Source()</f>
        <v>VEERG 2026: 5.4.1.3, Equation (1)</v>
      </c>
    </row>
    <row r="118" spans="3:12" ht="20.100000000000001" customHeight="1" x14ac:dyDescent="0.25">
      <c r="D118" s="118" t="s">
        <v>262</v>
      </c>
      <c r="E118" s="118"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87" t="s">
        <v>263</v>
      </c>
      <c r="E121" s="1" t="str" cm="1">
        <f t="array" ref="E121">Fertiliser_Equations_AtmosphericDeposition.VEERG_5_4_1_3__1_OrganicFertiliserAtmosphericDepositionN2OEmissions_Variable()</f>
        <v>E_adorganic</v>
      </c>
    </row>
    <row r="122" spans="3:12" ht="20.100000000000001" customHeight="1" x14ac:dyDescent="0.25">
      <c r="D122" s="87" t="s">
        <v>122</v>
      </c>
      <c r="E122" s="15"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20" t="str" cm="1">
        <f t="array" ref="D124:E129">_xlfn.CHOOSECOLS(Fertiliser_Equations_AtmosphericDeposition.VEERG_5_4_1_3__1_OrganicFertiliserAtmosphericDepositionN2OEmissions_Arguments(), 1, 2)</f>
        <v>M_volorganicjf</v>
      </c>
      <c r="E124" s="125" t="str">
        <v>mass of nitrogen volatilised from organic fertiliser applied to production system</v>
      </c>
      <c r="F124" s="126"/>
      <c r="G124" s="120" t="str" cm="1">
        <f t="array" ref="G124:H129">_xlfn.CHOOSECOLS(Fertiliser_Equations_AtmosphericDeposition.VEERG_5_4_1_3__1_OrganicFertiliserAtmosphericDepositionN2OEmissions_Arguments(), 3,4)</f>
        <v>kg N</v>
      </c>
      <c r="H124" s="128" t="str">
        <v>Calculated from 5.4.1.3 (2)</v>
      </c>
      <c r="I124" s="127" t="str" cm="1">
        <f t="array" aca="1" ref="I124" ca="1">HYPERLINK(Common_InputFunctions.Utility_SourceHyperlink($D$99), $D$99)</f>
        <v>Table_M_vol_organic_j_f</v>
      </c>
    </row>
    <row r="125" spans="3:12" ht="20.100000000000001" customHeight="1" x14ac:dyDescent="0.25">
      <c r="D125" s="120" t="str">
        <v>EF_N2Oj</v>
      </c>
      <c r="E125" s="125" t="str">
        <v>emission factor for atmospheric deposition in production system j</v>
      </c>
      <c r="F125" s="126"/>
      <c r="G125" s="120" t="str">
        <v>kg N2O-N/kg N</v>
      </c>
      <c r="H125" s="128" t="str">
        <v>Constant</v>
      </c>
      <c r="I125" s="120">
        <f>Common_InputFunctions.Utility_LookupN2OEFFromProdIrrigationRainfall(I127,I128,I129,Table_SourceData_Common_EFN2O[Production system only],Table_SourceData_Common_EFN2O[Irrigation method],Table_SourceData_Common_EFN2O[Rainfall zone],Table_SourceData_Common_EFN2O[EFN2O])</f>
        <v>5.8999999999999999E-3</v>
      </c>
    </row>
    <row r="126" spans="3:12" ht="20.100000000000001" customHeight="1" x14ac:dyDescent="0.25">
      <c r="D126" s="120" t="str">
        <v>C_N2O</v>
      </c>
      <c r="E126" s="125" t="str">
        <v>factor to convert elemental mass of nitrous oxide to molecular mass</v>
      </c>
      <c r="F126" s="126"/>
      <c r="G126" s="120" t="str">
        <v/>
      </c>
      <c r="H126" s="128" t="str">
        <v>Constant</v>
      </c>
      <c r="I126" s="132">
        <f>Common_InputFunctions.Utility_LookupValueInTableNumber("N2O",Table_GasToMolecularConversionFactor[Gas],Table_GasToMolecularConversionFactor[Conversion factor combined])</f>
        <v>1.5714285714285714</v>
      </c>
    </row>
    <row r="127" spans="3:12" ht="20.100000000000001" customHeight="1" x14ac:dyDescent="0.25">
      <c r="D127" s="120" t="str">
        <v>j</v>
      </c>
      <c r="E127" s="125" t="str">
        <v>Production system</v>
      </c>
      <c r="F127" s="126"/>
      <c r="G127" s="120" t="str">
        <v/>
      </c>
      <c r="H127" s="121" t="str">
        <v>Input</v>
      </c>
      <c r="I127" s="120" t="str">
        <f>X_Cell_Fertiliser_ProductionSystem</f>
        <v>Pasture</v>
      </c>
    </row>
    <row r="128" spans="3:12" ht="20.100000000000001" customHeight="1" x14ac:dyDescent="0.25">
      <c r="D128" s="120" t="str">
        <v>ir</v>
      </c>
      <c r="E128" s="125" t="str">
        <v>irrigation method</v>
      </c>
      <c r="F128" s="126"/>
      <c r="G128" s="120" t="str">
        <v/>
      </c>
      <c r="H128" s="121" t="str">
        <v>Input</v>
      </c>
      <c r="I128" s="120" t="str">
        <f>X_Cell_Fertiliser_IrrigationMethod</f>
        <v>Surface irrigation</v>
      </c>
    </row>
    <row r="129" spans="4:9" ht="20.100000000000001" customHeight="1" x14ac:dyDescent="0.25">
      <c r="D129" s="120" t="str">
        <v>r</v>
      </c>
      <c r="E129" s="125" t="str">
        <v>rainfall region</v>
      </c>
      <c r="F129" s="126"/>
      <c r="G129" s="120" t="str">
        <v/>
      </c>
      <c r="H129" s="121" t="str">
        <v>Input</v>
      </c>
      <c r="I129" s="120" t="str">
        <f>X_Cell_Site_RainfallZone</f>
        <v>High rainfall</v>
      </c>
    </row>
    <row r="130" spans="4:9" ht="20.100000000000001" customHeight="1" x14ac:dyDescent="0.25"/>
    <row r="131" spans="4:9" ht="20.100000000000001" customHeight="1" x14ac:dyDescent="0.25">
      <c r="D131" s="122" t="s">
        <v>687</v>
      </c>
    </row>
    <row r="132" spans="4:9" ht="20.100000000000001" customHeight="1" x14ac:dyDescent="0.25">
      <c r="D132" s="123" t="s">
        <v>688</v>
      </c>
    </row>
    <row r="133" spans="4:9" ht="20.100000000000001" customHeight="1" x14ac:dyDescent="0.25">
      <c r="D133" s="94" t="s">
        <v>657</v>
      </c>
      <c r="E133" s="188" t="s">
        <v>686</v>
      </c>
      <c r="F133" s="188" t="s">
        <v>689</v>
      </c>
    </row>
    <row r="134" spans="4:9" ht="20.100000000000001" customHeight="1" x14ac:dyDescent="0.25">
      <c r="D134" s="25" t="str" cm="1">
        <f t="array" ref="D134:D136">Table_Input_OrganicFertiliser[Organic fertiliser type (select)]</f>
        <v>Manure - Other</v>
      </c>
      <c r="E134" s="25">
        <f>F102</f>
        <v>630</v>
      </c>
      <c r="F134" s="25" cm="1">
        <f t="array" ref="F134">Fertiliser_Equations_AtmosphericDeposition.VEERG_5_4_1_3__1_OrganicFertiliserAtmosphericDepositionN2OEmissions(E134,$I$125,$I$126)</f>
        <v>5.8410000000000007E-3</v>
      </c>
    </row>
    <row r="135" spans="4:9" ht="20.100000000000001" customHeight="1" x14ac:dyDescent="0.25">
      <c r="D135" s="25" t="str">
        <v>Manure - Poultry</v>
      </c>
      <c r="E135" s="25">
        <f t="shared" ref="E135:E144" si="1">F103</f>
        <v>525</v>
      </c>
      <c r="F135" s="25" cm="1">
        <f t="array" ref="F135">Fertiliser_Equations_AtmosphericDeposition.VEERG_5_4_1_3__1_OrganicFertiliserAtmosphericDepositionN2OEmissions(E135,$I$125,$I$126)</f>
        <v>4.8674999999999994E-3</v>
      </c>
    </row>
    <row r="136" spans="4:9" ht="20.100000000000001" customHeight="1" x14ac:dyDescent="0.25">
      <c r="D136" s="25" t="str">
        <v>Other organic fertiliser</v>
      </c>
      <c r="E136" s="25">
        <f t="shared" si="1"/>
        <v>336</v>
      </c>
      <c r="F136" s="25" cm="1">
        <f t="array" ref="F136">Fertiliser_Equations_AtmosphericDeposition.VEERG_5_4_1_3__1_OrganicFertiliserAtmosphericDepositionN2OEmissions(E136,$I$125,$I$126)</f>
        <v>3.1151999999999998E-3</v>
      </c>
    </row>
    <row r="137" spans="4:9" ht="20.100000000000001" customHeight="1" x14ac:dyDescent="0.25">
      <c r="D137" s="25"/>
      <c r="E137" s="25">
        <f t="shared" si="1"/>
        <v>0</v>
      </c>
      <c r="F137" s="25" cm="1">
        <f t="array" ref="F137">Fertiliser_Equations_AtmosphericDeposition.VEERG_5_4_1_3__1_OrganicFertiliserAtmosphericDepositionN2OEmissions(E137,$I$125,$I$126)</f>
        <v>0</v>
      </c>
    </row>
    <row r="138" spans="4:9" ht="20.100000000000001" customHeight="1" x14ac:dyDescent="0.25">
      <c r="D138" s="25"/>
      <c r="E138" s="25">
        <f t="shared" si="1"/>
        <v>0</v>
      </c>
      <c r="F138" s="25" cm="1">
        <f t="array" ref="F138">Fertiliser_Equations_AtmosphericDeposition.VEERG_5_4_1_3__1_OrganicFertiliserAtmosphericDepositionN2OEmissions(E138,$I$125,$I$126)</f>
        <v>0</v>
      </c>
    </row>
    <row r="139" spans="4:9" ht="20.100000000000001" customHeight="1" x14ac:dyDescent="0.25">
      <c r="D139" s="25"/>
      <c r="E139" s="25">
        <f t="shared" si="1"/>
        <v>0</v>
      </c>
      <c r="F139" s="25" cm="1">
        <f t="array" ref="F139">Fertiliser_Equations_AtmosphericDeposition.VEERG_5_4_1_3__1_OrganicFertiliserAtmosphericDepositionN2OEmissions(E139,$I$125,$I$126)</f>
        <v>0</v>
      </c>
    </row>
    <row r="140" spans="4:9" ht="20.100000000000001" customHeight="1" x14ac:dyDescent="0.25">
      <c r="D140" s="25"/>
      <c r="E140" s="25">
        <f t="shared" si="1"/>
        <v>0</v>
      </c>
      <c r="F140" s="25" cm="1">
        <f t="array" ref="F140">Fertiliser_Equations_AtmosphericDeposition.VEERG_5_4_1_3__1_OrganicFertiliserAtmosphericDepositionN2OEmissions(E140,$I$125,$I$126)</f>
        <v>0</v>
      </c>
    </row>
    <row r="141" spans="4:9" ht="20.100000000000001" customHeight="1" x14ac:dyDescent="0.25">
      <c r="D141" s="25"/>
      <c r="E141" s="25">
        <f t="shared" si="1"/>
        <v>0</v>
      </c>
      <c r="F141" s="25" cm="1">
        <f t="array" ref="F141">Fertiliser_Equations_AtmosphericDeposition.VEERG_5_4_1_3__1_OrganicFertiliserAtmosphericDepositionN2OEmissions(E141,$I$125,$I$126)</f>
        <v>0</v>
      </c>
    </row>
    <row r="142" spans="4:9" ht="20.100000000000001" customHeight="1" x14ac:dyDescent="0.25">
      <c r="D142" s="25"/>
      <c r="E142" s="25">
        <f t="shared" si="1"/>
        <v>0</v>
      </c>
      <c r="F142" s="25" cm="1">
        <f t="array" ref="F142">Fertiliser_Equations_AtmosphericDeposition.VEERG_5_4_1_3__1_OrganicFertiliserAtmosphericDepositionN2OEmissions(E142,$I$125,$I$126)</f>
        <v>0</v>
      </c>
    </row>
    <row r="143" spans="4:9" ht="20.100000000000001" customHeight="1" x14ac:dyDescent="0.25">
      <c r="D143" s="25"/>
      <c r="E143" s="25">
        <f t="shared" si="1"/>
        <v>0</v>
      </c>
      <c r="F143" s="25" cm="1">
        <f t="array" ref="F143">Fertiliser_Equations_AtmosphericDeposition.VEERG_5_4_1_3__1_OrganicFertiliserAtmosphericDepositionN2OEmissions(E143,$I$125,$I$126)</f>
        <v>0</v>
      </c>
    </row>
    <row r="144" spans="4:9" ht="20.100000000000001" customHeight="1" x14ac:dyDescent="0.25">
      <c r="D144" s="25"/>
      <c r="E144" s="25">
        <f t="shared" si="1"/>
        <v>0</v>
      </c>
      <c r="F144" s="25"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135" t="s">
        <v>690</v>
      </c>
      <c r="E146" s="136">
        <f>SUM(F134:F144)</f>
        <v>1.38237E-2</v>
      </c>
      <c r="F146" s="137" t="str">
        <f>$E$122</f>
        <v>t N2O</v>
      </c>
    </row>
    <row r="147" spans="4:7" ht="20.100000000000001" customHeight="1" x14ac:dyDescent="0.25"/>
    <row r="148" spans="4:7" ht="20.100000000000001" customHeight="1" x14ac:dyDescent="0.25">
      <c r="D148" s="132" t="str" cm="1">
        <f t="array" ref="D148:E149">Common_Equations.Common_ConvertN2OToCO2e_Arguments()</f>
        <v>EN2O</v>
      </c>
      <c r="E148" s="138" t="str">
        <v>Nitrous oxide emissions (t N2O)</v>
      </c>
      <c r="F148" s="139"/>
      <c r="G148" s="25">
        <f>VEERG_5_4_1_3__1_OrganicFertiliserAtmosphericDepositionN2OEmissions_Result_Method1</f>
        <v>1.38237E-2</v>
      </c>
    </row>
    <row r="149" spans="4:7" ht="20.100000000000001" customHeight="1" x14ac:dyDescent="0.25">
      <c r="D149" s="132" t="str">
        <v>GWPN2O</v>
      </c>
      <c r="E149" s="138" t="str">
        <v>Global warming potential for nitrous oxide (t CO2-e / t N2O)</v>
      </c>
      <c r="F149" s="139"/>
      <c r="G149" s="25">
        <f>Common_InputFunctions.Utility_LookupValueInTableNumber("N2O",Table_GWPData[Gas],Table_GWPData[CO2-e factor])</f>
        <v>265</v>
      </c>
    </row>
    <row r="150" spans="4:7" ht="20.100000000000001" customHeight="1" x14ac:dyDescent="0.25"/>
    <row r="151" spans="4:7" ht="20.100000000000001" customHeight="1" x14ac:dyDescent="0.25">
      <c r="D151" s="101" t="s">
        <v>412</v>
      </c>
      <c r="E151" s="101" cm="1">
        <f t="array" ref="E151">Common_Equations.Common_ConvertN2OToCO2e(G148,G149)</f>
        <v>3.6632804999999999</v>
      </c>
      <c r="F151" s="140"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9DEE9-E939-4BF6-B6A1-EDA396D7DD5B}">
  <dimension ref="A1:T165"/>
  <sheetViews>
    <sheetView showGridLines="0" topLeftCell="A29"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0" customFormat="1" ht="30" customHeight="1" x14ac:dyDescent="0.35">
      <c r="A1" s="16" t="e" vm="1">
        <v>#VALUE!</v>
      </c>
      <c r="C1" s="30" t="s">
        <v>691</v>
      </c>
    </row>
    <row r="2" spans="1:20" s="3" customFormat="1" ht="20.100000000000001" customHeight="1" x14ac:dyDescent="0.25">
      <c r="A2"/>
    </row>
    <row r="3" spans="1:20" ht="20.100000000000001" customHeight="1" x14ac:dyDescent="0.25">
      <c r="A3" s="5" t="str">
        <f>HYPERLINK("#'Home'!A1", "Home")</f>
        <v>Home</v>
      </c>
      <c r="C3" s="32"/>
      <c r="D3" s="32" t="s">
        <v>136</v>
      </c>
      <c r="E3" s="32"/>
      <c r="F3" s="32"/>
      <c r="G3" s="32"/>
      <c r="H3" s="32"/>
      <c r="I3" s="32"/>
      <c r="J3" s="32"/>
      <c r="K3" s="32"/>
      <c r="M3" s="32"/>
      <c r="N3" s="32" t="s">
        <v>137</v>
      </c>
      <c r="O3" s="32"/>
      <c r="P3" s="32"/>
      <c r="Q3" s="32"/>
      <c r="R3" s="32"/>
      <c r="S3" s="32"/>
      <c r="T3" s="32"/>
    </row>
    <row r="4" spans="1:20" ht="20.100000000000001" customHeight="1" x14ac:dyDescent="0.25">
      <c r="A4" s="5" t="str">
        <f>HYPERLINK("#'Overview'!A1", "Overview")</f>
        <v>Overview</v>
      </c>
    </row>
    <row r="5" spans="1:20" ht="20.100000000000001" customHeight="1" x14ac:dyDescent="0.25">
      <c r="A5" s="5" t="str">
        <f>HYPERLINK("#'Results'!A1", "Results")</f>
        <v>Results</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27" t="str" cm="1">
        <f t="array" ref="D6">Fertiliser_Equations_LeachingAndRunoff.VEERG_5_5_1_1__2_MassOfNitrogenLeachedFromInorganicFertiliser_Source()</f>
        <v>VEERG 2026: 5.5, Equation (2)</v>
      </c>
    </row>
    <row r="7" spans="1:20" ht="20.100000000000001" customHeight="1" x14ac:dyDescent="0.25">
      <c r="D7" s="118" t="s">
        <v>262</v>
      </c>
      <c r="E7" s="118" t="str" cm="1">
        <f t="array" aca="1" ref="E7" ca="1">Common_InputFunctions.Utility_DisplayFunctionName(F23)</f>
        <v>=Fertiliser_Equations_LeachingAndRunoff.VEERG_5_5_1_1__2_MassOfNitrogenLeachedFromInorganicFertiliser</v>
      </c>
    </row>
    <row r="8" spans="1:20" ht="20.100000000000001" customHeight="1" x14ac:dyDescent="0.25">
      <c r="A8" s="7" t="s">
        <v>0</v>
      </c>
    </row>
    <row r="9" spans="1:20" ht="20.100000000000001" customHeight="1" x14ac:dyDescent="0.25">
      <c r="A9" s="5" t="str">
        <f>HYPERLINK("#'Input - Enterprise'!A1", "Enterprise")</f>
        <v>Enterprise</v>
      </c>
    </row>
    <row r="10" spans="1:20" ht="20.100000000000001" customHeight="1" x14ac:dyDescent="0.25">
      <c r="A10" s="5" t="str">
        <f>HYPERLINK("#'Input - Site'!A1", "Site")</f>
        <v>Site</v>
      </c>
      <c r="D10" s="87" t="s">
        <v>263</v>
      </c>
      <c r="E10" s="1" t="str" cm="1">
        <f t="array" ref="E10">Fertiliser_Equations_LeachingAndRunoff.VEERG_5_5_1_1__2_MassOfNitrogenLeachedFromInorganicFertiliser_Variable()</f>
        <v>M_leachinorganicj</v>
      </c>
    </row>
    <row r="11" spans="1:20" ht="20.100000000000001" customHeight="1" x14ac:dyDescent="0.25">
      <c r="A11" s="5" t="str">
        <f>HYPERLINK("#'Input - Dairy'!A1", "Dairy")</f>
        <v>Dairy</v>
      </c>
      <c r="D11" s="87" t="s">
        <v>122</v>
      </c>
      <c r="E11" s="15" t="str" cm="1">
        <f t="array" ref="E11">Fertiliser_Equations_LeachingAndRunoff.VEERG_5_5_1_1__2_MassOfNitrogenLeachedFromInorganicFertiliser_Unit()</f>
        <v>kg N</v>
      </c>
    </row>
    <row r="12" spans="1:20" ht="20.100000000000001" customHeight="1" x14ac:dyDescent="0.25">
      <c r="A12" s="5" t="str">
        <f>HYPERLINK("#'Input - Dairy (Enteric)'!A1", "Dairy (Enteric)")</f>
        <v>Dairy (Enteric)</v>
      </c>
    </row>
    <row r="13" spans="1:20" ht="20.100000000000001" customHeight="1" x14ac:dyDescent="0.25">
      <c r="A13" s="5" t="str">
        <f>HYPERLINK("#'Input - Livestock sales'!A1", "Livestock sales")</f>
        <v>Livestock sales</v>
      </c>
      <c r="D13" s="120" t="str" cm="1">
        <f t="array" ref="D13:E18">_xlfn.CHOOSECOLS(Fertiliser_Equations_LeachingAndRunoff.VEERG_5_5_1_1__2_MassOfNitrogenLeachedFromInorganicFertiliser_Arguments(), 1, 2)</f>
        <v>MN_jf</v>
      </c>
      <c r="E13" s="125" t="str">
        <v>mass of nitrogen in inorganic fertiliser</v>
      </c>
      <c r="F13" s="126"/>
      <c r="G13" s="120" t="str" cm="1">
        <f t="array" ref="G13:H18">_xlfn.CHOOSECOLS(Fertiliser_Equations_LeachingAndRunoff.VEERG_5_5_1_1__2_MassOfNitrogenLeachedFromInorganicFertiliser_Arguments(), 3,4)</f>
        <v>kg N</v>
      </c>
      <c r="H13" s="128" t="str">
        <v>Calculated from 5.1.1.1 (2)</v>
      </c>
      <c r="I13" s="127" t="str" cm="1">
        <f t="array" aca="1" ref="I13" ca="1">HYPERLINK(Common_InputFunctions.Utility_SourceHyperlink(D20), D20)</f>
        <v>Table_M_leach_inorganic_j</v>
      </c>
    </row>
    <row r="14" spans="1:20" ht="20.100000000000001" customHeight="1" x14ac:dyDescent="0.25">
      <c r="A14" s="5" t="str">
        <f>HYPERLINK("#'Input - Dairy cattle purchases'!A1", "Dairy cattle purchases")</f>
        <v>Dairy cattle purchases</v>
      </c>
      <c r="D14" s="120" t="str">
        <v>FracWETj</v>
      </c>
      <c r="E14" s="125" t="str">
        <v>fraction of N available for leaching and runoff</v>
      </c>
      <c r="F14" s="126"/>
      <c r="G14" s="120" t="str">
        <v>fraction</v>
      </c>
      <c r="H14" s="128" t="str">
        <v>Constant</v>
      </c>
      <c r="I14" s="120">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5">
      <c r="A15" s="5" t="str">
        <f>HYPERLINK("#'Input - Pasture'!A1", "Pasture")</f>
        <v>Pasture</v>
      </c>
      <c r="D15" s="120" t="str">
        <v>FracLEACH</v>
      </c>
      <c r="E15" s="125" t="str">
        <v>fraction of N that is lost through leaching and runoff</v>
      </c>
      <c r="F15" s="126"/>
      <c r="G15" s="120" t="str">
        <v>fraction</v>
      </c>
      <c r="H15" s="128" t="str">
        <v>Constant</v>
      </c>
      <c r="I15" s="120">
        <f>Fertiliser_FracLEACH_Data</f>
        <v>0.24</v>
      </c>
    </row>
    <row r="16" spans="1:20" ht="20.100000000000001" customHeight="1" x14ac:dyDescent="0.25">
      <c r="A16" s="5" t="str">
        <f>HYPERLINK("#'Input - Fert Prod System'!A1", "Fert Prod System")</f>
        <v>Fert Prod System</v>
      </c>
      <c r="D16" s="120" t="str">
        <v>z</v>
      </c>
      <c r="E16" s="125" t="str">
        <v>location in leaching zone</v>
      </c>
      <c r="F16" s="126"/>
      <c r="G16" s="120" t="str">
        <v/>
      </c>
      <c r="H16" s="121" t="str">
        <v>Input</v>
      </c>
      <c r="I16" s="120" t="str">
        <f>X_Cell_Site_LeachingZone</f>
        <v>NO - Not in leaching zone</v>
      </c>
    </row>
    <row r="17" spans="1:9" ht="20.100000000000001" customHeight="1" x14ac:dyDescent="0.25">
      <c r="A17" s="5" t="str">
        <f>HYPERLINK("#'Input - Fertiliser'!A1", "Fertiliser")</f>
        <v>Fertiliser</v>
      </c>
      <c r="D17" s="120" t="str">
        <v>j</v>
      </c>
      <c r="E17" s="125" t="str">
        <v>production system</v>
      </c>
      <c r="F17" s="126"/>
      <c r="G17" s="120" t="str">
        <v/>
      </c>
      <c r="H17" s="121" t="str">
        <v>Input</v>
      </c>
      <c r="I17" s="120" t="str">
        <f>X_Cell_Fertiliser_ProductionSystem</f>
        <v>Pasture</v>
      </c>
    </row>
    <row r="18" spans="1:9" ht="20.100000000000001" customHeight="1" x14ac:dyDescent="0.25">
      <c r="A18" s="5" t="str">
        <f>HYPERLINK("#'Input - Fuel'!A1", "Fuel")</f>
        <v>Fuel</v>
      </c>
      <c r="D18" s="120" t="str">
        <v>ir</v>
      </c>
      <c r="E18" s="125" t="str">
        <v>irrigation method</v>
      </c>
      <c r="F18" s="126"/>
      <c r="G18" s="120" t="str">
        <v/>
      </c>
      <c r="H18" s="121" t="str">
        <v>Input</v>
      </c>
      <c r="I18" s="120" t="str">
        <f>X_Cell_Fertiliser_IrrigationMethod</f>
        <v>Surface irrigation</v>
      </c>
    </row>
    <row r="19" spans="1:9" ht="20.100000000000001" customHeight="1" x14ac:dyDescent="0.25">
      <c r="A19" s="5" t="str">
        <f>HYPERLINK("#'Input - Electricity'!A1", "Electricity")</f>
        <v>Electricity</v>
      </c>
    </row>
    <row r="20" spans="1:9" ht="20.100000000000001" customHeight="1" x14ac:dyDescent="0.25">
      <c r="A20" s="5" t="str">
        <f>HYPERLINK("#'Input - Farm Inputs'!A1", "Farm Inputs")</f>
        <v>Farm Inputs</v>
      </c>
      <c r="D20" s="122" t="s">
        <v>692</v>
      </c>
    </row>
    <row r="21" spans="1:9" ht="20.100000000000001" customHeight="1" x14ac:dyDescent="0.25">
      <c r="A21" s="5" t="str">
        <f>HYPERLINK("#'Input - Freight'!A1", "Freight")</f>
        <v>Freight</v>
      </c>
      <c r="D21" s="123" t="s">
        <v>693</v>
      </c>
    </row>
    <row r="22" spans="1:9" ht="20.100000000000001" customHeight="1" x14ac:dyDescent="0.25">
      <c r="A22" s="5" t="str">
        <f>HYPERLINK("#'Input - Manure sent off-site'!A1", "Manure sent off-site")</f>
        <v>Manure sent off-site</v>
      </c>
      <c r="D22" s="124" t="s">
        <v>619</v>
      </c>
      <c r="E22" s="124" t="s">
        <v>676</v>
      </c>
      <c r="F22" s="124" t="s">
        <v>694</v>
      </c>
    </row>
    <row r="23" spans="1:9" ht="20.100000000000001" customHeight="1" x14ac:dyDescent="0.25">
      <c r="A23" s="5" t="str">
        <f>HYPERLINK("#'Input - Solid waste'!A1", "Solid waste")</f>
        <v>Solid waste</v>
      </c>
      <c r="D23" s="25" t="str" cm="1">
        <f t="array" ref="D23:D41">Table_Fertiliser_ChemicalCompounds[Fertiliser type f]</f>
        <v>Monoammonium phosphate (MAP)</v>
      </c>
      <c r="E23" s="25">
        <f>INDEX(Table_MN_j_f,2,4)</f>
        <v>0</v>
      </c>
      <c r="F23" s="25" cm="1">
        <f t="array" ref="F23">Fertiliser_Equations_LeachingAndRunoff.VEERG_5_5_1_1__2_MassOfNitrogenLeachedFromInorganicFertiliser(E23, $I$14, $I$15)</f>
        <v>0</v>
      </c>
    </row>
    <row r="24" spans="1:9" ht="20.100000000000001" customHeight="1" x14ac:dyDescent="0.25">
      <c r="A24" s="5" t="str">
        <f>HYPERLINK("#'Input - Data quality'!A1", "Data quality")</f>
        <v>Data quality</v>
      </c>
      <c r="D24" s="25" t="str">
        <v>Diammonium phosphate (DAP)</v>
      </c>
      <c r="E24" s="25">
        <f>INDEX(Table_MN_j_f,3,4)</f>
        <v>0</v>
      </c>
      <c r="F24" s="25" cm="1">
        <f t="array" ref="F24">Fertiliser_Equations_LeachingAndRunoff.VEERG_5_5_1_1__2_MassOfNitrogenLeachedFromInorganicFertiliser(E24, $I$14, $I$15)</f>
        <v>0</v>
      </c>
    </row>
    <row r="25" spans="1:9" ht="20.100000000000001" customHeight="1" x14ac:dyDescent="0.25">
      <c r="D25" s="25" t="str">
        <v>Urea</v>
      </c>
      <c r="E25" s="25">
        <f>INDEX(Table_MN_j_f,4,4)</f>
        <v>46000</v>
      </c>
      <c r="F25" s="25" cm="1">
        <f t="array" ref="F25">Fertiliser_Equations_LeachingAndRunoff.VEERG_5_5_1_1__2_MassOfNitrogenLeachedFromInorganicFertiliser(E25, $I$14, $I$15)</f>
        <v>11040</v>
      </c>
    </row>
    <row r="26" spans="1:9" ht="20.100000000000001" customHeight="1" x14ac:dyDescent="0.25">
      <c r="D26" s="25" t="str">
        <v>Sulphate of ammonia (SOA)</v>
      </c>
      <c r="E26" s="25">
        <f>INDEX(Table_MN_j_f,5,4)</f>
        <v>0</v>
      </c>
      <c r="F26" s="25" cm="1">
        <f t="array" ref="F26">Fertiliser_Equations_LeachingAndRunoff.VEERG_5_5_1_1__2_MassOfNitrogenLeachedFromInorganicFertiliser(E26, $I$14, $I$15)</f>
        <v>0</v>
      </c>
    </row>
    <row r="27" spans="1:9" ht="20.100000000000001" customHeight="1" x14ac:dyDescent="0.25">
      <c r="A27" s="6" t="s">
        <v>2</v>
      </c>
      <c r="D27" s="25" t="str">
        <v>Urea-ammonium nitrate (UAN)</v>
      </c>
      <c r="E27" s="25">
        <f>INDEX(Table_MN_j_f,6,4)</f>
        <v>0</v>
      </c>
      <c r="F27" s="25" cm="1">
        <f t="array" ref="F27">Fertiliser_Equations_LeachingAndRunoff.VEERG_5_5_1_1__2_MassOfNitrogenLeachedFromInorganicFertiliser(E27, $I$14, $I$15)</f>
        <v>0</v>
      </c>
    </row>
    <row r="28" spans="1:9" ht="20.100000000000001" customHeight="1" x14ac:dyDescent="0.25">
      <c r="A28" s="5" t="str">
        <f>HYPERLINK("#'5.1.1.1-2 Inorganic fert N2O'!A1", "5.1.1.1-2 Inorganic fert N2O")</f>
        <v>5.1.1.1-2 Inorganic fert N2O</v>
      </c>
      <c r="D28" s="25" t="str">
        <v>Ammonium nitrate (AN)</v>
      </c>
      <c r="E28" s="25">
        <f>INDEX(Table_MN_j_f,7,4)</f>
        <v>0</v>
      </c>
      <c r="F28" s="25" cm="1">
        <f t="array" ref="F28">Fertiliser_Equations_LeachingAndRunoff.VEERG_5_5_1_1__2_MassOfNitrogenLeachedFromInorganicFertiliser(E28, $I$14, $I$15)</f>
        <v>0</v>
      </c>
    </row>
    <row r="29" spans="1:9" ht="20.100000000000001" customHeight="1" x14ac:dyDescent="0.25">
      <c r="A29" s="5" t="str">
        <f>HYPERLINK("#'5.1.1.3-4 Inorganic fert CO2'!A1", "5.1.1.3-4 Inorganic fert CO2")</f>
        <v>5.1.1.3-4 Inorganic fert CO2</v>
      </c>
      <c r="D29" s="25" t="str">
        <v>Calcium ammonium nitrate (CAN)</v>
      </c>
      <c r="E29" s="25">
        <f>INDEX(Table_MN_j_f,8,4)</f>
        <v>0</v>
      </c>
      <c r="F29" s="25" cm="1">
        <f t="array" ref="F29">Fertiliser_Equations_LeachingAndRunoff.VEERG_5_5_1_1__2_MassOfNitrogenLeachedFromInorganicFertiliser(E29, $I$14, $I$15)</f>
        <v>0</v>
      </c>
    </row>
    <row r="30" spans="1:9" ht="20.100000000000001" customHeight="1" x14ac:dyDescent="0.25">
      <c r="A30" s="5" t="str">
        <f>HYPERLINK("#'5.2.1.1-2 Organic Fert N2O'!A1", "5.2.1.1-2 Organic fert N2O")</f>
        <v>5.2.1.1-2 Organic fert N2O</v>
      </c>
      <c r="D30" s="25" t="str">
        <v>Nitrogen - Ammoniacal</v>
      </c>
      <c r="E30" s="25">
        <f>INDEX(Table_MN_j_f,9,4)</f>
        <v>0</v>
      </c>
      <c r="F30" s="25" cm="1">
        <f t="array" ref="F30">Fertiliser_Equations_LeachingAndRunoff.VEERG_5_5_1_1__2_MassOfNitrogenLeachedFromInorganicFertiliser(E30, $I$14, $I$15)</f>
        <v>0</v>
      </c>
    </row>
    <row r="31" spans="1:9" ht="20.100000000000001" customHeight="1" x14ac:dyDescent="0.25">
      <c r="A31" s="5" t="str">
        <f>HYPERLINK("#'5.3.1.1-2 Lime CO2'!A1", "5.3.1.1-2 Lime CO2")</f>
        <v>5.3.1.1-2 Lime CO2</v>
      </c>
      <c r="D31" s="25" t="str">
        <v>Nitrogen - Nitrate</v>
      </c>
      <c r="E31" s="25">
        <f>INDEX(Table_MN_j_f,10,4)</f>
        <v>19800</v>
      </c>
      <c r="F31" s="25" cm="1">
        <f t="array" ref="F31">Fertiliser_Equations_LeachingAndRunoff.VEERG_5_5_1_1__2_MassOfNitrogenLeachedFromInorganicFertiliser(E31, $I$14, $I$15)</f>
        <v>4752</v>
      </c>
    </row>
    <row r="32" spans="1:9" ht="20.100000000000001" customHeight="1" x14ac:dyDescent="0.25">
      <c r="A32" s="5" t="str">
        <f>HYPERLINK("#'5.4.1.1-4 Atmos deposition'!A1", "5.4.1.1-4 Atmos. deposition")</f>
        <v>5.4.1.1-4 Atmos. deposition</v>
      </c>
      <c r="D32" s="25" t="str">
        <v>Nitrogen - Generic</v>
      </c>
      <c r="E32" s="25">
        <f>INDEX(Table_MN_j_f,11,4)</f>
        <v>15372</v>
      </c>
      <c r="F32" s="25" cm="1">
        <f t="array" ref="F32">Fertiliser_Equations_LeachingAndRunoff.VEERG_5_5_1_1__2_MassOfNitrogenLeachedFromInorganicFertiliser(E32, $I$14, $I$15)</f>
        <v>3689.2799999999997</v>
      </c>
    </row>
    <row r="33" spans="1:11" ht="20.100000000000001" customHeight="1" x14ac:dyDescent="0.25">
      <c r="A33" s="119" t="str">
        <f>HYPERLINK("#'5.5.1.1-2 Leaching and runoff'!A1", "5.5.1.1-2 Leaching &amp; runoff")</f>
        <v>5.5.1.1-2 Leaching &amp; runoff</v>
      </c>
      <c r="D33" s="25" t="str">
        <v>Phosphorus - Generic</v>
      </c>
      <c r="E33" s="25">
        <f>INDEX(Table_MN_j_f,12,4)</f>
        <v>0</v>
      </c>
      <c r="F33" s="25" cm="1">
        <f t="array" ref="F33">Fertiliser_Equations_LeachingAndRunoff.VEERG_5_5_1_1__2_MassOfNitrogenLeachedFromInorganicFertiliser(E33, $I$14, $I$15)</f>
        <v>0</v>
      </c>
    </row>
    <row r="34" spans="1:11" ht="20.100000000000001" customHeight="1" x14ac:dyDescent="0.25">
      <c r="A34" s="5" t="str">
        <f>HYPERLINK("#'6.2.1.1-2 Pasture residue N2O'!A1", "6.2.1.1-2 Pasture residue N2O")</f>
        <v>6.2.1.1-2 Pasture residue N2O</v>
      </c>
      <c r="D34" s="25" t="str">
        <v>Potassium - Generic</v>
      </c>
      <c r="E34" s="25">
        <f>INDEX(Table_MN_j_f,13,4)</f>
        <v>0</v>
      </c>
      <c r="F34" s="25" cm="1">
        <f t="array" ref="F34">Fertiliser_Equations_LeachingAndRunoff.VEERG_5_5_1_1__2_MassOfNitrogenLeachedFromInorganicFertiliser(E34, $I$14, $I$15)</f>
        <v>0</v>
      </c>
    </row>
    <row r="35" spans="1:11" ht="20.100000000000001" customHeight="1" x14ac:dyDescent="0.25">
      <c r="A35" s="5" t="str">
        <f>HYPERLINK("#'6.3.1.1-2 Leach runoff pasture'!A1", "6.3.1.1-2 Leach &amp; runoff (pasture)")</f>
        <v>6.3.1.1-2 Leach &amp; runoff (pasture)</v>
      </c>
      <c r="D35" s="25" t="str">
        <v>Sulfur - Generic</v>
      </c>
      <c r="E35" s="25">
        <f>INDEX(Table_MN_j_f,14,4)</f>
        <v>0</v>
      </c>
      <c r="F35" s="25" cm="1">
        <f t="array" ref="F35">Fertiliser_Equations_LeachingAndRunoff.VEERG_5_5_1_1__2_MassOfNitrogenLeachedFromInorganicFertiliser(E35, $I$14, $I$15)</f>
        <v>0</v>
      </c>
    </row>
    <row r="36" spans="1:11" ht="20.100000000000001" customHeight="1" x14ac:dyDescent="0.25">
      <c r="A36" s="5" t="str">
        <f>HYPERLINK("#'8.1.1.1-2 Transport fuel'!A1", "8.1.1.1-2 Transport fuel")</f>
        <v>8.1.1.1-2 Transport fuel</v>
      </c>
      <c r="D36" s="25" t="str">
        <v>Zinc - Generic</v>
      </c>
      <c r="E36" s="25">
        <f>INDEX(Table_MN_j_f,15,4)</f>
        <v>0</v>
      </c>
      <c r="F36" s="25" cm="1">
        <f t="array" ref="F36">Fertiliser_Equations_LeachingAndRunoff.VEERG_5_5_1_1__2_MassOfNitrogenLeachedFromInorganicFertiliser(E36, $I$14, $I$15)</f>
        <v>0</v>
      </c>
    </row>
    <row r="37" spans="1:11" ht="20.100000000000001" customHeight="1" x14ac:dyDescent="0.25">
      <c r="A37" s="5" t="str">
        <f>HYPERLINK("#'8.2.1.1-2 Stationary fuel'!A1", "8.2.1.1-2 Stationary fuel")</f>
        <v>8.2.1.1-2 Stationary fuel</v>
      </c>
      <c r="D37" s="25" t="str">
        <v>Muriate of potash (MOP)</v>
      </c>
      <c r="E37" s="25">
        <f>INDEX(Table_MN_j_f,16,4)</f>
        <v>0</v>
      </c>
      <c r="F37" s="25" cm="1">
        <f t="array" ref="F37">Fertiliser_Equations_LeachingAndRunoff.VEERG_5_5_1_1__2_MassOfNitrogenLeachedFromInorganicFertiliser(E37, $I$14, $I$15)</f>
        <v>0</v>
      </c>
    </row>
    <row r="38" spans="1:11" ht="20.100000000000001" customHeight="1" x14ac:dyDescent="0.25">
      <c r="A38" s="5" t="str">
        <f>HYPERLINK("#'14.1.1-2 Purchased electricity'!A1", "14.1.1-2 Purchased electricity")</f>
        <v>14.1.1-2 Purchased electricity</v>
      </c>
      <c r="D38" s="25" t="str">
        <v>Double superphosphate</v>
      </c>
      <c r="E38" s="25">
        <f>INDEX(Table_MN_j_f,17,4)</f>
        <v>0</v>
      </c>
      <c r="F38" s="25" cm="1">
        <f t="array" ref="F38">Fertiliser_Equations_LeachingAndRunoff.VEERG_5_5_1_1__2_MassOfNitrogenLeachedFromInorganicFertiliser(E38, $I$14, $I$15)</f>
        <v>0</v>
      </c>
    </row>
    <row r="39" spans="1:11" ht="20.100000000000001" customHeight="1" x14ac:dyDescent="0.25">
      <c r="A39" s="5" t="str">
        <f>HYPERLINK("#'15 Scope 3'!A1", "15 Scope 3")</f>
        <v>15 Scope 3</v>
      </c>
      <c r="D39" s="25" t="str">
        <v>Single superphosphate (SSP)</v>
      </c>
      <c r="E39" s="25">
        <f>INDEX(Table_MN_j_f,18,4)</f>
        <v>0</v>
      </c>
      <c r="F39" s="25" cm="1">
        <f t="array" ref="F39">Fertiliser_Equations_LeachingAndRunoff.VEERG_5_5_1_1__2_MassOfNitrogenLeachedFromInorganicFertiliser(E39, $I$14, $I$15)</f>
        <v>0</v>
      </c>
    </row>
    <row r="40" spans="1:11" ht="20.100000000000001" customHeight="1" x14ac:dyDescent="0.25">
      <c r="A40" s="5" t="str">
        <f>HYPERLINK("#'Calcs - Manure sent off-site'!A1", "Calcs - Manure sent off-site")</f>
        <v>Calcs - Manure sent off-site</v>
      </c>
      <c r="D40" s="25" t="str">
        <v>Ammonia</v>
      </c>
      <c r="E40" s="25">
        <f>INDEX(Table_MN_j_f,19,4)</f>
        <v>41175</v>
      </c>
      <c r="F40" s="25" cm="1">
        <f t="array" ref="F40">Fertiliser_Equations_LeachingAndRunoff.VEERG_5_5_1_1__2_MassOfNitrogenLeachedFromInorganicFertiliser(E40, $I$14, $I$15)</f>
        <v>9882</v>
      </c>
    </row>
    <row r="41" spans="1:11" ht="20.100000000000001" customHeight="1" x14ac:dyDescent="0.25">
      <c r="A41" s="5" t="str">
        <f>HYPERLINK("#'4.3.1.1-2 Methane'!A1", "4.3.1.1-2 Methane")</f>
        <v>4.3.1.1-2 Methane</v>
      </c>
      <c r="D41" s="25" t="str">
        <v>Calcium nitrate</v>
      </c>
      <c r="E41" s="25">
        <f>INDEX(Table_MN_j_f,20,4)</f>
        <v>7750</v>
      </c>
      <c r="F41" s="25" cm="1">
        <f t="array" ref="F41">Fertiliser_Equations_LeachingAndRunoff.VEERG_5_5_1_1__2_MassOfNitrogenLeachedFromInorganicFertiliser(E41, $I$14, $I$15)</f>
        <v>1860</v>
      </c>
    </row>
    <row r="42" spans="1:11" ht="20.100000000000001" customHeight="1" x14ac:dyDescent="0.25">
      <c r="A42" s="5" t="str">
        <f>HYPERLINK("#'4.3.1.3-4 Direct N20'!A1", "4.3.1.3-4 Direct N20")</f>
        <v>4.3.1.3-4 Direct N20</v>
      </c>
    </row>
    <row r="43" spans="1:11" ht="20.100000000000001" customHeight="1" x14ac:dyDescent="0.25">
      <c r="A43" s="5" t="str">
        <f>HYPERLINK("#'4.3.1.5 Atmos deposition'!A1", "4.3.1.5 Atmos deposition")</f>
        <v>4.3.1.5 Atmos deposition</v>
      </c>
      <c r="D43" s="142" t="s">
        <v>695</v>
      </c>
      <c r="E43" s="101">
        <f>SUM(F23:F41)</f>
        <v>31223.279999999999</v>
      </c>
      <c r="F43" s="140" t="str">
        <f>$E$11</f>
        <v>kg N</v>
      </c>
    </row>
    <row r="44" spans="1:11" ht="20.100000000000001" customHeight="1" x14ac:dyDescent="0.25">
      <c r="A44" s="5" t="str">
        <f>HYPERLINK("#'4.3.1.6-7 Leaching and runoff'!A1", "4.3.1.6-7 Leaching and runoff")</f>
        <v>4.3.1.6-7 Leaching and runoff</v>
      </c>
    </row>
    <row r="45" spans="1:11" ht="20.100000000000001" customHeight="1" x14ac:dyDescent="0.25">
      <c r="A45" s="5" t="str">
        <f>HYPERLINK("#'4.3.1.8 Manure applied to soils'!A1", "4.3.1.8 Manure applied to soils")</f>
        <v>4.3.1.8 Manure applied to soils</v>
      </c>
      <c r="C45" s="197"/>
      <c r="D45" s="197"/>
      <c r="E45" s="197"/>
      <c r="F45" s="197"/>
      <c r="G45" s="197"/>
      <c r="H45" s="197"/>
      <c r="I45" s="197"/>
      <c r="J45" s="197"/>
      <c r="K45" s="197"/>
    </row>
    <row r="46" spans="1:11" ht="20.100000000000001" customHeight="1" x14ac:dyDescent="0.25">
      <c r="A46" s="5" t="str">
        <f>HYPERLINK("#'4.3.1.9 Soil direct N2O'!A1", "4.3.1.9 Soil direct N2O")</f>
        <v>4.3.1.9 Soil direct N2O</v>
      </c>
    </row>
    <row r="47" spans="1:11" ht="20.100000000000001" customHeight="1" x14ac:dyDescent="0.25">
      <c r="A47" s="5" t="str">
        <f>HYPERLINK("#'4.3.1.10-11 Soil Atmos Dep'!A1", "4.3.1.10-11 Soil Atmos Dep")</f>
        <v>4.3.1.10-11 Soil Atmos Dep</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A48" s="5" t="str">
        <f>HYPERLINK("#'4.3.1.12-13 Soil leach runoff'!A1", "4.3.1.12-13 Soil leach runoff")</f>
        <v>4.3.1.12-13 Soil leach runoff</v>
      </c>
      <c r="D48" s="27" t="str" cm="1">
        <f t="array" ref="D48">Fertiliser_Equations_LeachingAndRunoff.VEERG_5_5_1_1__3_MassOfNitrogenLeachedFromOrganicFertiliser_Source()</f>
        <v>VEERG 2026: 5.5, Equation (3)</v>
      </c>
    </row>
    <row r="49" spans="1:9" ht="20.100000000000001" customHeight="1" x14ac:dyDescent="0.25">
      <c r="A49" s="5" t="str">
        <f>HYPERLINK("#'3.3.1.1-2 Enteric Methane'!A1", "3.3.1.1-2 Enteric Methane")</f>
        <v>3.3.1.1-2 Enteric Methane</v>
      </c>
      <c r="D49" s="118" t="s">
        <v>262</v>
      </c>
      <c r="E49" s="118" t="str" cm="1">
        <f t="array" aca="1" ref="E49" ca="1">Common_InputFunctions.Utility_DisplayFunctionName(F65)</f>
        <v>=Fertiliser_Equations_LeachingAndRunoff.VEERG_5_5_1_1__3_MassOfNitrogenLeachedFromOrganicFertiliser</v>
      </c>
    </row>
    <row r="50" spans="1:9" ht="20.100000000000001" customHeight="1" x14ac:dyDescent="0.25">
      <c r="A50" s="5" t="str">
        <f>HYPERLINK("#'10.1.1-2 Solid waste treatment'!A1", "10.1.1-2 Solid waste treatment")</f>
        <v>10.1.1-2 Solid waste treatment</v>
      </c>
    </row>
    <row r="51" spans="1:9" ht="20.100000000000001" customHeight="1" x14ac:dyDescent="0.25"/>
    <row r="52" spans="1:9" ht="20.100000000000001" customHeight="1" x14ac:dyDescent="0.25">
      <c r="D52" s="87" t="s">
        <v>263</v>
      </c>
      <c r="E52" s="1" t="str" cm="1">
        <f t="array" ref="E52">Fertiliser_Equations_LeachingAndRunoff.VEERG_5_5_1_1__3_MassOfNitrogenLeachedFromOrganicFertiliser_Variable()</f>
        <v>M_leachorganicj</v>
      </c>
    </row>
    <row r="53" spans="1:9" ht="20.100000000000001" customHeight="1" x14ac:dyDescent="0.25">
      <c r="A53" s="100" t="s">
        <v>1</v>
      </c>
      <c r="D53" s="87" t="s">
        <v>122</v>
      </c>
      <c r="E53" s="15" t="str" cm="1">
        <f t="array" ref="E53">Fertiliser_Equations_LeachingAndRunoff.VEERG_5_5_1_1__3_MassOfNitrogenLeachedFromOrganicFertiliser_Unit()</f>
        <v>kg N</v>
      </c>
    </row>
    <row r="54" spans="1:9" ht="20.100000000000001" customHeight="1" x14ac:dyDescent="0.25">
      <c r="A54" s="5" t="str">
        <f>HYPERLINK("#'Constants - Dairy'!A1", "Constants - Dairy")</f>
        <v>Constants - Dairy</v>
      </c>
    </row>
    <row r="55" spans="1:9" ht="20.100000000000001" customHeight="1" x14ac:dyDescent="0.25">
      <c r="A55" s="5" t="str">
        <f>HYPERLINK("#'Constants - Ag Residue'!A1", "Constants - Ag residue")</f>
        <v>Constants - Ag residue</v>
      </c>
      <c r="D55" s="120" t="str" cm="1">
        <f t="array" ref="D55:E60">_xlfn.CHOOSECOLS(Fertiliser_Equations_LeachingAndRunoff.VEERG_5_5_1_1__3_MassOfNitrogenLeachedFromOrganicFertiliser_Arguments(), 1, 2)</f>
        <v>MNSoil_jf</v>
      </c>
      <c r="E55" s="125" t="str">
        <v>mass of nitrogen in organic fertiliser</v>
      </c>
      <c r="F55" s="126"/>
      <c r="G55" s="120" t="str" cm="1">
        <f t="array" ref="G55:H60">_xlfn.CHOOSECOLS(Fertiliser_Equations_LeachingAndRunoff.VEERG_5_5_1_1__3_MassOfNitrogenLeachedFromOrganicFertiliser_Arguments(), 3,4)</f>
        <v>kg N</v>
      </c>
      <c r="H55" s="128" t="str">
        <v>Calculated from 5.2.1.1 (2)</v>
      </c>
      <c r="I55" s="127" t="str" cm="1">
        <f t="array" aca="1" ref="I55" ca="1">HYPERLINK(Common_InputFunctions.Utility_SourceHyperlink(D62), D62)</f>
        <v>Table_M_leach_organic_j</v>
      </c>
    </row>
    <row r="56" spans="1:9" ht="20.100000000000001" customHeight="1" x14ac:dyDescent="0.25">
      <c r="A56" s="5" t="str">
        <f>HYPERLINK("#'Constants - Common Livestock'!A1", "Constants - Common Livestock")</f>
        <v>Constants - Common Livestock</v>
      </c>
      <c r="D56" s="120" t="str">
        <v>FracWETj</v>
      </c>
      <c r="E56" s="125" t="str">
        <v>fraction of N available for leaching and runoff</v>
      </c>
      <c r="F56" s="126"/>
      <c r="G56" s="120" t="str">
        <v>fraction</v>
      </c>
      <c r="H56" s="128" t="str">
        <v>Constant</v>
      </c>
      <c r="I56" s="120">
        <f>Common_InputFunctions.CommonCropping_GetFracWET(I58,I60,Table_SourceData_FracWET[Is in leaching zone],Table_SourceData_FracWET[FracWET],Table_SourceData_FracWETIrrigation[Irrigation type i],Table_SourceData_FracWETIrrigation[FracWET])</f>
        <v>1</v>
      </c>
    </row>
    <row r="57" spans="1:9" ht="20.100000000000001" customHeight="1" x14ac:dyDescent="0.25">
      <c r="A57" s="5" t="str">
        <f>HYPERLINK("#'Constants - Electricity'!A1", "Constants - Electricity")</f>
        <v>Constants - Electricity</v>
      </c>
      <c r="D57" s="120" t="str">
        <v>FracLEACH</v>
      </c>
      <c r="E57" s="125" t="str">
        <v>fraction of N that is lost through leaching and runoff</v>
      </c>
      <c r="F57" s="126"/>
      <c r="G57" s="120" t="str">
        <v>fraction</v>
      </c>
      <c r="H57" s="128" t="str">
        <v>Constant</v>
      </c>
      <c r="I57" s="120">
        <f>Fertiliser_FracLEACH_Data</f>
        <v>0.24</v>
      </c>
    </row>
    <row r="58" spans="1:9" ht="20.100000000000001" customHeight="1" x14ac:dyDescent="0.25">
      <c r="A58" s="5" t="str">
        <f>HYPERLINK("#'Constants - Fertiliser'!A1", "Constants - Fertiliser")</f>
        <v>Constants - Fertiliser</v>
      </c>
      <c r="D58" s="120" t="str">
        <v>z</v>
      </c>
      <c r="E58" s="125" t="str">
        <v>location in leaching zone</v>
      </c>
      <c r="F58" s="126"/>
      <c r="G58" s="120" t="str">
        <v/>
      </c>
      <c r="H58" s="121" t="str">
        <v>Input</v>
      </c>
      <c r="I58" s="120" t="str">
        <f>X_Cell_Site_LeachingZone</f>
        <v>NO - Not in leaching zone</v>
      </c>
    </row>
    <row r="59" spans="1:9" ht="20.100000000000001" customHeight="1" x14ac:dyDescent="0.25">
      <c r="A59" s="5" t="str">
        <f>HYPERLINK("#'Constants - Fuel'!A1", "Constants - Fuel")</f>
        <v>Constants - Fuel</v>
      </c>
      <c r="D59" s="120" t="str">
        <v>j</v>
      </c>
      <c r="E59" s="125" t="str">
        <v>production system</v>
      </c>
      <c r="F59" s="126"/>
      <c r="G59" s="120" t="str">
        <v/>
      </c>
      <c r="H59" s="121" t="str">
        <v>Input</v>
      </c>
      <c r="I59" s="120" t="str">
        <f>X_Cell_Fertiliser_ProductionSystem</f>
        <v>Pasture</v>
      </c>
    </row>
    <row r="60" spans="1:9" ht="20.100000000000001" customHeight="1" x14ac:dyDescent="0.25">
      <c r="A60" s="5" t="str">
        <f>HYPERLINK("#'Constants - Scope 3'!A1", "Constants - Scope 3")</f>
        <v>Constants - Scope 3</v>
      </c>
      <c r="D60" s="120" t="str">
        <v>ir</v>
      </c>
      <c r="E60" s="125" t="str">
        <v>irrigation method</v>
      </c>
      <c r="F60" s="126"/>
      <c r="G60" s="120" t="str">
        <v/>
      </c>
      <c r="H60" s="121" t="str">
        <v>Input</v>
      </c>
      <c r="I60" s="120" t="str">
        <f>X_Cell_Fertiliser_IrrigationMethod</f>
        <v>Surface irrigation</v>
      </c>
    </row>
    <row r="61" spans="1:9" ht="20.100000000000001" customHeight="1" x14ac:dyDescent="0.25">
      <c r="A61" s="5" t="str">
        <f>HYPERLINK("#'Constants - Common'!A1", "Constants - Common")</f>
        <v>Constants - Common</v>
      </c>
    </row>
    <row r="62" spans="1:9" ht="20.100000000000001" customHeight="1" x14ac:dyDescent="0.25">
      <c r="A62" s="5" t="str">
        <f>HYPERLINK("#'Acknowledgements'!A1", "Acknowledgements")</f>
        <v>Acknowledgements</v>
      </c>
      <c r="D62" s="122" t="s">
        <v>696</v>
      </c>
    </row>
    <row r="63" spans="1:9" ht="20.100000000000001" customHeight="1" x14ac:dyDescent="0.25">
      <c r="A63" s="5" t="str">
        <f>HYPERLINK("#'Constants - Solid Waste'!A1", "Constants - Solid Waste")</f>
        <v>Constants - Solid Waste</v>
      </c>
      <c r="D63" s="123" t="s">
        <v>697</v>
      </c>
    </row>
    <row r="64" spans="1:9" ht="20.100000000000001" customHeight="1" x14ac:dyDescent="0.25">
      <c r="D64" s="94" t="s">
        <v>657</v>
      </c>
      <c r="E64" s="198" t="s">
        <v>661</v>
      </c>
      <c r="F64" s="124" t="s">
        <v>698</v>
      </c>
    </row>
    <row r="65" spans="3:11" ht="20.100000000000001" customHeight="1" x14ac:dyDescent="0.25">
      <c r="D65" s="25" t="str">
        <f>INDEX(Table_MNSoil_j_f,2,1)</f>
        <v>Manure - Other</v>
      </c>
      <c r="E65" s="25">
        <f>INDEX(Table_MNSoil_j_f,2,6)</f>
        <v>3000</v>
      </c>
      <c r="F65" s="25" cm="1">
        <f t="array" ref="F65">Fertiliser_Equations_LeachingAndRunoff.VEERG_5_5_1_1__3_MassOfNitrogenLeachedFromOrganicFertiliser(E65,$I$56, $I$57)</f>
        <v>720</v>
      </c>
    </row>
    <row r="66" spans="3:11" ht="20.100000000000001" customHeight="1" x14ac:dyDescent="0.25">
      <c r="D66" s="25" t="str">
        <f>INDEX(Table_MNSoil_j_f,3,1)</f>
        <v>Manure - Poultry</v>
      </c>
      <c r="E66" s="25">
        <f>INDEX(Table_MNSoil_j_f,3,6)</f>
        <v>2500</v>
      </c>
      <c r="F66" s="25" cm="1">
        <f t="array" ref="F66">Fertiliser_Equations_LeachingAndRunoff.VEERG_5_5_1_1__3_MassOfNitrogenLeachedFromOrganicFertiliser(E66,$I$56, $I$57)</f>
        <v>600</v>
      </c>
    </row>
    <row r="67" spans="3:11" ht="20.100000000000001" customHeight="1" x14ac:dyDescent="0.25">
      <c r="D67" s="25" t="str">
        <f>INDEX(Table_MNSoil_j_f,4,1)</f>
        <v>Other organic fertiliser</v>
      </c>
      <c r="E67" s="25">
        <f>INDEX(Table_MNSoil_j_f,4,6)</f>
        <v>1600</v>
      </c>
      <c r="F67" s="25" cm="1">
        <f t="array" ref="F67">Fertiliser_Equations_LeachingAndRunoff.VEERG_5_5_1_1__3_MassOfNitrogenLeachedFromOrganicFertiliser(E67,$I$56, $I$57)</f>
        <v>384</v>
      </c>
    </row>
    <row r="68" spans="3:11" ht="20.100000000000001" customHeight="1" x14ac:dyDescent="0.25">
      <c r="D68" s="25">
        <f>'5.2.1.1-2 Organic Fert N2O'!D23</f>
        <v>0</v>
      </c>
      <c r="E68" s="25">
        <f>'5.2.1.1-2 Organic Fert N2O'!I23</f>
        <v>0</v>
      </c>
      <c r="F68" s="25" cm="1">
        <f t="array" ref="F68">Fertiliser_Equations_LeachingAndRunoff.VEERG_5_5_1_1__3_MassOfNitrogenLeachedFromOrganicFertiliser(E68,$I$56, $I$57)</f>
        <v>0</v>
      </c>
    </row>
    <row r="69" spans="3:11" ht="20.100000000000001" customHeight="1" x14ac:dyDescent="0.25">
      <c r="D69" s="25">
        <f>'5.2.1.1-2 Organic Fert N2O'!D24</f>
        <v>0</v>
      </c>
      <c r="E69" s="25">
        <f>'5.2.1.1-2 Organic Fert N2O'!I24</f>
        <v>0</v>
      </c>
      <c r="F69" s="25" cm="1">
        <f t="array" ref="F69">Fertiliser_Equations_LeachingAndRunoff.VEERG_5_5_1_1__3_MassOfNitrogenLeachedFromOrganicFertiliser(E69,$I$56, $I$57)</f>
        <v>0</v>
      </c>
    </row>
    <row r="70" spans="3:11" ht="20.100000000000001" customHeight="1" x14ac:dyDescent="0.25">
      <c r="D70" s="25">
        <f>'5.2.1.1-2 Organic Fert N2O'!D25</f>
        <v>0</v>
      </c>
      <c r="E70" s="25">
        <f>'5.2.1.1-2 Organic Fert N2O'!I25</f>
        <v>0</v>
      </c>
      <c r="F70" s="25" cm="1">
        <f t="array" ref="F70">Fertiliser_Equations_LeachingAndRunoff.VEERG_5_5_1_1__3_MassOfNitrogenLeachedFromOrganicFertiliser(E70,$I$56, $I$57)</f>
        <v>0</v>
      </c>
    </row>
    <row r="71" spans="3:11" ht="20.100000000000001" customHeight="1" x14ac:dyDescent="0.25">
      <c r="D71" s="25">
        <f>'5.2.1.1-2 Organic Fert N2O'!D26</f>
        <v>0</v>
      </c>
      <c r="E71" s="25">
        <f>'5.2.1.1-2 Organic Fert N2O'!I26</f>
        <v>0</v>
      </c>
      <c r="F71" s="25" cm="1">
        <f t="array" ref="F71">Fertiliser_Equations_LeachingAndRunoff.VEERG_5_5_1_1__3_MassOfNitrogenLeachedFromOrganicFertiliser(E71,$I$56, $I$57)</f>
        <v>0</v>
      </c>
    </row>
    <row r="72" spans="3:11" ht="20.100000000000001" customHeight="1" x14ac:dyDescent="0.25">
      <c r="D72" s="25">
        <f>'5.2.1.1-2 Organic Fert N2O'!D27</f>
        <v>0</v>
      </c>
      <c r="E72" s="25">
        <f>'5.2.1.1-2 Organic Fert N2O'!I27</f>
        <v>0</v>
      </c>
      <c r="F72" s="25" cm="1">
        <f t="array" ref="F72">Fertiliser_Equations_LeachingAndRunoff.VEERG_5_5_1_1__3_MassOfNitrogenLeachedFromOrganicFertiliser(E72,$I$56, $I$57)</f>
        <v>0</v>
      </c>
    </row>
    <row r="73" spans="3:11" ht="20.100000000000001" customHeight="1" x14ac:dyDescent="0.25">
      <c r="D73" s="25">
        <f>'5.2.1.1-2 Organic Fert N2O'!D28</f>
        <v>0</v>
      </c>
      <c r="E73" s="25">
        <f>'5.2.1.1-2 Organic Fert N2O'!I28</f>
        <v>0</v>
      </c>
      <c r="F73" s="25" cm="1">
        <f t="array" ref="F73">Fertiliser_Equations_LeachingAndRunoff.VEERG_5_5_1_1__3_MassOfNitrogenLeachedFromOrganicFertiliser(E73,$I$56, $I$57)</f>
        <v>0</v>
      </c>
    </row>
    <row r="74" spans="3:11" ht="20.100000000000001" customHeight="1" x14ac:dyDescent="0.25">
      <c r="D74" s="25">
        <f>'5.2.1.1-2 Organic Fert N2O'!D29</f>
        <v>0</v>
      </c>
      <c r="E74" s="25">
        <f>'5.2.1.1-2 Organic Fert N2O'!I29</f>
        <v>0</v>
      </c>
      <c r="F74" s="25" cm="1">
        <f t="array" ref="F74">Fertiliser_Equations_LeachingAndRunoff.VEERG_5_5_1_1__3_MassOfNitrogenLeachedFromOrganicFertiliser(E74,$I$56, $I$57)</f>
        <v>0</v>
      </c>
    </row>
    <row r="75" spans="3:11" ht="20.100000000000001" customHeight="1" x14ac:dyDescent="0.25">
      <c r="D75" s="25">
        <f>'5.2.1.1-2 Organic Fert N2O'!D30</f>
        <v>0</v>
      </c>
      <c r="E75" s="25">
        <f>'5.2.1.1-2 Organic Fert N2O'!I30</f>
        <v>0</v>
      </c>
      <c r="F75" s="2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42" t="s">
        <v>699</v>
      </c>
      <c r="E77" s="101">
        <f>SUM(F65:F75)</f>
        <v>1704</v>
      </c>
      <c r="F77" s="140" t="str">
        <f>$E$53</f>
        <v>kg N</v>
      </c>
    </row>
    <row r="78" spans="3:11" ht="20.100000000000001" customHeight="1" x14ac:dyDescent="0.25"/>
    <row r="79" spans="3:11" ht="20.100000000000001" customHeight="1" x14ac:dyDescent="0.25">
      <c r="C79" s="197"/>
      <c r="D79" s="197"/>
      <c r="E79" s="197"/>
      <c r="F79" s="197"/>
      <c r="G79" s="197"/>
      <c r="H79" s="197"/>
      <c r="I79" s="197"/>
      <c r="J79" s="197"/>
      <c r="K79" s="197"/>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27" t="str" cm="1">
        <f t="array" ref="D82">Fertiliser_Equations_LeachingAndRunoff.VEERG_5_5_1_1__1_FertiliserLeachingAndRunoffN2OEmissions_Source()</f>
        <v>VEERG 2026: 5.5, Equation (1)</v>
      </c>
    </row>
    <row r="83" spans="4:10" ht="20.100000000000001" customHeight="1" x14ac:dyDescent="0.25">
      <c r="D83" s="118" t="s">
        <v>262</v>
      </c>
      <c r="E83" s="118"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87" t="s">
        <v>263</v>
      </c>
      <c r="E86" s="1" t="str" cm="1">
        <f t="array" ref="E86">Fertiliser_Equations_LeachingAndRunoff.VEERG_5_5_1_1__1_FertiliserLeachingAndRunoffN2OEmissions_Variable()</f>
        <v>E_fertleach</v>
      </c>
    </row>
    <row r="87" spans="4:10" ht="20.100000000000001" customHeight="1" x14ac:dyDescent="0.25">
      <c r="D87" s="87" t="s">
        <v>122</v>
      </c>
      <c r="E87" s="15"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20" t="str" cm="1">
        <f t="array" ref="D89:E92">_xlfn.CHOOSECOLS(Fertiliser_Equations_LeachingAndRunoff.VEERG_5_5_1_1__1_FertiliserLeachingAndRunoffN2OEmissions_Arguments(), 1, 2)</f>
        <v>M_leachinorganicj</v>
      </c>
      <c r="E89" s="125" t="str">
        <v>mass of nitrogen lost through leaching and runoff from inorganic fertiliser application in production system j</v>
      </c>
      <c r="F89" s="133"/>
      <c r="G89" s="126"/>
      <c r="H89" s="120" t="str" cm="1">
        <f t="array" ref="H89:I92">_xlfn.CHOOSECOLS(Fertiliser_Equations_LeachingAndRunoff.VEERG_5_5_1_1__1_FertiliserLeachingAndRunoffN2OEmissions_Arguments(), 3,4)</f>
        <v>kg N</v>
      </c>
      <c r="I89" s="128" t="str">
        <v>Calculated from 5.5.1.1 (2)</v>
      </c>
      <c r="J89" s="120">
        <f>$E$43</f>
        <v>31223.279999999999</v>
      </c>
    </row>
    <row r="90" spans="4:10" ht="20.100000000000001" customHeight="1" x14ac:dyDescent="0.25">
      <c r="D90" s="120" t="str">
        <v>M_leachorganicj</v>
      </c>
      <c r="E90" s="125" t="str">
        <v>mass of nitrogen lost through leaching and runoff from organic fertiliser application</v>
      </c>
      <c r="F90" s="133"/>
      <c r="G90" s="126"/>
      <c r="H90" s="120" t="str">
        <v>kg N</v>
      </c>
      <c r="I90" s="128" t="str">
        <v>Calculated from 5.5.1.1 (3)</v>
      </c>
      <c r="J90" s="120">
        <f>$E$77</f>
        <v>1704</v>
      </c>
    </row>
    <row r="91" spans="4:10" ht="20.100000000000001" customHeight="1" x14ac:dyDescent="0.25">
      <c r="D91" s="120" t="str">
        <v>EF_leach</v>
      </c>
      <c r="E91" s="125" t="str">
        <v>emission factor for nitrogen leaching and runoff</v>
      </c>
      <c r="F91" s="133"/>
      <c r="G91" s="126"/>
      <c r="H91" s="120" t="str">
        <v>kg N2O-N/kg N</v>
      </c>
      <c r="I91" s="128" t="str">
        <v>Constant</v>
      </c>
      <c r="J91" s="120">
        <f>Fertiliser_EFLeach_Data</f>
        <v>1.0999999999999999E-2</v>
      </c>
    </row>
    <row r="92" spans="4:10" ht="20.100000000000001" customHeight="1" x14ac:dyDescent="0.25">
      <c r="D92" s="120" t="str">
        <v>C_N2O</v>
      </c>
      <c r="E92" s="125" t="str">
        <v>factor to convert elemental mass of nitrous oxide to molecular mass</v>
      </c>
      <c r="F92" s="133"/>
      <c r="G92" s="126"/>
      <c r="H92" s="120" t="str">
        <v/>
      </c>
      <c r="I92" s="128" t="str">
        <v>Constant</v>
      </c>
      <c r="J92" s="132">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135" t="s">
        <v>700</v>
      </c>
      <c r="E94" s="136" cm="1">
        <f t="array" ref="E94">Fertiliser_Equations_LeachingAndRunoff.VEERG_5_5_1_1__1_FertiliserLeachingAndRunoffN2OEmissions(J89,J90,J91,J92)</f>
        <v>0.56917155428571431</v>
      </c>
      <c r="F94" s="137" t="str">
        <f>$E$87</f>
        <v>t N2O</v>
      </c>
    </row>
    <row r="95" spans="4:10" ht="20.100000000000001" customHeight="1" x14ac:dyDescent="0.25"/>
    <row r="96" spans="4:10" ht="20.100000000000001" customHeight="1" x14ac:dyDescent="0.25">
      <c r="D96" s="132" t="str" cm="1">
        <f t="array" ref="D96:E97">Common_Equations.Common_ConvertN2OToCO2e_Arguments()</f>
        <v>EN2O</v>
      </c>
      <c r="E96" s="138" t="str">
        <v>Nitrous oxide emissions (t N2O)</v>
      </c>
      <c r="F96" s="139"/>
      <c r="G96" s="25">
        <f>VEERG_5_5_1_1__1_FertiliserLeachingAndRunoffN2OEmissions_result_Method1</f>
        <v>0.56917155428571431</v>
      </c>
    </row>
    <row r="97" spans="4:7" ht="20.100000000000001" customHeight="1" x14ac:dyDescent="0.25">
      <c r="D97" s="132" t="str">
        <v>GWPN2O</v>
      </c>
      <c r="E97" s="138" t="str">
        <v>Global warming potential for nitrous oxide (t CO2-e / t N2O)</v>
      </c>
      <c r="F97" s="139"/>
      <c r="G97" s="25">
        <f>Common_InputFunctions.Utility_LookupValueInTableNumber("N2O",Table_GWPData[Gas],Table_GWPData[CO2-e factor])</f>
        <v>265</v>
      </c>
    </row>
    <row r="98" spans="4:7" ht="20.100000000000001" customHeight="1" x14ac:dyDescent="0.25"/>
    <row r="99" spans="4:7" ht="20.100000000000001" customHeight="1" x14ac:dyDescent="0.25">
      <c r="D99" s="101" t="s">
        <v>412</v>
      </c>
      <c r="E99" s="101" cm="1">
        <f t="array" ref="E99">Common_Equations.Common_ConvertN2OToCO2e(G96,G97)</f>
        <v>150.8304618857143</v>
      </c>
      <c r="F99" s="140"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CF66D-83DB-42E7-AC53-578B34474B25}">
  <dimension ref="A1:U165"/>
  <sheetViews>
    <sheetView showGridLines="0" topLeftCell="A5"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30" customFormat="1" ht="30" customHeight="1" x14ac:dyDescent="0.35">
      <c r="A1" s="16" t="e" vm="1">
        <v>#VALUE!</v>
      </c>
      <c r="C1" s="30" t="s">
        <v>960</v>
      </c>
    </row>
    <row r="2" spans="1:21" s="3" customFormat="1" ht="20.100000000000001" customHeight="1" x14ac:dyDescent="0.25">
      <c r="A2"/>
    </row>
    <row r="3" spans="1:21" ht="20.100000000000001" customHeight="1" x14ac:dyDescent="0.25">
      <c r="A3" s="5" t="str">
        <f>HYPERLINK("#'Home'!A1", "Home")</f>
        <v>Home</v>
      </c>
      <c r="C3" s="32"/>
      <c r="D3" s="32" t="s">
        <v>136</v>
      </c>
      <c r="E3" s="32"/>
      <c r="F3" s="32"/>
      <c r="G3" s="32"/>
      <c r="H3" s="32"/>
      <c r="I3" s="32"/>
      <c r="J3" s="32"/>
      <c r="K3" s="32"/>
      <c r="M3" s="32"/>
      <c r="N3" s="32" t="s">
        <v>137</v>
      </c>
      <c r="O3" s="32"/>
      <c r="P3" s="32"/>
      <c r="Q3" s="32"/>
      <c r="R3" s="32"/>
      <c r="S3" s="32"/>
      <c r="T3" s="32"/>
      <c r="U3" s="32"/>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AgResidue_Equations_PastureResidue.VEERG_6_2_1_1__2__MassOfNitrogenInPastureResidues_Title()</f>
        <v>Mass of nitrogen in pasture residues returned to the soil</v>
      </c>
    </row>
    <row r="6" spans="1:21" ht="20.100000000000001" customHeight="1" x14ac:dyDescent="0.25">
      <c r="D6" s="27" t="str" cm="1">
        <f t="array" ref="D6">AgResidue_Equations_PastureResidue.VEERG_6_2_1_1__2__MassOfNitrogenInPastureResidues_Source()</f>
        <v>VEERG 2026: 6.2.1.1, Equation (2)</v>
      </c>
    </row>
    <row r="7" spans="1:21" ht="20.100000000000001" customHeight="1" x14ac:dyDescent="0.25">
      <c r="D7" s="118" t="s">
        <v>262</v>
      </c>
      <c r="E7" s="118" t="str" cm="1">
        <f t="array" aca="1" ref="E7" ca="1">Common_InputFunctions.Utility_DisplayFunctionName(E21)</f>
        <v>=AgResidue_Equations_PastureResidue.VEERG_6_2_1_1__2__MassOfNitrogenInPastureResidues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34" t="s">
        <v>263</v>
      </c>
      <c r="E10" s="1" t="str" cm="1">
        <f t="array" ref="E10">AgResidue_Equations_PastureResidue.VEERG_6_2_1_1__2__MassOfNitrogenInPastureResidues_Variable()</f>
        <v>Mp</v>
      </c>
    </row>
    <row r="11" spans="1:21" ht="20.100000000000001" customHeight="1" x14ac:dyDescent="0.25">
      <c r="A11" s="5" t="str">
        <f>HYPERLINK("#'Input - Dairy'!A1", "Dairy")</f>
        <v>Dairy</v>
      </c>
      <c r="D11" s="34" t="s">
        <v>122</v>
      </c>
      <c r="E11" s="15" t="str" cm="1">
        <f t="array" ref="E11">AgResidue_Equations_PastureResidue.VEERG_6_2_1_1__2__MassOfNitrogenInPastureResidues_Unit()</f>
        <v>kg N</v>
      </c>
    </row>
    <row r="12" spans="1:21" ht="20.100000000000001" customHeight="1" x14ac:dyDescent="0.25">
      <c r="A12" s="5" t="str">
        <f>HYPERLINK("#'Input - Dairy (Enteric)'!A1", "Dairy (Enteric)")</f>
        <v>Dairy (Enteric)</v>
      </c>
    </row>
    <row r="13" spans="1:21" ht="20.100000000000001" customHeight="1" x14ac:dyDescent="0.25">
      <c r="A13" s="5" t="str">
        <f>HYPERLINK("#'Input - Livestock sales'!A1", "Livestock sales")</f>
        <v>Livestock sales</v>
      </c>
      <c r="D13" s="120" t="str" cm="1">
        <f t="array" ref="D13:E19">_xlfn.CHOOSECOLS(AgResidue_Equations_PastureResidue.VEERG_6_2_1_1__2__MassOfNitrogenInPastureResidues_Arguments(), 1, 2)</f>
        <v>A_p</v>
      </c>
      <c r="E13" s="125" t="str">
        <v>area of pasture renewed or removed</v>
      </c>
      <c r="F13" s="133"/>
      <c r="G13" s="126"/>
      <c r="H13" s="120" t="str" cm="1">
        <f t="array" ref="H13:I19">_xlfn.CHOOSECOLS(AgResidue_Equations_PastureResidue.VEERG_6_2_1_1__2__MassOfNitrogenInPastureResidues_Arguments(), 3,4)</f>
        <v>ha</v>
      </c>
      <c r="I13" s="121" t="str">
        <v>Input</v>
      </c>
      <c r="J13" s="120">
        <f>X_Cell_Pasture_AreaRemovedOrRenewed</f>
        <v>500</v>
      </c>
      <c r="N13" s="120" t="str" cm="1">
        <f t="array" ref="N13:O19">_xlfn.CHOOSECOLS(AgResidue_Equations_PastureResidue.VEERG_6_2_1_1__2__MassOfNitrogenInPastureResidues_Arguments_Method2(), 1, 2)</f>
        <v>A_p</v>
      </c>
      <c r="O13" s="125" t="str">
        <v>area of pasture renewed or removed</v>
      </c>
      <c r="P13" s="133"/>
      <c r="Q13" s="126"/>
      <c r="R13" s="120" t="str" cm="1">
        <f t="array" ref="R13:S19">_xlfn.CHOOSECOLS(AgResidue_Equations_PastureResidue.VEERG_6_2_1_1__2__MassOfNitrogenInPastureResidues_Arguments_Method2(), 3,4)</f>
        <v>ha</v>
      </c>
      <c r="S13" s="121" t="str">
        <v>Input</v>
      </c>
      <c r="T13" s="120"/>
    </row>
    <row r="14" spans="1:21" ht="20.100000000000001" customHeight="1" x14ac:dyDescent="0.25">
      <c r="A14" s="5" t="str">
        <f>HYPERLINK("#'Input - Dairy cattle purchases'!A1", "Dairy cattle purchases")</f>
        <v>Dairy cattle purchases</v>
      </c>
      <c r="D14" s="120" t="str">
        <v>Y_p</v>
      </c>
      <c r="E14" s="125" t="str">
        <v>average yield of pasture crop</v>
      </c>
      <c r="F14" s="133"/>
      <c r="G14" s="126"/>
      <c r="H14" s="120" t="str">
        <v>t DM/ha</v>
      </c>
      <c r="I14" s="128" t="str">
        <v>Constant</v>
      </c>
      <c r="J14" s="120" cm="1">
        <f t="array" ref="J14">Common_InputFunctions.Utility_LookupValueInTableNumber($J$19,Table_SourceData_PastureAttributes[Pasture type],Table_SourceData_PastureAttributes[Average Yield (t DM ha) Yp])</f>
        <v>8.34</v>
      </c>
      <c r="N14" s="120" t="str">
        <v>Y_p</v>
      </c>
      <c r="O14" s="125" t="str">
        <v>average yield of pasture crop</v>
      </c>
      <c r="P14" s="133"/>
      <c r="Q14" s="126"/>
      <c r="R14" s="120" t="str">
        <v>t DM/ha</v>
      </c>
      <c r="S14" s="121" t="str">
        <v>Input</v>
      </c>
      <c r="T14" s="120">
        <f>X_Cell_Pasture_YieldPerHectare</f>
        <v>8.34</v>
      </c>
    </row>
    <row r="15" spans="1:21" ht="20.100000000000001" customHeight="1" x14ac:dyDescent="0.25">
      <c r="A15" s="5" t="str">
        <f>HYPERLINK("#'Input - Pasture'!A1", "Pasture")</f>
        <v>Pasture</v>
      </c>
      <c r="D15" s="120" t="str">
        <v>NC_AGp</v>
      </c>
      <c r="E15" s="125" t="str">
        <v>N content of above-ground pasture residue</v>
      </c>
      <c r="F15" s="133"/>
      <c r="G15" s="126"/>
      <c r="H15" s="120" t="str">
        <v>kg N/kg DM</v>
      </c>
      <c r="I15" s="128" t="str">
        <v>Constant</v>
      </c>
      <c r="J15" s="120" cm="1">
        <f t="array" ref="J15">Common_InputFunctions.Utility_LookupValueInTableNumber($J$19,Table_SourceData_PastureAttributes[Pasture type],Table_SourceData_PastureAttributes[N content Above-ground NCAGp])</f>
        <v>2.5000000000000001E-2</v>
      </c>
      <c r="N15" s="120" t="str">
        <v>NC_AGp</v>
      </c>
      <c r="O15" s="125" t="str">
        <v>N content of above-ground pasture residue</v>
      </c>
      <c r="P15" s="133"/>
      <c r="Q15" s="126"/>
      <c r="R15" s="120" t="str">
        <v>kg N/kg DM</v>
      </c>
      <c r="S15" s="128" t="str">
        <v>Constant</v>
      </c>
      <c r="T15" s="120"/>
    </row>
    <row r="16" spans="1:21" ht="20.100000000000001" customHeight="1" x14ac:dyDescent="0.25">
      <c r="A16" s="5" t="str">
        <f>HYPERLINK("#'Input - Fert Prod System'!A1", "Fert Prod System")</f>
        <v>Fert Prod System</v>
      </c>
      <c r="D16" s="120" t="str">
        <v>R_BGp</v>
      </c>
      <c r="E16" s="125" t="str">
        <v>below-ground residue to above-ground residue ratio for pasture crop</v>
      </c>
      <c r="F16" s="133"/>
      <c r="G16" s="126"/>
      <c r="H16" s="120" t="str">
        <v/>
      </c>
      <c r="I16" s="128" t="str">
        <v>Constant</v>
      </c>
      <c r="J16" s="120" cm="1">
        <f t="array" ref="J16">Common_InputFunctions.Utility_LookupValueInTableNumber($J$19,Table_SourceData_PastureAttributes[Pasture type],Table_SourceData_PastureAttributes[Below-ground: above-ground residue ratio RBGp])</f>
        <v>0.8</v>
      </c>
      <c r="N16" s="120" t="str">
        <v>R_BGp</v>
      </c>
      <c r="O16" s="125" t="str">
        <v>below-ground residue to above-ground residue ratio for pasture crop</v>
      </c>
      <c r="P16" s="133"/>
      <c r="Q16" s="126"/>
      <c r="R16" s="120" t="str">
        <v/>
      </c>
      <c r="S16" s="128" t="str">
        <v>Constant</v>
      </c>
      <c r="T16" s="120"/>
    </row>
    <row r="17" spans="1:21" ht="20.100000000000001" customHeight="1" x14ac:dyDescent="0.25">
      <c r="A17" s="5" t="str">
        <f>HYPERLINK("#'Input - Fertiliser'!A1", "Fertiliser")</f>
        <v>Fertiliser</v>
      </c>
      <c r="D17" s="120" t="str">
        <v>NC_BGp</v>
      </c>
      <c r="E17" s="125" t="str">
        <v>N content of below-ground pasture crop residue</v>
      </c>
      <c r="F17" s="133"/>
      <c r="G17" s="126"/>
      <c r="H17" s="120" t="str">
        <v>kg N/kg DM</v>
      </c>
      <c r="I17" s="128" t="str">
        <v>Constant</v>
      </c>
      <c r="J17" s="120" cm="1">
        <f t="array" ref="J17">Common_InputFunctions.Utility_LookupValueInTableNumber($J$19,Table_SourceData_PastureAttributes[Pasture type],Table_SourceData_PastureAttributes[N content Below-ground NCBGp])</f>
        <v>1.6E-2</v>
      </c>
      <c r="N17" s="120" t="str">
        <v>NC_BGp</v>
      </c>
      <c r="O17" s="125" t="str">
        <v>N content of below-ground pasture crop residue</v>
      </c>
      <c r="P17" s="133"/>
      <c r="Q17" s="126"/>
      <c r="R17" s="120" t="str">
        <v>kg N/kg DM</v>
      </c>
      <c r="S17" s="128" t="str">
        <v>Constant</v>
      </c>
      <c r="T17" s="120"/>
    </row>
    <row r="18" spans="1:21" ht="20.100000000000001" customHeight="1" x14ac:dyDescent="0.25">
      <c r="A18" s="5" t="str">
        <f>HYPERLINK("#'Input - Fuel'!A1", "Fuel")</f>
        <v>Fuel</v>
      </c>
      <c r="D18" s="120" t="str">
        <v>FFOD_p</v>
      </c>
      <c r="E18" s="125" t="str">
        <v>fraction of pasture yield that is removed</v>
      </c>
      <c r="F18" s="133"/>
      <c r="G18" s="126"/>
      <c r="H18" s="120" t="str">
        <v>fraction</v>
      </c>
      <c r="I18" s="128" t="str">
        <v>Constant</v>
      </c>
      <c r="J18" s="120" cm="1">
        <f t="array" ref="J18">Common_InputFunctions.Utility_LookupValueInTableNumber($J$19,Table_SourceData_PastureAttributes[Pasture type],Table_SourceData_PastureAttributes[Fraction of pasture yield that is removed FFODp])</f>
        <v>0.8</v>
      </c>
      <c r="N18" s="120" t="str">
        <v>FFOD_p</v>
      </c>
      <c r="O18" s="125" t="str">
        <v>fraction of pasture yield that is removed</v>
      </c>
      <c r="P18" s="133"/>
      <c r="Q18" s="126"/>
      <c r="R18" s="120" t="str">
        <v>fraction</v>
      </c>
      <c r="S18" s="128" t="str">
        <v>Constant</v>
      </c>
      <c r="T18" s="120"/>
    </row>
    <row r="19" spans="1:21" ht="20.100000000000001" customHeight="1" x14ac:dyDescent="0.25">
      <c r="A19" s="5" t="str">
        <f>HYPERLINK("#'Input - Electricity'!A1", "Electricity")</f>
        <v>Electricity</v>
      </c>
      <c r="D19" s="120" t="str">
        <v>p</v>
      </c>
      <c r="E19" s="125" t="str">
        <v>Pasture type</v>
      </c>
      <c r="F19" s="133"/>
      <c r="G19" s="126"/>
      <c r="H19" s="120" t="str">
        <v/>
      </c>
      <c r="I19" s="121" t="str">
        <v>Input</v>
      </c>
      <c r="J19" s="120" t="str">
        <f>X_Cell_Pasture_PastureType</f>
        <v>Grass clover mixture</v>
      </c>
      <c r="N19" s="120" t="str">
        <v>p</v>
      </c>
      <c r="O19" s="125" t="str">
        <v>Pasture type</v>
      </c>
      <c r="P19" s="133"/>
      <c r="Q19" s="126"/>
      <c r="R19" s="120" t="str">
        <v/>
      </c>
      <c r="S19" s="121" t="str">
        <v>Input</v>
      </c>
      <c r="T19" s="120"/>
    </row>
    <row r="20" spans="1:21" ht="20.100000000000001" customHeight="1" x14ac:dyDescent="0.25">
      <c r="A20" s="5" t="str">
        <f>HYPERLINK("#'Input - Farm Inputs'!A1", "Farm Inputs")</f>
        <v>Farm Inputs</v>
      </c>
    </row>
    <row r="21" spans="1:21" ht="20.100000000000001" customHeight="1" x14ac:dyDescent="0.25">
      <c r="A21" s="5" t="str">
        <f>HYPERLINK("#'Input - Freight'!A1", "Freight")</f>
        <v>Freight</v>
      </c>
      <c r="D21" s="142" t="s">
        <v>961</v>
      </c>
      <c r="E21" s="101" cm="1">
        <f t="array" ref="E21">AgResidue_Equations_PastureResidue.VEERG_6_2_1_1__2__MassOfNitrogenInPastureResidues(J13,J14,J18,J15,J16,J17)</f>
        <v>7.4226E-2</v>
      </c>
      <c r="F21" s="140" t="str" cm="1">
        <f t="array" ref="F21">AgResidue_Equations_PastureResidue.VEERG_6_2_1_1__2__MassOfNitrogenInPastureResidues_Unit()</f>
        <v>kg N</v>
      </c>
      <c r="N21" s="142" t="s">
        <v>961</v>
      </c>
      <c r="O21" s="101" cm="1">
        <f t="array" ref="O21">AgResidue_Equations_PastureResidue.VEERG_6_2_1_1__2__MassOfNitrogenInPastureResidues(J13,T14,J18,J15,J16,J17)</f>
        <v>7.4226E-2</v>
      </c>
      <c r="P21" s="140" t="str" cm="1">
        <f t="array" ref="P21">AgResidue_Equations_PastureResidue.VEERG_6_2_1_1__2__MassOfNitrogenInPastureResidues_Unit()</f>
        <v>kg N</v>
      </c>
    </row>
    <row r="22" spans="1:21" ht="20.100000000000001" customHeight="1" x14ac:dyDescent="0.25">
      <c r="A22" s="5" t="str">
        <f>HYPERLINK("#'Input - Manure sent off-site'!A1", "Manure sent off-site")</f>
        <v>Manure sent off-site</v>
      </c>
    </row>
    <row r="23" spans="1:21" ht="20.100000000000001" customHeight="1" x14ac:dyDescent="0.25">
      <c r="A23" s="5" t="str">
        <f>HYPERLINK("#'Input - Solid waste'!A1", "Solid waste")</f>
        <v>Solid waste</v>
      </c>
    </row>
    <row r="24" spans="1:21" ht="20.100000000000001" customHeight="1" x14ac:dyDescent="0.25">
      <c r="A24" s="5" t="str">
        <f>HYPERLINK("#'Input - Data quality'!A1", "Data quality")</f>
        <v>Data quality</v>
      </c>
      <c r="C24" s="101"/>
      <c r="D24" s="101"/>
      <c r="E24" s="101"/>
      <c r="F24" s="101"/>
      <c r="G24" s="101"/>
      <c r="H24" s="101"/>
      <c r="I24" s="101"/>
      <c r="J24" s="101"/>
      <c r="K24" s="101"/>
      <c r="M24" s="101"/>
      <c r="N24" s="101"/>
      <c r="O24" s="101"/>
      <c r="P24" s="101"/>
      <c r="Q24" s="101"/>
      <c r="R24" s="101"/>
      <c r="S24" s="101"/>
      <c r="T24" s="101"/>
      <c r="U24" s="101"/>
    </row>
    <row r="25" spans="1:21" ht="20.100000000000001" customHeight="1" x14ac:dyDescent="0.25">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27" t="str" cm="1">
        <f t="array" ref="D26">AgResidue_Equations_PastureResidue.VEERG_6_2_1_1__1__NitrousOxideEmissionsFromPastureResidues_Source()</f>
        <v>VEERG 2026: 6.2.1.1, Equation (1)</v>
      </c>
      <c r="N26" s="27" t="str" cm="1">
        <f t="array" ref="N26">AgResidue_Equations_PastureResidue.VEERG_6_2_1_1__1__NitrousOxideEmissionsFromPastureResidues_Source()</f>
        <v>VEERG 2026: 6.2.1.1, Equation (1)</v>
      </c>
    </row>
    <row r="27" spans="1:21" ht="20.100000000000001" customHeight="1" x14ac:dyDescent="0.25">
      <c r="A27" s="6" t="s">
        <v>2</v>
      </c>
      <c r="D27" s="118" t="s">
        <v>262</v>
      </c>
      <c r="E27" s="118" t="str">
        <f ca="1">Common_InputFunctions.Utility_DisplayFunctionName(VEERG_6_2_1_1__1__NitrousOxideEmissionsFromPastureResidues_Result_Method1)</f>
        <v>=AgResidue_Equations_PastureResidue.VEERG_6_2_1_1__1__NitrousOxideEmissionsFromPastureResidues</v>
      </c>
      <c r="N27" s="118" t="s">
        <v>262</v>
      </c>
      <c r="O27" s="118" t="str">
        <f ca="1">Common_InputFunctions.Utility_DisplayFunctionName(VEERG_6_2_1_1__1__NitrousOxideEmissionsFromPastureResidues_Result_Method2)</f>
        <v>=AgResidue_Equations_PastureResidue.VEERG_6_2_1_1__1__NitrousOxideEmissionsFromPastureResidues</v>
      </c>
    </row>
    <row r="28" spans="1:21" ht="20.100000000000001" customHeight="1" x14ac:dyDescent="0.25">
      <c r="A28" s="5" t="str">
        <f>HYPERLINK("#'5.1.1.1-2 Inorganic fert N2O'!A1", "5.1.1.1-2 Inorganic fert N2O")</f>
        <v>5.1.1.1-2 Inorganic fert N2O</v>
      </c>
    </row>
    <row r="29" spans="1:21" ht="20.100000000000001" customHeight="1" x14ac:dyDescent="0.25">
      <c r="A29" s="5" t="str">
        <f>HYPERLINK("#'5.1.1.3-4 Inorganic fert CO2'!A1", "5.1.1.3-4 Inorganic fert CO2")</f>
        <v>5.1.1.3-4 Inorganic fert CO2</v>
      </c>
    </row>
    <row r="30" spans="1:21" ht="20.100000000000001" customHeight="1" x14ac:dyDescent="0.25">
      <c r="A30" s="5" t="str">
        <f>HYPERLINK("#'5.2.1.1-2 Organic Fert N2O'!A1", "5.2.1.1-2 Organic fert N2O")</f>
        <v>5.2.1.1-2 Organic fert N2O</v>
      </c>
      <c r="D30" s="34" t="s">
        <v>263</v>
      </c>
      <c r="E30" s="1" t="str" cm="1">
        <f t="array" ref="E30">AgResidue_Equations_PastureResidue.VEERG_6_2_1_1__1__NitrousOxideEmissionsFromPastureResidues_Variable()</f>
        <v>EN2O</v>
      </c>
      <c r="N30" s="34" t="s">
        <v>263</v>
      </c>
      <c r="O30" s="1" t="str" cm="1">
        <f t="array" ref="O30">AgResidue_Equations_PastureResidue.VEERG_6_2_1_1__1__NitrousOxideEmissionsFromPastureResidues_Variable()</f>
        <v>EN2O</v>
      </c>
    </row>
    <row r="31" spans="1:21" ht="20.100000000000001" customHeight="1" x14ac:dyDescent="0.25">
      <c r="A31" s="5" t="str">
        <f>HYPERLINK("#'5.3.1.1-2 Lime CO2'!A1", "5.3.1.1-2 Lime CO2")</f>
        <v>5.3.1.1-2 Lime CO2</v>
      </c>
      <c r="D31" s="34" t="s">
        <v>122</v>
      </c>
      <c r="E31" s="15" t="str" cm="1">
        <f t="array" ref="E31">AgResidue_Equations_PastureResidue.VEERG_6_2_1_1__1__NitrousOxideEmissionsFromPastureResidues_Unit()</f>
        <v>t N2O</v>
      </c>
      <c r="N31" s="34" t="s">
        <v>122</v>
      </c>
      <c r="O31" s="15" t="str" cm="1">
        <f t="array" ref="O31">AgResidue_Equations_PastureResidue.VEERG_6_2_1_1__1__NitrousOxideEmissionsFromPastureResidues_Unit()</f>
        <v>t N2O</v>
      </c>
    </row>
    <row r="32" spans="1:21" ht="20.100000000000001" customHeight="1" x14ac:dyDescent="0.25">
      <c r="A32" s="5" t="str">
        <f>HYPERLINK("#'5.4.1.1-4 Atmos deposition'!A1", "5.4.1.1-4 Atmos. deposition")</f>
        <v>5.4.1.1-4 Atmos. deposition</v>
      </c>
    </row>
    <row r="33" spans="1:20" ht="20.100000000000001" customHeight="1" x14ac:dyDescent="0.25">
      <c r="A33" s="5" t="str">
        <f>HYPERLINK("#'5.5.1.1-2 Leaching and runoff'!A1", "5.5.1.1-2 Leaching &amp; runoff")</f>
        <v>5.5.1.1-2 Leaching &amp; runoff</v>
      </c>
      <c r="D33" s="120" t="str" cm="1">
        <f t="array" ref="D33:E37">_xlfn.CHOOSECOLS(AgResidue_Equations_PastureResidue.VEERG_6_2_1_1__1__NitrousOxideEmissionsFromPastureResidues_Arguments(), 1, 2)</f>
        <v>M_p</v>
      </c>
      <c r="E33" s="125" t="str">
        <v>mass of nitrogen in pasture p residues returned to the soil</v>
      </c>
      <c r="F33" s="133"/>
      <c r="G33" s="126"/>
      <c r="H33" s="120" t="str" cm="1">
        <f t="array" ref="H33:I37">_xlfn.CHOOSECOLS(AgResidue_Equations_PastureResidue.VEERG_6_2_1_1__1__NitrousOxideEmissionsFromPastureResidues_Arguments(), 3,4)</f>
        <v>kg N</v>
      </c>
      <c r="I33" s="128" t="str">
        <v>Calculated from 6.2.1.1 (2)</v>
      </c>
      <c r="J33" s="120">
        <f>$E$21</f>
        <v>7.4226E-2</v>
      </c>
      <c r="N33" s="120" t="str" cm="1">
        <f t="array" ref="N33:O37">_xlfn.CHOOSECOLS(AgResidue_Equations_PastureResidue.VEERG_6_2_1_1__1__NitrousOxideEmissionsFromPastureResidues_Arguments(), 1, 2)</f>
        <v>M_p</v>
      </c>
      <c r="O33" s="125" t="str">
        <v>mass of nitrogen in pasture p residues returned to the soil</v>
      </c>
      <c r="P33" s="133"/>
      <c r="Q33" s="126"/>
      <c r="R33" s="120" t="str" cm="1">
        <f t="array" ref="R33:S37">_xlfn.CHOOSECOLS(AgResidue_Equations_PastureResidue.VEERG_6_2_1_1__1__NitrousOxideEmissionsFromPastureResidues_Arguments(), 3,4)</f>
        <v>kg N</v>
      </c>
      <c r="S33" s="128" t="str">
        <v>Calculated from 6.2.1.1 (2)</v>
      </c>
      <c r="T33" s="120">
        <f>$O$21</f>
        <v>7.4226E-2</v>
      </c>
    </row>
    <row r="34" spans="1:20" ht="20.100000000000001" customHeight="1" x14ac:dyDescent="0.25">
      <c r="A34" s="119" t="str">
        <f>HYPERLINK("#'6.2.1.1-2 Pasture residue N2O'!A1", "6.2.1.1-2 Pasture residue N2O")</f>
        <v>6.2.1.1-2 Pasture residue N2O</v>
      </c>
      <c r="D34" s="120" t="str">
        <v>EF_Ni</v>
      </c>
      <c r="E34" s="125" t="str">
        <v>emission factor for crop residues returned to the soil in climate zone i</v>
      </c>
      <c r="F34" s="133"/>
      <c r="G34" s="126"/>
      <c r="H34" s="120" t="str">
        <v>kg N2O-N/kg N</v>
      </c>
      <c r="I34" s="128" t="str">
        <v>Constant</v>
      </c>
      <c r="J34" s="120" cm="1">
        <f t="array" ref="J34">Common_InputFunctions.Utility_LookupValueInTableNumber(J37,Table_SourceData_N2OEFOrganicFert[Climate zone type i],Table_SourceData_N2OEFOrganicFert[EF i N2O])</f>
        <v>5.0000000000000001E-3</v>
      </c>
      <c r="N34" s="120" t="str">
        <v>EF_Ni</v>
      </c>
      <c r="O34" s="125" t="str">
        <v>emission factor for crop residues returned to the soil in climate zone i</v>
      </c>
      <c r="P34" s="133"/>
      <c r="Q34" s="126"/>
      <c r="R34" s="120" t="str">
        <v>kg N2O-N/kg N</v>
      </c>
      <c r="S34" s="128" t="str">
        <v>Constant</v>
      </c>
      <c r="T34" s="120"/>
    </row>
    <row r="35" spans="1:20" ht="20.100000000000001" customHeight="1" x14ac:dyDescent="0.25">
      <c r="A35" s="5" t="str">
        <f>HYPERLINK("#'6.3.1.1-2 Leach runoff pasture'!A1", "6.3.1.1-2 Leach &amp; runoff (pasture)")</f>
        <v>6.3.1.1-2 Leach &amp; runoff (pasture)</v>
      </c>
      <c r="D35" s="120" t="str">
        <v>C_N2O</v>
      </c>
      <c r="E35" s="125" t="str">
        <v>factor to convert elemental mass of nitrous oxide to molecular mass</v>
      </c>
      <c r="F35" s="133"/>
      <c r="G35" s="126"/>
      <c r="H35" s="120" t="str">
        <v>dimensionless</v>
      </c>
      <c r="I35" s="128" t="str">
        <v>Constant</v>
      </c>
      <c r="J35" s="120">
        <f>Common_InputFunctions.Utility_LookupValueInTableNumber("N2O",Table_GasToMolecularConversionFactor[Gas],Table_GasToMolecularConversionFactor[Conversion factor combined])</f>
        <v>1.5714285714285714</v>
      </c>
      <c r="N35" s="120" t="str">
        <v>C_N2O</v>
      </c>
      <c r="O35" s="125" t="str">
        <v>factor to convert elemental mass of nitrous oxide to molecular mass</v>
      </c>
      <c r="P35" s="133"/>
      <c r="Q35" s="126"/>
      <c r="R35" s="120" t="str">
        <v>dimensionless</v>
      </c>
      <c r="S35" s="128" t="str">
        <v>Constant</v>
      </c>
      <c r="T35" s="120"/>
    </row>
    <row r="36" spans="1:20" ht="20.100000000000001" customHeight="1" x14ac:dyDescent="0.25">
      <c r="A36" s="5" t="str">
        <f>HYPERLINK("#'8.1.1.1-2 Transport fuel'!A1", "8.1.1.1-2 Transport fuel")</f>
        <v>8.1.1.1-2 Transport fuel</v>
      </c>
      <c r="D36" s="120" t="str">
        <v>p</v>
      </c>
      <c r="E36" s="125" t="str">
        <v>Pasture type</v>
      </c>
      <c r="F36" s="133"/>
      <c r="G36" s="126"/>
      <c r="H36" s="120" t="str">
        <v/>
      </c>
      <c r="I36" s="121" t="str">
        <v>Input</v>
      </c>
      <c r="J36" s="120" t="str">
        <f>X_Cell_Pasture_PastureType</f>
        <v>Grass clover mixture</v>
      </c>
      <c r="N36" s="120" t="str">
        <v>p</v>
      </c>
      <c r="O36" s="125" t="str">
        <v>Pasture type</v>
      </c>
      <c r="P36" s="133"/>
      <c r="Q36" s="126"/>
      <c r="R36" s="120" t="str">
        <v/>
      </c>
      <c r="S36" s="121" t="str">
        <v>Input</v>
      </c>
      <c r="T36" s="120"/>
    </row>
    <row r="37" spans="1:20" ht="20.100000000000001" customHeight="1" x14ac:dyDescent="0.25">
      <c r="A37" s="5" t="str">
        <f>HYPERLINK("#'8.2.1.1-2 Stationary fuel'!A1", "8.2.1.1-2 Stationary fuel")</f>
        <v>8.2.1.1-2 Stationary fuel</v>
      </c>
      <c r="D37" s="120" t="str">
        <v>i</v>
      </c>
      <c r="E37" s="125" t="str">
        <v>Wet or dry climate zone</v>
      </c>
      <c r="F37" s="133"/>
      <c r="G37" s="126"/>
      <c r="H37" s="120" t="str">
        <v/>
      </c>
      <c r="I37" s="121" t="str">
        <v>Input</v>
      </c>
      <c r="J37" s="120" t="str">
        <f>X_Cell_Site_WetOrDryClimateZone</f>
        <v>Dry climate zone</v>
      </c>
      <c r="N37" s="120" t="str">
        <v>i</v>
      </c>
      <c r="O37" s="125" t="str">
        <v>Wet or dry climate zone</v>
      </c>
      <c r="P37" s="133"/>
      <c r="Q37" s="126"/>
      <c r="R37" s="120" t="str">
        <v/>
      </c>
      <c r="S37" s="121" t="str">
        <v>Input</v>
      </c>
      <c r="T37" s="120"/>
    </row>
    <row r="38" spans="1:20" ht="20.100000000000001" customHeight="1" x14ac:dyDescent="0.25">
      <c r="A38" s="5" t="str">
        <f>HYPERLINK("#'14.1.1-2 Purchased electricity'!A1", "14.1.1-2 Purchased electricity")</f>
        <v>14.1.1-2 Purchased electricity</v>
      </c>
    </row>
    <row r="39" spans="1:20" ht="20.100000000000001" customHeight="1" x14ac:dyDescent="0.25">
      <c r="A39" s="5" t="str">
        <f>HYPERLINK("#'15 Scope 3'!A1", "15 Scope 3")</f>
        <v>15 Scope 3</v>
      </c>
    </row>
    <row r="40" spans="1:20" ht="20.100000000000001" customHeight="1" x14ac:dyDescent="0.25">
      <c r="A40" s="5" t="str">
        <f>HYPERLINK("#'Calcs - Manure sent off-site'!A1", "Calcs - Manure sent off-site")</f>
        <v>Calcs - Manure sent off-site</v>
      </c>
      <c r="D40" s="135" t="s">
        <v>645</v>
      </c>
      <c r="E40" s="136" cm="1">
        <f t="array" ref="E40">AgResidue_Equations_PastureResidue.VEERG_6_2_1_1__1__NitrousOxideEmissionsFromPastureResidues(J33,J34,J35)</f>
        <v>5.8320428571428569E-7</v>
      </c>
      <c r="F40" s="137" t="str" cm="1">
        <f t="array" ref="F40">AgResidue_Equations_PastureResidue.VEERG_6_2_1_1__1__NitrousOxideEmissionsFromPastureResidues_Unit()</f>
        <v>t N2O</v>
      </c>
      <c r="N40" s="135" t="s">
        <v>645</v>
      </c>
      <c r="O40" s="136" cm="1">
        <f t="array" ref="O40">AgResidue_Equations_PastureResidue.VEERG_6_2_1_1__1__NitrousOxideEmissionsFromPastureResidues(T33,J34,J35)</f>
        <v>5.8320428571428569E-7</v>
      </c>
      <c r="P40" s="137" t="str" cm="1">
        <f t="array" ref="P40">AgResidue_Equations_PastureResidue.VEERG_6_2_1_1__1__NitrousOxideEmissionsFromPastureResidues_Unit()</f>
        <v>t N2O</v>
      </c>
    </row>
    <row r="41" spans="1:20" ht="20.100000000000001" customHeight="1" x14ac:dyDescent="0.25">
      <c r="A41" s="5" t="str">
        <f>HYPERLINK("#'4.3.1.1-2 Methane'!A1", "4.3.1.1-2 Methane")</f>
        <v>4.3.1.1-2 Methane</v>
      </c>
    </row>
    <row r="42" spans="1:20" ht="20.100000000000001" customHeight="1" x14ac:dyDescent="0.25">
      <c r="A42" s="5" t="str">
        <f>HYPERLINK("#'4.3.1.3-4 Direct N20'!A1", "4.3.1.3-4 Direct N20")</f>
        <v>4.3.1.3-4 Direct N20</v>
      </c>
      <c r="D42" s="132" t="str" cm="1">
        <f t="array" ref="D42:E43">Common_Equations.Common_ConvertN2OToCO2e_Arguments()</f>
        <v>EN2O</v>
      </c>
      <c r="E42" s="138" t="str">
        <v>Nitrous oxide emissions (t N2O)</v>
      </c>
      <c r="F42" s="143"/>
      <c r="G42" s="132">
        <f>VEERG_6_2_1_1__1__NitrousOxideEmissionsFromPastureResidues_Result_Method1</f>
        <v>5.8320428571428569E-7</v>
      </c>
      <c r="N42" s="132" t="str" cm="1">
        <f t="array" ref="N42:O43">Common_Equations.Common_ConvertN2OToCO2e_Arguments()</f>
        <v>EN2O</v>
      </c>
      <c r="O42" s="138" t="str">
        <v>Nitrous oxide emissions (t N2O)</v>
      </c>
      <c r="P42" s="143"/>
      <c r="Q42" s="132">
        <f>VEERG_6_2_1_1__1__NitrousOxideEmissionsFromPastureResidues_Result_Method2</f>
        <v>5.8320428571428569E-7</v>
      </c>
    </row>
    <row r="43" spans="1:20" ht="20.100000000000001" customHeight="1" x14ac:dyDescent="0.25">
      <c r="A43" s="5" t="str">
        <f>HYPERLINK("#'4.3.1.5 Atmos deposition'!A1", "4.3.1.5 Atmos deposition")</f>
        <v>4.3.1.5 Atmos deposition</v>
      </c>
      <c r="D43" s="132" t="str">
        <v>GWPN2O</v>
      </c>
      <c r="E43" s="138" t="str">
        <v>Global warming potential for nitrous oxide (t CO2-e / t N2O)</v>
      </c>
      <c r="F43" s="143"/>
      <c r="G43" s="25">
        <f>Common_InputFunctions.Utility_LookupValueInTableNumber("N2O",Table_GWPData[Gas],Table_GWPData[CO2-e factor])</f>
        <v>265</v>
      </c>
      <c r="N43" s="132" t="str">
        <v>GWPN2O</v>
      </c>
      <c r="O43" s="138" t="str">
        <v>Global warming potential for nitrous oxide (t CO2-e / t N2O)</v>
      </c>
      <c r="P43" s="143"/>
      <c r="Q43" s="25">
        <f>Common_InputFunctions.Utility_LookupValueInTableNumber("N2O",Table_GWPData[Gas],Table_GWPData[CO2-e factor])</f>
        <v>265</v>
      </c>
    </row>
    <row r="44" spans="1:20" ht="20.100000000000001" customHeight="1" x14ac:dyDescent="0.25">
      <c r="A44" s="5" t="str">
        <f>HYPERLINK("#'4.3.1.6-7 Leaching and runoff'!A1", "4.3.1.6-7 Leaching and runoff")</f>
        <v>4.3.1.6-7 Leaching and runoff</v>
      </c>
    </row>
    <row r="45" spans="1:20" ht="20.100000000000001" customHeight="1" x14ac:dyDescent="0.25">
      <c r="A45" s="5" t="str">
        <f>HYPERLINK("#'4.3.1.8 Manure applied to soils'!A1", "4.3.1.8 Manure applied to soils")</f>
        <v>4.3.1.8 Manure applied to soils</v>
      </c>
      <c r="D45" s="1" t="s">
        <v>962</v>
      </c>
      <c r="E45" s="1" cm="1">
        <f t="array" ref="E45">Common_Equations.Common_ConvertN2OToCO2e(G42,G43)</f>
        <v>1.545491357142857E-4</v>
      </c>
      <c r="F45" s="15" t="str" cm="1">
        <f t="array" ref="F45">Common_Equations.Common_ConvertN2OToCO2e_Unit()</f>
        <v>t CO2e</v>
      </c>
      <c r="N45" s="1" t="s">
        <v>962</v>
      </c>
      <c r="O45" s="1" cm="1">
        <f t="array" ref="O45">Common_Equations.Common_ConvertN2OToCO2e(Q42,Q43)</f>
        <v>1.545491357142857E-4</v>
      </c>
      <c r="P45" s="15" t="str" cm="1">
        <f t="array" ref="P45">Common_Equations.Common_ConvertN2OToCO2e_Unit()</f>
        <v>t CO2e</v>
      </c>
    </row>
    <row r="46" spans="1:20" ht="20.100000000000001" customHeight="1" x14ac:dyDescent="0.25">
      <c r="A46" s="5" t="str">
        <f>HYPERLINK("#'4.3.1.9 Soil direct N2O'!A1", "4.3.1.9 Soil direct N2O")</f>
        <v>4.3.1.9 Soil direct N2O</v>
      </c>
    </row>
    <row r="47" spans="1:20" ht="20.100000000000001" customHeight="1" x14ac:dyDescent="0.25">
      <c r="A47" s="5" t="str">
        <f>HYPERLINK("#'4.3.1.10-11 Soil Atmos Dep'!A1", "4.3.1.10-11 Soil Atmos Dep")</f>
        <v>4.3.1.10-11 Soil Atmos Dep</v>
      </c>
    </row>
    <row r="48" spans="1:20" ht="20.100000000000001" customHeight="1" x14ac:dyDescent="0.25">
      <c r="A48" s="5" t="str">
        <f>HYPERLINK("#'4.3.1.12-13 Soil leach runoff'!A1", "4.3.1.12-13 Soil leach runoff")</f>
        <v>4.3.1.12-13 Soil leach runoff</v>
      </c>
    </row>
    <row r="49" spans="1:1" ht="20.100000000000001" customHeight="1" x14ac:dyDescent="0.25">
      <c r="A49" s="5" t="str">
        <f>HYPERLINK("#'3.3.1.1-2 Enteric Methane'!A1", "3.3.1.1-2 Enteric Methane")</f>
        <v>3.3.1.1-2 Enteric Methane</v>
      </c>
    </row>
    <row r="50" spans="1:1" ht="20.100000000000001" customHeight="1" x14ac:dyDescent="0.25">
      <c r="A50" s="5" t="str">
        <f>HYPERLINK("#'10.1.1-2 Solid waste treatment'!A1", "10.1.1-2 Solid waste treatment")</f>
        <v>10.1.1-2 Solid waste treatment</v>
      </c>
    </row>
    <row r="51" spans="1:1" ht="20.100000000000001" customHeight="1" x14ac:dyDescent="0.25"/>
    <row r="52" spans="1:1" ht="20.100000000000001" customHeight="1" x14ac:dyDescent="0.25"/>
    <row r="53" spans="1:1" ht="20.100000000000001" customHeight="1" x14ac:dyDescent="0.25">
      <c r="A53" s="100" t="s">
        <v>1</v>
      </c>
    </row>
    <row r="54" spans="1:1" ht="20.100000000000001" customHeight="1" x14ac:dyDescent="0.25">
      <c r="A54" s="5" t="str">
        <f>HYPERLINK("#'Constants - Dairy'!A1", "Constants - Dairy")</f>
        <v>Constants - Dairy</v>
      </c>
    </row>
    <row r="55" spans="1:1" ht="20.100000000000001" customHeight="1" x14ac:dyDescent="0.25">
      <c r="A55" s="5" t="str">
        <f>HYPERLINK("#'Constants - Ag Residue'!A1", "Constants - Ag residue")</f>
        <v>Constants - Ag residue</v>
      </c>
    </row>
    <row r="56" spans="1:1" ht="20.100000000000001" customHeight="1" x14ac:dyDescent="0.25">
      <c r="A56" s="5" t="str">
        <f>HYPERLINK("#'Constants - Common Livestock'!A1", "Constants - Common Livestock")</f>
        <v>Constants - Common Livestock</v>
      </c>
    </row>
    <row r="57" spans="1:1" ht="20.100000000000001" customHeight="1" x14ac:dyDescent="0.25">
      <c r="A57" s="5" t="str">
        <f>HYPERLINK("#'Constants - Electricity'!A1", "Constants - Electricity")</f>
        <v>Constants - Electricity</v>
      </c>
    </row>
    <row r="58" spans="1:1" ht="20.100000000000001" customHeight="1" x14ac:dyDescent="0.25">
      <c r="A58" s="5" t="str">
        <f>HYPERLINK("#'Constants - Fertiliser'!A1", "Constants - Fertiliser")</f>
        <v>Constants - Fertiliser</v>
      </c>
    </row>
    <row r="59" spans="1:1" ht="20.100000000000001" customHeight="1" x14ac:dyDescent="0.25">
      <c r="A59" s="5" t="str">
        <f>HYPERLINK("#'Constants - Fuel'!A1", "Constants - Fuel")</f>
        <v>Constants - Fuel</v>
      </c>
    </row>
    <row r="60" spans="1:1" ht="20.100000000000001" customHeight="1" x14ac:dyDescent="0.25">
      <c r="A60" s="5" t="str">
        <f>HYPERLINK("#'Constants - Scope 3'!A1", "Constants - Scope 3")</f>
        <v>Constants - Scope 3</v>
      </c>
    </row>
    <row r="61" spans="1:1" ht="20.100000000000001" customHeight="1" x14ac:dyDescent="0.25">
      <c r="A61" s="5" t="str">
        <f>HYPERLINK("#'Constants - Common'!A1", "Constants - Common")</f>
        <v>Constants - Common</v>
      </c>
    </row>
    <row r="62" spans="1:1" ht="20.100000000000001" customHeight="1" x14ac:dyDescent="0.25">
      <c r="A62" s="5" t="str">
        <f>HYPERLINK("#'Acknowledgements'!A1", "Acknowledgements")</f>
        <v>Acknowledgements</v>
      </c>
    </row>
    <row r="63" spans="1:1" ht="20.100000000000001" customHeight="1" x14ac:dyDescent="0.25">
      <c r="A63" s="5" t="str">
        <f>HYPERLINK("#'Constants - Solid Waste'!A1", "Constants - Solid Waste")</f>
        <v>Constants - Solid Waste</v>
      </c>
    </row>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26DDC-F528-4391-BAE5-03ECF7633C37}">
  <dimension ref="A1:T165"/>
  <sheetViews>
    <sheetView showGridLines="0"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0" customFormat="1" ht="30" customHeight="1" x14ac:dyDescent="0.35">
      <c r="A1" s="16" t="e" vm="1">
        <v>#VALUE!</v>
      </c>
      <c r="C1" s="30" t="s">
        <v>963</v>
      </c>
    </row>
    <row r="2" spans="1:20" s="3" customFormat="1" ht="20.100000000000001" customHeight="1" x14ac:dyDescent="0.25">
      <c r="A2"/>
    </row>
    <row r="3" spans="1:20" ht="20.100000000000001" customHeight="1" x14ac:dyDescent="0.25">
      <c r="A3" s="5" t="str">
        <f>HYPERLINK("#'Home'!A1", "Home")</f>
        <v>Home</v>
      </c>
      <c r="C3" s="32"/>
      <c r="D3" s="32" t="s">
        <v>136</v>
      </c>
      <c r="E3" s="32"/>
      <c r="F3" s="32"/>
      <c r="G3" s="32"/>
      <c r="H3" s="32"/>
      <c r="I3" s="32"/>
      <c r="J3" s="32"/>
      <c r="K3" s="32"/>
      <c r="M3" s="32"/>
      <c r="N3" s="32" t="s">
        <v>137</v>
      </c>
      <c r="O3" s="32"/>
      <c r="P3" s="32"/>
      <c r="Q3" s="32"/>
      <c r="R3" s="32"/>
      <c r="S3" s="32"/>
      <c r="T3" s="32"/>
    </row>
    <row r="4" spans="1:20" ht="20.100000000000001" customHeight="1" x14ac:dyDescent="0.25">
      <c r="A4" s="5" t="str">
        <f>HYPERLINK("#'Overview'!A1", "Overview")</f>
        <v>Overview</v>
      </c>
    </row>
    <row r="5" spans="1:20" ht="20.100000000000001" customHeight="1" x14ac:dyDescent="0.25">
      <c r="A5" s="5" t="str">
        <f>HYPERLINK("#'Results'!A1", "Results")</f>
        <v>Results</v>
      </c>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C6" s="8"/>
      <c r="D6" s="2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C7" s="8"/>
      <c r="D7" s="118" t="s">
        <v>262</v>
      </c>
      <c r="E7" s="118" t="str" cm="1">
        <f t="array" aca="1" ref="E7" ca="1">Common_InputFunctions.Utility_DisplayFunctionName(I25)</f>
        <v>=AgResidue_Equations_Leaching.VEERG_6_3_1_1__2__MassOfNitrogenLostThroughLeachingAndRunoff</v>
      </c>
      <c r="F7" s="118"/>
      <c r="G7" s="8"/>
      <c r="H7" s="8"/>
      <c r="I7" s="8"/>
      <c r="J7" s="8"/>
      <c r="K7" s="8"/>
    </row>
    <row r="8" spans="1:20" ht="20.100000000000001" customHeight="1" x14ac:dyDescent="0.25">
      <c r="A8" s="7" t="s">
        <v>0</v>
      </c>
      <c r="C8" s="8"/>
      <c r="F8" s="8"/>
      <c r="G8" s="8"/>
      <c r="H8" s="8"/>
      <c r="I8" s="8"/>
      <c r="J8" s="8"/>
      <c r="K8" s="8"/>
    </row>
    <row r="9" spans="1:20" ht="20.100000000000001" customHeight="1" x14ac:dyDescent="0.25">
      <c r="A9" s="5" t="str">
        <f>HYPERLINK("#'Input - Enterprise'!A1", "Enterprise")</f>
        <v>Enterprise</v>
      </c>
      <c r="C9" s="8"/>
      <c r="D9" s="8"/>
      <c r="E9" s="8"/>
      <c r="F9" s="8"/>
      <c r="G9" s="8"/>
      <c r="H9" s="8"/>
      <c r="I9" s="8"/>
      <c r="J9" s="8"/>
      <c r="K9" s="8"/>
    </row>
    <row r="10" spans="1:20" ht="20.100000000000001" customHeight="1" x14ac:dyDescent="0.25">
      <c r="A10" s="5" t="str">
        <f>HYPERLINK("#'Input - Site'!A1", "Site")</f>
        <v>Site</v>
      </c>
      <c r="C10" s="8"/>
      <c r="D10" s="12" t="s">
        <v>263</v>
      </c>
      <c r="E10" s="8" t="str" cm="1">
        <f t="array" ref="E10">AgResidue_Equations_Leaching.VEERG_6_3_1_1__2__MassOfNitrogenLostThroughLeachingAndRunoff_Variable()</f>
        <v>M_leachcp</v>
      </c>
      <c r="F10" s="8"/>
      <c r="G10" s="27"/>
      <c r="H10" s="8"/>
      <c r="I10" s="8"/>
      <c r="J10" s="8"/>
      <c r="K10" s="8"/>
    </row>
    <row r="11" spans="1:20" ht="20.100000000000001" customHeight="1" x14ac:dyDescent="0.25">
      <c r="A11" s="5" t="str">
        <f>HYPERLINK("#'Input - Dairy'!A1", "Dairy")</f>
        <v>Dairy</v>
      </c>
      <c r="C11" s="8"/>
      <c r="D11" s="12" t="s">
        <v>122</v>
      </c>
      <c r="E11" s="15"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Dairy (Enteric)'!A1", "Dairy (Enteric)")</f>
        <v>Dairy (Enteric)</v>
      </c>
      <c r="C12" s="8"/>
      <c r="D12" s="8"/>
      <c r="E12" s="8"/>
      <c r="F12" s="8"/>
      <c r="G12" s="8"/>
      <c r="H12" s="8"/>
      <c r="I12" s="8"/>
      <c r="J12" s="8"/>
      <c r="K12" s="8"/>
    </row>
    <row r="13" spans="1:20" ht="20.100000000000001" customHeight="1" x14ac:dyDescent="0.25">
      <c r="A13" s="5" t="str">
        <f>HYPERLINK("#'Input - Livestock sales'!A1", "Livestock sales")</f>
        <v>Livestock sales</v>
      </c>
      <c r="C13" s="8"/>
      <c r="D13" s="120" t="str" cm="1">
        <f t="array" ref="D13:E19">_xlfn.CHOOSECOLS(AgResidue_Equations_Leaching.VEERG_6_3_1_1__2__MassOfNitrogenLostThroughLeachingAndRunoff_Arguments(), 1,2)</f>
        <v>M_cp</v>
      </c>
      <c r="E13" s="125" t="str">
        <v>mass of nitrogen in crop residues c or pasture residues p applied to soils</v>
      </c>
      <c r="F13" s="133"/>
      <c r="G13" s="126"/>
      <c r="H13" s="120" t="str" cm="1">
        <f t="array" ref="H13:I19">_xlfn.CHOOSECOLS(AgResidue_Equations_Leaching.VEERG_6_3_1_1__2__MassOfNitrogenLostThroughLeachingAndRunoff_Arguments(), 3,4)</f>
        <v>kg N</v>
      </c>
      <c r="I13" s="128" t="str">
        <v>Calc from 6.1.1.1 (2) and 6.2.1.1 (2)</v>
      </c>
      <c r="J13" s="127" t="str" cm="1">
        <f t="array" aca="1" ref="J13" ca="1">HYPERLINK(Common_InputFunctions.Utility_SourceHyperlink($D$21), $D$21)</f>
        <v>M1_Table_M_leach_cp</v>
      </c>
      <c r="K13" s="8"/>
    </row>
    <row r="14" spans="1:20" ht="20.100000000000001" customHeight="1" x14ac:dyDescent="0.25">
      <c r="A14" s="5" t="str">
        <f>HYPERLINK("#'Input - Dairy cattle purchases'!A1", "Dairy cattle purchases")</f>
        <v>Dairy cattle purchases</v>
      </c>
      <c r="C14" s="8"/>
      <c r="D14" s="120" t="str">
        <v>FracWET_j</v>
      </c>
      <c r="E14" s="125" t="str">
        <v>fraction of N that is available for leaching and runoff from the leaching zone z and irrigation type ir</v>
      </c>
      <c r="F14" s="133"/>
      <c r="G14" s="126"/>
      <c r="H14" s="120" t="str">
        <v>fraction</v>
      </c>
      <c r="I14" s="128" t="str">
        <v>Constant</v>
      </c>
      <c r="J14" s="127" t="str" cm="1">
        <f t="array" aca="1" ref="J14" ca="1">HYPERLINK(Common_InputFunctions.Utility_SourceHyperlink($D$21), $D$21)</f>
        <v>M1_Table_M_leach_cp</v>
      </c>
      <c r="K14" s="8"/>
    </row>
    <row r="15" spans="1:20" ht="20.100000000000001" customHeight="1" x14ac:dyDescent="0.25">
      <c r="A15" s="5" t="str">
        <f>HYPERLINK("#'Input - Pasture'!A1", "Pasture")</f>
        <v>Pasture</v>
      </c>
      <c r="C15" s="8"/>
      <c r="D15" s="120" t="str">
        <v>FracLEACH</v>
      </c>
      <c r="E15" s="125" t="str">
        <v>fraction of N that is lost through leaching and runoff</v>
      </c>
      <c r="F15" s="133"/>
      <c r="G15" s="126"/>
      <c r="H15" s="120" t="str">
        <v>fraction</v>
      </c>
      <c r="I15" s="128" t="str">
        <v>Constant</v>
      </c>
      <c r="J15" s="120">
        <f>'Constants - Common'!$E$164</f>
        <v>0.24</v>
      </c>
      <c r="K15" s="8"/>
    </row>
    <row r="16" spans="1:20" ht="20.100000000000001" customHeight="1" x14ac:dyDescent="0.25">
      <c r="A16" s="5" t="str">
        <f>HYPERLINK("#'Input - Fert Prod System'!A1", "Fert Prod System")</f>
        <v>Fert Prod System</v>
      </c>
      <c r="C16" s="8"/>
      <c r="D16" s="120" t="str">
        <v>z</v>
      </c>
      <c r="E16" s="125" t="str">
        <v>Location in leaching zone</v>
      </c>
      <c r="F16" s="133"/>
      <c r="G16" s="126"/>
      <c r="H16" s="120" t="str">
        <v/>
      </c>
      <c r="I16" s="121" t="str">
        <v>Input</v>
      </c>
      <c r="J16" s="127" t="str" cm="1">
        <f t="array" aca="1" ref="J16" ca="1">HYPERLINK(Common_InputFunctions.Utility_SourceHyperlink($D$21), $D$21)</f>
        <v>M1_Table_M_leach_cp</v>
      </c>
      <c r="K16" s="8"/>
    </row>
    <row r="17" spans="1:20" ht="20.100000000000001" customHeight="1" x14ac:dyDescent="0.25">
      <c r="A17" s="5" t="str">
        <f>HYPERLINK("#'Input - Fertiliser'!A1", "Fertiliser")</f>
        <v>Fertiliser</v>
      </c>
      <c r="C17" s="8"/>
      <c r="D17" s="120" t="str">
        <v>c</v>
      </c>
      <c r="E17" s="125" t="str">
        <v>Crop residue type</v>
      </c>
      <c r="F17" s="133"/>
      <c r="G17" s="126"/>
      <c r="H17" s="120" t="str">
        <v/>
      </c>
      <c r="I17" s="121" t="str">
        <v>Input</v>
      </c>
      <c r="J17" s="120" t="s">
        <v>964</v>
      </c>
      <c r="K17" s="8"/>
    </row>
    <row r="18" spans="1:20" ht="20.100000000000001" customHeight="1" x14ac:dyDescent="0.25">
      <c r="A18" s="5" t="str">
        <f>HYPERLINK("#'Input - Fuel'!A1", "Fuel")</f>
        <v>Fuel</v>
      </c>
      <c r="C18" s="8"/>
      <c r="D18" s="120" t="str">
        <v>p</v>
      </c>
      <c r="E18" s="125" t="str">
        <v>Pasture residue type</v>
      </c>
      <c r="F18" s="133"/>
      <c r="G18" s="126"/>
      <c r="H18" s="120" t="str">
        <v/>
      </c>
      <c r="I18" s="121" t="str">
        <v>Input</v>
      </c>
      <c r="J18" s="120" t="str">
        <f>X_Cell_Pasture_PastureType</f>
        <v>Grass clover mixture</v>
      </c>
      <c r="K18" s="8"/>
    </row>
    <row r="19" spans="1:20" ht="20.100000000000001" customHeight="1" x14ac:dyDescent="0.25">
      <c r="A19" s="5" t="str">
        <f>HYPERLINK("#'Input - Electricity'!A1", "Electricity")</f>
        <v>Electricity</v>
      </c>
      <c r="C19" s="8"/>
      <c r="D19" s="120" t="str">
        <v>ir</v>
      </c>
      <c r="E19" s="125" t="str">
        <v>Irrigation type</v>
      </c>
      <c r="F19" s="133"/>
      <c r="G19" s="126"/>
      <c r="H19" s="120" t="str">
        <v/>
      </c>
      <c r="I19" s="121" t="str">
        <v>Input</v>
      </c>
      <c r="J19" s="127" t="str" cm="1">
        <f t="array" aca="1" ref="J19" ca="1">HYPERLINK(Common_InputFunctions.Utility_SourceHyperlink($D$21), $D$21)</f>
        <v>M1_Table_M_leach_cp</v>
      </c>
      <c r="K19" s="8"/>
    </row>
    <row r="20" spans="1:20" ht="20.100000000000001" customHeight="1" x14ac:dyDescent="0.25">
      <c r="A20" s="5" t="str">
        <f>HYPERLINK("#'Input - Farm Inputs'!A1", "Farm Inputs")</f>
        <v>Farm Inputs</v>
      </c>
      <c r="C20" s="8"/>
      <c r="D20" s="8"/>
      <c r="E20" s="8"/>
      <c r="F20" s="8"/>
      <c r="G20" s="8"/>
      <c r="H20" s="8"/>
      <c r="I20" s="8"/>
      <c r="J20" s="8"/>
      <c r="K20" s="8"/>
    </row>
    <row r="21" spans="1:20" ht="20.100000000000001" customHeight="1" x14ac:dyDescent="0.25">
      <c r="A21" s="5" t="str">
        <f>HYPERLINK("#'Input - Freight'!A1", "Freight")</f>
        <v>Freight</v>
      </c>
      <c r="C21" s="8"/>
      <c r="D21" s="122" t="s">
        <v>965</v>
      </c>
      <c r="E21" s="8"/>
      <c r="F21" s="8"/>
      <c r="G21" s="8"/>
      <c r="H21" s="8"/>
      <c r="I21" s="8"/>
      <c r="J21" s="8"/>
      <c r="K21" s="8"/>
      <c r="N21" s="122" t="s">
        <v>966</v>
      </c>
      <c r="O21" s="8"/>
      <c r="P21" s="8"/>
      <c r="Q21" s="8"/>
      <c r="R21" s="8"/>
      <c r="S21" s="8"/>
    </row>
    <row r="22" spans="1:20" ht="20.100000000000001" customHeight="1" x14ac:dyDescent="0.25">
      <c r="A22" s="5" t="str">
        <f>HYPERLINK("#'Input - Manure sent off-site'!A1", "Manure sent off-site")</f>
        <v>Manure sent off-site</v>
      </c>
      <c r="C22" s="8"/>
      <c r="D22" s="123" t="s">
        <v>967</v>
      </c>
      <c r="E22" s="8"/>
      <c r="F22" s="8"/>
      <c r="G22" s="8"/>
      <c r="H22" s="8"/>
      <c r="I22" s="8"/>
      <c r="J22" s="8"/>
      <c r="K22" s="8"/>
      <c r="N22" s="123" t="s">
        <v>968</v>
      </c>
      <c r="O22" s="8"/>
      <c r="P22" s="8"/>
      <c r="Q22" s="8"/>
      <c r="R22" s="8"/>
      <c r="S22" s="8"/>
    </row>
    <row r="23" spans="1:20" ht="20.100000000000001" customHeight="1" x14ac:dyDescent="0.25">
      <c r="A23" s="5" t="str">
        <f>HYPERLINK("#'Input - Solid waste'!A1", "Solid waste")</f>
        <v>Solid waste</v>
      </c>
      <c r="C23" s="8"/>
      <c r="D23" s="94" t="s">
        <v>969</v>
      </c>
      <c r="E23" s="124" t="s">
        <v>970</v>
      </c>
      <c r="F23" s="94" t="s">
        <v>971</v>
      </c>
      <c r="G23" s="94" t="s">
        <v>104</v>
      </c>
      <c r="H23" s="124" t="s">
        <v>972</v>
      </c>
      <c r="I23" s="124" t="s">
        <v>973</v>
      </c>
      <c r="J23" s="8"/>
      <c r="K23" s="8"/>
      <c r="N23" s="94" t="s">
        <v>969</v>
      </c>
      <c r="O23" s="124" t="s">
        <v>970</v>
      </c>
      <c r="P23" s="94" t="s">
        <v>971</v>
      </c>
      <c r="Q23" s="94" t="s">
        <v>104</v>
      </c>
      <c r="R23" s="124" t="s">
        <v>972</v>
      </c>
      <c r="S23" s="124" t="s">
        <v>973</v>
      </c>
    </row>
    <row r="24" spans="1:20" ht="20.100000000000001" customHeight="1" x14ac:dyDescent="0.25">
      <c r="A24" s="5" t="str">
        <f>HYPERLINK("#'Input - Data quality'!A1", "Data quality")</f>
        <v>Data quality</v>
      </c>
      <c r="D24" s="25" t="s">
        <v>710</v>
      </c>
      <c r="E24" s="25" t="s">
        <v>964</v>
      </c>
      <c r="F24" s="25" t="s">
        <v>964</v>
      </c>
      <c r="G24" s="25" t="s">
        <v>964</v>
      </c>
      <c r="H24" s="25" t="s">
        <v>964</v>
      </c>
      <c r="I24" s="25" t="s">
        <v>964</v>
      </c>
      <c r="N24" s="25"/>
      <c r="O24" s="25" t="s">
        <v>964</v>
      </c>
      <c r="P24" s="25"/>
      <c r="Q24" s="25"/>
      <c r="R24" s="25"/>
      <c r="S24" s="25" t="s">
        <v>964</v>
      </c>
    </row>
    <row r="25" spans="1:20" ht="20.100000000000001" customHeight="1" x14ac:dyDescent="0.25">
      <c r="D25" s="25" t="s">
        <v>171</v>
      </c>
      <c r="E25" s="25">
        <f>'6.2.1.1-2 Pasture residue N2O'!$E$21</f>
        <v>7.4226E-2</v>
      </c>
      <c r="F25" s="25" t="str">
        <f>X_Cell_Pasture_IrrigationMethod</f>
        <v>Surface irrigation</v>
      </c>
      <c r="G25" s="25" t="str">
        <f>X_Cell_Site_LeachingZone</f>
        <v>NO - Not in leaching zone</v>
      </c>
      <c r="H25" s="25">
        <f>CommonCropping_InputFunctions.CommonCropping_GetFracWET(G25,F25,Table_SourceData_FracWET[Is in leaching zone],Table_SourceData_FracWET[FracWET], Table_SourceData_FracWETIrrigation[Irrigation type i],Table_SourceData_FracWETIrrigation[FracWET])</f>
        <v>1</v>
      </c>
      <c r="I25" s="25" cm="1">
        <f t="array" ref="I25">AgResidue_Equations_Leaching.VEERG_6_3_1_1__2__MassOfNitrogenLostThroughLeachingAndRunoff(E25,H25,$J$15)</f>
        <v>1.7814239999999999E-2</v>
      </c>
      <c r="N25" s="25"/>
      <c r="O25" s="25">
        <f>'6.2.1.1-2 Pasture residue N2O'!$O$21</f>
        <v>7.4226E-2</v>
      </c>
      <c r="P25" s="25"/>
      <c r="Q25" s="25"/>
      <c r="R25" s="25"/>
      <c r="S25" s="25"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A27" s="6" t="s">
        <v>2</v>
      </c>
      <c r="C27" s="255"/>
      <c r="D27" s="255"/>
      <c r="E27" s="255"/>
      <c r="F27" s="255"/>
      <c r="G27" s="255"/>
      <c r="H27" s="255"/>
      <c r="I27" s="255"/>
      <c r="J27" s="255"/>
      <c r="K27" s="255"/>
      <c r="M27" s="255"/>
      <c r="N27" s="255"/>
      <c r="O27" s="255"/>
      <c r="P27" s="255"/>
      <c r="Q27" s="255"/>
      <c r="R27" s="255"/>
      <c r="S27" s="255"/>
      <c r="T27" s="255"/>
    </row>
    <row r="28" spans="1:20" ht="20.100000000000001" customHeight="1" x14ac:dyDescent="0.25">
      <c r="A28" s="5" t="str">
        <f>HYPERLINK("#'5.1.1.1-2 Inorganic fert N2O'!A1", "5.1.1.1-2 Inorganic fert N2O")</f>
        <v>5.1.1.1-2 Inorganic fert N2O</v>
      </c>
      <c r="C28" s="8"/>
      <c r="D28" s="2" t="str" cm="1">
        <f t="array" ref="D28">AgResidue_Equations_Leaching.VEERG_6_3_1_1__1__LeachingAndRunoffEmissionsCropAndPastureResidue_Title()</f>
        <v>Nitrous oxide leaching and runoff emissions from crop and pasture residues returned to the soil</v>
      </c>
      <c r="E28" s="8"/>
      <c r="F28" s="256"/>
      <c r="G28" s="8"/>
      <c r="H28" s="8"/>
      <c r="I28" s="8"/>
      <c r="J28" s="8"/>
      <c r="K28" s="8"/>
    </row>
    <row r="29" spans="1:20" ht="20.100000000000001" customHeight="1" x14ac:dyDescent="0.25">
      <c r="A29" s="5" t="str">
        <f>HYPERLINK("#'5.1.1.3-4 Inorganic fert CO2'!A1", "5.1.1.3-4 Inorganic fert CO2")</f>
        <v>5.1.1.3-4 Inorganic fert CO2</v>
      </c>
      <c r="C29" s="8"/>
      <c r="D29" s="2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HYPERLINK("#'5.2.1.1-2 Organic Fert N2O'!A1", "5.2.1.1-2 Organic fert N2O")</f>
        <v>5.2.1.1-2 Organic fert N2O</v>
      </c>
      <c r="C30" s="8"/>
      <c r="D30" s="118" t="s">
        <v>262</v>
      </c>
      <c r="E30" s="118"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5">
      <c r="A31" s="5" t="str">
        <f>HYPERLINK("#'5.3.1.1-2 Lime CO2'!A1", "5.3.1.1-2 Lime CO2")</f>
        <v>5.3.1.1-2 Lime CO2</v>
      </c>
      <c r="C31" s="8"/>
      <c r="D31" s="8"/>
      <c r="E31" s="8"/>
      <c r="F31" s="8"/>
      <c r="G31" s="8"/>
      <c r="H31" s="8"/>
      <c r="I31" s="8"/>
      <c r="J31" s="8"/>
      <c r="K31" s="8"/>
    </row>
    <row r="32" spans="1:20" ht="20.100000000000001" customHeight="1" x14ac:dyDescent="0.25">
      <c r="A32" s="5" t="str">
        <f>HYPERLINK("#'5.4.1.1-4 Atmos deposition'!A1", "5.4.1.1-4 Atmos. deposition")</f>
        <v>5.4.1.1-4 Atmos. deposition</v>
      </c>
      <c r="C32" s="8"/>
      <c r="D32" s="8"/>
      <c r="E32" s="8"/>
      <c r="F32" s="27"/>
      <c r="G32" s="8"/>
      <c r="H32" s="8"/>
      <c r="I32" s="8"/>
      <c r="J32" s="8"/>
      <c r="K32" s="8"/>
    </row>
    <row r="33" spans="1:17" ht="20.100000000000001" customHeight="1" x14ac:dyDescent="0.25">
      <c r="A33" s="5" t="str">
        <f>HYPERLINK("#'5.5.1.1-2 Leaching and runoff'!A1", "5.5.1.1-2 Leaching &amp; runoff")</f>
        <v>5.5.1.1-2 Leaching &amp; runoff</v>
      </c>
      <c r="C33" s="8"/>
      <c r="D33" s="12" t="s">
        <v>263</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HYPERLINK("#'6.2.1.1-2 Pasture residue N2O'!A1", "6.2.1.1-2 Pasture residue N2O")</f>
        <v>6.2.1.1-2 Pasture residue N2O</v>
      </c>
      <c r="C34" s="8"/>
      <c r="D34" s="12" t="s">
        <v>122</v>
      </c>
      <c r="E34" s="15" t="str" cm="1">
        <f t="array" ref="E34">AgResidue_Equations_Leaching.VEERG_6_3_1_1__1__LeachingAndRunoffEmissionsCropAndPastureResidue_Unit()</f>
        <v>t N2O</v>
      </c>
      <c r="F34" s="8"/>
      <c r="G34" s="8"/>
      <c r="H34" s="8"/>
      <c r="I34" s="8"/>
      <c r="J34" s="8"/>
      <c r="K34" s="8"/>
    </row>
    <row r="35" spans="1:17" ht="20.100000000000001" customHeight="1" x14ac:dyDescent="0.25">
      <c r="A35" s="119" t="str">
        <f>HYPERLINK("#'6.3.1.1-2 Leach runoff pasture'!A1", "6.3.1.1-2 Leach &amp; runoff (pasture)")</f>
        <v>6.3.1.1-2 Leach &amp; runoff (pasture)</v>
      </c>
      <c r="C35" s="8"/>
      <c r="D35" s="8"/>
      <c r="E35" s="8"/>
      <c r="F35" s="8"/>
      <c r="G35" s="8"/>
      <c r="H35" s="8"/>
      <c r="I35" s="8"/>
      <c r="J35" s="8"/>
      <c r="K35" s="8"/>
    </row>
    <row r="36" spans="1:17" ht="20.100000000000001" customHeight="1" x14ac:dyDescent="0.25">
      <c r="A36" s="5" t="str">
        <f>HYPERLINK("#'8.1.1.1-2 Transport fuel'!A1", "8.1.1.1-2 Transport fuel")</f>
        <v>8.1.1.1-2 Transport fuel</v>
      </c>
      <c r="C36" s="8"/>
      <c r="D36" s="120" t="str" cm="1">
        <f t="array" ref="D36:E40">_xlfn.CHOOSECOLS(AgResidue_Equations_Leaching.VEERG_6_3_1_1__1__LeachingAndRunoffEmissionsCropAndPastureResidue_Arguments(),1,2)</f>
        <v>M_leachcp</v>
      </c>
      <c r="E36" s="125" t="str">
        <v>mass of nitrogen lost through leaching and runoff from the crop residue c or pasture residue p</v>
      </c>
      <c r="F36" s="133"/>
      <c r="G36" s="126"/>
      <c r="H36" s="120" t="str" cm="1">
        <f t="array" ref="H36:I40">_xlfn.CHOOSECOLS(AgResidue_Equations_Leaching.VEERG_6_3_1_1__1__LeachingAndRunoffEmissionsCropAndPastureResidue_Arguments(),3,4)</f>
        <v>kg N</v>
      </c>
      <c r="I36" s="128" t="str">
        <v>Calculated from 6.3.1.1 (2)</v>
      </c>
      <c r="J36" s="120" t="str" cm="1">
        <f t="array" aca="1" ref="J36" ca="1">HYPERLINK(Common_InputFunctions.Utility_SourceHyperlink($D$21), $D$21)</f>
        <v>M1_Table_M_leach_cp</v>
      </c>
      <c r="K36" s="8"/>
    </row>
    <row r="37" spans="1:17" ht="20.100000000000001" customHeight="1" x14ac:dyDescent="0.25">
      <c r="A37" s="5" t="str">
        <f>HYPERLINK("#'8.2.1.1-2 Stationary fuel'!A1", "8.2.1.1-2 Stationary fuel")</f>
        <v>8.2.1.1-2 Stationary fuel</v>
      </c>
      <c r="C37" s="8"/>
      <c r="D37" s="120" t="str">
        <v>EF_leach</v>
      </c>
      <c r="E37" s="125" t="str">
        <v>emission factor for leaching and runoff</v>
      </c>
      <c r="F37" s="133"/>
      <c r="G37" s="126"/>
      <c r="H37" s="120" t="str">
        <v>kg N2O-N/kg N</v>
      </c>
      <c r="I37" s="128" t="str">
        <v>Constant</v>
      </c>
      <c r="J37" s="120">
        <f>'Constants - Common'!$E$170</f>
        <v>1.0999999999999999E-2</v>
      </c>
      <c r="K37" s="8"/>
    </row>
    <row r="38" spans="1:17" ht="20.100000000000001" customHeight="1" x14ac:dyDescent="0.25">
      <c r="A38" s="5" t="str">
        <f>HYPERLINK("#'14.1.1-2 Purchased electricity'!A1", "14.1.1-2 Purchased electricity")</f>
        <v>14.1.1-2 Purchased electricity</v>
      </c>
      <c r="C38" s="8"/>
      <c r="D38" s="120" t="str">
        <v>C_N2O</v>
      </c>
      <c r="E38" s="125" t="str">
        <v>factor to convert elemental mass of nitrous oxide to molecular mass</v>
      </c>
      <c r="F38" s="133"/>
      <c r="G38" s="126"/>
      <c r="H38" s="120" t="str">
        <v>dimensionless</v>
      </c>
      <c r="I38" s="128" t="str">
        <v>Constant</v>
      </c>
      <c r="J38" s="120">
        <f>Common_InputFunctions.Utility_LookupValueInTableNumber("N2O",Table_GasToMolecularConversionFactor[Gas],Table_GasToMolecularConversionFactor[Conversion factor combined])</f>
        <v>1.5714285714285714</v>
      </c>
      <c r="K38" s="8"/>
    </row>
    <row r="39" spans="1:17" ht="20.100000000000001" customHeight="1" x14ac:dyDescent="0.25">
      <c r="A39" s="5" t="str">
        <f>HYPERLINK("#'15 Scope 3'!A1", "15 Scope 3")</f>
        <v>15 Scope 3</v>
      </c>
      <c r="C39" s="8"/>
      <c r="D39" s="120" t="str">
        <v>c</v>
      </c>
      <c r="E39" s="125" t="str">
        <v>Crop residue type</v>
      </c>
      <c r="F39" s="133"/>
      <c r="G39" s="126"/>
      <c r="H39" s="120" t="str">
        <v/>
      </c>
      <c r="I39" s="121" t="str">
        <v>Input</v>
      </c>
      <c r="J39" s="120" t="s">
        <v>964</v>
      </c>
      <c r="K39" s="8"/>
    </row>
    <row r="40" spans="1:17" ht="20.100000000000001" customHeight="1" x14ac:dyDescent="0.25">
      <c r="A40" s="5" t="str">
        <f>HYPERLINK("#'Calcs - Manure sent off-site'!A1", "Calcs - Manure sent off-site")</f>
        <v>Calcs - Manure sent off-site</v>
      </c>
      <c r="C40" s="8"/>
      <c r="D40" s="120" t="str">
        <v>p</v>
      </c>
      <c r="E40" s="125" t="str">
        <v>Pasture residue type</v>
      </c>
      <c r="F40" s="133"/>
      <c r="G40" s="126"/>
      <c r="H40" s="120" t="str">
        <v/>
      </c>
      <c r="I40" s="121" t="str">
        <v>Input</v>
      </c>
      <c r="J40" s="120" t="str">
        <f>X_Cell_Pasture_PastureType</f>
        <v>Grass clover mixture</v>
      </c>
      <c r="K40" s="8"/>
    </row>
    <row r="41" spans="1:17" ht="20.100000000000001" customHeight="1" x14ac:dyDescent="0.25">
      <c r="A41" s="5" t="str">
        <f>HYPERLINK("#'4.3.1.1-2 Methane'!A1", "4.3.1.1-2 Methane")</f>
        <v>4.3.1.1-2 Methane</v>
      </c>
      <c r="C41" s="8"/>
      <c r="D41" s="8"/>
      <c r="E41" s="8"/>
      <c r="F41" s="8"/>
      <c r="G41" s="8"/>
      <c r="H41" s="8"/>
      <c r="I41" s="8"/>
      <c r="J41" s="8"/>
      <c r="K41" s="8"/>
    </row>
    <row r="42" spans="1:17" ht="20.100000000000001" customHeight="1" x14ac:dyDescent="0.25">
      <c r="A42" s="5" t="str">
        <f>HYPERLINK("#'4.3.1.3-4 Direct N20'!A1", "4.3.1.3-4 Direct N20")</f>
        <v>4.3.1.3-4 Direct N20</v>
      </c>
      <c r="C42" s="8"/>
      <c r="D42" s="122" t="s">
        <v>640</v>
      </c>
      <c r="E42" s="8"/>
      <c r="F42" s="8"/>
      <c r="G42" s="8"/>
      <c r="H42" s="8"/>
      <c r="I42" s="8"/>
      <c r="J42" s="8"/>
      <c r="K42" s="8"/>
      <c r="N42" s="122" t="s">
        <v>640</v>
      </c>
      <c r="O42" s="8"/>
      <c r="P42" s="8"/>
      <c r="Q42" s="8"/>
    </row>
    <row r="43" spans="1:17" ht="20.100000000000001" customHeight="1" x14ac:dyDescent="0.25">
      <c r="A43" s="5" t="str">
        <f>HYPERLINK("#'4.3.1.5 Atmos deposition'!A1", "4.3.1.5 Atmos deposition")</f>
        <v>4.3.1.5 Atmos deposition</v>
      </c>
      <c r="C43" s="8"/>
      <c r="D43" s="123" t="s">
        <v>974</v>
      </c>
      <c r="E43" s="8"/>
      <c r="F43" s="8"/>
      <c r="G43" s="8"/>
      <c r="H43" s="8"/>
      <c r="I43" s="8"/>
      <c r="J43" s="8"/>
      <c r="K43" s="8"/>
      <c r="N43" s="123" t="s">
        <v>974</v>
      </c>
      <c r="O43" s="8"/>
      <c r="P43" s="8"/>
      <c r="Q43" s="8"/>
    </row>
    <row r="44" spans="1:17" ht="20.100000000000001" customHeight="1" x14ac:dyDescent="0.25">
      <c r="A44" s="5" t="str">
        <f>HYPERLINK("#'4.3.1.6-7 Leaching and runoff'!A1", "4.3.1.6-7 Leaching and runoff")</f>
        <v>4.3.1.6-7 Leaching and runoff</v>
      </c>
      <c r="C44" s="8"/>
      <c r="D44" s="124" t="s">
        <v>973</v>
      </c>
      <c r="E44" s="124" t="s">
        <v>975</v>
      </c>
      <c r="F44" s="8"/>
      <c r="G44" s="8"/>
      <c r="H44" s="8"/>
      <c r="I44" s="8"/>
      <c r="J44" s="8"/>
      <c r="K44" s="8"/>
      <c r="N44" s="124" t="s">
        <v>973</v>
      </c>
      <c r="O44" s="124" t="s">
        <v>975</v>
      </c>
      <c r="P44" s="8"/>
      <c r="Q44" s="8"/>
    </row>
    <row r="45" spans="1:17" ht="20.100000000000001" customHeight="1" x14ac:dyDescent="0.25">
      <c r="A45" s="5" t="str">
        <f>HYPERLINK("#'4.3.1.8 Manure applied to soils'!A1", "4.3.1.8 Manure applied to soils")</f>
        <v>4.3.1.8 Manure applied to soils</v>
      </c>
      <c r="C45" s="8"/>
      <c r="D45" s="25" t="str">
        <f>I24</f>
        <v>N/A</v>
      </c>
      <c r="E45" s="25" t="s">
        <v>964</v>
      </c>
      <c r="F45" s="8"/>
      <c r="G45" s="8"/>
      <c r="H45" s="8"/>
      <c r="I45" s="8"/>
      <c r="J45" s="8"/>
      <c r="K45" s="8"/>
      <c r="N45" s="25" t="str">
        <f>S24</f>
        <v>N/A</v>
      </c>
      <c r="O45" s="25" t="s">
        <v>964</v>
      </c>
      <c r="P45" s="8"/>
      <c r="Q45" s="8"/>
    </row>
    <row r="46" spans="1:17" ht="20.100000000000001" customHeight="1" x14ac:dyDescent="0.25">
      <c r="A46" s="5" t="str">
        <f>HYPERLINK("#'4.3.1.9 Soil direct N2O'!A1", "4.3.1.9 Soil direct N2O")</f>
        <v>4.3.1.9 Soil direct N2O</v>
      </c>
      <c r="C46" s="8"/>
      <c r="D46" s="25">
        <f>I25</f>
        <v>1.7814239999999999E-2</v>
      </c>
      <c r="E46" s="25" cm="1">
        <f t="array" ref="E46">AgResidue_Equations_Leaching.VEERG_6_3_1_1__1__LeachingAndRunoffEmissionsCropAndPastureResidue(D46,$J$37,$J$38)</f>
        <v>3.0793186285714277E-7</v>
      </c>
      <c r="F46" s="8"/>
      <c r="G46" s="8"/>
      <c r="H46" s="8"/>
      <c r="I46" s="8"/>
      <c r="J46" s="8"/>
      <c r="K46" s="8"/>
      <c r="N46" s="25">
        <f>S25</f>
        <v>1.7814239999999999E-2</v>
      </c>
      <c r="O46" s="25" cm="1">
        <f t="array" ref="O46">AgResidue_Equations_Leaching.VEERG_6_3_1_1__1__LeachingAndRunoffEmissionsCropAndPastureResidue(N46,$J$37,$J$38)</f>
        <v>3.0793186285714277E-7</v>
      </c>
      <c r="P46" s="8"/>
      <c r="Q46" s="8"/>
    </row>
    <row r="47" spans="1:17" ht="20.100000000000001" customHeight="1" x14ac:dyDescent="0.25">
      <c r="A47" s="5" t="str">
        <f>HYPERLINK("#'4.3.1.10-11 Soil Atmos Dep'!A1", "4.3.1.10-11 Soil Atmos Dep")</f>
        <v>4.3.1.10-11 Soil Atmos Dep</v>
      </c>
      <c r="C47" s="8"/>
      <c r="F47" s="8"/>
      <c r="G47" s="8"/>
      <c r="H47" s="8"/>
      <c r="I47" s="8"/>
      <c r="J47" s="8"/>
      <c r="K47" s="8"/>
      <c r="P47" s="8"/>
      <c r="Q47" s="8"/>
    </row>
    <row r="48" spans="1:17" ht="20.100000000000001" customHeight="1" x14ac:dyDescent="0.4">
      <c r="A48" s="5" t="str">
        <f>HYPERLINK("#'4.3.1.12-13 Soil leach runoff'!A1", "4.3.1.12-13 Soil leach runoff")</f>
        <v>4.3.1.12-13 Soil leach runoff</v>
      </c>
      <c r="C48" s="8"/>
      <c r="D48" s="257" t="s">
        <v>976</v>
      </c>
      <c r="E48" s="258">
        <f>SUM(E45:E46)</f>
        <v>3.0793186285714277E-7</v>
      </c>
      <c r="F48" s="137" t="str">
        <f>$E$34</f>
        <v>t N2O</v>
      </c>
      <c r="G48" s="8"/>
      <c r="H48" s="8"/>
      <c r="I48" s="8"/>
      <c r="J48" s="8"/>
      <c r="K48" s="8"/>
      <c r="N48" s="257" t="s">
        <v>976</v>
      </c>
      <c r="O48" s="258">
        <f>SUM(O45:O46)</f>
        <v>3.0793186285714277E-7</v>
      </c>
      <c r="P48" s="137" t="str">
        <f>$E$34</f>
        <v>t N2O</v>
      </c>
      <c r="Q48" s="8"/>
    </row>
    <row r="49" spans="1:17" ht="20.100000000000001" customHeight="1" x14ac:dyDescent="0.25">
      <c r="A49" s="5" t="str">
        <f>HYPERLINK("#'3.3.1.1-2 Enteric Methane'!A1", "3.3.1.1-2 Enteric Methane")</f>
        <v>3.3.1.1-2 Enteric Methane</v>
      </c>
      <c r="D49" s="8"/>
      <c r="E49" s="8"/>
      <c r="F49" s="8"/>
      <c r="G49" s="8"/>
      <c r="N49" s="8"/>
      <c r="O49" s="8"/>
      <c r="P49" s="8"/>
      <c r="Q49" s="8"/>
    </row>
    <row r="50" spans="1:17" ht="20.100000000000001" customHeight="1" x14ac:dyDescent="0.25">
      <c r="A50" s="5" t="str">
        <f>HYPERLINK("#'10.1.1-2 Solid waste treatment'!A1", "10.1.1-2 Solid waste treatment")</f>
        <v>10.1.1-2 Solid waste treatment</v>
      </c>
      <c r="D50" s="132" t="str" cm="1">
        <f t="array" ref="D50:E51">Common_Equations.Common_ConvertN2OToCO2e_Arguments()</f>
        <v>EN2O</v>
      </c>
      <c r="E50" s="138" t="str">
        <v>Nitrous oxide emissions (t N2O)</v>
      </c>
      <c r="F50" s="139"/>
      <c r="G50" s="25">
        <f>VEERG_6_3_1_1__1__LeachingAndRunoffEmissionsCropAndPastureResidue_PastureOnly_Result_Method1</f>
        <v>3.0793186285714277E-7</v>
      </c>
      <c r="N50" s="132" t="str" cm="1">
        <f t="array" ref="N50:O51">Common_Equations.Common_ConvertN2OToCO2e_Arguments()</f>
        <v>EN2O</v>
      </c>
      <c r="O50" s="138" t="str">
        <v>Nitrous oxide emissions (t N2O)</v>
      </c>
      <c r="P50" s="139"/>
      <c r="Q50" s="25">
        <f>VEERG_6_3_1_1__1__LeachingAndRunoffEmissionsCropAndPastureResidue_PastureOnly_Result_Method2</f>
        <v>3.0793186285714277E-7</v>
      </c>
    </row>
    <row r="51" spans="1:17" ht="20.100000000000001" customHeight="1" x14ac:dyDescent="0.25">
      <c r="D51" s="132" t="str">
        <v>GWPN2O</v>
      </c>
      <c r="E51" s="138" t="str">
        <v>Global warming potential for nitrous oxide (t CO2-e / t N2O)</v>
      </c>
      <c r="F51" s="139"/>
      <c r="G51" s="25">
        <f>Common_InputFunctions.Utility_LookupValueInTableNumber("N2O",Table_GWPData[Gas],Table_GWPData[CO2-e factor])</f>
        <v>265</v>
      </c>
      <c r="H51" s="8"/>
      <c r="I51" s="8"/>
      <c r="N51" s="132" t="str">
        <v>GWPN2O</v>
      </c>
      <c r="O51" s="138" t="str">
        <v>Global warming potential for nitrous oxide (t CO2-e / t N2O)</v>
      </c>
      <c r="P51" s="139"/>
      <c r="Q51" s="25">
        <f>Common_InputFunctions.Utility_LookupValueInTableNumber("N2O",Table_GWPData[Gas],Table_GWPData[CO2-e factor])</f>
        <v>265</v>
      </c>
    </row>
    <row r="52" spans="1:17" ht="20.100000000000001" customHeight="1" x14ac:dyDescent="0.25">
      <c r="H52" s="8"/>
      <c r="I52" s="8"/>
    </row>
    <row r="53" spans="1:17" ht="20.100000000000001" customHeight="1" x14ac:dyDescent="0.25">
      <c r="A53" s="100" t="s">
        <v>1</v>
      </c>
      <c r="D53" s="101" t="s">
        <v>412</v>
      </c>
      <c r="E53" s="101" cm="1">
        <f t="array" ref="E53">Common_Equations.Common_ConvertN2OToCO2e(G50,G51)</f>
        <v>8.1601943657142831E-5</v>
      </c>
      <c r="F53" s="140" t="str" cm="1">
        <f t="array" ref="F53">Common_Equations.Common_ConvertN2OToCO2e_Unit()</f>
        <v>t CO2e</v>
      </c>
      <c r="I53" s="8"/>
      <c r="N53" s="101" t="s">
        <v>412</v>
      </c>
      <c r="O53" s="101" cm="1">
        <f t="array" ref="O53">Common_Equations.Common_ConvertN2OToCO2e(Q50,Q51)</f>
        <v>8.1601943657142831E-5</v>
      </c>
      <c r="P53" s="140" t="str" cm="1">
        <f t="array" ref="P53">Common_Equations.Common_ConvertN2OToCO2e_Unit()</f>
        <v>t CO2e</v>
      </c>
    </row>
    <row r="54" spans="1:17" ht="20.100000000000001" customHeight="1" x14ac:dyDescent="0.25">
      <c r="A54" s="5" t="str">
        <f>HYPERLINK("#'Constants - Dairy'!A1", "Constants - Dairy")</f>
        <v>Constants - Dairy</v>
      </c>
      <c r="I54" s="8"/>
    </row>
    <row r="55" spans="1:17" ht="20.100000000000001" customHeight="1" x14ac:dyDescent="0.25">
      <c r="A55" s="5" t="str">
        <f>HYPERLINK("#'Constants - Ag Residue'!A1", "Constants - Ag residue")</f>
        <v>Constants - Ag residue</v>
      </c>
    </row>
    <row r="56" spans="1:17" ht="20.100000000000001" customHeight="1" x14ac:dyDescent="0.25">
      <c r="A56" s="5" t="str">
        <f>HYPERLINK("#'Constants - Common Livestock'!A1", "Constants - Common Livestock")</f>
        <v>Constants - Common Livestock</v>
      </c>
    </row>
    <row r="57" spans="1:17" ht="20.100000000000001" customHeight="1" x14ac:dyDescent="0.25">
      <c r="A57" s="5" t="str">
        <f>HYPERLINK("#'Constants - Electricity'!A1", "Constants - Electricity")</f>
        <v>Constants - Electricity</v>
      </c>
    </row>
    <row r="58" spans="1:17" ht="20.100000000000001" customHeight="1" x14ac:dyDescent="0.25">
      <c r="A58" s="5" t="str">
        <f>HYPERLINK("#'Constants - Fertiliser'!A1", "Constants - Fertiliser")</f>
        <v>Constants - Fertiliser</v>
      </c>
    </row>
    <row r="59" spans="1:17" ht="20.100000000000001" customHeight="1" x14ac:dyDescent="0.25">
      <c r="A59" s="5" t="str">
        <f>HYPERLINK("#'Constants - Fuel'!A1", "Constants - Fuel")</f>
        <v>Constants - Fuel</v>
      </c>
    </row>
    <row r="60" spans="1:17" ht="20.100000000000001" customHeight="1" x14ac:dyDescent="0.25">
      <c r="A60" s="5" t="str">
        <f>HYPERLINK("#'Constants - Scope 3'!A1", "Constants - Scope 3")</f>
        <v>Constants - Scope 3</v>
      </c>
      <c r="H60" s="8"/>
      <c r="I60" s="8"/>
    </row>
    <row r="61" spans="1:17" ht="20.100000000000001" customHeight="1" x14ac:dyDescent="0.25">
      <c r="A61" s="5" t="str">
        <f>HYPERLINK("#'Constants - Common'!A1", "Constants - Common")</f>
        <v>Constants - Common</v>
      </c>
      <c r="H61" s="8"/>
      <c r="I61" s="8"/>
    </row>
    <row r="62" spans="1:17" ht="20.100000000000001" customHeight="1" x14ac:dyDescent="0.25">
      <c r="A62" s="5" t="str">
        <f>HYPERLINK("#'Acknowledgements'!A1", "Acknowledgements")</f>
        <v>Acknowledgements</v>
      </c>
    </row>
    <row r="63" spans="1:17" ht="20.100000000000001" customHeight="1" x14ac:dyDescent="0.25">
      <c r="A63" s="5" t="str">
        <f>HYPERLINK("#'Constants - Solid Waste'!A1", "Constants - Solid Waste")</f>
        <v>Constants - Solid Waste</v>
      </c>
    </row>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1A35C-8765-4789-8511-8EDFC45ED6DE}">
  <dimension ref="A1:R342"/>
  <sheetViews>
    <sheetView showGridLines="0" topLeftCell="A42"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30" customFormat="1" ht="30" customHeight="1" x14ac:dyDescent="0.35">
      <c r="A1" s="16" t="e" vm="1">
        <v>#VALUE!</v>
      </c>
      <c r="C1" s="30" t="s">
        <v>801</v>
      </c>
    </row>
    <row r="2" spans="1:18" s="3" customFormat="1" ht="20.100000000000001" customHeight="1" x14ac:dyDescent="0.25">
      <c r="A2"/>
    </row>
    <row r="3" spans="1:18" ht="20.100000000000001" customHeight="1" x14ac:dyDescent="0.25">
      <c r="A3" s="5" t="str">
        <f>HYPERLINK("#'Home'!A1", "Home")</f>
        <v>Home</v>
      </c>
      <c r="C3" s="32"/>
      <c r="D3" s="32" t="s">
        <v>136</v>
      </c>
      <c r="E3" s="32"/>
      <c r="F3" s="32"/>
      <c r="G3" s="32"/>
      <c r="H3" s="32"/>
      <c r="I3" s="32"/>
      <c r="J3" s="32"/>
      <c r="K3" s="32"/>
      <c r="L3" s="32"/>
      <c r="M3" s="32"/>
      <c r="N3" s="32"/>
      <c r="O3" s="32"/>
      <c r="P3" s="32"/>
      <c r="Q3" s="32"/>
      <c r="R3" s="32"/>
    </row>
    <row r="4" spans="1:18" ht="20.100000000000001" customHeight="1" x14ac:dyDescent="0.25">
      <c r="A4" s="5" t="str">
        <f>HYPERLINK("#'Overview'!A1", "Overview")</f>
        <v>Overview</v>
      </c>
    </row>
    <row r="5" spans="1:18" ht="20.100000000000001" customHeight="1" x14ac:dyDescent="0.25">
      <c r="A5" s="5" t="str">
        <f>HYPERLINK("#'Results'!A1", "Results")</f>
        <v>Results</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91"/>
      <c r="P5" s="191"/>
      <c r="Q5" s="191"/>
    </row>
    <row r="6" spans="1:18" ht="20.100000000000001" customHeight="1" x14ac:dyDescent="0.25">
      <c r="D6" s="27" t="str" cm="1">
        <f t="array" ref="D6">Fuel_Equations.VEERG_8_1_1_1__1_FuelCombustionTransport_Source()</f>
        <v>VEERG 2026: 8.1.1.1, Equation (1)</v>
      </c>
      <c r="K6" s="27" t="str" cm="1">
        <f t="array" ref="K6">Scope3_Equations.VEERG_15_11_1_1__2_UpstreamTransportFuelEmissions_Source()</f>
        <v>VEERG 2026: 15.11.1.1, Equation (2)</v>
      </c>
      <c r="O6" s="191"/>
      <c r="P6" s="191"/>
      <c r="Q6" s="191"/>
    </row>
    <row r="7" spans="1:18" ht="20.100000000000001" customHeight="1" x14ac:dyDescent="0.25">
      <c r="D7" s="118" t="s">
        <v>262</v>
      </c>
      <c r="E7" s="118" t="str" cm="1">
        <f t="array" aca="1" ref="E7" ca="1">Common_InputFunctions.Utility_DisplayFunctionName(N25)</f>
        <v>=Fuel_Equations.VEERG_8_1_1_1__1_FuelCombustionTransport</v>
      </c>
      <c r="K7" s="118" t="s">
        <v>262</v>
      </c>
      <c r="L7" s="118" t="str" cm="1">
        <f t="array" aca="1" ref="L7" ca="1">Common_InputFunctions.Utility_DisplayFunctionName(Q25)</f>
        <v>=Scope3_Equations.VEERG_15_11_1_1__2_UpstreamTransportFuelEmissions</v>
      </c>
      <c r="O7" s="191"/>
      <c r="P7" s="191"/>
      <c r="Q7" s="191"/>
    </row>
    <row r="8" spans="1:18" ht="20.100000000000001" customHeight="1" x14ac:dyDescent="0.25">
      <c r="A8" s="7" t="s">
        <v>0</v>
      </c>
      <c r="E8" s="118"/>
      <c r="L8" s="118"/>
      <c r="O8" s="191"/>
      <c r="P8" s="191"/>
      <c r="Q8" s="191"/>
    </row>
    <row r="9" spans="1:18" ht="20.100000000000001" customHeight="1" x14ac:dyDescent="0.25">
      <c r="A9" s="5" t="str">
        <f>HYPERLINK("#'Input - Enterprise'!A1", "Enterprise")</f>
        <v>Enterprise</v>
      </c>
      <c r="G9" s="27"/>
      <c r="O9" s="191"/>
      <c r="P9" s="191"/>
      <c r="Q9" s="191"/>
    </row>
    <row r="10" spans="1:18" ht="20.100000000000001" customHeight="1" x14ac:dyDescent="0.25">
      <c r="A10" s="5" t="str">
        <f>HYPERLINK("#'Input - Site'!A1", "Site")</f>
        <v>Site</v>
      </c>
      <c r="O10" s="191"/>
      <c r="P10" s="191"/>
      <c r="Q10" s="191"/>
    </row>
    <row r="11" spans="1:18" ht="20.100000000000001" customHeight="1" x14ac:dyDescent="0.25">
      <c r="A11" s="5" t="str">
        <f>HYPERLINK("#'Input - Dairy'!A1", "Dairy")</f>
        <v>Dairy</v>
      </c>
      <c r="D11" s="87" t="s">
        <v>263</v>
      </c>
      <c r="E11" s="1" t="str" cm="1">
        <f t="array" ref="E11">Fuel_Equations.VEERG_8_1_1_1__1_FuelCombustionTransport_Variable()</f>
        <v>E_g</v>
      </c>
      <c r="K11" s="87" t="s">
        <v>263</v>
      </c>
      <c r="L11" s="1" t="str" cm="1">
        <f t="array" ref="L11">Scope3_Equations.VEERG_15_11_1_1__2_UpstreamTransportFuelEmissions_Variable()</f>
        <v>E_WTTtransq</v>
      </c>
      <c r="O11" s="191"/>
      <c r="P11" s="191"/>
      <c r="Q11" s="191"/>
    </row>
    <row r="12" spans="1:18" ht="20.100000000000001" customHeight="1" x14ac:dyDescent="0.25">
      <c r="A12" s="5" t="str">
        <f>HYPERLINK("#'Input - Dairy (Enteric)'!A1", "Dairy (Enteric)")</f>
        <v>Dairy (Enteric)</v>
      </c>
      <c r="D12" s="87" t="s">
        <v>122</v>
      </c>
      <c r="E12" s="15" t="str" cm="1">
        <f t="array" ref="E12">Fuel_Equations.VEERG_8_1_1_1__1_FuelCombustionTransport_Unit()</f>
        <v>t CO2-e</v>
      </c>
      <c r="K12" s="87" t="s">
        <v>122</v>
      </c>
      <c r="L12" s="15" t="str" cm="1">
        <f t="array" ref="L12">Scope3_Equations.VEERG_15_11_1_1__2_UpstreamTransportFuelEmissions_Unit()</f>
        <v>t CO2e</v>
      </c>
    </row>
    <row r="13" spans="1:18" ht="20.100000000000001" customHeight="1" x14ac:dyDescent="0.25">
      <c r="A13" s="5" t="str">
        <f>HYPERLINK("#'Input - Livestock sales'!A1", "Livestock sales")</f>
        <v>Livestock sales</v>
      </c>
    </row>
    <row r="14" spans="1:18" ht="20.100000000000001" customHeight="1" x14ac:dyDescent="0.25">
      <c r="A14" s="5" t="str">
        <f>HYPERLINK("#'Input - Dairy cattle purchases'!A1", "Dairy cattle purchases")</f>
        <v>Dairy cattle purchases</v>
      </c>
      <c r="D14" s="120" t="str" cm="1">
        <f t="array" ref="D14:E20">_xlfn.CHOOSECOLS(Fuel_Equations.VEERG_8_1_1_1__1_FuelCombustionTransport_Arguments(), 1,2)</f>
        <v>Q_Transtq</v>
      </c>
      <c r="E14" s="125" t="str">
        <v>Amount of fuel type q combusted for transport energy purposes</v>
      </c>
      <c r="F14" s="126"/>
      <c r="G14" s="120" t="str" cm="1">
        <f t="array" ref="G14:H20">_xlfn.CHOOSECOLS(Fuel_Equations.VEERG_8_1_1_1__1_FuelCombustionTransport_Arguments(), 3,4)</f>
        <v>Varies based on fuel type: kL, m3, GJ</v>
      </c>
      <c r="H14" s="121" t="str">
        <v>Input</v>
      </c>
      <c r="I14" s="127" t="str" cm="1">
        <f t="array" aca="1" ref="I14" ca="1">HYPERLINK(Common_InputFunctions.Utility_SourceHyperlink($D$22), $D$22)</f>
        <v>Table_E_g</v>
      </c>
      <c r="K14" s="120" t="str" cm="1">
        <f t="array" ref="K14:L16">_xlfn.CHOOSECOLS(Scope3_Equations.VEERG_15_11_1_1__2_UpstreamTransportFuelEmissions_Arguments(),1,2)</f>
        <v>Q_Transq</v>
      </c>
      <c r="L14" s="120" t="str">
        <v>amount of fuel q combusted for transport energy purposes</v>
      </c>
      <c r="M14" s="120"/>
      <c r="N14" s="120" t="str" cm="1">
        <f t="array" ref="N14:O16">_xlfn.CHOOSECOLS(Scope3_Equations.VEERG_15_11_1_1__2_UpstreamTransportFuelEmissions_Arguments(),3,4)</f>
        <v>kL</v>
      </c>
      <c r="O14" s="121" t="str">
        <v>Input</v>
      </c>
      <c r="P14" s="127" t="str" cm="1">
        <f t="array" aca="1" ref="P14" ca="1">HYPERLINK(Common_InputFunctions.Utility_SourceHyperlink($D$22), $D$22)</f>
        <v>Table_E_g</v>
      </c>
      <c r="Q14" s="191"/>
    </row>
    <row r="15" spans="1:18" ht="20.100000000000001" customHeight="1" x14ac:dyDescent="0.25">
      <c r="A15" s="5" t="str">
        <f>HYPERLINK("#'Input - Pasture'!A1", "Pasture")</f>
        <v>Pasture</v>
      </c>
      <c r="D15" s="120" t="str">
        <v>EC_Transq</v>
      </c>
      <c r="E15" s="125" t="str">
        <v>Energy content factor for transport energy purposes</v>
      </c>
      <c r="F15" s="126"/>
      <c r="G15" s="120" t="str">
        <v>GJ / unit of fuel</v>
      </c>
      <c r="H15" s="128" t="str">
        <v>Constant</v>
      </c>
      <c r="I15" s="127" t="str" cm="1">
        <f t="array" aca="1" ref="I15" ca="1">HYPERLINK(Common_InputFunctions.Utility_SourceHyperlink($D$22), $D$22)</f>
        <v>Table_E_g</v>
      </c>
      <c r="K15" s="120" t="str">
        <v>EC_Transq</v>
      </c>
      <c r="L15" s="120" t="str">
        <v>energy content factor for transport energy purposes</v>
      </c>
      <c r="M15" s="120"/>
      <c r="N15" s="120" t="str">
        <v>GJ/kL or GJ/m3</v>
      </c>
      <c r="O15" s="128" t="str">
        <v>Constant</v>
      </c>
      <c r="P15" s="127" t="str" cm="1">
        <f t="array" aca="1" ref="P15" ca="1">HYPERLINK(Common_InputFunctions.Utility_SourceHyperlink($D$22), $D$22)</f>
        <v>Table_E_g</v>
      </c>
      <c r="Q15" s="191"/>
    </row>
    <row r="16" spans="1:18" ht="20.100000000000001" customHeight="1" x14ac:dyDescent="0.25">
      <c r="A16" s="5" t="str">
        <f>HYPERLINK("#'Input - Fert Prod System'!A1", "Fert Prod System")</f>
        <v>Fert Prod System</v>
      </c>
      <c r="D16" s="120" t="str">
        <v>EF_Trans1tqg</v>
      </c>
      <c r="E16" s="125" t="str">
        <v>Scope 1 emission factor for transport energy purposes for each greenhouse gas</v>
      </c>
      <c r="F16" s="126"/>
      <c r="G16" s="120" t="str">
        <v>kg CO2e / GJ</v>
      </c>
      <c r="H16" s="128" t="str">
        <v>Constant</v>
      </c>
      <c r="I16" s="127" t="str" cm="1">
        <f t="array" aca="1" ref="I16" ca="1">HYPERLINK(Common_InputFunctions.Utility_SourceHyperlink($D$22), $D$22)</f>
        <v>Table_E_g</v>
      </c>
      <c r="K16" s="120" t="str">
        <v>EF_Trans3q</v>
      </c>
      <c r="L16" s="120" t="str">
        <v>scope 3 emission factor for transport energy purposes</v>
      </c>
      <c r="M16" s="120"/>
      <c r="N16" s="120" t="str">
        <v>kg CO2e/GJ</v>
      </c>
      <c r="O16" s="128" t="str">
        <v>Constant</v>
      </c>
      <c r="P16" s="127" t="str" cm="1">
        <f t="array" aca="1" ref="P16" ca="1">HYPERLINK(Common_InputFunctions.Utility_SourceHyperlink($D$22), $D$22)</f>
        <v>Table_E_g</v>
      </c>
      <c r="Q16" s="191"/>
    </row>
    <row r="17" spans="1:17" ht="20.100000000000001" customHeight="1" x14ac:dyDescent="0.25">
      <c r="A17" s="5" t="str">
        <f>HYPERLINK("#'Input - Fertiliser'!A1", "Fertiliser")</f>
        <v>Fertiliser</v>
      </c>
      <c r="D17" s="120" t="str">
        <v>q</v>
      </c>
      <c r="E17" s="125" t="str">
        <v>Fuel type</v>
      </c>
      <c r="F17" s="126"/>
      <c r="G17" s="120" t="str">
        <v/>
      </c>
      <c r="H17" s="128" t="str">
        <v>Constant</v>
      </c>
      <c r="I17" s="127"/>
      <c r="J17" s="191"/>
      <c r="P17" s="191"/>
      <c r="Q17" s="191"/>
    </row>
    <row r="18" spans="1:17" ht="20.100000000000001" customHeight="1" x14ac:dyDescent="0.25">
      <c r="A18" s="5" t="str">
        <f>HYPERLINK("#'Input - Fuel'!A1", "Fuel")</f>
        <v>Fuel</v>
      </c>
      <c r="D18" s="120" t="str">
        <v>Trans</v>
      </c>
      <c r="E18" s="125" t="str">
        <v>Transport combustion</v>
      </c>
      <c r="F18" s="126"/>
      <c r="G18" s="120" t="str">
        <v/>
      </c>
      <c r="H18" s="128" t="str">
        <v>Constant</v>
      </c>
      <c r="I18" s="127"/>
      <c r="J18" s="191"/>
      <c r="L18" s="191"/>
      <c r="M18" s="191"/>
      <c r="N18" s="191"/>
      <c r="O18" s="191"/>
      <c r="P18" s="191"/>
      <c r="Q18" s="191"/>
    </row>
    <row r="19" spans="1:17" ht="20.100000000000001" customHeight="1" x14ac:dyDescent="0.25">
      <c r="A19" s="5" t="str">
        <f>HYPERLINK("#'Input - Electricity'!A1", "Electricity")</f>
        <v>Electricity</v>
      </c>
      <c r="D19" s="120" t="str">
        <v>g</v>
      </c>
      <c r="E19" s="125" t="str">
        <v>Greenhouse gas</v>
      </c>
      <c r="F19" s="126"/>
      <c r="G19" s="120" t="str">
        <v/>
      </c>
      <c r="H19" s="128" t="str">
        <v>Constant</v>
      </c>
      <c r="I19" s="127"/>
      <c r="J19" s="191"/>
      <c r="L19" s="191"/>
      <c r="M19" s="191"/>
      <c r="N19" s="191"/>
      <c r="O19" s="191"/>
      <c r="P19" s="191"/>
      <c r="Q19" s="191"/>
    </row>
    <row r="20" spans="1:17" ht="20.100000000000001" customHeight="1" x14ac:dyDescent="0.25">
      <c r="A20" s="5" t="str">
        <f>HYPERLINK("#'Input - Farm Inputs'!A1", "Farm Inputs")</f>
        <v>Farm Inputs</v>
      </c>
      <c r="D20" s="120" t="str">
        <v>1</v>
      </c>
      <c r="E20" s="125" t="str">
        <v>Scope 1</v>
      </c>
      <c r="F20" s="126"/>
      <c r="G20" s="120" t="str">
        <v/>
      </c>
      <c r="H20" s="128" t="str">
        <v>Constant</v>
      </c>
      <c r="I20" s="127"/>
      <c r="J20" s="191"/>
      <c r="L20" s="191"/>
      <c r="M20" s="191"/>
      <c r="N20" s="191"/>
      <c r="O20" s="191"/>
      <c r="P20" s="191"/>
      <c r="Q20" s="191"/>
    </row>
    <row r="21" spans="1:17" ht="20.100000000000001" customHeight="1" x14ac:dyDescent="0.25">
      <c r="A21" s="5" t="str">
        <f>HYPERLINK("#'Input - Freight'!A1", "Freight")</f>
        <v>Freight</v>
      </c>
      <c r="O21" s="191"/>
      <c r="P21" s="191"/>
      <c r="Q21" s="191"/>
    </row>
    <row r="22" spans="1:17" ht="20.100000000000001" customHeight="1" x14ac:dyDescent="0.25">
      <c r="A22" s="5" t="str">
        <f>HYPERLINK("#'Input - Manure sent off-site'!A1", "Manure sent off-site")</f>
        <v>Manure sent off-site</v>
      </c>
      <c r="D22" s="122" t="s">
        <v>802</v>
      </c>
    </row>
    <row r="23" spans="1:17" ht="20.100000000000001" customHeight="1" x14ac:dyDescent="0.25">
      <c r="A23" s="5" t="str">
        <f>HYPERLINK("#'Input - Solid waste'!A1", "Solid waste")</f>
        <v>Solid waste</v>
      </c>
      <c r="D23" s="123" t="s">
        <v>803</v>
      </c>
    </row>
    <row r="24" spans="1:17" ht="20.100000000000001" customHeight="1" x14ac:dyDescent="0.25">
      <c r="A24" s="5" t="str">
        <f>HYPERLINK("#'Input - Data quality'!A1", "Data quality")</f>
        <v>Data quality</v>
      </c>
      <c r="D24" s="124" t="s">
        <v>804</v>
      </c>
      <c r="E24" s="124" t="s">
        <v>805</v>
      </c>
      <c r="F24" s="124" t="s">
        <v>806</v>
      </c>
      <c r="G24" s="124" t="s">
        <v>807</v>
      </c>
      <c r="H24" s="124" t="s">
        <v>808</v>
      </c>
      <c r="I24" s="124" t="s">
        <v>809</v>
      </c>
      <c r="J24" s="124" t="s">
        <v>810</v>
      </c>
      <c r="K24" s="124" t="s">
        <v>811</v>
      </c>
      <c r="L24" s="94" t="s">
        <v>812</v>
      </c>
      <c r="M24" s="124" t="s">
        <v>813</v>
      </c>
      <c r="N24" s="124" t="s">
        <v>814</v>
      </c>
      <c r="O24" s="124" t="s">
        <v>815</v>
      </c>
      <c r="P24" s="124" t="s">
        <v>816</v>
      </c>
      <c r="Q24" s="124" t="s">
        <v>817</v>
      </c>
    </row>
    <row r="25" spans="1:17" ht="20.100000000000001" customHeight="1" x14ac:dyDescent="0.25">
      <c r="D25" s="34" t="str">
        <f>Table_FuelTypesPerUse[[#Headers],[Cars and light commercial vehicles]]</f>
        <v>Cars and light commercial vehicles</v>
      </c>
      <c r="E25" s="215" t="str">
        <f>'Constants - Fuel'!$E$10</f>
        <v>Gasoline</v>
      </c>
      <c r="F25" s="215" t="str">
        <f>'Constants - Fuel'!G131</f>
        <v>Petrol</v>
      </c>
      <c r="G25" s="25" cm="1">
        <f t="array" ref="G25">IFERROR(_xlfn.XLOOKUP(1, (Table_Fuel_EFs_Transport[Fuel combusted]=$E25)*(Table_Fuel_EFs_Transport[Transport type]=$D$25), Table_Fuel_EFs_Transport[Energy Content Factor (GJ per unit of fuel)]), 0)</f>
        <v>34.200000000000003</v>
      </c>
      <c r="H25" s="25" cm="1">
        <f t="array" ref="H25">IFERROR(_xlfn.XLOOKUP(1, (Table_Fuel_EFs_Transport[Fuel combusted]=$E25)*(Table_Fuel_EFs_Transport[Transport type]=$D$25), Table_Fuel_EFs_Transport[Scope 1 Emission Factor (kg CO2 - e / GJ) CO2]), 0)</f>
        <v>67.400000000000006</v>
      </c>
      <c r="I25" s="25" cm="1">
        <f t="array" ref="I25">IFERROR(_xlfn.XLOOKUP(1, (Table_Fuel_EFs_Transport[Fuel combusted]=$E25)*(Table_Fuel_EFs_Transport[Transport type]=$D$25), Table_Fuel_EFs_Transport[Scope 1 Emission Factor (kg CO2 - e / GJ) CH4]), 0)</f>
        <v>0.02</v>
      </c>
      <c r="J25" s="25" cm="1">
        <f t="array" ref="J25">IFERROR(_xlfn.XLOOKUP(1, (Table_Fuel_EFs_Transport[Fuel combusted]=$E25)*(Table_Fuel_EFs_Transport[Transport type]=$D$25), Table_Fuel_EFs_Transport[Scope 1 Emission Factor (kg CO2 - e / GJ) N2O]), 0)</f>
        <v>0.2</v>
      </c>
      <c r="K25" s="25" cm="1">
        <f t="array" ref="K25">IFERROR(_xlfn.XLOOKUP(1, (Table_Fuel_EFs_Transport[Fuel combusted]=$E25)*(Table_Fuel_EFs_Transport[Transport type]=$D$25), Table_Fuel_EFs_Transport[Scope 3 Emission Factor (kg CO2 - e / GJ)]), 0)</f>
        <v>17.2</v>
      </c>
      <c r="L25" s="194" cm="1">
        <f t="array" ref="L25">Fuel_InputFunctions.Fuel_TotalConsumption(Table_Input_Fuel[Amount consumed], Table_Input_Fuel[Fuel use (select)], D25, Table_Input_Fuel[Fuel type (select)],F25)</f>
        <v>0</v>
      </c>
      <c r="M25" s="194" t="str" cm="1">
        <f t="array" ref="M25">Common_InputFunctions.Utility_LookupValueInTable(F25,Table_FuelTypes_Units[Fuel type],Table_FuelTypes_Units[Unit])</f>
        <v>kL</v>
      </c>
      <c r="N25" s="216" cm="1">
        <f t="array" ref="N25">Fuel_Equations.VEERG_8_1_1_1__1_FuelCombustionTransport($L25,$G25,$H25)</f>
        <v>0</v>
      </c>
      <c r="O25" s="216" cm="1">
        <f t="array" ref="O25">Fuel_Equations.VEERG_8_1_1_1__1_FuelCombustionTransport($L25,$G25,$I25)</f>
        <v>0</v>
      </c>
      <c r="P25" s="216" cm="1">
        <f t="array" ref="P25">Fuel_Equations.VEERG_8_1_1_1__1_FuelCombustionTransport($L25,$G25,$J25)</f>
        <v>0</v>
      </c>
      <c r="Q25" s="216" cm="1">
        <f t="array" ref="Q25">Scope3_Equations.VEERG_15_11_1_1__2_UpstreamTransportFuelEmissions(L25,G25,K25)</f>
        <v>0</v>
      </c>
    </row>
    <row r="26" spans="1:17" ht="20.100000000000001" customHeight="1" x14ac:dyDescent="0.25">
      <c r="D26" s="217" t="str">
        <f t="shared" ref="D26:D32" si="0">$D$25</f>
        <v>Cars and light commercial vehicles</v>
      </c>
      <c r="E26" s="215" t="str">
        <f>'Constants - Fuel'!$E$11</f>
        <v>Diesel oil</v>
      </c>
      <c r="F26" s="215" t="str">
        <f>'Constants - Fuel'!G132</f>
        <v>Diesel</v>
      </c>
      <c r="G26" s="25" cm="1">
        <f t="array" ref="G26">IFERROR(_xlfn.XLOOKUP(1, (Table_Fuel_EFs_Transport[Fuel combusted]=$E26)*(Table_Fuel_EFs_Transport[Transport type]=$D$25), Table_Fuel_EFs_Transport[Energy Content Factor (GJ per unit of fuel)]), 0)</f>
        <v>38.6</v>
      </c>
      <c r="H26" s="25" cm="1">
        <f t="array" ref="H26">IFERROR(_xlfn.XLOOKUP(1, (Table_Fuel_EFs_Transport[Fuel combusted]=$E26)*(Table_Fuel_EFs_Transport[Transport type]=$D$25), Table_Fuel_EFs_Transport[Scope 1 Emission Factor (kg CO2 - e / GJ) CO2]), 0)</f>
        <v>69.900000000000006</v>
      </c>
      <c r="I26" s="25" cm="1">
        <f t="array" ref="I26">IFERROR(_xlfn.XLOOKUP(1, (Table_Fuel_EFs_Transport[Fuel combusted]=$E26)*(Table_Fuel_EFs_Transport[Transport type]=$D$25), Table_Fuel_EFs_Transport[Scope 1 Emission Factor (kg CO2 - e / GJ) CH4]), 0)</f>
        <v>0.01</v>
      </c>
      <c r="J26" s="25" cm="1">
        <f t="array" ref="J26">IFERROR(_xlfn.XLOOKUP(1, (Table_Fuel_EFs_Transport[Fuel combusted]=$E26)*(Table_Fuel_EFs_Transport[Transport type]=$D$25), Table_Fuel_EFs_Transport[Scope 1 Emission Factor (kg CO2 - e / GJ) N2O]), 0)</f>
        <v>0.5</v>
      </c>
      <c r="K26" s="25" cm="1">
        <f t="array" ref="K26">IFERROR(_xlfn.XLOOKUP(1, (Table_Fuel_EFs_Transport[Fuel combusted]=$E26)*(Table_Fuel_EFs_Transport[Transport type]=$D$25), Table_Fuel_EFs_Transport[Scope 3 Emission Factor (kg CO2 - e / GJ)]), 0)</f>
        <v>17.3</v>
      </c>
      <c r="L26" s="194" cm="1">
        <f t="array" ref="L26">Fuel_InputFunctions.Fuel_TotalConsumption(Table_Input_Fuel[Amount consumed], Table_Input_Fuel[Fuel use (select)], D26, Table_Input_Fuel[Fuel type (select)],F26)</f>
        <v>10</v>
      </c>
      <c r="M26" s="194" t="str" cm="1">
        <f t="array" ref="M26">Common_InputFunctions.Utility_LookupValueInTable(F26,Table_FuelTypes_Units[Fuel type],Table_FuelTypes_Units[Unit])</f>
        <v>kL</v>
      </c>
      <c r="N26" s="216" cm="1">
        <f t="array" ref="N26">Fuel_Equations.VEERG_8_1_1_1__1_FuelCombustionTransport($L26,$G26,$H26)</f>
        <v>26.981400000000001</v>
      </c>
      <c r="O26" s="216" cm="1">
        <f t="array" ref="O26">Fuel_Equations.VEERG_8_1_1_1__1_FuelCombustionTransport($L26,$G26,$I26)</f>
        <v>3.8600000000000001E-3</v>
      </c>
      <c r="P26" s="216" cm="1">
        <f t="array" ref="P26">Fuel_Equations.VEERG_8_1_1_1__1_FuelCombustionTransport($L26,$G26,$J26)</f>
        <v>0.193</v>
      </c>
      <c r="Q26" s="216" cm="1">
        <f t="array" ref="Q26">Scope3_Equations.VEERG_15_11_1_1__2_UpstreamTransportFuelEmissions(L26,G26,K26)</f>
        <v>6.6778000000000004</v>
      </c>
    </row>
    <row r="27" spans="1:17" ht="20.100000000000001" customHeight="1" x14ac:dyDescent="0.25">
      <c r="A27" s="6" t="s">
        <v>2</v>
      </c>
      <c r="D27" s="217" t="str">
        <f t="shared" si="0"/>
        <v>Cars and light commercial vehicles</v>
      </c>
      <c r="E27" s="215" t="str">
        <f>'Constants - Fuel'!$E$12</f>
        <v>Liquefied petroleum gas (LPG)</v>
      </c>
      <c r="F27" s="215" t="str">
        <f>'Constants - Fuel'!G133</f>
        <v>Liquefied petroleum gas (LPG)</v>
      </c>
      <c r="G27" s="25" cm="1">
        <f t="array" ref="G27">IFERROR(_xlfn.XLOOKUP(1, (Table_Fuel_EFs_Transport[Fuel combusted]=$E27)*(Table_Fuel_EFs_Transport[Transport type]=$D$25), Table_Fuel_EFs_Transport[Energy Content Factor (GJ per unit of fuel)]), 0)</f>
        <v>26.2</v>
      </c>
      <c r="H27" s="25" cm="1">
        <f t="array" ref="H27">IFERROR(_xlfn.XLOOKUP(1, (Table_Fuel_EFs_Transport[Fuel combusted]=$E27)*(Table_Fuel_EFs_Transport[Transport type]=$D$25), Table_Fuel_EFs_Transport[Scope 1 Emission Factor (kg CO2 - e / GJ) CO2]), 0)</f>
        <v>60.2</v>
      </c>
      <c r="I27" s="25" cm="1">
        <f t="array" ref="I27">IFERROR(_xlfn.XLOOKUP(1, (Table_Fuel_EFs_Transport[Fuel combusted]=$E27)*(Table_Fuel_EFs_Transport[Transport type]=$D$25), Table_Fuel_EFs_Transport[Scope 1 Emission Factor (kg CO2 - e / GJ) CH4]), 0)</f>
        <v>0.5</v>
      </c>
      <c r="J27" s="25" cm="1">
        <f t="array" ref="J27">IFERROR(_xlfn.XLOOKUP(1, (Table_Fuel_EFs_Transport[Fuel combusted]=$E27)*(Table_Fuel_EFs_Transport[Transport type]=$D$25), Table_Fuel_EFs_Transport[Scope 1 Emission Factor (kg CO2 - e / GJ) N2O]), 0)</f>
        <v>0.3</v>
      </c>
      <c r="K27" s="25" cm="1">
        <f t="array" ref="K27">IFERROR(_xlfn.XLOOKUP(1, (Table_Fuel_EFs_Transport[Fuel combusted]=$E27)*(Table_Fuel_EFs_Transport[Transport type]=$D$25), Table_Fuel_EFs_Transport[Scope 3 Emission Factor (kg CO2 - e / GJ)]), 0)</f>
        <v>20.2</v>
      </c>
      <c r="L27" s="194" cm="1">
        <f t="array" ref="L27">Fuel_InputFunctions.Fuel_TotalConsumption(Table_Input_Fuel[Amount consumed], Table_Input_Fuel[Fuel use (select)], D27, Table_Input_Fuel[Fuel type (select)],F27)</f>
        <v>0</v>
      </c>
      <c r="M27" s="194" t="str" cm="1">
        <f t="array" ref="M27">Common_InputFunctions.Utility_LookupValueInTable(F27,Table_FuelTypes_Units[Fuel type],Table_FuelTypes_Units[Unit])</f>
        <v>kL</v>
      </c>
      <c r="N27" s="216" cm="1">
        <f t="array" ref="N27">Fuel_Equations.VEERG_8_1_1_1__1_FuelCombustionTransport($L27,$G27,$H27)</f>
        <v>0</v>
      </c>
      <c r="O27" s="216" cm="1">
        <f t="array" ref="O27">Fuel_Equations.VEERG_8_1_1_1__1_FuelCombustionTransport($L27,$G27,$I27)</f>
        <v>0</v>
      </c>
      <c r="P27" s="216" cm="1">
        <f t="array" ref="P27">Fuel_Equations.VEERG_8_1_1_1__1_FuelCombustionTransport($L27,$G27,$J27)</f>
        <v>0</v>
      </c>
      <c r="Q27" s="216" cm="1">
        <f t="array" ref="Q27">Scope3_Equations.VEERG_15_11_1_1__2_UpstreamTransportFuelEmissions(L27,G27,K27)</f>
        <v>0</v>
      </c>
    </row>
    <row r="28" spans="1:17" ht="20.100000000000001" customHeight="1" x14ac:dyDescent="0.25">
      <c r="A28" s="5" t="str">
        <f>HYPERLINK("#'5.1.1.1-2 Inorganic fert N2O'!A1", "5.1.1.1-2 Inorganic fert N2O")</f>
        <v>5.1.1.1-2 Inorganic fert N2O</v>
      </c>
      <c r="D28" s="217" t="str">
        <f t="shared" si="0"/>
        <v>Cars and light commercial vehicles</v>
      </c>
      <c r="E28" s="215" t="str">
        <f>'Constants - Fuel'!$E$13</f>
        <v>Fuel oil</v>
      </c>
      <c r="F28" s="215" t="str">
        <f>'Constants - Fuel'!G134</f>
        <v>Fuel oil</v>
      </c>
      <c r="G28" s="25" cm="1">
        <f t="array" ref="G28">IFERROR(_xlfn.XLOOKUP(1, (Table_Fuel_EFs_Transport[Fuel combusted]=$E28)*(Table_Fuel_EFs_Transport[Transport type]=$D$25), Table_Fuel_EFs_Transport[Energy Content Factor (GJ per unit of fuel)]), 0)</f>
        <v>39.700000000000003</v>
      </c>
      <c r="H28" s="25" cm="1">
        <f t="array" ref="H28">IFERROR(_xlfn.XLOOKUP(1, (Table_Fuel_EFs_Transport[Fuel combusted]=$E28)*(Table_Fuel_EFs_Transport[Transport type]=$D$25), Table_Fuel_EFs_Transport[Scope 1 Emission Factor (kg CO2 - e / GJ) CO2]), 0)</f>
        <v>73.599999999999994</v>
      </c>
      <c r="I28" s="25" cm="1">
        <f t="array" ref="I28">IFERROR(_xlfn.XLOOKUP(1, (Table_Fuel_EFs_Transport[Fuel combusted]=$E28)*(Table_Fuel_EFs_Transport[Transport type]=$D$25), Table_Fuel_EFs_Transport[Scope 1 Emission Factor (kg CO2 - e / GJ) CH4]), 0)</f>
        <v>0.08</v>
      </c>
      <c r="J28" s="25" cm="1">
        <f t="array" ref="J28">IFERROR(_xlfn.XLOOKUP(1, (Table_Fuel_EFs_Transport[Fuel combusted]=$E28)*(Table_Fuel_EFs_Transport[Transport type]=$D$25), Table_Fuel_EFs_Transport[Scope 1 Emission Factor (kg CO2 - e / GJ) N2O]), 0)</f>
        <v>0.5</v>
      </c>
      <c r="K28" s="25" cm="1">
        <f t="array" ref="K28">IFERROR(_xlfn.XLOOKUP(1, (Table_Fuel_EFs_Transport[Fuel combusted]=$E28)*(Table_Fuel_EFs_Transport[Transport type]=$D$25), Table_Fuel_EFs_Transport[Scope 3 Emission Factor (kg CO2 - e / GJ)]), 0)</f>
        <v>18</v>
      </c>
      <c r="L28" s="194" cm="1">
        <f t="array" ref="L28">Fuel_InputFunctions.Fuel_TotalConsumption(Table_Input_Fuel[Amount consumed], Table_Input_Fuel[Fuel use (select)], D28, Table_Input_Fuel[Fuel type (select)],F28)</f>
        <v>0</v>
      </c>
      <c r="M28" s="194" t="str" cm="1">
        <f t="array" ref="M28">Common_InputFunctions.Utility_LookupValueInTable(F28,Table_FuelTypes_Units[Fuel type],Table_FuelTypes_Units[Unit])</f>
        <v>kL</v>
      </c>
      <c r="N28" s="216" cm="1">
        <f t="array" ref="N28">Fuel_Equations.VEERG_8_1_1_1__1_FuelCombustionTransport($L28,$G28,$H28)</f>
        <v>0</v>
      </c>
      <c r="O28" s="216" cm="1">
        <f t="array" ref="O28">Fuel_Equations.VEERG_8_1_1_1__1_FuelCombustionTransport($L28,$G28,$I28)</f>
        <v>0</v>
      </c>
      <c r="P28" s="216" cm="1">
        <f t="array" ref="P28">Fuel_Equations.VEERG_8_1_1_1__1_FuelCombustionTransport($L28,$G28,$J28)</f>
        <v>0</v>
      </c>
      <c r="Q28" s="216" cm="1">
        <f t="array" ref="Q28">Scope3_Equations.VEERG_15_11_1_1__2_UpstreamTransportFuelEmissions(L28,G28,K28)</f>
        <v>0</v>
      </c>
    </row>
    <row r="29" spans="1:17" ht="20.100000000000001" customHeight="1" x14ac:dyDescent="0.25">
      <c r="A29" s="5" t="str">
        <f>HYPERLINK("#'5.1.1.3-4 Inorganic fert CO2'!A1", "5.1.1.3-4 Inorganic fert CO2")</f>
        <v>5.1.1.3-4 Inorganic fert CO2</v>
      </c>
      <c r="D29" s="217" t="str">
        <f t="shared" si="0"/>
        <v>Cars and light commercial vehicles</v>
      </c>
      <c r="E29" s="215" t="str">
        <f>'Constants - Fuel'!$E$14</f>
        <v>Ethanol</v>
      </c>
      <c r="F29" s="215" t="str">
        <f>'Constants - Fuel'!G135</f>
        <v>Ethanol</v>
      </c>
      <c r="G29" s="25" cm="1">
        <f t="array" ref="G29">IFERROR(_xlfn.XLOOKUP(1, (Table_Fuel_EFs_Transport[Fuel combusted]=$E29)*(Table_Fuel_EFs_Transport[Transport type]=$D$25), Table_Fuel_EFs_Transport[Energy Content Factor (GJ per unit of fuel)]), 0)</f>
        <v>23.4</v>
      </c>
      <c r="H29" s="25" cm="1">
        <f t="array" ref="H29">IFERROR(_xlfn.XLOOKUP(1, (Table_Fuel_EFs_Transport[Fuel combusted]=$E29)*(Table_Fuel_EFs_Transport[Transport type]=$D$25), Table_Fuel_EFs_Transport[Scope 1 Emission Factor (kg CO2 - e / GJ) CO2]), 0)</f>
        <v>0</v>
      </c>
      <c r="I29" s="25" cm="1">
        <f t="array" ref="I29">IFERROR(_xlfn.XLOOKUP(1, (Table_Fuel_EFs_Transport[Fuel combusted]=$E29)*(Table_Fuel_EFs_Transport[Transport type]=$D$25), Table_Fuel_EFs_Transport[Scope 1 Emission Factor (kg CO2 - e / GJ) CH4]), 0)</f>
        <v>0.2</v>
      </c>
      <c r="J29" s="25" cm="1">
        <f t="array" ref="J29">IFERROR(_xlfn.XLOOKUP(1, (Table_Fuel_EFs_Transport[Fuel combusted]=$E29)*(Table_Fuel_EFs_Transport[Transport type]=$D$25), Table_Fuel_EFs_Transport[Scope 1 Emission Factor (kg CO2 - e / GJ) N2O]), 0)</f>
        <v>0.2</v>
      </c>
      <c r="K29" s="25" t="str" cm="1">
        <f t="array" ref="K29">IFERROR(_xlfn.XLOOKUP(1, (Table_Fuel_EFs_Transport[Fuel combusted]=$E29)*(Table_Fuel_EFs_Transport[Transport type]=$D$25), Table_Fuel_EFs_Transport[Scope 3 Emission Factor (kg CO2 - e / GJ)]), 0)</f>
        <v>NE</v>
      </c>
      <c r="L29" s="194" cm="1">
        <f t="array" ref="L29">Fuel_InputFunctions.Fuel_TotalConsumption(Table_Input_Fuel[Amount consumed], Table_Input_Fuel[Fuel use (select)], D29, Table_Input_Fuel[Fuel type (select)],F29)</f>
        <v>0</v>
      </c>
      <c r="M29" s="194" t="str" cm="1">
        <f t="array" ref="M29">Common_InputFunctions.Utility_LookupValueInTable(F29,Table_FuelTypes_Units[Fuel type],Table_FuelTypes_Units[Unit])</f>
        <v>kL</v>
      </c>
      <c r="N29" s="216" cm="1">
        <f t="array" ref="N29">Fuel_Equations.VEERG_8_1_1_1__1_FuelCombustionTransport($L29,$G29,$H29)</f>
        <v>0</v>
      </c>
      <c r="O29" s="216" cm="1">
        <f t="array" ref="O29">Fuel_Equations.VEERG_8_1_1_1__1_FuelCombustionTransport($L29,$G29,$I29)</f>
        <v>0</v>
      </c>
      <c r="P29" s="216" cm="1">
        <f t="array" ref="P29">Fuel_Equations.VEERG_8_1_1_1__1_FuelCombustionTransport($L29,$G29,$J29)</f>
        <v>0</v>
      </c>
      <c r="Q29" s="216" cm="1">
        <f t="array" ref="Q29">Scope3_Equations.VEERG_15_11_1_1__2_UpstreamTransportFuelEmissions(L29,G29,IF(ISNUMBER(K29),K29,0))</f>
        <v>0</v>
      </c>
    </row>
    <row r="30" spans="1:17" ht="20.100000000000001" customHeight="1" x14ac:dyDescent="0.25">
      <c r="A30" s="5" t="str">
        <f>HYPERLINK("#'5.2.1.1-2 Organic Fert N2O'!A1", "5.2.1.1-2 Organic fert N2O")</f>
        <v>5.2.1.1-2 Organic fert N2O</v>
      </c>
      <c r="D30" s="217" t="str">
        <f t="shared" si="0"/>
        <v>Cars and light commercial vehicles</v>
      </c>
      <c r="E30" s="215" t="str">
        <f>'Constants - Fuel'!$E$15</f>
        <v>Biodiesel</v>
      </c>
      <c r="F30" s="215" t="str">
        <f>'Constants - Fuel'!G136</f>
        <v>Biodiesel</v>
      </c>
      <c r="G30" s="25" cm="1">
        <f t="array" ref="G30">IFERROR(_xlfn.XLOOKUP(1, (Table_Fuel_EFs_Transport[Fuel combusted]=$E30)*(Table_Fuel_EFs_Transport[Transport type]=$D$25), Table_Fuel_EFs_Transport[Energy Content Factor (GJ per unit of fuel)]), 0)</f>
        <v>34.6</v>
      </c>
      <c r="H30" s="25" cm="1">
        <f t="array" ref="H30">IFERROR(_xlfn.XLOOKUP(1, (Table_Fuel_EFs_Transport[Fuel combusted]=$E30)*(Table_Fuel_EFs_Transport[Transport type]=$D$25), Table_Fuel_EFs_Transport[Scope 1 Emission Factor (kg CO2 - e / GJ) CO2]), 0)</f>
        <v>0</v>
      </c>
      <c r="I30" s="25" cm="1">
        <f t="array" ref="I30">IFERROR(_xlfn.XLOOKUP(1, (Table_Fuel_EFs_Transport[Fuel combusted]=$E30)*(Table_Fuel_EFs_Transport[Transport type]=$D$25), Table_Fuel_EFs_Transport[Scope 1 Emission Factor (kg CO2 - e / GJ) CH4]), 0)</f>
        <v>0.8</v>
      </c>
      <c r="J30" s="25" cm="1">
        <f t="array" ref="J30">IFERROR(_xlfn.XLOOKUP(1, (Table_Fuel_EFs_Transport[Fuel combusted]=$E30)*(Table_Fuel_EFs_Transport[Transport type]=$D$25), Table_Fuel_EFs_Transport[Scope 1 Emission Factor (kg CO2 - e / GJ) N2O]), 0)</f>
        <v>1.7</v>
      </c>
      <c r="K30" s="25" t="str" cm="1">
        <f t="array" ref="K30">IFERROR(_xlfn.XLOOKUP(1, (Table_Fuel_EFs_Transport[Fuel combusted]=$E30)*(Table_Fuel_EFs_Transport[Transport type]=$D$25), Table_Fuel_EFs_Transport[Scope 3 Emission Factor (kg CO2 - e / GJ)]), 0)</f>
        <v>NE</v>
      </c>
      <c r="L30" s="194" cm="1">
        <f t="array" ref="L30">Fuel_InputFunctions.Fuel_TotalConsumption(Table_Input_Fuel[Amount consumed], Table_Input_Fuel[Fuel use (select)], D30, Table_Input_Fuel[Fuel type (select)],F30)</f>
        <v>0</v>
      </c>
      <c r="M30" s="194" t="str" cm="1">
        <f t="array" ref="M30">Common_InputFunctions.Utility_LookupValueInTable(F30,Table_FuelTypes_Units[Fuel type],Table_FuelTypes_Units[Unit])</f>
        <v>kL</v>
      </c>
      <c r="N30" s="216" cm="1">
        <f t="array" ref="N30">Fuel_Equations.VEERG_8_1_1_1__1_FuelCombustionTransport($L30,$G30,$H30)</f>
        <v>0</v>
      </c>
      <c r="O30" s="216" cm="1">
        <f t="array" ref="O30">Fuel_Equations.VEERG_8_1_1_1__1_FuelCombustionTransport($L30,$G30,$I30)</f>
        <v>0</v>
      </c>
      <c r="P30" s="216" cm="1">
        <f t="array" ref="P30">Fuel_Equations.VEERG_8_1_1_1__1_FuelCombustionTransport($L30,$G30,$J30)</f>
        <v>0</v>
      </c>
      <c r="Q30" s="216" cm="1">
        <f t="array" ref="Q30">Scope3_Equations.VEERG_15_11_1_1__2_UpstreamTransportFuelEmissions(L30,G30,IF(ISNUMBER(K30),K30,0))</f>
        <v>0</v>
      </c>
    </row>
    <row r="31" spans="1:17" ht="20.100000000000001" customHeight="1" x14ac:dyDescent="0.25">
      <c r="A31" s="5" t="str">
        <f>HYPERLINK("#'5.3.1.1-2 Lime CO2'!A1", "5.3.1.1-2 Lime CO2")</f>
        <v>5.3.1.1-2 Lime CO2</v>
      </c>
      <c r="D31" s="217" t="str">
        <f t="shared" si="0"/>
        <v>Cars and light commercial vehicles</v>
      </c>
      <c r="E31" s="215" t="str">
        <f>'Constants - Fuel'!$E$16</f>
        <v>Renewable diesel</v>
      </c>
      <c r="F31" s="215" t="str">
        <f>'Constants - Fuel'!G137</f>
        <v>Renewable diesel</v>
      </c>
      <c r="G31" s="25" cm="1">
        <f t="array" ref="G31">IFERROR(_xlfn.XLOOKUP(1, (Table_Fuel_EFs_Transport[Fuel combusted]=$E31)*(Table_Fuel_EFs_Transport[Transport type]=$D$25), Table_Fuel_EFs_Transport[Energy Content Factor (GJ per unit of fuel)]), 0)</f>
        <v>38.6</v>
      </c>
      <c r="H31" s="25" cm="1">
        <f t="array" ref="H31">IFERROR(_xlfn.XLOOKUP(1, (Table_Fuel_EFs_Transport[Fuel combusted]=$E31)*(Table_Fuel_EFs_Transport[Transport type]=$D$25), Table_Fuel_EFs_Transport[Scope 1 Emission Factor (kg CO2 - e / GJ) CO2]), 0)</f>
        <v>0</v>
      </c>
      <c r="I31" s="25" cm="1">
        <f t="array" ref="I31">IFERROR(_xlfn.XLOOKUP(1, (Table_Fuel_EFs_Transport[Fuel combusted]=$E31)*(Table_Fuel_EFs_Transport[Transport type]=$D$25), Table_Fuel_EFs_Transport[Scope 1 Emission Factor (kg CO2 - e / GJ) CH4]), 0)</f>
        <v>0.01</v>
      </c>
      <c r="J31" s="25" cm="1">
        <f t="array" ref="J31">IFERROR(_xlfn.XLOOKUP(1, (Table_Fuel_EFs_Transport[Fuel combusted]=$E31)*(Table_Fuel_EFs_Transport[Transport type]=$D$25), Table_Fuel_EFs_Transport[Scope 1 Emission Factor (kg CO2 - e / GJ) N2O]), 0)</f>
        <v>0.5</v>
      </c>
      <c r="K31" s="25" t="str" cm="1">
        <f t="array" ref="K31">IFERROR(_xlfn.XLOOKUP(1, (Table_Fuel_EFs_Transport[Fuel combusted]=$E31)*(Table_Fuel_EFs_Transport[Transport type]=$D$25), Table_Fuel_EFs_Transport[Scope 3 Emission Factor (kg CO2 - e / GJ)]), 0)</f>
        <v>NE</v>
      </c>
      <c r="L31" s="194" cm="1">
        <f t="array" ref="L31">Fuel_InputFunctions.Fuel_TotalConsumption(Table_Input_Fuel[Amount consumed], Table_Input_Fuel[Fuel use (select)], D31, Table_Input_Fuel[Fuel type (select)],F31)</f>
        <v>0</v>
      </c>
      <c r="M31" s="194" t="str" cm="1">
        <f t="array" ref="M31">Common_InputFunctions.Utility_LookupValueInTable(F31,Table_FuelTypes_Units[Fuel type],Table_FuelTypes_Units[Unit])</f>
        <v>kL</v>
      </c>
      <c r="N31" s="216" cm="1">
        <f t="array" ref="N31">Fuel_Equations.VEERG_8_1_1_1__1_FuelCombustionTransport($L31,$G31,$H31)</f>
        <v>0</v>
      </c>
      <c r="O31" s="216" cm="1">
        <f t="array" ref="O31">Fuel_Equations.VEERG_8_1_1_1__1_FuelCombustionTransport($L31,$G31,$I31)</f>
        <v>0</v>
      </c>
      <c r="P31" s="216" cm="1">
        <f t="array" ref="P31">Fuel_Equations.VEERG_8_1_1_1__1_FuelCombustionTransport($L31,$G31,$J31)</f>
        <v>0</v>
      </c>
      <c r="Q31" s="216" cm="1">
        <f t="array" ref="Q31">Scope3_Equations.VEERG_15_11_1_1__2_UpstreamTransportFuelEmissions(L31,G31,IF(ISNUMBER(K31),K31,0))</f>
        <v>0</v>
      </c>
    </row>
    <row r="32" spans="1:17" ht="20.100000000000001" customHeight="1" x14ac:dyDescent="0.25">
      <c r="A32" s="5" t="str">
        <f>HYPERLINK("#'5.4.1.1-4 Atmos deposition'!A1", "5.4.1.1-4 Atmos. deposition")</f>
        <v>5.4.1.1-4 Atmos. deposition</v>
      </c>
      <c r="D32" s="217" t="str">
        <f t="shared" si="0"/>
        <v>Cars and light commercial vehicles</v>
      </c>
      <c r="E32" s="215" t="str">
        <f>'Constants - Fuel'!$E$17</f>
        <v>Other biofuels</v>
      </c>
      <c r="F32" s="215" t="str">
        <f>'Constants - Fuel'!G138</f>
        <v>Other biofuels</v>
      </c>
      <c r="G32" s="25" cm="1">
        <f t="array" ref="G32">IFERROR(_xlfn.XLOOKUP(1, (Table_Fuel_EFs_Transport[Fuel combusted]=$E32)*(Table_Fuel_EFs_Transport[Transport type]=$D$25), Table_Fuel_EFs_Transport[Energy Content Factor (GJ per unit of fuel)]), 0)</f>
        <v>23.4</v>
      </c>
      <c r="H32" s="25" cm="1">
        <f t="array" ref="H32">IFERROR(_xlfn.XLOOKUP(1, (Table_Fuel_EFs_Transport[Fuel combusted]=$E32)*(Table_Fuel_EFs_Transport[Transport type]=$D$25), Table_Fuel_EFs_Transport[Scope 1 Emission Factor (kg CO2 - e / GJ) CO2]), 0)</f>
        <v>0</v>
      </c>
      <c r="I32" s="25" cm="1">
        <f t="array" ref="I32">IFERROR(_xlfn.XLOOKUP(1, (Table_Fuel_EFs_Transport[Fuel combusted]=$E32)*(Table_Fuel_EFs_Transport[Transport type]=$D$25), Table_Fuel_EFs_Transport[Scope 1 Emission Factor (kg CO2 - e / GJ) CH4]), 0)</f>
        <v>0.8</v>
      </c>
      <c r="J32" s="25" cm="1">
        <f t="array" ref="J32">IFERROR(_xlfn.XLOOKUP(1, (Table_Fuel_EFs_Transport[Fuel combusted]=$E32)*(Table_Fuel_EFs_Transport[Transport type]=$D$25), Table_Fuel_EFs_Transport[Scope 1 Emission Factor (kg CO2 - e / GJ) N2O]), 0)</f>
        <v>1.7</v>
      </c>
      <c r="K32" s="213" t="str" cm="1">
        <f t="array" ref="K32">IFERROR(_xlfn.XLOOKUP(1, (Table_Fuel_EFs_Transport[Fuel combusted]=$E32)*(Table_Fuel_EFs_Transport[Transport type]=$D$25), Table_Fuel_EFs_Transport[Scope 3 Emission Factor (kg CO2 - e / GJ)]), 0)</f>
        <v>NE</v>
      </c>
      <c r="L32" s="218" cm="1">
        <f t="array" ref="L32">Fuel_InputFunctions.Fuel_TotalConsumption(Table_Input_Fuel[Amount consumed], Table_Input_Fuel[Fuel use (select)], D32, Table_Input_Fuel[Fuel type (select)],F32)</f>
        <v>0</v>
      </c>
      <c r="M32" s="194" t="str" cm="1">
        <f t="array" ref="M32">Common_InputFunctions.Utility_LookupValueInTable(F32,Table_FuelTypes_Units[Fuel type],Table_FuelTypes_Units[Unit])</f>
        <v>kL</v>
      </c>
      <c r="N32" s="219" cm="1">
        <f t="array" ref="N32">Fuel_Equations.VEERG_8_1_1_1__1_FuelCombustionTransport($L32,$G32,$H32)</f>
        <v>0</v>
      </c>
      <c r="O32" s="219" cm="1">
        <f t="array" ref="O32">Fuel_Equations.VEERG_8_1_1_1__1_FuelCombustionTransport($L32,$G32,$I32)</f>
        <v>0</v>
      </c>
      <c r="P32" s="219" cm="1">
        <f t="array" ref="P32">Fuel_Equations.VEERG_8_1_1_1__1_FuelCombustionTransport($L32,$G32,$J32)</f>
        <v>0</v>
      </c>
      <c r="Q32" s="216" cm="1">
        <f t="array" ref="Q32">Scope3_Equations.VEERG_15_11_1_1__2_UpstreamTransportFuelEmissions(L32,G32,IF(ISNUMBER(K32),K32,0))</f>
        <v>0</v>
      </c>
    </row>
    <row r="33" spans="1:17" ht="20.100000000000001" customHeight="1" x14ac:dyDescent="0.25">
      <c r="A33" s="5" t="str">
        <f>HYPERLINK("#'5.5.1.1-2 Leaching and runoff'!A1", "5.5.1.1-2 Leaching &amp; runoff")</f>
        <v>5.5.1.1-2 Leaching &amp; runoff</v>
      </c>
      <c r="D33" s="220" t="str">
        <f>Table_FuelTypesPerUse[[#Headers],[Off-road Agriculture and forestry equipment]]</f>
        <v>Off-road Agriculture and forestry equipment</v>
      </c>
      <c r="E33" s="221" t="str">
        <f>'Constants - Fuel'!$E$11</f>
        <v>Diesel oil</v>
      </c>
      <c r="F33" s="221" t="str">
        <f>'Constants - Fuel'!H131</f>
        <v>Diesel</v>
      </c>
      <c r="G33" s="222" cm="1">
        <f t="array" ref="G33">IFERROR(_xlfn.XLOOKUP(1, (Table_Fuel_EFs_Transport[Fuel combusted]=$E33)*(Table_Fuel_EFs_Transport[Transport type]=$D$33), Table_Fuel_EFs_Transport[Energy Content Factor (GJ per unit of fuel)]), 0)</f>
        <v>38.6</v>
      </c>
      <c r="H33" s="222" cm="1">
        <f t="array" ref="H33">IFERROR(_xlfn.XLOOKUP(1, (Table_Fuel_EFs_Transport[Fuel combusted]=$E33)*(Table_Fuel_EFs_Transport[Transport type]=$D$33), Table_Fuel_EFs_Transport[Scope 1 Emission Factor (kg CO2 - e / GJ) CO2]), 0)</f>
        <v>69.900000000000006</v>
      </c>
      <c r="I33" s="222" cm="1">
        <f t="array" ref="I33">IFERROR(_xlfn.XLOOKUP(1, (Table_Fuel_EFs_Transport[Fuel combusted]=$E33)*(Table_Fuel_EFs_Transport[Transport type]=$D$33), Table_Fuel_EFs_Transport[Scope 1 Emission Factor (kg CO2 - e / GJ) CH4]), 0)</f>
        <v>0.3</v>
      </c>
      <c r="J33" s="222" cm="1">
        <f t="array" ref="J33">IFERROR(_xlfn.XLOOKUP(1, (Table_Fuel_EFs_Transport[Fuel combusted]=$E33)*(Table_Fuel_EFs_Transport[Transport type]=$D$33), Table_Fuel_EFs_Transport[Scope 1 Emission Factor (kg CO2 - e / GJ) N2O]), 0)</f>
        <v>0.5</v>
      </c>
      <c r="K33" s="223" cm="1">
        <f t="array" ref="K33">IFERROR(_xlfn.XLOOKUP(1, (Table_Fuel_EFs_Transport[Fuel combusted]=$E33)*(Table_Fuel_EFs_Transport[Transport type]=$D$25), Table_Fuel_EFs_Transport[Scope 3 Emission Factor (kg CO2 - e / GJ)]), 0)</f>
        <v>17.3</v>
      </c>
      <c r="L33" s="224" cm="1">
        <f t="array" ref="L33">Fuel_InputFunctions.Fuel_TotalConsumption(Table_Input_Fuel[Amount consumed], Table_Input_Fuel[Fuel use (select)], D33, Table_Input_Fuel[Fuel type (select)],F33)</f>
        <v>10</v>
      </c>
      <c r="M33" s="225" t="str" cm="1">
        <f t="array" ref="M33">Common_InputFunctions.Utility_LookupValueInTable(F33,Table_FuelTypes_Units[Fuel type],Table_FuelTypes_Units[Unit])</f>
        <v>kL</v>
      </c>
      <c r="N33" s="226" cm="1">
        <f t="array" ref="N33">Fuel_Equations.VEERG_8_1_1_1__1_FuelCombustionTransport($L33,$G33,$H33)</f>
        <v>26.981400000000001</v>
      </c>
      <c r="O33" s="226" cm="1">
        <f t="array" ref="O33">Fuel_Equations.VEERG_8_1_1_1__1_FuelCombustionTransport($L33,$G33,$I33)</f>
        <v>0.1158</v>
      </c>
      <c r="P33" s="226" cm="1">
        <f t="array" ref="P33">Fuel_Equations.VEERG_8_1_1_1__1_FuelCombustionTransport($L33,$G33,$J33)</f>
        <v>0.193</v>
      </c>
      <c r="Q33" s="227" cm="1">
        <f t="array" ref="Q33">Scope3_Equations.VEERG_15_11_1_1__2_UpstreamTransportFuelEmissions(L33,G33,K33)</f>
        <v>6.6778000000000004</v>
      </c>
    </row>
    <row r="34" spans="1:17" ht="20.100000000000001" customHeight="1" x14ac:dyDescent="0.25">
      <c r="A34" s="5" t="str">
        <f>HYPERLINK("#'6.2.1.1-2 Pasture residue N2O'!A1", "6.2.1.1-2 Pasture residue N2O")</f>
        <v>6.2.1.1-2 Pasture residue N2O</v>
      </c>
      <c r="D34" s="220" t="str">
        <f>Table_FuelTypesPerUse[[#Headers],[Aviation]]</f>
        <v>Aviation</v>
      </c>
      <c r="E34" s="221" t="str">
        <f>'Constants - Fuel'!$E$28</f>
        <v>Gasoline for use as fuel in an aircraft</v>
      </c>
      <c r="F34" s="221" t="str">
        <f>'Constants - Fuel'!$F$131</f>
        <v>Avgas</v>
      </c>
      <c r="G34" s="228" cm="1">
        <f t="array" ref="G34">IFERROR(_xlfn.XLOOKUP(1, (Table_Fuel_EFs_Transport[Fuel combusted]=$E34)*(Table_Fuel_EFs_Transport[Transport type]=$D$34), Table_Fuel_EFs_Transport[Energy Content Factor (GJ per unit of fuel)]), 0)</f>
        <v>33.1</v>
      </c>
      <c r="H34" s="228" cm="1">
        <f t="array" ref="H34">IFERROR(_xlfn.XLOOKUP(1, (Table_Fuel_EFs_Transport[Fuel combusted]=$E34)*(Table_Fuel_EFs_Transport[Transport type]=$D$34), Table_Fuel_EFs_Transport[Scope 1 Emission Factor (kg CO2 - e / GJ) CO2]), 0)</f>
        <v>67</v>
      </c>
      <c r="I34" s="228" cm="1">
        <f t="array" ref="I34">IFERROR(_xlfn.XLOOKUP(1, (Table_Fuel_EFs_Transport[Fuel combusted]=$E34)*(Table_Fuel_EFs_Transport[Transport type]=$D$34), Table_Fuel_EFs_Transport[Scope 1 Emission Factor (kg CO2 - e / GJ) CH4]), 0)</f>
        <v>0.06</v>
      </c>
      <c r="J34" s="228" cm="1">
        <f t="array" ref="J34">IFERROR(_xlfn.XLOOKUP(1, (Table_Fuel_EFs_Transport[Fuel combusted]=$E34)*(Table_Fuel_EFs_Transport[Transport type]=$D$34), Table_Fuel_EFs_Transport[Scope 1 Emission Factor (kg CO2 - e / GJ) N2O]), 0)</f>
        <v>0.6</v>
      </c>
      <c r="K34" s="228" cm="1">
        <f t="array" ref="K34">IFERROR(_xlfn.XLOOKUP(1, (Table_Fuel_EFs_Transport[Fuel combusted]=$E34)*(Table_Fuel_EFs_Transport[Transport type]=$D$25), Table_Fuel_EFs_Transport[Scope 3 Emission Factor (kg CO2 - e / GJ)]), 0)</f>
        <v>0</v>
      </c>
      <c r="L34" s="225" cm="1">
        <f t="array" ref="L34">Fuel_InputFunctions.Fuel_TotalConsumption(Table_Input_Fuel[Amount consumed], Table_Input_Fuel[Fuel use (select)], D34, Table_Input_Fuel[Fuel type (select)],F34)</f>
        <v>0</v>
      </c>
      <c r="M34" s="225" t="str" cm="1">
        <f t="array" ref="M34">Common_InputFunctions.Utility_LookupValueInTable(F34,Table_FuelTypes_Units[Fuel type],Table_FuelTypes_Units[Unit])</f>
        <v>kL</v>
      </c>
      <c r="N34" s="226" cm="1">
        <f t="array" ref="N34">Fuel_Equations.VEERG_8_1_1_1__1_FuelCombustionTransport($L34,$G34,$H34)</f>
        <v>0</v>
      </c>
      <c r="O34" s="226" cm="1">
        <f t="array" ref="O34">Fuel_Equations.VEERG_8_1_1_1__1_FuelCombustionTransport($L34,$G34,$I34)</f>
        <v>0</v>
      </c>
      <c r="P34" s="226" cm="1">
        <f t="array" ref="P34">Fuel_Equations.VEERG_8_1_1_1__1_FuelCombustionTransport($L34,$G34,$J34)</f>
        <v>0</v>
      </c>
      <c r="Q34" s="226" cm="1">
        <f t="array" ref="Q34">Scope3_Equations.VEERG_15_11_1_1__2_UpstreamTransportFuelEmissions(L34,G34,K34)</f>
        <v>0</v>
      </c>
    </row>
    <row r="35" spans="1:17" ht="20.100000000000001" customHeight="1" x14ac:dyDescent="0.25">
      <c r="A35" s="5" t="str">
        <f>HYPERLINK("#'6.3.1.1-2 Leach runoff pasture'!A1", "6.3.1.1-2 Leach &amp; runoff (pasture)")</f>
        <v>6.3.1.1-2 Leach &amp; runoff (pasture)</v>
      </c>
      <c r="D35" s="217" t="str">
        <f>$D$34</f>
        <v>Aviation</v>
      </c>
      <c r="E35" s="215" t="str">
        <f>'Constants - Fuel'!$E$29</f>
        <v>Kerosene for use as fuel in an aircraft</v>
      </c>
      <c r="F35" s="215" t="str">
        <f>'Constants - Fuel'!$F$132</f>
        <v>Jet A1, Jet B</v>
      </c>
      <c r="G35" s="25" cm="1">
        <f t="array" ref="G35">IFERROR(_xlfn.XLOOKUP(1, (Table_Fuel_EFs_Transport[Fuel combusted]=$E35)*(Table_Fuel_EFs_Transport[Transport type]=$D$34), Table_Fuel_EFs_Transport[Energy Content Factor (GJ per unit of fuel)]), 0)</f>
        <v>36.799999999999997</v>
      </c>
      <c r="H35" s="25" cm="1">
        <f t="array" ref="H35">IFERROR(_xlfn.XLOOKUP(1, (Table_Fuel_EFs_Transport[Fuel combusted]=$E35)*(Table_Fuel_EFs_Transport[Transport type]=$D$34), Table_Fuel_EFs_Transport[Scope 1 Emission Factor (kg CO2 - e / GJ) CO2]), 0)</f>
        <v>69.599999999999994</v>
      </c>
      <c r="I35" s="25" cm="1">
        <f t="array" ref="I35">IFERROR(_xlfn.XLOOKUP(1, (Table_Fuel_EFs_Transport[Fuel combusted]=$E35)*(Table_Fuel_EFs_Transport[Transport type]=$D$34), Table_Fuel_EFs_Transport[Scope 1 Emission Factor (kg CO2 - e / GJ) CH4]), 0)</f>
        <v>0.01</v>
      </c>
      <c r="J35" s="25" cm="1">
        <f t="array" ref="J35">IFERROR(_xlfn.XLOOKUP(1, (Table_Fuel_EFs_Transport[Fuel combusted]=$E35)*(Table_Fuel_EFs_Transport[Transport type]=$D$34), Table_Fuel_EFs_Transport[Scope 1 Emission Factor (kg CO2 - e / GJ) N2O]), 0)</f>
        <v>0.6</v>
      </c>
      <c r="K35" s="25" cm="1">
        <f t="array" ref="K35">IFERROR(_xlfn.XLOOKUP(1, (Table_Fuel_EFs_Transport[Fuel combusted]=$E35)*(Table_Fuel_EFs_Transport[Transport type]=$D$25), Table_Fuel_EFs_Transport[Scope 3 Emission Factor (kg CO2 - e / GJ)]), 0)</f>
        <v>0</v>
      </c>
      <c r="L35" s="194" cm="1">
        <f t="array" ref="L35">Fuel_InputFunctions.Fuel_TotalConsumption(Table_Input_Fuel[Amount consumed], Table_Input_Fuel[Fuel use (select)], D35, Table_Input_Fuel[Fuel type (select)],F35)</f>
        <v>0</v>
      </c>
      <c r="M35" s="194" t="str" cm="1">
        <f t="array" ref="M35">Common_InputFunctions.Utility_LookupValueInTable(F35,Table_FuelTypes_Units[Fuel type],Table_FuelTypes_Units[Unit])</f>
        <v>kL</v>
      </c>
      <c r="N35" s="216" cm="1">
        <f t="array" ref="N35">Fuel_Equations.VEERG_8_1_1_1__1_FuelCombustionTransport($L35,$G35,$H35)</f>
        <v>0</v>
      </c>
      <c r="O35" s="216" cm="1">
        <f t="array" ref="O35">Fuel_Equations.VEERG_8_1_1_1__1_FuelCombustionTransport($L35,$G35,$I35)</f>
        <v>0</v>
      </c>
      <c r="P35" s="216" cm="1">
        <f t="array" ref="P35">Fuel_Equations.VEERG_8_1_1_1__1_FuelCombustionTransport($L35,$G35,$J35)</f>
        <v>0</v>
      </c>
      <c r="Q35" s="216" cm="1">
        <f t="array" ref="Q35">Scope3_Equations.VEERG_15_11_1_1__2_UpstreamTransportFuelEmissions(L35,G35,K35)</f>
        <v>0</v>
      </c>
    </row>
    <row r="36" spans="1:17" ht="20.100000000000001" customHeight="1" x14ac:dyDescent="0.25">
      <c r="A36" s="119" t="str">
        <f>HYPERLINK("#'8.1.1.1-2 Transport fuel'!A1", "8.1.1.1-2 Transport fuel")</f>
        <v>8.1.1.1-2 Transport fuel</v>
      </c>
      <c r="D36" s="217" t="str">
        <f>$D$34</f>
        <v>Aviation</v>
      </c>
      <c r="E36" s="215" t="str">
        <f>'Constants - Fuel'!$E$30</f>
        <v>Renewable aviation kerosene</v>
      </c>
      <c r="F36" s="215" t="str">
        <f>'Constants - Fuel'!$F$133</f>
        <v>Renewable aviation kerosene</v>
      </c>
      <c r="G36" s="213" cm="1">
        <f t="array" ref="G36">IFERROR(_xlfn.XLOOKUP(1, (Table_Fuel_EFs_Transport[Fuel combusted]=$E36)*(Table_Fuel_EFs_Transport[Transport type]=$D$34), Table_Fuel_EFs_Transport[Energy Content Factor (GJ per unit of fuel)]), 0)</f>
        <v>36.799999999999997</v>
      </c>
      <c r="H36" s="213" cm="1">
        <f t="array" ref="H36">IFERROR(_xlfn.XLOOKUP(1, (Table_Fuel_EFs_Transport[Fuel combusted]=$E36)*(Table_Fuel_EFs_Transport[Transport type]=$D$34), Table_Fuel_EFs_Transport[Scope 1 Emission Factor (kg CO2 - e / GJ) CO2]), 0)</f>
        <v>0</v>
      </c>
      <c r="I36" s="213" cm="1">
        <f t="array" ref="I36">IFERROR(_xlfn.XLOOKUP(1, (Table_Fuel_EFs_Transport[Fuel combusted]=$E36)*(Table_Fuel_EFs_Transport[Transport type]=$D$34), Table_Fuel_EFs_Transport[Scope 1 Emission Factor (kg CO2 - e / GJ) CH4]), 0)</f>
        <v>0.01</v>
      </c>
      <c r="J36" s="213" cm="1">
        <f t="array" ref="J36">IFERROR(_xlfn.XLOOKUP(1, (Table_Fuel_EFs_Transport[Fuel combusted]=$E36)*(Table_Fuel_EFs_Transport[Transport type]=$D$34), Table_Fuel_EFs_Transport[Scope 1 Emission Factor (kg CO2 - e / GJ) N2O]), 0)</f>
        <v>0.6</v>
      </c>
      <c r="K36" s="213" cm="1">
        <f t="array" ref="K36">IFERROR(_xlfn.XLOOKUP(1, (Table_Fuel_EFs_Transport[Fuel combusted]=$E36)*(Table_Fuel_EFs_Transport[Transport type]=$D$25), Table_Fuel_EFs_Transport[Scope 3 Emission Factor (kg CO2 - e / GJ)]), 0)</f>
        <v>0</v>
      </c>
      <c r="L36" s="218" cm="1">
        <f t="array" ref="L36">Fuel_InputFunctions.Fuel_TotalConsumption(Table_Input_Fuel[Amount consumed], Table_Input_Fuel[Fuel use (select)], D36, Table_Input_Fuel[Fuel type (select)],F36)</f>
        <v>0</v>
      </c>
      <c r="M36" s="194" t="str" cm="1">
        <f t="array" ref="M36">Common_InputFunctions.Utility_LookupValueInTable(F36,Table_FuelTypes_Units[Fuel type],Table_FuelTypes_Units[Unit])</f>
        <v>kL</v>
      </c>
      <c r="N36" s="216" cm="1">
        <f t="array" ref="N36">Fuel_Equations.VEERG_8_1_1_1__1_FuelCombustionTransport($L36,$G36,$H36)</f>
        <v>0</v>
      </c>
      <c r="O36" s="216" cm="1">
        <f t="array" ref="O36">Fuel_Equations.VEERG_8_1_1_1__1_FuelCombustionTransport($L36,$G36,$I36)</f>
        <v>0</v>
      </c>
      <c r="P36" s="216" cm="1">
        <f t="array" ref="P36">Fuel_Equations.VEERG_8_1_1_1__1_FuelCombustionTransport($L36,$G36,$J36)</f>
        <v>0</v>
      </c>
      <c r="Q36" s="219" cm="1">
        <f t="array" ref="Q36">Scope3_Equations.VEERG_15_11_1_1__2_UpstreamTransportFuelEmissions(L36,G36,K36)</f>
        <v>0</v>
      </c>
    </row>
    <row r="37" spans="1:17" ht="20.100000000000001" customHeight="1" x14ac:dyDescent="0.25">
      <c r="A37" s="5" t="str">
        <f>HYPERLINK("#'8.2.1.1-2 Stationary fuel'!A1", "8.2.1.1-2 Stationary fuel")</f>
        <v>8.2.1.1-2 Stationary fuel</v>
      </c>
      <c r="D37" s="220" t="str">
        <f>Table_FuelTypesPerUse[[#Headers],[Vessels]]</f>
        <v>Vessels</v>
      </c>
      <c r="E37" s="221" t="str">
        <f>'Constants - Fuel'!$E$10</f>
        <v>Gasoline</v>
      </c>
      <c r="F37" s="221" t="str">
        <f>'Constants - Fuel'!$I$131</f>
        <v>Petrol</v>
      </c>
      <c r="G37" s="228" cm="1">
        <f t="array" ref="G37">IFERROR(_xlfn.XLOOKUP(1, (Table_Fuel_EFs_Transport[Fuel combusted]=$E37)*(Table_Fuel_EFs_Transport[Transport type]=$D$37), Table_Fuel_EFs_Transport[Energy Content Factor (GJ per unit of fuel)]), 0)</f>
        <v>34.200000000000003</v>
      </c>
      <c r="H37" s="228" cm="1">
        <f t="array" ref="H37">IFERROR(_xlfn.XLOOKUP(1, (Table_Fuel_EFs_Transport[Fuel combusted]=$E37)*(Table_Fuel_EFs_Transport[Transport type]=$D$37), Table_Fuel_EFs_Transport[Scope 1 Emission Factor (kg CO2 - e / GJ) CO2]), 0)</f>
        <v>67.400000000000006</v>
      </c>
      <c r="I37" s="228" cm="1">
        <f t="array" ref="I37">IFERROR(_xlfn.XLOOKUP(1, (Table_Fuel_EFs_Transport[Fuel combusted]=$E37)*(Table_Fuel_EFs_Transport[Transport type]=$D$37), Table_Fuel_EFs_Transport[Scope 1 Emission Factor (kg CO2 - e / GJ) CH4]), 0)</f>
        <v>10.1</v>
      </c>
      <c r="J37" s="228" cm="1">
        <f t="array" ref="J37">IFERROR(_xlfn.XLOOKUP(1, (Table_Fuel_EFs_Transport[Fuel combusted]=$E37)*(Table_Fuel_EFs_Transport[Transport type]=$D$37), Table_Fuel_EFs_Transport[Scope 1 Emission Factor (kg CO2 - e / GJ) N2O]), 0)</f>
        <v>0.3</v>
      </c>
      <c r="K37" s="228" cm="1">
        <f t="array" ref="K37">IFERROR(_xlfn.XLOOKUP(1, (Table_Fuel_EFs_Transport[Fuel combusted]=$E37)*(Table_Fuel_EFs_Transport[Transport type]=$D$25), Table_Fuel_EFs_Transport[Scope 3 Emission Factor (kg CO2 - e / GJ)]), 0)</f>
        <v>17.2</v>
      </c>
      <c r="L37" s="225" cm="1">
        <f t="array" ref="L37">Fuel_InputFunctions.Fuel_TotalConsumption(Table_Input_Fuel[Amount consumed], Table_Input_Fuel[Fuel use (select)], D37, Table_Input_Fuel[Fuel type (select)],F37)</f>
        <v>0</v>
      </c>
      <c r="M37" s="229" t="str" cm="1">
        <f t="array" ref="M37">Common_InputFunctions.Utility_LookupValueInTable(F37,Table_FuelTypes_Units[Fuel type],Table_FuelTypes_Units[Unit])</f>
        <v>kL</v>
      </c>
      <c r="N37" s="226" cm="1">
        <f t="array" ref="N37">Fuel_Equations.VEERG_8_1_1_1__1_FuelCombustionTransport($L37,$G37,$H37)</f>
        <v>0</v>
      </c>
      <c r="O37" s="226" cm="1">
        <f t="array" ref="O37">Fuel_Equations.VEERG_8_1_1_1__1_FuelCombustionTransport($L37,$G37,$I37)</f>
        <v>0</v>
      </c>
      <c r="P37" s="226" cm="1">
        <f t="array" ref="P37">Fuel_Equations.VEERG_8_1_1_1__1_FuelCombustionTransport($L37,$G37,$J37)</f>
        <v>0</v>
      </c>
      <c r="Q37" s="226" cm="1">
        <f t="array" ref="Q37">Scope3_Equations.VEERG_15_11_1_1__2_UpstreamTransportFuelEmissions(L37,G37,K37)</f>
        <v>0</v>
      </c>
    </row>
    <row r="38" spans="1:17" ht="20.100000000000001" customHeight="1" x14ac:dyDescent="0.25">
      <c r="A38" s="5" t="str">
        <f>HYPERLINK("#'14.1.1-2 Purchased electricity'!A1", "14.1.1-2 Purchased electricity")</f>
        <v>14.1.1-2 Purchased electricity</v>
      </c>
      <c r="D38" s="217" t="str">
        <f>$D$37</f>
        <v>Vessels</v>
      </c>
      <c r="E38" s="215" t="str">
        <f>'Constants - Fuel'!$E$11</f>
        <v>Diesel oil</v>
      </c>
      <c r="F38" s="215" t="str">
        <f>'Constants - Fuel'!$I$132</f>
        <v>Diesel</v>
      </c>
      <c r="G38" s="25" cm="1">
        <f t="array" ref="G38">IFERROR(_xlfn.XLOOKUP(1, (Table_Fuel_EFs_Transport[Fuel combusted]=$E38)*(Table_Fuel_EFs_Transport[Transport type]=$D$37), Table_Fuel_EFs_Transport[Energy Content Factor (GJ per unit of fuel)]), 0)</f>
        <v>38.6</v>
      </c>
      <c r="H38" s="25" cm="1">
        <f t="array" ref="H38">IFERROR(_xlfn.XLOOKUP(1, (Table_Fuel_EFs_Transport[Fuel combusted]=$E38)*(Table_Fuel_EFs_Transport[Transport type]=$D$37), Table_Fuel_EFs_Transport[Scope 1 Emission Factor (kg CO2 - e / GJ) CO2]), 0)</f>
        <v>69.900000000000006</v>
      </c>
      <c r="I38" s="25" cm="1">
        <f t="array" ref="I38">IFERROR(_xlfn.XLOOKUP(1, (Table_Fuel_EFs_Transport[Fuel combusted]=$E38)*(Table_Fuel_EFs_Transport[Transport type]=$D$37), Table_Fuel_EFs_Transport[Scope 1 Emission Factor (kg CO2 - e / GJ) CH4]), 0)</f>
        <v>0.2</v>
      </c>
      <c r="J38" s="25" cm="1">
        <f t="array" ref="J38">IFERROR(_xlfn.XLOOKUP(1, (Table_Fuel_EFs_Transport[Fuel combusted]=$E38)*(Table_Fuel_EFs_Transport[Transport type]=$D$37), Table_Fuel_EFs_Transport[Scope 1 Emission Factor (kg CO2 - e / GJ) N2O]), 0)</f>
        <v>0.5</v>
      </c>
      <c r="K38" s="25" cm="1">
        <f t="array" ref="K38">IFERROR(_xlfn.XLOOKUP(1, (Table_Fuel_EFs_Transport[Fuel combusted]=$E38)*(Table_Fuel_EFs_Transport[Transport type]=$D$25), Table_Fuel_EFs_Transport[Scope 3 Emission Factor (kg CO2 - e / GJ)]), 0)</f>
        <v>17.3</v>
      </c>
      <c r="L38" s="194" cm="1">
        <f t="array" ref="L38">Fuel_InputFunctions.Fuel_TotalConsumption(Table_Input_Fuel[Amount consumed], Table_Input_Fuel[Fuel use (select)], D38, Table_Input_Fuel[Fuel type (select)],F38)</f>
        <v>0</v>
      </c>
      <c r="M38" s="194" t="str" cm="1">
        <f t="array" ref="M38">Common_InputFunctions.Utility_LookupValueInTable(F38,Table_FuelTypes_Units[Fuel type],Table_FuelTypes_Units[Unit])</f>
        <v>kL</v>
      </c>
      <c r="N38" s="216" cm="1">
        <f t="array" ref="N38">Fuel_Equations.VEERG_8_1_1_1__1_FuelCombustionTransport($L38,$G38,$H38)</f>
        <v>0</v>
      </c>
      <c r="O38" s="216" cm="1">
        <f t="array" ref="O38">Fuel_Equations.VEERG_8_1_1_1__1_FuelCombustionTransport($L38,$G38,$I38)</f>
        <v>0</v>
      </c>
      <c r="P38" s="216" cm="1">
        <f t="array" ref="P38">Fuel_Equations.VEERG_8_1_1_1__1_FuelCombustionTransport($L38,$G38,$J38)</f>
        <v>0</v>
      </c>
      <c r="Q38" s="216" cm="1">
        <f t="array" ref="Q38">Scope3_Equations.VEERG_15_11_1_1__2_UpstreamTransportFuelEmissions(L38,G38,K38)</f>
        <v>0</v>
      </c>
    </row>
    <row r="39" spans="1:17" ht="20.100000000000001" customHeight="1" x14ac:dyDescent="0.25">
      <c r="A39" s="5" t="str">
        <f>HYPERLINK("#'15 Scope 3'!A1", "15 Scope 3")</f>
        <v>15 Scope 3</v>
      </c>
      <c r="D39" s="217" t="str">
        <f>$D$37</f>
        <v>Vessels</v>
      </c>
      <c r="E39" s="215" t="str">
        <f>'Constants - Fuel'!E33</f>
        <v>Fuel Oil</v>
      </c>
      <c r="F39" s="215" t="str">
        <f>'Constants - Fuel'!$I$133</f>
        <v>Fuel oil</v>
      </c>
      <c r="G39" s="25" cm="1">
        <f t="array" ref="G39">IFERROR(_xlfn.XLOOKUP(1, (Table_Fuel_EFs_Transport[Fuel combusted]=$E39)*(Table_Fuel_EFs_Transport[Transport type]=$D$37), Table_Fuel_EFs_Transport[Energy Content Factor (GJ per unit of fuel)]), 0)</f>
        <v>39.700000000000003</v>
      </c>
      <c r="H39" s="25" cm="1">
        <f t="array" ref="H39">IFERROR(_xlfn.XLOOKUP(1, (Table_Fuel_EFs_Transport[Fuel combusted]=$E39)*(Table_Fuel_EFs_Transport[Transport type]=$D$37), Table_Fuel_EFs_Transport[Scope 1 Emission Factor (kg CO2 - e / GJ) CO2]), 0)</f>
        <v>73.599999999999994</v>
      </c>
      <c r="I39" s="25" cm="1">
        <f t="array" ref="I39">IFERROR(_xlfn.XLOOKUP(1, (Table_Fuel_EFs_Transport[Fuel combusted]=$E39)*(Table_Fuel_EFs_Transport[Transport type]=$D$37), Table_Fuel_EFs_Transport[Scope 1 Emission Factor (kg CO2 - e / GJ) CH4]), 0)</f>
        <v>0.2</v>
      </c>
      <c r="J39" s="25" cm="1">
        <f t="array" ref="J39">IFERROR(_xlfn.XLOOKUP(1, (Table_Fuel_EFs_Transport[Fuel combusted]=$E39)*(Table_Fuel_EFs_Transport[Transport type]=$D$37), Table_Fuel_EFs_Transport[Scope 1 Emission Factor (kg CO2 - e / GJ) N2O]), 0)</f>
        <v>0.5</v>
      </c>
      <c r="K39" s="25" cm="1">
        <f t="array" ref="K39">IFERROR(_xlfn.XLOOKUP(1, (Table_Fuel_EFs_Transport[Fuel combusted]=$E39)*(Table_Fuel_EFs_Transport[Transport type]=$D$25), Table_Fuel_EFs_Transport[Scope 3 Emission Factor (kg CO2 - e / GJ)]), 0)</f>
        <v>18</v>
      </c>
      <c r="L39" s="194" cm="1">
        <f t="array" ref="L39">Fuel_InputFunctions.Fuel_TotalConsumption(Table_Input_Fuel[Amount consumed], Table_Input_Fuel[Fuel use (select)], D39, Table_Input_Fuel[Fuel type (select)],F39)</f>
        <v>10</v>
      </c>
      <c r="M39" s="194" t="str" cm="1">
        <f t="array" ref="M39">Common_InputFunctions.Utility_LookupValueInTable(F39,Table_FuelTypes_Units[Fuel type],Table_FuelTypes_Units[Unit])</f>
        <v>kL</v>
      </c>
      <c r="N39" s="216" cm="1">
        <f t="array" ref="N39">Fuel_Equations.VEERG_8_1_1_1__1_FuelCombustionTransport($L39,$G39,$H39)</f>
        <v>29.219199999999997</v>
      </c>
      <c r="O39" s="216" cm="1">
        <f t="array" ref="O39">Fuel_Equations.VEERG_8_1_1_1__1_FuelCombustionTransport($L39,$G39,$I39)</f>
        <v>7.9400000000000012E-2</v>
      </c>
      <c r="P39" s="216" cm="1">
        <f t="array" ref="P39">Fuel_Equations.VEERG_8_1_1_1__1_FuelCombustionTransport($L39,$G39,$J39)</f>
        <v>0.19850000000000001</v>
      </c>
      <c r="Q39" s="216" cm="1">
        <f t="array" ref="Q39">Scope3_Equations.VEERG_15_11_1_1__2_UpstreamTransportFuelEmissions(L39,G39,K39)</f>
        <v>7.1459999999999999</v>
      </c>
    </row>
    <row r="40" spans="1:17" ht="20.100000000000001" customHeight="1" x14ac:dyDescent="0.25">
      <c r="A40" s="5" t="str">
        <f>HYPERLINK("#'Calcs - Manure sent off-site'!A1", "Calcs - Manure sent off-site")</f>
        <v>Calcs - Manure sent off-site</v>
      </c>
      <c r="H40" s="191"/>
      <c r="I40" s="191"/>
      <c r="J40" s="191"/>
      <c r="L40" s="191"/>
      <c r="M40" s="191"/>
      <c r="N40" s="191"/>
      <c r="O40" s="191"/>
      <c r="P40" s="191"/>
      <c r="Q40" s="191"/>
    </row>
    <row r="41" spans="1:17" ht="20.100000000000001" customHeight="1" x14ac:dyDescent="0.25">
      <c r="A41" s="5" t="str">
        <f>HYPERLINK("#'4.3.1.1-2 Methane'!A1", "4.3.1.1-2 Methane")</f>
        <v>4.3.1.1-2 Methane</v>
      </c>
      <c r="H41" s="191"/>
      <c r="I41" s="191"/>
      <c r="J41" s="191"/>
      <c r="L41" s="191"/>
      <c r="M41" s="191"/>
      <c r="N41" s="191"/>
      <c r="O41" s="191"/>
      <c r="P41" s="191"/>
      <c r="Q41" s="191"/>
    </row>
    <row r="42" spans="1:17" ht="20.100000000000001" customHeight="1" x14ac:dyDescent="0.25">
      <c r="A42" s="5" t="str">
        <f>HYPERLINK("#'4.3.1.3-4 Direct N20'!A1", "4.3.1.3-4 Direct N20")</f>
        <v>4.3.1.3-4 Direct N20</v>
      </c>
      <c r="D42" s="230" t="str">
        <f>"Total scope 1 - " &amp; D25</f>
        <v>Total scope 1 - Cars and light commercial vehicles</v>
      </c>
      <c r="E42" s="231"/>
      <c r="F42" s="232"/>
    </row>
    <row r="43" spans="1:17" ht="20.100000000000001" customHeight="1" x14ac:dyDescent="0.25">
      <c r="A43" s="5" t="str">
        <f>HYPERLINK("#'4.3.1.5 Atmos deposition'!A1", "4.3.1.5 Atmos deposition")</f>
        <v>4.3.1.5 Atmos deposition</v>
      </c>
      <c r="D43" s="34" t="s">
        <v>818</v>
      </c>
      <c r="E43" s="233">
        <f>SUM(N25:N32)</f>
        <v>26.981400000000001</v>
      </c>
      <c r="F43" s="26" t="str">
        <f>$E$12</f>
        <v>t CO2-e</v>
      </c>
    </row>
    <row r="44" spans="1:17" ht="20.100000000000001" customHeight="1" x14ac:dyDescent="0.25">
      <c r="A44" s="5" t="str">
        <f>HYPERLINK("#'4.3.1.6-7 Leaching and runoff'!A1", "4.3.1.6-7 Leaching and runoff")</f>
        <v>4.3.1.6-7 Leaching and runoff</v>
      </c>
      <c r="D44" s="34" t="s">
        <v>819</v>
      </c>
      <c r="E44" s="233">
        <f>SUM(O25:O32)</f>
        <v>3.8600000000000001E-3</v>
      </c>
      <c r="F44" s="26" t="str">
        <f t="shared" ref="F44:F46" si="1">$E$12</f>
        <v>t CO2-e</v>
      </c>
    </row>
    <row r="45" spans="1:17" ht="20.100000000000001" customHeight="1" x14ac:dyDescent="0.25">
      <c r="A45" s="5" t="str">
        <f>HYPERLINK("#'4.3.1.8 Manure applied to soils'!A1", "4.3.1.8 Manure applied to soils")</f>
        <v>4.3.1.8 Manure applied to soils</v>
      </c>
      <c r="D45" s="34" t="s">
        <v>820</v>
      </c>
      <c r="E45" s="233">
        <f>SUM(P25:P32)</f>
        <v>0.193</v>
      </c>
      <c r="F45" s="26" t="str">
        <f t="shared" si="1"/>
        <v>t CO2-e</v>
      </c>
    </row>
    <row r="46" spans="1:17" ht="20.100000000000001" customHeight="1" x14ac:dyDescent="0.25">
      <c r="A46" s="5" t="str">
        <f>HYPERLINK("#'4.3.1.9 Soil direct N2O'!A1", "4.3.1.9 Soil direct N2O")</f>
        <v>4.3.1.9 Soil direct N2O</v>
      </c>
      <c r="D46" s="34" t="s">
        <v>821</v>
      </c>
      <c r="E46" s="233">
        <f>SUM(Q25:Q32)</f>
        <v>6.6778000000000004</v>
      </c>
      <c r="F46" s="26" t="str">
        <f t="shared" si="1"/>
        <v>t CO2-e</v>
      </c>
    </row>
    <row r="47" spans="1:17" ht="20.100000000000001" customHeight="1" x14ac:dyDescent="0.25">
      <c r="A47" s="5" t="str">
        <f>HYPERLINK("#'4.3.1.10-11 Soil Atmos Dep'!A1", "4.3.1.10-11 Soil Atmos Dep")</f>
        <v>4.3.1.10-11 Soil Atmos Dep</v>
      </c>
      <c r="D47" s="191"/>
      <c r="E47" s="191"/>
      <c r="F47" s="191"/>
    </row>
    <row r="48" spans="1:17" ht="20.100000000000001" customHeight="1" x14ac:dyDescent="0.25">
      <c r="A48" s="5" t="str">
        <f>HYPERLINK("#'4.3.1.12-13 Soil leach runoff'!A1", "4.3.1.12-13 Soil leach runoff")</f>
        <v>4.3.1.12-13 Soil leach runoff</v>
      </c>
      <c r="D48" s="230" t="str">
        <f>"Total scope 1 - " &amp; D33</f>
        <v>Total scope 1 - Off-road Agriculture and forestry equipment</v>
      </c>
      <c r="E48" s="234"/>
      <c r="F48" s="232"/>
      <c r="H48" s="191"/>
      <c r="I48" s="191"/>
      <c r="J48" s="191"/>
      <c r="L48" s="191"/>
      <c r="M48" s="191"/>
      <c r="N48" s="191"/>
      <c r="O48" s="191"/>
      <c r="P48" s="191"/>
      <c r="Q48" s="191"/>
    </row>
    <row r="49" spans="1:17" ht="20.100000000000001" customHeight="1" x14ac:dyDescent="0.25">
      <c r="A49" s="5" t="str">
        <f>HYPERLINK("#'3.3.1.1-2 Enteric Methane'!A1", "3.3.1.1-2 Enteric Methane")</f>
        <v>3.3.1.1-2 Enteric Methane</v>
      </c>
      <c r="D49" s="34" t="s">
        <v>818</v>
      </c>
      <c r="E49" s="233">
        <f>SUM(N33:N33)</f>
        <v>26.981400000000001</v>
      </c>
      <c r="F49" s="26" t="str">
        <f t="shared" ref="F49:F52" si="2">$E$12</f>
        <v>t CO2-e</v>
      </c>
      <c r="H49" s="191"/>
      <c r="I49" s="191"/>
      <c r="J49" s="191"/>
      <c r="L49" s="191"/>
      <c r="M49" s="191"/>
      <c r="N49" s="191"/>
      <c r="O49" s="191"/>
      <c r="P49" s="191"/>
      <c r="Q49" s="191"/>
    </row>
    <row r="50" spans="1:17" ht="20.100000000000001" customHeight="1" x14ac:dyDescent="0.25">
      <c r="A50" s="5" t="str">
        <f>HYPERLINK("#'10.1.1-2 Solid waste treatment'!A1", "10.1.1-2 Solid waste treatment")</f>
        <v>10.1.1-2 Solid waste treatment</v>
      </c>
      <c r="D50" s="34" t="s">
        <v>819</v>
      </c>
      <c r="E50" s="233">
        <f>SUM(O33:O33)</f>
        <v>0.1158</v>
      </c>
      <c r="F50" s="26" t="str">
        <f t="shared" si="2"/>
        <v>t CO2-e</v>
      </c>
      <c r="H50" s="191"/>
      <c r="I50" s="191"/>
      <c r="J50" s="191"/>
      <c r="L50" s="191"/>
      <c r="M50" s="191"/>
      <c r="N50" s="191"/>
      <c r="O50" s="191"/>
      <c r="P50" s="191"/>
      <c r="Q50" s="191"/>
    </row>
    <row r="51" spans="1:17" ht="20.100000000000001" customHeight="1" x14ac:dyDescent="0.25">
      <c r="D51" s="34" t="s">
        <v>820</v>
      </c>
      <c r="E51" s="233">
        <f>SUM(P33:P33)</f>
        <v>0.193</v>
      </c>
      <c r="F51" s="26" t="str">
        <f t="shared" si="2"/>
        <v>t CO2-e</v>
      </c>
      <c r="H51" s="191"/>
      <c r="I51" s="191"/>
      <c r="J51" s="191"/>
      <c r="L51" s="191"/>
      <c r="M51" s="191"/>
      <c r="N51" s="191"/>
      <c r="O51" s="191"/>
      <c r="P51" s="191"/>
      <c r="Q51" s="191"/>
    </row>
    <row r="52" spans="1:17" ht="20.100000000000001" customHeight="1" x14ac:dyDescent="0.25">
      <c r="D52" s="34" t="s">
        <v>821</v>
      </c>
      <c r="E52" s="233">
        <f>SUM(Q33)</f>
        <v>6.6778000000000004</v>
      </c>
      <c r="F52" s="26" t="str">
        <f t="shared" si="2"/>
        <v>t CO2-e</v>
      </c>
      <c r="H52" s="191"/>
      <c r="I52" s="191"/>
      <c r="J52" s="191"/>
      <c r="L52" s="191"/>
      <c r="M52" s="191"/>
      <c r="N52" s="191"/>
      <c r="O52" s="191"/>
      <c r="P52" s="191"/>
      <c r="Q52" s="191"/>
    </row>
    <row r="53" spans="1:17" ht="20.100000000000001" customHeight="1" x14ac:dyDescent="0.25">
      <c r="A53" s="100" t="s">
        <v>1</v>
      </c>
      <c r="D53" s="191"/>
      <c r="E53" s="235"/>
      <c r="F53" s="191"/>
      <c r="G53" s="191"/>
      <c r="H53" s="191"/>
      <c r="I53" s="191"/>
      <c r="J53" s="191"/>
      <c r="L53" s="191"/>
      <c r="M53" s="191"/>
      <c r="N53" s="191"/>
      <c r="O53" s="191"/>
      <c r="P53" s="191"/>
      <c r="Q53" s="191"/>
    </row>
    <row r="54" spans="1:17" ht="20.100000000000001" customHeight="1" x14ac:dyDescent="0.25">
      <c r="A54" s="5" t="str">
        <f>HYPERLINK("#'Constants - Dairy'!A1", "Constants - Dairy")</f>
        <v>Constants - Dairy</v>
      </c>
      <c r="D54" s="230" t="str">
        <f>"Total scope 1 - " &amp; D34</f>
        <v>Total scope 1 - Aviation</v>
      </c>
      <c r="E54" s="234"/>
      <c r="F54" s="232"/>
      <c r="G54" s="191"/>
      <c r="H54" s="191"/>
      <c r="I54" s="191"/>
      <c r="J54" s="191"/>
      <c r="L54" s="191"/>
      <c r="M54" s="191"/>
      <c r="N54" s="191"/>
      <c r="O54" s="191"/>
      <c r="P54" s="191"/>
      <c r="Q54" s="191"/>
    </row>
    <row r="55" spans="1:17" ht="20.100000000000001" customHeight="1" x14ac:dyDescent="0.25">
      <c r="A55" s="5" t="str">
        <f>HYPERLINK("#'Constants - Ag Residue'!A1", "Constants - Ag residue")</f>
        <v>Constants - Ag residue</v>
      </c>
      <c r="D55" s="34" t="s">
        <v>818</v>
      </c>
      <c r="E55" s="233">
        <f>SUM(N34:N36)</f>
        <v>0</v>
      </c>
      <c r="F55" s="26" t="str">
        <f t="shared" ref="F55:F58" si="3">$E$12</f>
        <v>t CO2-e</v>
      </c>
      <c r="G55" s="191"/>
      <c r="H55" s="191"/>
      <c r="I55" s="191"/>
      <c r="J55" s="191"/>
      <c r="L55" s="191"/>
      <c r="M55" s="191"/>
      <c r="N55" s="191"/>
      <c r="O55" s="191"/>
      <c r="P55" s="191"/>
      <c r="Q55" s="191"/>
    </row>
    <row r="56" spans="1:17" ht="20.100000000000001" customHeight="1" x14ac:dyDescent="0.25">
      <c r="A56" s="5" t="str">
        <f>HYPERLINK("#'Constants - Common Livestock'!A1", "Constants - Common Livestock")</f>
        <v>Constants - Common Livestock</v>
      </c>
      <c r="D56" s="34" t="s">
        <v>819</v>
      </c>
      <c r="E56" s="233">
        <f>SUM(O34:O36)</f>
        <v>0</v>
      </c>
      <c r="F56" s="26" t="str">
        <f t="shared" si="3"/>
        <v>t CO2-e</v>
      </c>
      <c r="G56" s="191"/>
      <c r="H56" s="191"/>
      <c r="I56" s="191"/>
      <c r="J56" s="191"/>
      <c r="L56" s="191"/>
      <c r="M56" s="191"/>
      <c r="N56" s="191"/>
      <c r="O56" s="191"/>
      <c r="P56" s="191"/>
      <c r="Q56" s="191"/>
    </row>
    <row r="57" spans="1:17" ht="20.100000000000001" customHeight="1" x14ac:dyDescent="0.25">
      <c r="A57" s="5" t="str">
        <f>HYPERLINK("#'Constants - Electricity'!A1", "Constants - Electricity")</f>
        <v>Constants - Electricity</v>
      </c>
      <c r="D57" s="34" t="s">
        <v>820</v>
      </c>
      <c r="E57" s="233">
        <f>SUM(P34:P36)</f>
        <v>0</v>
      </c>
      <c r="F57" s="26" t="str">
        <f t="shared" si="3"/>
        <v>t CO2-e</v>
      </c>
      <c r="G57" s="191"/>
      <c r="H57" s="191"/>
      <c r="I57" s="191"/>
      <c r="J57" s="191"/>
      <c r="L57" s="191"/>
      <c r="M57" s="191"/>
      <c r="N57" s="191"/>
      <c r="O57" s="191"/>
      <c r="P57" s="191"/>
      <c r="Q57" s="191"/>
    </row>
    <row r="58" spans="1:17" ht="20.100000000000001" customHeight="1" x14ac:dyDescent="0.25">
      <c r="A58" s="5" t="str">
        <f>HYPERLINK("#'Constants - Fertiliser'!A1", "Constants - Fertiliser")</f>
        <v>Constants - Fertiliser</v>
      </c>
      <c r="D58" s="34" t="s">
        <v>821</v>
      </c>
      <c r="E58" s="233">
        <f>SUM(Q34:Q36)</f>
        <v>0</v>
      </c>
      <c r="F58" s="26" t="str">
        <f t="shared" si="3"/>
        <v>t CO2-e</v>
      </c>
      <c r="G58" s="191"/>
      <c r="H58" s="191"/>
      <c r="I58" s="191"/>
      <c r="J58" s="191"/>
      <c r="L58" s="191"/>
      <c r="M58" s="191"/>
      <c r="N58" s="191"/>
      <c r="O58" s="191"/>
      <c r="P58" s="191"/>
      <c r="Q58" s="191"/>
    </row>
    <row r="59" spans="1:17" ht="20.100000000000001" customHeight="1" x14ac:dyDescent="0.25">
      <c r="A59" s="5" t="str">
        <f>HYPERLINK("#'Constants - Fuel'!A1", "Constants - Fuel")</f>
        <v>Constants - Fuel</v>
      </c>
      <c r="D59" s="191"/>
      <c r="E59" s="235"/>
      <c r="F59" s="191"/>
      <c r="G59" s="191"/>
      <c r="H59" s="191"/>
      <c r="I59" s="191"/>
      <c r="J59" s="191"/>
      <c r="L59" s="191"/>
      <c r="M59" s="191"/>
      <c r="N59" s="191"/>
      <c r="O59" s="191"/>
      <c r="P59" s="191"/>
      <c r="Q59" s="191"/>
    </row>
    <row r="60" spans="1:17" ht="20.100000000000001" customHeight="1" x14ac:dyDescent="0.25">
      <c r="A60" s="5" t="str">
        <f>HYPERLINK("#'Constants - Scope 3'!A1", "Constants - Scope 3")</f>
        <v>Constants - Scope 3</v>
      </c>
      <c r="D60" s="230" t="str">
        <f>"Total scope 1 - " &amp; D37</f>
        <v>Total scope 1 - Vessels</v>
      </c>
      <c r="E60" s="234"/>
      <c r="F60" s="232"/>
      <c r="G60" s="191"/>
      <c r="H60" s="191"/>
      <c r="I60" s="191"/>
      <c r="J60" s="191"/>
      <c r="L60" s="191"/>
      <c r="M60" s="191"/>
      <c r="N60" s="191"/>
      <c r="O60" s="191"/>
      <c r="P60" s="191"/>
      <c r="Q60" s="191"/>
    </row>
    <row r="61" spans="1:17" ht="20.100000000000001" customHeight="1" x14ac:dyDescent="0.25">
      <c r="A61" s="5" t="str">
        <f>HYPERLINK("#'Constants - Common'!A1", "Constants - Common")</f>
        <v>Constants - Common</v>
      </c>
      <c r="D61" s="34" t="s">
        <v>818</v>
      </c>
      <c r="E61" s="233">
        <f>SUM(N37:N39)</f>
        <v>29.219199999999997</v>
      </c>
      <c r="F61" s="26" t="str">
        <f t="shared" ref="F61:F64" si="4">$E$12</f>
        <v>t CO2-e</v>
      </c>
      <c r="G61" s="191"/>
      <c r="H61" s="191"/>
      <c r="I61" s="191"/>
      <c r="J61" s="191"/>
      <c r="L61" s="191"/>
      <c r="M61" s="191"/>
      <c r="N61" s="191"/>
      <c r="O61" s="191"/>
      <c r="P61" s="191"/>
      <c r="Q61" s="191"/>
    </row>
    <row r="62" spans="1:17" ht="20.100000000000001" customHeight="1" x14ac:dyDescent="0.25">
      <c r="A62" s="5" t="str">
        <f>HYPERLINK("#'Acknowledgements'!A1", "Acknowledgements")</f>
        <v>Acknowledgements</v>
      </c>
      <c r="D62" s="34" t="s">
        <v>819</v>
      </c>
      <c r="E62" s="233">
        <f>SUM(O37:O39)</f>
        <v>7.9400000000000012E-2</v>
      </c>
      <c r="F62" s="26" t="str">
        <f t="shared" si="4"/>
        <v>t CO2-e</v>
      </c>
      <c r="G62" s="191"/>
      <c r="H62" s="191"/>
      <c r="I62" s="191"/>
      <c r="J62" s="191"/>
      <c r="L62" s="191"/>
      <c r="M62" s="191"/>
      <c r="N62" s="191"/>
      <c r="O62" s="191"/>
      <c r="P62" s="191"/>
      <c r="Q62" s="191"/>
    </row>
    <row r="63" spans="1:17" ht="20.100000000000001" customHeight="1" x14ac:dyDescent="0.25">
      <c r="A63" s="5" t="str">
        <f>HYPERLINK("#'Constants - Solid Waste'!A1", "Constants - Solid Waste")</f>
        <v>Constants - Solid Waste</v>
      </c>
      <c r="D63" s="34" t="s">
        <v>820</v>
      </c>
      <c r="E63" s="233">
        <f>SUM(P37:P39)</f>
        <v>0.19850000000000001</v>
      </c>
      <c r="F63" s="26" t="str">
        <f t="shared" si="4"/>
        <v>t CO2-e</v>
      </c>
      <c r="G63" s="191"/>
      <c r="H63" s="191"/>
      <c r="I63" s="191"/>
      <c r="J63" s="191"/>
      <c r="L63" s="191"/>
      <c r="M63" s="191"/>
      <c r="N63" s="191"/>
      <c r="O63" s="191"/>
      <c r="P63" s="191"/>
      <c r="Q63" s="191"/>
    </row>
    <row r="64" spans="1:17" ht="20.100000000000001" customHeight="1" x14ac:dyDescent="0.25">
      <c r="D64" s="34" t="s">
        <v>821</v>
      </c>
      <c r="E64" s="233">
        <f>SUM(Q37:Q39)</f>
        <v>7.1459999999999999</v>
      </c>
      <c r="F64" s="26" t="str">
        <f t="shared" si="4"/>
        <v>t CO2-e</v>
      </c>
      <c r="G64" s="191"/>
      <c r="H64" s="191"/>
      <c r="I64" s="191"/>
      <c r="J64" s="191"/>
      <c r="L64" s="191"/>
      <c r="M64" s="191"/>
      <c r="N64" s="191"/>
      <c r="O64" s="191"/>
      <c r="P64" s="191"/>
      <c r="Q64" s="191"/>
    </row>
    <row r="65" spans="4:17" ht="20.100000000000001" customHeight="1" x14ac:dyDescent="0.25">
      <c r="G65" s="191"/>
      <c r="H65" s="191"/>
      <c r="I65" s="191"/>
      <c r="J65" s="191"/>
      <c r="L65" s="191"/>
      <c r="M65" s="191"/>
      <c r="N65" s="191"/>
      <c r="O65" s="191"/>
      <c r="P65" s="191"/>
      <c r="Q65" s="191"/>
    </row>
    <row r="66" spans="4:17" ht="20.100000000000001" customHeight="1" x14ac:dyDescent="0.25">
      <c r="D66" s="230" t="s">
        <v>822</v>
      </c>
      <c r="E66" s="236"/>
      <c r="F66" s="232"/>
      <c r="G66" s="191"/>
      <c r="H66" s="191"/>
      <c r="I66" s="191"/>
      <c r="J66" s="191"/>
      <c r="L66" s="191"/>
      <c r="M66" s="191"/>
      <c r="N66" s="191"/>
      <c r="O66" s="191"/>
      <c r="P66" s="191"/>
      <c r="Q66" s="191"/>
    </row>
    <row r="67" spans="4:17" ht="20.100000000000001" customHeight="1" x14ac:dyDescent="0.25">
      <c r="D67" s="34" t="s">
        <v>818</v>
      </c>
      <c r="E67" s="233">
        <f>E43+E49+E55+E61</f>
        <v>83.182000000000002</v>
      </c>
      <c r="F67" s="26" t="str">
        <f t="shared" ref="F67:F70" si="5">$E$12</f>
        <v>t CO2-e</v>
      </c>
      <c r="G67" s="191"/>
    </row>
    <row r="68" spans="4:17" ht="20.100000000000001" customHeight="1" x14ac:dyDescent="0.25">
      <c r="D68" s="34" t="s">
        <v>819</v>
      </c>
      <c r="E68" s="233">
        <f t="shared" ref="E68:E70" si="6">E44+E50+E56+E62</f>
        <v>0.19906000000000001</v>
      </c>
      <c r="F68" s="26" t="str">
        <f t="shared" si="5"/>
        <v>t CO2-e</v>
      </c>
      <c r="G68" s="191"/>
    </row>
    <row r="69" spans="4:17" ht="20.100000000000001" customHeight="1" x14ac:dyDescent="0.25">
      <c r="D69" s="34" t="s">
        <v>820</v>
      </c>
      <c r="E69" s="233">
        <f t="shared" si="6"/>
        <v>0.58450000000000002</v>
      </c>
      <c r="F69" s="26" t="str">
        <f t="shared" si="5"/>
        <v>t CO2-e</v>
      </c>
      <c r="G69" s="191"/>
    </row>
    <row r="70" spans="4:17" ht="20.100000000000001" customHeight="1" x14ac:dyDescent="0.25">
      <c r="D70" s="34" t="s">
        <v>821</v>
      </c>
      <c r="E70" s="233">
        <f t="shared" si="6"/>
        <v>20.5016</v>
      </c>
      <c r="F70" s="26" t="str">
        <f t="shared" si="5"/>
        <v>t CO2-e</v>
      </c>
      <c r="G70" s="191"/>
    </row>
    <row r="71" spans="4:17" ht="20.100000000000001" customHeight="1" x14ac:dyDescent="0.25">
      <c r="G71" s="191"/>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FEAA14F5-3846-4167-A7C3-6E17EC61CD85}"/>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DAB51-FFE0-48AB-A588-A970AFA047AB}">
  <dimension ref="A1:R165"/>
  <sheetViews>
    <sheetView showGridLines="0" topLeftCell="A33"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30" customFormat="1" ht="30" customHeight="1" x14ac:dyDescent="0.35">
      <c r="A1" s="16" t="e" vm="1">
        <v>#VALUE!</v>
      </c>
      <c r="C1" s="30" t="s">
        <v>823</v>
      </c>
    </row>
    <row r="2" spans="1:18" s="3" customFormat="1" ht="20.100000000000001" customHeight="1" x14ac:dyDescent="0.25">
      <c r="A2"/>
    </row>
    <row r="3" spans="1:18" ht="20.100000000000001" customHeight="1" x14ac:dyDescent="0.25">
      <c r="A3" s="5" t="str">
        <f>HYPERLINK("#'Home'!A1", "Home")</f>
        <v>Home</v>
      </c>
      <c r="C3" s="32"/>
      <c r="D3" s="32" t="s">
        <v>136</v>
      </c>
      <c r="E3" s="32"/>
      <c r="F3" s="32"/>
      <c r="G3" s="32"/>
      <c r="H3" s="32"/>
      <c r="I3" s="32"/>
      <c r="J3" s="32"/>
      <c r="K3" s="32"/>
      <c r="L3" s="32"/>
      <c r="M3" s="32"/>
      <c r="N3" s="32"/>
      <c r="O3" s="32"/>
      <c r="P3" s="32"/>
      <c r="Q3" s="32"/>
      <c r="R3" s="32"/>
    </row>
    <row r="4" spans="1:18" ht="20.100000000000001" customHeight="1" x14ac:dyDescent="0.25">
      <c r="A4" s="5" t="str">
        <f>HYPERLINK("#'Overview'!A1", "Overview")</f>
        <v>Overview</v>
      </c>
    </row>
    <row r="5" spans="1:18" ht="20.100000000000001" customHeight="1" x14ac:dyDescent="0.25">
      <c r="A5" s="5" t="str">
        <f>HYPERLINK("#'Results'!A1", "Results")</f>
        <v>Results</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91"/>
      <c r="P5" s="191"/>
      <c r="Q5" s="191"/>
      <c r="R5" s="191"/>
    </row>
    <row r="6" spans="1:18" ht="20.100000000000001" customHeight="1" x14ac:dyDescent="0.25">
      <c r="D6" s="27" t="str" cm="1">
        <f t="array" ref="D6">Fuel_Equations.VEERG_8_2_1_1__1_FuelCombustionStationary_Source()</f>
        <v>VEERG 2026: 8.2.1.1, Equation (1)</v>
      </c>
      <c r="K6" s="27" t="str" cm="1">
        <f t="array" ref="K6">Scope3_Equations.VEERG_15_11_1_1__3_UpstreamStationaryFuelEmissions_Source()</f>
        <v>VEERG 2026: 15.11.1.1, Equation (3)</v>
      </c>
      <c r="O6" s="191"/>
      <c r="P6" s="191"/>
      <c r="Q6" s="191"/>
      <c r="R6" s="191"/>
    </row>
    <row r="7" spans="1:18" ht="20.100000000000001" customHeight="1" x14ac:dyDescent="0.25">
      <c r="D7" s="118" t="s">
        <v>262</v>
      </c>
      <c r="E7" s="118" t="str" cm="1">
        <f t="array" aca="1" ref="E7" ca="1">Common_InputFunctions.Utility_DisplayFunctionName(N25)</f>
        <v>=Fuel_Equations.VEERG_8_2_1_1__1_FuelCombustionStationary</v>
      </c>
      <c r="K7" s="35" t="str" cm="1">
        <f t="array" ref="K7">Scope3_Equations.VEERG_15_11_1_1__3_UpstreamStationaryFuelEmissions_Variation()</f>
        <v>VARIATION ON SOURCE: Added 'state' and 'metro/non-metro' arguments as gaseous scope 3 EFs are state and metro/non-metro location-based.</v>
      </c>
      <c r="O7" s="191"/>
      <c r="P7" s="191"/>
      <c r="Q7" s="191"/>
      <c r="R7" s="191"/>
    </row>
    <row r="8" spans="1:18" ht="20.100000000000001" customHeight="1" x14ac:dyDescent="0.25">
      <c r="A8" s="7" t="s">
        <v>0</v>
      </c>
      <c r="K8" s="118" t="s">
        <v>262</v>
      </c>
      <c r="L8" s="118" t="str" cm="1">
        <f t="array" aca="1" ref="L8" ca="1">Common_InputFunctions.Utility_DisplayFunctionName(Q25)</f>
        <v>=Fuel_Equations.VEERG_8_2_1_1__1_FuelCombustionStationary</v>
      </c>
      <c r="O8" s="191"/>
      <c r="P8" s="191"/>
      <c r="Q8" s="191"/>
      <c r="R8" s="191"/>
    </row>
    <row r="9" spans="1:18" ht="20.100000000000001" customHeight="1" x14ac:dyDescent="0.25">
      <c r="A9" s="5" t="str">
        <f>HYPERLINK("#'Input - Enterprise'!A1", "Enterprise")</f>
        <v>Enterprise</v>
      </c>
      <c r="G9" s="27"/>
      <c r="O9" s="191"/>
      <c r="P9" s="191"/>
      <c r="Q9" s="191"/>
      <c r="R9" s="191"/>
    </row>
    <row r="10" spans="1:18" ht="20.100000000000001" customHeight="1" x14ac:dyDescent="0.25">
      <c r="A10" s="5" t="str">
        <f>HYPERLINK("#'Input - Site'!A1", "Site")</f>
        <v>Site</v>
      </c>
      <c r="O10" s="191"/>
      <c r="P10" s="191"/>
      <c r="Q10" s="191"/>
      <c r="R10" s="191"/>
    </row>
    <row r="11" spans="1:18" ht="20.100000000000001" customHeight="1" x14ac:dyDescent="0.25">
      <c r="A11" s="5" t="str">
        <f>HYPERLINK("#'Input - Dairy'!A1", "Dairy")</f>
        <v>Dairy</v>
      </c>
      <c r="D11" s="87" t="s">
        <v>263</v>
      </c>
      <c r="E11" s="1" t="str" cm="1">
        <f t="array" ref="E11">Fuel_Equations.VEERG_8_2_1_1__1_FuelCombustionStationary_Variable()</f>
        <v>E_g</v>
      </c>
      <c r="K11" s="87" t="s">
        <v>263</v>
      </c>
      <c r="L11" s="1" t="str" cm="1">
        <f t="array" ref="L11">Scope3_Equations.VEERG_15_11_1_1__3_UpstreamStationaryFuelEmissions_Variable()</f>
        <v>E_WTTSCq</v>
      </c>
      <c r="O11" s="191"/>
      <c r="P11" s="191"/>
      <c r="Q11" s="191"/>
      <c r="R11" s="191"/>
    </row>
    <row r="12" spans="1:18" ht="20.100000000000001" customHeight="1" x14ac:dyDescent="0.25">
      <c r="A12" s="5" t="str">
        <f>HYPERLINK("#'Input - Dairy (Enteric)'!A1", "Dairy (Enteric)")</f>
        <v>Dairy (Enteric)</v>
      </c>
      <c r="D12" s="87" t="s">
        <v>122</v>
      </c>
      <c r="E12" s="15" t="str" cm="1">
        <f t="array" ref="E12">Fuel_Equations.VEERG_8_2_1_1__1_FuelCombustionStationary_Unit()</f>
        <v>t CO2-e</v>
      </c>
      <c r="K12" s="87" t="s">
        <v>122</v>
      </c>
      <c r="L12" s="15" t="str" cm="1">
        <f t="array" ref="L12">Scope3_Equations.VEERG_15_11_1_1__3_UpstreamStationaryFuelEmissions_Unit()</f>
        <v>t CO2e</v>
      </c>
    </row>
    <row r="13" spans="1:18" ht="20.100000000000001" customHeight="1" x14ac:dyDescent="0.25">
      <c r="A13" s="5" t="str">
        <f>HYPERLINK("#'Input - Livestock sales'!A1", "Livestock sales")</f>
        <v>Livestock sales</v>
      </c>
    </row>
    <row r="14" spans="1:18" ht="20.100000000000001" customHeight="1" x14ac:dyDescent="0.25">
      <c r="A14" s="5" t="str">
        <f>HYPERLINK("#'Input - Dairy cattle purchases'!A1", "Dairy cattle purchases")</f>
        <v>Dairy cattle purchases</v>
      </c>
      <c r="D14" s="120" t="str" cm="1">
        <f t="array" ref="D14:E20">_xlfn.CHOOSECOLS(Fuel_Equations.VEERG_8_2_1_1__1_FuelCombustionStationary_Arguments(), 1,2)</f>
        <v>Q_SCq</v>
      </c>
      <c r="E14" s="125" t="str">
        <v>Amount of fuel type q used for stationary combustion operations</v>
      </c>
      <c r="F14" s="126"/>
      <c r="G14" s="120" t="str" cm="1">
        <f t="array" ref="G14:H20">_xlfn.CHOOSECOLS(Fuel_Equations.VEERG_8_2_1_1__1_FuelCombustionStationary_Arguments(), 3,4)</f>
        <v>Varies based on fuel type: kL, m3, GJ</v>
      </c>
      <c r="H14" s="121" t="str">
        <v>Input</v>
      </c>
      <c r="I14" s="127" t="str" cm="1">
        <f t="array" aca="1" ref="I14" ca="1">HYPERLINK(Common_InputFunctions.Utility_SourceHyperlink($D$22), $D$22)</f>
        <v>Table_E_g</v>
      </c>
      <c r="K14" s="120" t="str" cm="1">
        <f t="array" ref="K14:L18">_xlfn.CHOOSECOLS(Scope3_Equations.VEERG_15_11_1_1__3_UpstreamStationaryFuelEmissions_Arguments(),1,2)</f>
        <v>Q_SCq</v>
      </c>
      <c r="L14" s="120" t="str">
        <v>amount of fuel q used for stationary combustion operations</v>
      </c>
      <c r="M14" s="120"/>
      <c r="N14" s="120" t="str" cm="1">
        <f t="array" ref="N14:O18">_xlfn.CHOOSECOLS(Scope3_Equations.VEERG_15_11_1_1__3_UpstreamStationaryFuelEmissions_Arguments(),3,4)</f>
        <v>kL</v>
      </c>
      <c r="O14" s="121" t="str">
        <v>Input</v>
      </c>
      <c r="P14" s="127" t="str" cm="1">
        <f t="array" aca="1" ref="P14" ca="1">HYPERLINK(Common_InputFunctions.Utility_SourceHyperlink($D$22), $D$22)</f>
        <v>Table_E_g</v>
      </c>
      <c r="Q14" s="191"/>
    </row>
    <row r="15" spans="1:18" ht="20.100000000000001" customHeight="1" x14ac:dyDescent="0.25">
      <c r="A15" s="5" t="str">
        <f>HYPERLINK("#'Input - Pasture'!A1", "Pasture")</f>
        <v>Pasture</v>
      </c>
      <c r="D15" s="120" t="str">
        <v>EC_SCq</v>
      </c>
      <c r="E15" s="125" t="str">
        <v>Energy content factor for stationary combustion operations</v>
      </c>
      <c r="F15" s="126"/>
      <c r="G15" s="120" t="str">
        <v>GJ / unit of fuel</v>
      </c>
      <c r="H15" s="128" t="str">
        <v>Constant</v>
      </c>
      <c r="I15" s="127" t="str" cm="1">
        <f t="array" aca="1" ref="I15" ca="1">HYPERLINK(Common_InputFunctions.Utility_SourceHyperlink($D$22), $D$22)</f>
        <v>Table_E_g</v>
      </c>
      <c r="K15" s="120" t="str">
        <v>EC_SCq</v>
      </c>
      <c r="L15" s="120" t="str">
        <v>energy content factor for stationary combustion operations</v>
      </c>
      <c r="M15" s="120"/>
      <c r="N15" s="120" t="str">
        <v>GJ/kL</v>
      </c>
      <c r="O15" s="128" t="str">
        <v>Constant</v>
      </c>
      <c r="P15" s="127" t="str" cm="1">
        <f t="array" aca="1" ref="P15" ca="1">HYPERLINK(Common_InputFunctions.Utility_SourceHyperlink($D$22), $D$22)</f>
        <v>Table_E_g</v>
      </c>
      <c r="Q15" s="191"/>
    </row>
    <row r="16" spans="1:18" ht="20.100000000000001" customHeight="1" x14ac:dyDescent="0.25">
      <c r="A16" s="5" t="str">
        <f>HYPERLINK("#'Input - Fert Prod System'!A1", "Fert Prod System")</f>
        <v>Fert Prod System</v>
      </c>
      <c r="D16" s="120" t="str">
        <v>EF_SC1qg</v>
      </c>
      <c r="E16" s="125" t="str">
        <v>Scope 1 emission factor for stationary combustion for each greenhouse gas</v>
      </c>
      <c r="F16" s="126"/>
      <c r="G16" s="120" t="str">
        <v>kg CO2e / GJ</v>
      </c>
      <c r="H16" s="128" t="str">
        <v>Constant</v>
      </c>
      <c r="I16" s="127" t="str" cm="1">
        <f t="array" aca="1" ref="I16" ca="1">HYPERLINK(Common_InputFunctions.Utility_SourceHyperlink($D$22), $D$22)</f>
        <v>Table_E_g</v>
      </c>
      <c r="K16" s="120" t="str">
        <v>EF_SC3q</v>
      </c>
      <c r="L16" s="120" t="str">
        <v>scope 3 emission factor for stationary combustion operations</v>
      </c>
      <c r="M16" s="120"/>
      <c r="N16" s="120" t="str">
        <v>kg CO2e/GJ</v>
      </c>
      <c r="O16" s="128" t="str">
        <v>Constant</v>
      </c>
      <c r="P16" s="127" t="str" cm="1">
        <f t="array" aca="1" ref="P16" ca="1">HYPERLINK(Common_InputFunctions.Utility_SourceHyperlink($D$22), $D$22)</f>
        <v>Table_E_g</v>
      </c>
      <c r="Q16" s="191"/>
    </row>
    <row r="17" spans="1:17" ht="20.100000000000001" customHeight="1" x14ac:dyDescent="0.25">
      <c r="A17" s="5" t="str">
        <f>HYPERLINK("#'Input - Fertiliser'!A1", "Fertiliser")</f>
        <v>Fertiliser</v>
      </c>
      <c r="D17" s="120" t="str">
        <v>q</v>
      </c>
      <c r="E17" s="125" t="str">
        <v>Fuel type</v>
      </c>
      <c r="F17" s="126"/>
      <c r="G17" s="120" t="str">
        <v/>
      </c>
      <c r="H17" s="128" t="str">
        <v>Constant</v>
      </c>
      <c r="I17" s="127"/>
      <c r="J17" s="191"/>
      <c r="K17" s="120" t="str">
        <v>i</v>
      </c>
      <c r="L17" s="125" t="str">
        <v>state</v>
      </c>
      <c r="M17" s="126"/>
      <c r="N17" s="120" t="str">
        <v/>
      </c>
      <c r="O17" s="121" t="str">
        <v>Input</v>
      </c>
      <c r="P17" s="120" t="str">
        <f>X_Cell_Site_State</f>
        <v>Western Australia</v>
      </c>
      <c r="Q17" s="191"/>
    </row>
    <row r="18" spans="1:17" ht="20.100000000000001" customHeight="1" x14ac:dyDescent="0.25">
      <c r="A18" s="5" t="str">
        <f>HYPERLINK("#'Input - Fuel'!A1", "Fuel")</f>
        <v>Fuel</v>
      </c>
      <c r="D18" s="120" t="str">
        <v>SC</v>
      </c>
      <c r="E18" s="125" t="str">
        <v>Stationary combustion</v>
      </c>
      <c r="F18" s="126"/>
      <c r="G18" s="120" t="str">
        <v/>
      </c>
      <c r="H18" s="128" t="str">
        <v>Constant</v>
      </c>
      <c r="I18" s="127"/>
      <c r="J18" s="191"/>
      <c r="K18" s="120" t="str">
        <v>m</v>
      </c>
      <c r="L18" s="125" t="str">
        <v>metropolitan/non-metropolitan location</v>
      </c>
      <c r="M18" s="126"/>
      <c r="N18" s="120" t="str">
        <v/>
      </c>
      <c r="O18" s="121" t="str">
        <v>Input</v>
      </c>
      <c r="P18" s="120" t="str">
        <f>X_Cell_Fuel_IsMetroLocation</f>
        <v>Metro</v>
      </c>
      <c r="Q18" s="191"/>
    </row>
    <row r="19" spans="1:17" ht="20.100000000000001" customHeight="1" x14ac:dyDescent="0.25">
      <c r="A19" s="5" t="str">
        <f>HYPERLINK("#'Input - Electricity'!A1", "Electricity")</f>
        <v>Electricity</v>
      </c>
      <c r="D19" s="120" t="str">
        <v>g</v>
      </c>
      <c r="E19" s="125" t="str">
        <v>Greenhouse gas</v>
      </c>
      <c r="F19" s="126"/>
      <c r="G19" s="120" t="str">
        <v/>
      </c>
      <c r="H19" s="128" t="str">
        <v>Constant</v>
      </c>
      <c r="I19" s="127"/>
      <c r="J19" s="191"/>
      <c r="L19" s="191"/>
      <c r="N19" s="191"/>
      <c r="O19" s="191"/>
      <c r="P19" s="191"/>
      <c r="Q19" s="191"/>
    </row>
    <row r="20" spans="1:17" ht="20.100000000000001" customHeight="1" x14ac:dyDescent="0.25">
      <c r="A20" s="5" t="str">
        <f>HYPERLINK("#'Input - Farm Inputs'!A1", "Farm Inputs")</f>
        <v>Farm Inputs</v>
      </c>
      <c r="D20" s="120" t="str">
        <v>1</v>
      </c>
      <c r="E20" s="125" t="str">
        <v>Scope 1</v>
      </c>
      <c r="F20" s="126"/>
      <c r="G20" s="120" t="str">
        <v/>
      </c>
      <c r="H20" s="128" t="str">
        <v>Constant</v>
      </c>
      <c r="I20" s="127"/>
      <c r="J20" s="191"/>
      <c r="L20" s="191"/>
      <c r="N20" s="191"/>
      <c r="O20" s="191"/>
      <c r="P20" s="191"/>
      <c r="Q20" s="191"/>
    </row>
    <row r="21" spans="1:17" ht="20.100000000000001" customHeight="1" x14ac:dyDescent="0.25">
      <c r="A21" s="5" t="str">
        <f>HYPERLINK("#'Input - Freight'!A1", "Freight")</f>
        <v>Freight</v>
      </c>
      <c r="O21" s="191"/>
      <c r="P21" s="191"/>
      <c r="Q21" s="191"/>
    </row>
    <row r="22" spans="1:17" ht="20.100000000000001" customHeight="1" x14ac:dyDescent="0.25">
      <c r="A22" s="5" t="str">
        <f>HYPERLINK("#'Input - Manure sent off-site'!A1", "Manure sent off-site")</f>
        <v>Manure sent off-site</v>
      </c>
      <c r="D22" s="122" t="s">
        <v>802</v>
      </c>
    </row>
    <row r="23" spans="1:17" ht="20.100000000000001" customHeight="1" x14ac:dyDescent="0.25">
      <c r="A23" s="5" t="str">
        <f>HYPERLINK("#'Input - Solid waste'!A1", "Solid waste")</f>
        <v>Solid waste</v>
      </c>
      <c r="D23" s="123" t="s">
        <v>824</v>
      </c>
    </row>
    <row r="24" spans="1:17" ht="20.100000000000001" customHeight="1" x14ac:dyDescent="0.25">
      <c r="A24" s="5" t="str">
        <f>HYPERLINK("#'Input - Data quality'!A1", "Data quality")</f>
        <v>Data quality</v>
      </c>
      <c r="D24" s="124" t="s">
        <v>804</v>
      </c>
      <c r="E24" s="124" t="s">
        <v>805</v>
      </c>
      <c r="F24" s="124" t="s">
        <v>806</v>
      </c>
      <c r="G24" s="124" t="s">
        <v>825</v>
      </c>
      <c r="H24" s="124" t="s">
        <v>826</v>
      </c>
      <c r="I24" s="124" t="s">
        <v>827</v>
      </c>
      <c r="J24" s="124" t="s">
        <v>828</v>
      </c>
      <c r="K24" s="124" t="s">
        <v>829</v>
      </c>
      <c r="L24" s="94" t="s">
        <v>830</v>
      </c>
      <c r="M24" s="124" t="s">
        <v>813</v>
      </c>
      <c r="N24" s="124" t="s">
        <v>814</v>
      </c>
      <c r="O24" s="124" t="s">
        <v>815</v>
      </c>
      <c r="P24" s="124" t="s">
        <v>816</v>
      </c>
      <c r="Q24" s="124" t="s">
        <v>831</v>
      </c>
    </row>
    <row r="25" spans="1:17" ht="20.100000000000001" customHeight="1" x14ac:dyDescent="0.25">
      <c r="D25" s="34" t="str">
        <f>Table_FuelTypesPerUse[[#Headers],[Generators]]</f>
        <v>Generators</v>
      </c>
      <c r="E25" s="215" t="str">
        <f>'Constants - Fuel'!$D$58</f>
        <v>Automotive gasoline / petrol (other than for use as fuel in an aircraft)</v>
      </c>
      <c r="F25" s="215" t="str">
        <f>'Constants - Fuel'!D131</f>
        <v>Petrol</v>
      </c>
      <c r="G25" s="25">
        <f>IFERROR(_xlfn.XLOOKUP($E25, Table_Fuel_EFs_StationaryLiquid[Fuel combusted], Table_Fuel_EFs_StationaryLiquid[Energy Content Factor (GJ per unit of fuel)]),0)</f>
        <v>34.200000000000003</v>
      </c>
      <c r="H25" s="25">
        <f>IFERROR(_xlfn.XLOOKUP($E25, Table_Fuel_EFs_StationaryLiquid[Fuel combusted], Table_Fuel_EFs_StationaryLiquid[Scope 1 Emission Factor (kg CO2 - e / GJ) CO2]),0)</f>
        <v>67.400000000000006</v>
      </c>
      <c r="I25" s="25">
        <f>IFERROR(_xlfn.XLOOKUP($E25, Table_Fuel_EFs_StationaryLiquid[Fuel combusted], Table_Fuel_EFs_StationaryLiquid[Scope 1 Emission Factor (kg CO2 - e / GJ) CH4]),0)</f>
        <v>0.2</v>
      </c>
      <c r="J25" s="25">
        <f>IFERROR(_xlfn.XLOOKUP($E25, Table_Fuel_EFs_StationaryLiquid[Fuel combusted], Table_Fuel_EFs_StationaryLiquid[Scope 1 Emission Factor (kg CO2 - e / GJ) N2O]),0)</f>
        <v>0.2</v>
      </c>
      <c r="K25" s="25">
        <f>IFERROR(_xlfn.XLOOKUP($E25, Table_Fuel_EFs_StationaryLiquid[Fuel combusted], Table_Fuel_EFs_StationaryLiquid[Scope 3 Emission Factor (kg CO2 - e / GJ)]),0)</f>
        <v>17.2</v>
      </c>
      <c r="L25" s="194" cm="1">
        <f t="array" ref="L25">Fuel_InputFunctions.Fuel_TotalConsumption(Table_Input_Fuel[Amount consumed], Table_Input_Fuel[Fuel use (select)], D25, Table_Input_Fuel[Fuel type (select)],F25)</f>
        <v>0</v>
      </c>
      <c r="M25" s="194" t="str" cm="1">
        <f t="array" ref="M25">Common_InputFunctions.Utility_LookupValueInTable(F25,Table_FuelTypes_Units[Fuel type],Table_FuelTypes_Units[Unit])</f>
        <v>kL</v>
      </c>
      <c r="N25" s="237" cm="1">
        <f t="array" ref="N25">Fuel_Equations.VEERG_8_2_1_1__1_FuelCombustionStationary($L25,$G25,H25)</f>
        <v>0</v>
      </c>
      <c r="O25" s="237" cm="1">
        <f t="array" ref="O25">Fuel_Equations.VEERG_8_2_1_1__1_FuelCombustionStationary($L25,$G25,I25)</f>
        <v>0</v>
      </c>
      <c r="P25" s="237" cm="1">
        <f t="array" ref="P25">Fuel_Equations.VEERG_8_2_1_1__1_FuelCombustionStationary($L25,$G25,J25)</f>
        <v>0</v>
      </c>
      <c r="Q25" s="237" cm="1">
        <f t="array" ref="Q25">Fuel_Equations.VEERG_8_2_1_1__1_FuelCombustionStationary($L25,$G25,IF(ISNUMBER(K25), K25, 0))</f>
        <v>0</v>
      </c>
    </row>
    <row r="26" spans="1:17" ht="20.100000000000001" customHeight="1" x14ac:dyDescent="0.25">
      <c r="D26" s="217" t="str">
        <f t="shared" ref="D26:D31" si="0">$D$25</f>
        <v>Generators</v>
      </c>
      <c r="E26" s="215" t="str">
        <f>'Constants - Fuel'!$D$63</f>
        <v>Diesel oil</v>
      </c>
      <c r="F26" s="215" t="str">
        <f>'Constants - Fuel'!D132</f>
        <v>Diesel</v>
      </c>
      <c r="G26" s="25">
        <f>IFERROR(_xlfn.XLOOKUP($E26, Table_Fuel_EFs_StationaryLiquid[Fuel combusted], Table_Fuel_EFs_StationaryLiquid[Energy Content Factor (GJ per unit of fuel)]),0)</f>
        <v>38.6</v>
      </c>
      <c r="H26" s="25">
        <f>IFERROR(_xlfn.XLOOKUP($E26, Table_Fuel_EFs_StationaryLiquid[Fuel combusted], Table_Fuel_EFs_StationaryLiquid[Scope 1 Emission Factor (kg CO2 - e / GJ) CO2]),0)</f>
        <v>69.900000000000006</v>
      </c>
      <c r="I26" s="25">
        <f>IFERROR(_xlfn.XLOOKUP($E26, Table_Fuel_EFs_StationaryLiquid[Fuel combusted], Table_Fuel_EFs_StationaryLiquid[Scope 1 Emission Factor (kg CO2 - e / GJ) CH4]),0)</f>
        <v>0.1</v>
      </c>
      <c r="J26" s="25">
        <f>IFERROR(_xlfn.XLOOKUP($E26, Table_Fuel_EFs_StationaryLiquid[Fuel combusted], Table_Fuel_EFs_StationaryLiquid[Scope 1 Emission Factor (kg CO2 - e / GJ) N2O]),0)</f>
        <v>0.2</v>
      </c>
      <c r="K26" s="25">
        <f>IFERROR(_xlfn.XLOOKUP($E26, Table_Fuel_EFs_StationaryLiquid[Fuel combusted], Table_Fuel_EFs_StationaryLiquid[Scope 3 Emission Factor (kg CO2 - e / GJ)]),0)</f>
        <v>17.3</v>
      </c>
      <c r="L26" s="194" cm="1">
        <f t="array" ref="L26">Fuel_InputFunctions.Fuel_TotalConsumption(Table_Input_Fuel[Amount consumed], Table_Input_Fuel[Fuel use (select)], D26, Table_Input_Fuel[Fuel type (select)],F26)</f>
        <v>0</v>
      </c>
      <c r="M26" s="194" t="str" cm="1">
        <f t="array" ref="M26">Common_InputFunctions.Utility_LookupValueInTable(F26,Table_FuelTypes_Units[Fuel type],Table_FuelTypes_Units[Unit])</f>
        <v>kL</v>
      </c>
      <c r="N26" s="237" cm="1">
        <f t="array" ref="N26">Fuel_Equations.VEERG_8_2_1_1__1_FuelCombustionStationary($L26,$G26,H26)</f>
        <v>0</v>
      </c>
      <c r="O26" s="237" cm="1">
        <f t="array" ref="O26">Fuel_Equations.VEERG_8_2_1_1__1_FuelCombustionStationary($L26,$G26,I26)</f>
        <v>0</v>
      </c>
      <c r="P26" s="237" cm="1">
        <f t="array" ref="P26">Fuel_Equations.VEERG_8_2_1_1__1_FuelCombustionStationary($L26,$G26,J26)</f>
        <v>0</v>
      </c>
      <c r="Q26" s="237" cm="1">
        <f t="array" ref="Q26">Fuel_Equations.VEERG_8_2_1_1__1_FuelCombustionStationary($L26,$G26,IF(ISNUMBER(K26), K26, 0))</f>
        <v>0</v>
      </c>
    </row>
    <row r="27" spans="1:17" ht="20.100000000000001" customHeight="1" x14ac:dyDescent="0.25">
      <c r="A27" s="6" t="s">
        <v>2</v>
      </c>
      <c r="D27" s="217" t="str">
        <f t="shared" si="0"/>
        <v>Generators</v>
      </c>
      <c r="E27" s="215" t="str">
        <f>'Constants - Fuel'!$D$67</f>
        <v>Liquefied petroleum gas (LPG)</v>
      </c>
      <c r="F27" s="215" t="str">
        <f>'Constants - Fuel'!D133</f>
        <v>Liquefied petroleum gas (LPG)</v>
      </c>
      <c r="G27" s="25">
        <f>IFERROR(_xlfn.XLOOKUP($E27, Table_Fuel_EFs_StationaryLiquid[Fuel combusted], Table_Fuel_EFs_StationaryLiquid[Energy Content Factor (GJ per unit of fuel)]),0)</f>
        <v>25.7</v>
      </c>
      <c r="H27" s="25">
        <f>IFERROR(_xlfn.XLOOKUP($E27, Table_Fuel_EFs_StationaryLiquid[Fuel combusted], Table_Fuel_EFs_StationaryLiquid[Scope 1 Emission Factor (kg CO2 - e / GJ) CO2]),0)</f>
        <v>60.2</v>
      </c>
      <c r="I27" s="25">
        <f>IFERROR(_xlfn.XLOOKUP($E27, Table_Fuel_EFs_StationaryLiquid[Fuel combusted], Table_Fuel_EFs_StationaryLiquid[Scope 1 Emission Factor (kg CO2 - e / GJ) CH4]),0)</f>
        <v>0.2</v>
      </c>
      <c r="J27" s="25">
        <f>IFERROR(_xlfn.XLOOKUP($E27, Table_Fuel_EFs_StationaryLiquid[Fuel combusted], Table_Fuel_EFs_StationaryLiquid[Scope 1 Emission Factor (kg CO2 - e / GJ) N2O]),0)</f>
        <v>0.2</v>
      </c>
      <c r="K27" s="25">
        <f>IFERROR(_xlfn.XLOOKUP($E27, Table_Fuel_EFs_StationaryLiquid[Fuel combusted], Table_Fuel_EFs_StationaryLiquid[Scope 3 Emission Factor (kg CO2 - e / GJ)]),0)</f>
        <v>20.2</v>
      </c>
      <c r="L27" s="194" cm="1">
        <f t="array" ref="L27">Fuel_InputFunctions.Fuel_TotalConsumption(Table_Input_Fuel[Amount consumed], Table_Input_Fuel[Fuel use (select)], D27, Table_Input_Fuel[Fuel type (select)],F27)</f>
        <v>0</v>
      </c>
      <c r="M27" s="194" t="str" cm="1">
        <f t="array" ref="M27">Common_InputFunctions.Utility_LookupValueInTable(F27,Table_FuelTypes_Units[Fuel type],Table_FuelTypes_Units[Unit])</f>
        <v>kL</v>
      </c>
      <c r="N27" s="237" cm="1">
        <f t="array" ref="N27">Fuel_Equations.VEERG_8_2_1_1__1_FuelCombustionStationary($L27,$G27,H27)</f>
        <v>0</v>
      </c>
      <c r="O27" s="237" cm="1">
        <f t="array" ref="O27">Fuel_Equations.VEERG_8_2_1_1__1_FuelCombustionStationary($L27,$G27,I27)</f>
        <v>0</v>
      </c>
      <c r="P27" s="237" cm="1">
        <f t="array" ref="P27">Fuel_Equations.VEERG_8_2_1_1__1_FuelCombustionStationary($L27,$G27,J27)</f>
        <v>0</v>
      </c>
      <c r="Q27" s="237" cm="1">
        <f t="array" ref="Q27">Fuel_Equations.VEERG_8_2_1_1__1_FuelCombustionStationary($L27,$G27,IF(ISNUMBER(K27), K27, 0))</f>
        <v>0</v>
      </c>
    </row>
    <row r="28" spans="1:17" ht="20.100000000000001" customHeight="1" x14ac:dyDescent="0.25">
      <c r="A28" s="5" t="str">
        <f>HYPERLINK("#'5.1.1.1-2 Inorganic fert N2O'!A1", "5.1.1.1-2 Inorganic fert N2O")</f>
        <v>5.1.1.1-2 Inorganic fert N2O</v>
      </c>
      <c r="D28" s="217" t="str">
        <f t="shared" si="0"/>
        <v>Generators</v>
      </c>
      <c r="E28" s="215" t="str">
        <f>'Constants - Fuel'!$D$73</f>
        <v>Biodiesel</v>
      </c>
      <c r="F28" s="215" t="str">
        <f>'Constants - Fuel'!D134</f>
        <v>Biodiesel</v>
      </c>
      <c r="G28" s="25">
        <f>IFERROR(_xlfn.XLOOKUP($E28, Table_Fuel_EFs_StationaryLiquid[Fuel combusted], Table_Fuel_EFs_StationaryLiquid[Energy Content Factor (GJ per unit of fuel)]),0)</f>
        <v>34.6</v>
      </c>
      <c r="H28" s="25">
        <f>IFERROR(_xlfn.XLOOKUP($E28, Table_Fuel_EFs_StationaryLiquid[Fuel combusted], Table_Fuel_EFs_StationaryLiquid[Scope 1 Emission Factor (kg CO2 - e / GJ) CO2]),0)</f>
        <v>0</v>
      </c>
      <c r="I28" s="25">
        <f>IFERROR(_xlfn.XLOOKUP($E28, Table_Fuel_EFs_StationaryLiquid[Fuel combusted], Table_Fuel_EFs_StationaryLiquid[Scope 1 Emission Factor (kg CO2 - e / GJ) CH4]),0)</f>
        <v>0.08</v>
      </c>
      <c r="J28" s="25">
        <f>IFERROR(_xlfn.XLOOKUP($E28, Table_Fuel_EFs_StationaryLiquid[Fuel combusted], Table_Fuel_EFs_StationaryLiquid[Scope 1 Emission Factor (kg CO2 - e / GJ) N2O]),0)</f>
        <v>0.2</v>
      </c>
      <c r="K28" s="25" t="str">
        <f>IFERROR(_xlfn.XLOOKUP($E28, Table_Fuel_EFs_StationaryLiquid[Fuel combusted], Table_Fuel_EFs_StationaryLiquid[Scope 3 Emission Factor (kg CO2 - e / GJ)]),0)</f>
        <v>NE</v>
      </c>
      <c r="L28" s="194" cm="1">
        <f t="array" ref="L28">Fuel_InputFunctions.Fuel_TotalConsumption(Table_Input_Fuel[Amount consumed], Table_Input_Fuel[Fuel use (select)], D28, Table_Input_Fuel[Fuel type (select)],F28)</f>
        <v>0</v>
      </c>
      <c r="M28" s="194" t="str" cm="1">
        <f t="array" ref="M28">Common_InputFunctions.Utility_LookupValueInTable(F28,Table_FuelTypes_Units[Fuel type],Table_FuelTypes_Units[Unit])</f>
        <v>kL</v>
      </c>
      <c r="N28" s="237" cm="1">
        <f t="array" ref="N28">Fuel_Equations.VEERG_8_2_1_1__1_FuelCombustionStationary($L28,$G28,H28)</f>
        <v>0</v>
      </c>
      <c r="O28" s="237" cm="1">
        <f t="array" ref="O28">Fuel_Equations.VEERG_8_2_1_1__1_FuelCombustionStationary($L28,$G28,I28)</f>
        <v>0</v>
      </c>
      <c r="P28" s="237" cm="1">
        <f t="array" ref="P28">Fuel_Equations.VEERG_8_2_1_1__1_FuelCombustionStationary($L28,$G28,J28)</f>
        <v>0</v>
      </c>
      <c r="Q28" s="237" cm="1">
        <f t="array" ref="Q28">Fuel_Equations.VEERG_8_2_1_1__1_FuelCombustionStationary($L28,$G28,IF(ISNUMBER(K28), K28, 0))</f>
        <v>0</v>
      </c>
    </row>
    <row r="29" spans="1:17" ht="20.100000000000001" customHeight="1" x14ac:dyDescent="0.25">
      <c r="A29" s="5" t="str">
        <f>HYPERLINK("#'5.1.1.3-4 Inorganic fert CO2'!A1", "5.1.1.3-4 Inorganic fert CO2")</f>
        <v>5.1.1.3-4 Inorganic fert CO2</v>
      </c>
      <c r="D29" s="217" t="str">
        <f t="shared" si="0"/>
        <v>Generators</v>
      </c>
      <c r="E29" s="215" t="str">
        <f>'Constants - Fuel'!$D$74</f>
        <v>Ethanol for use as a fuel in an internal combustion engine</v>
      </c>
      <c r="F29" s="215" t="str">
        <f>'Constants - Fuel'!D135</f>
        <v>Ethanol</v>
      </c>
      <c r="G29" s="25">
        <f>IFERROR(_xlfn.XLOOKUP($E29, Table_Fuel_EFs_StationaryLiquid[Fuel combusted], Table_Fuel_EFs_StationaryLiquid[Energy Content Factor (GJ per unit of fuel)]),0)</f>
        <v>23.4</v>
      </c>
      <c r="H29" s="25">
        <f>IFERROR(_xlfn.XLOOKUP($E29, Table_Fuel_EFs_StationaryLiquid[Fuel combusted], Table_Fuel_EFs_StationaryLiquid[Scope 1 Emission Factor (kg CO2 - e / GJ) CO2]),0)</f>
        <v>0</v>
      </c>
      <c r="I29" s="25">
        <f>IFERROR(_xlfn.XLOOKUP($E29, Table_Fuel_EFs_StationaryLiquid[Fuel combusted], Table_Fuel_EFs_StationaryLiquid[Scope 1 Emission Factor (kg CO2 - e / GJ) CH4]),0)</f>
        <v>0.08</v>
      </c>
      <c r="J29" s="25">
        <f>IFERROR(_xlfn.XLOOKUP($E29, Table_Fuel_EFs_StationaryLiquid[Fuel combusted], Table_Fuel_EFs_StationaryLiquid[Scope 1 Emission Factor (kg CO2 - e / GJ) N2O]),0)</f>
        <v>0.2</v>
      </c>
      <c r="K29" s="25" t="str">
        <f>IFERROR(_xlfn.XLOOKUP($E29, Table_Fuel_EFs_StationaryLiquid[Fuel combusted], Table_Fuel_EFs_StationaryLiquid[Scope 3 Emission Factor (kg CO2 - e / GJ)]),0)</f>
        <v>NE</v>
      </c>
      <c r="L29" s="194" cm="1">
        <f t="array" ref="L29">Fuel_InputFunctions.Fuel_TotalConsumption(Table_Input_Fuel[Amount consumed], Table_Input_Fuel[Fuel use (select)], D29, Table_Input_Fuel[Fuel type (select)],F29)</f>
        <v>0</v>
      </c>
      <c r="M29" s="194" t="str" cm="1">
        <f t="array" ref="M29">Common_InputFunctions.Utility_LookupValueInTable(F29,Table_FuelTypes_Units[Fuel type],Table_FuelTypes_Units[Unit])</f>
        <v>kL</v>
      </c>
      <c r="N29" s="237" cm="1">
        <f t="array" ref="N29">Fuel_Equations.VEERG_8_2_1_1__1_FuelCombustionStationary($L29,$G29,H29)</f>
        <v>0</v>
      </c>
      <c r="O29" s="237" cm="1">
        <f t="array" ref="O29">Fuel_Equations.VEERG_8_2_1_1__1_FuelCombustionStationary($L29,$G29,I29)</f>
        <v>0</v>
      </c>
      <c r="P29" s="237" cm="1">
        <f t="array" ref="P29">Fuel_Equations.VEERG_8_2_1_1__1_FuelCombustionStationary($L29,$G29,J29)</f>
        <v>0</v>
      </c>
      <c r="Q29" s="237" cm="1">
        <f t="array" ref="Q29">Fuel_Equations.VEERG_8_2_1_1__1_FuelCombustionStationary($L29,$G29,IF(ISNUMBER(K29), K29, 0))</f>
        <v>0</v>
      </c>
    </row>
    <row r="30" spans="1:17" ht="20.100000000000001" customHeight="1" x14ac:dyDescent="0.25">
      <c r="A30" s="5" t="str">
        <f>HYPERLINK("#'5.2.1.1-2 Organic Fert N2O'!A1", "5.2.1.1-2 Organic fert N2O")</f>
        <v>5.2.1.1-2 Organic fert N2O</v>
      </c>
      <c r="D30" s="217" t="str">
        <f t="shared" si="0"/>
        <v>Generators</v>
      </c>
      <c r="E30" s="215" t="str">
        <f>'Constants - Fuel'!$D$75</f>
        <v>Biofuels other than those mentioned in the items above and below</v>
      </c>
      <c r="F30" s="215" t="str">
        <f>'Constants - Fuel'!D136</f>
        <v>Other biofuels</v>
      </c>
      <c r="G30" s="25">
        <f>IFERROR(_xlfn.XLOOKUP($E30, Table_Fuel_EFs_StationaryLiquid[Fuel combusted], Table_Fuel_EFs_StationaryLiquid[Energy Content Factor (GJ per unit of fuel)]),0)</f>
        <v>23.4</v>
      </c>
      <c r="H30" s="25">
        <f>IFERROR(_xlfn.XLOOKUP($E30, Table_Fuel_EFs_StationaryLiquid[Fuel combusted], Table_Fuel_EFs_StationaryLiquid[Scope 1 Emission Factor (kg CO2 - e / GJ) CO2]),0)</f>
        <v>0</v>
      </c>
      <c r="I30" s="25">
        <f>IFERROR(_xlfn.XLOOKUP($E30, Table_Fuel_EFs_StationaryLiquid[Fuel combusted], Table_Fuel_EFs_StationaryLiquid[Scope 1 Emission Factor (kg CO2 - e / GJ) CH4]),0)</f>
        <v>0.08</v>
      </c>
      <c r="J30" s="25">
        <f>IFERROR(_xlfn.XLOOKUP($E30, Table_Fuel_EFs_StationaryLiquid[Fuel combusted], Table_Fuel_EFs_StationaryLiquid[Scope 1 Emission Factor (kg CO2 - e / GJ) N2O]),0)</f>
        <v>0.2</v>
      </c>
      <c r="K30" s="25" t="str">
        <f>IFERROR(_xlfn.XLOOKUP($E30, Table_Fuel_EFs_StationaryLiquid[Fuel combusted], Table_Fuel_EFs_StationaryLiquid[Scope 3 Emission Factor (kg CO2 - e / GJ)]),0)</f>
        <v>NE</v>
      </c>
      <c r="L30" s="194" cm="1">
        <f t="array" ref="L30">Fuel_InputFunctions.Fuel_TotalConsumption(Table_Input_Fuel[Amount consumed], Table_Input_Fuel[Fuel use (select)], D30, Table_Input_Fuel[Fuel type (select)],F30)</f>
        <v>0</v>
      </c>
      <c r="M30" s="194" t="str" cm="1">
        <f t="array" ref="M30">Common_InputFunctions.Utility_LookupValueInTable(F30,Table_FuelTypes_Units[Fuel type],Table_FuelTypes_Units[Unit])</f>
        <v>kL</v>
      </c>
      <c r="N30" s="237" cm="1">
        <f t="array" ref="N30">Fuel_Equations.VEERG_8_2_1_1__1_FuelCombustionStationary($L30,$G30,H30)</f>
        <v>0</v>
      </c>
      <c r="O30" s="237" cm="1">
        <f t="array" ref="O30">Fuel_Equations.VEERG_8_2_1_1__1_FuelCombustionStationary($L30,$G30,I30)</f>
        <v>0</v>
      </c>
      <c r="P30" s="237" cm="1">
        <f t="array" ref="P30">Fuel_Equations.VEERG_8_2_1_1__1_FuelCombustionStationary($L30,$G30,J30)</f>
        <v>0</v>
      </c>
      <c r="Q30" s="237" cm="1">
        <f t="array" ref="Q30">Fuel_Equations.VEERG_8_2_1_1__1_FuelCombustionStationary($L30,$G30,IF(ISNUMBER(K30), K30, 0))</f>
        <v>0</v>
      </c>
    </row>
    <row r="31" spans="1:17" ht="20.100000000000001" customHeight="1" x14ac:dyDescent="0.25">
      <c r="A31" s="5" t="str">
        <f>HYPERLINK("#'5.3.1.1-2 Lime CO2'!A1", "5.3.1.1-2 Lime CO2")</f>
        <v>5.3.1.1-2 Lime CO2</v>
      </c>
      <c r="D31" s="217" t="str">
        <f t="shared" si="0"/>
        <v>Generators</v>
      </c>
      <c r="E31" s="215" t="str">
        <f>'Constants - Fuel'!$D$77</f>
        <v>Renewable diesel</v>
      </c>
      <c r="F31" s="215" t="str">
        <f>'Constants - Fuel'!D137</f>
        <v>Renewable diesel</v>
      </c>
      <c r="G31" s="213">
        <f>IFERROR(_xlfn.XLOOKUP($E31, Table_Fuel_EFs_StationaryLiquid[Fuel combusted], Table_Fuel_EFs_StationaryLiquid[Energy Content Factor (GJ per unit of fuel)]),0)</f>
        <v>38.6</v>
      </c>
      <c r="H31" s="213">
        <f>IFERROR(_xlfn.XLOOKUP($E31, Table_Fuel_EFs_StationaryLiquid[Fuel combusted], Table_Fuel_EFs_StationaryLiquid[Scope 1 Emission Factor (kg CO2 - e / GJ) CO2]),0)</f>
        <v>0</v>
      </c>
      <c r="I31" s="213">
        <f>IFERROR(_xlfn.XLOOKUP($E31, Table_Fuel_EFs_StationaryLiquid[Fuel combusted], Table_Fuel_EFs_StationaryLiquid[Scope 1 Emission Factor (kg CO2 - e / GJ) CH4]),0)</f>
        <v>0.1</v>
      </c>
      <c r="J31" s="213">
        <f>IFERROR(_xlfn.XLOOKUP($E31, Table_Fuel_EFs_StationaryLiquid[Fuel combusted], Table_Fuel_EFs_StationaryLiquid[Scope 1 Emission Factor (kg CO2 - e / GJ) N2O]),0)</f>
        <v>0.2</v>
      </c>
      <c r="K31" s="213" t="str">
        <f>IFERROR(_xlfn.XLOOKUP($E31, Table_Fuel_EFs_StationaryLiquid[Fuel combusted], Table_Fuel_EFs_StationaryLiquid[Scope 3 Emission Factor (kg CO2 - e / GJ)]),0)</f>
        <v>NE</v>
      </c>
      <c r="L31" s="218" cm="1">
        <f t="array" ref="L31">Fuel_InputFunctions.Fuel_TotalConsumption(Table_Input_Fuel[Amount consumed], Table_Input_Fuel[Fuel use (select)], D31, Table_Input_Fuel[Fuel type (select)],F31)</f>
        <v>0</v>
      </c>
      <c r="M31" s="218" t="str" cm="1">
        <f t="array" ref="M31">Common_InputFunctions.Utility_LookupValueInTable(F31,Table_FuelTypes_Units[Fuel type],Table_FuelTypes_Units[Unit])</f>
        <v>kL</v>
      </c>
      <c r="N31" s="238" cm="1">
        <f t="array" ref="N31">Fuel_Equations.VEERG_8_2_1_1__1_FuelCombustionStationary($L31,$G31,H31)</f>
        <v>0</v>
      </c>
      <c r="O31" s="238" cm="1">
        <f t="array" ref="O31">Fuel_Equations.VEERG_8_2_1_1__1_FuelCombustionStationary($L31,$G31,I31)</f>
        <v>0</v>
      </c>
      <c r="P31" s="238" cm="1">
        <f t="array" ref="P31">Fuel_Equations.VEERG_8_2_1_1__1_FuelCombustionStationary($L31,$G31,J31)</f>
        <v>0</v>
      </c>
      <c r="Q31" s="238" cm="1">
        <f t="array" ref="Q31">Fuel_Equations.VEERG_8_2_1_1__1_FuelCombustionStationary($L31,$G31,IF(ISNUMBER(K31), K31, 0))</f>
        <v>0</v>
      </c>
    </row>
    <row r="32" spans="1:17" ht="20.100000000000001" customHeight="1" x14ac:dyDescent="0.25">
      <c r="A32" s="5" t="str">
        <f>HYPERLINK("#'5.4.1.1-4 Atmos deposition'!A1", "5.4.1.1-4 Atmos. deposition")</f>
        <v>5.4.1.1-4 Atmos. deposition</v>
      </c>
      <c r="D32" s="220" t="str">
        <f>Table_FuelTypesPerUse[[#Headers],[Power standalone machinery or heating]]</f>
        <v>Power standalone machinery or heating</v>
      </c>
      <c r="E32" s="221" t="str">
        <f>'Constants - Fuel'!$D$58</f>
        <v>Automotive gasoline / petrol (other than for use as fuel in an aircraft)</v>
      </c>
      <c r="F32" s="221" t="str">
        <f>'Constants - Fuel'!E131</f>
        <v>Petrol</v>
      </c>
      <c r="G32" s="228">
        <f>IFERROR(_xlfn.XLOOKUP($E32, Table_Fuel_EFs_StationaryLiquid[Fuel combusted], Table_Fuel_EFs_StationaryLiquid[Energy Content Factor (GJ per unit of fuel)]),0)</f>
        <v>34.200000000000003</v>
      </c>
      <c r="H32" s="228">
        <f>IFERROR(_xlfn.XLOOKUP($E32, Table_Fuel_EFs_StationaryLiquid[Fuel combusted], Table_Fuel_EFs_StationaryLiquid[Scope 1 Emission Factor (kg CO2 - e / GJ) CO2]),0)</f>
        <v>67.400000000000006</v>
      </c>
      <c r="I32" s="228">
        <f>IFERROR(_xlfn.XLOOKUP($E32, Table_Fuel_EFs_StationaryLiquid[Fuel combusted], Table_Fuel_EFs_StationaryLiquid[Scope 1 Emission Factor (kg CO2 - e / GJ) CH4]),0)</f>
        <v>0.2</v>
      </c>
      <c r="J32" s="228">
        <f>IFERROR(_xlfn.XLOOKUP($E32, Table_Fuel_EFs_StationaryLiquid[Fuel combusted], Table_Fuel_EFs_StationaryLiquid[Scope 1 Emission Factor (kg CO2 - e / GJ) N2O]),0)</f>
        <v>0.2</v>
      </c>
      <c r="K32" s="228">
        <f>IFERROR(_xlfn.XLOOKUP($E32, Table_Fuel_EFs_StationaryLiquid[Fuel combusted], Table_Fuel_EFs_StationaryLiquid[Scope 3 Emission Factor (kg CO2 - e / GJ)]),0)</f>
        <v>17.2</v>
      </c>
      <c r="L32" s="224" cm="1">
        <f t="array" ref="L32">Fuel_InputFunctions.Fuel_TotalConsumption(Table_Input_Fuel[Amount consumed], Table_Input_Fuel[Fuel use (select)], D32, Table_Input_Fuel[Fuel type (select)],F32)</f>
        <v>10</v>
      </c>
      <c r="M32" s="225" t="str" cm="1">
        <f t="array" ref="M32">Common_InputFunctions.Utility_LookupValueInTable(F32,Table_FuelTypes_Units[Fuel type],Table_FuelTypes_Units[Unit])</f>
        <v>kL</v>
      </c>
      <c r="N32" s="239" cm="1">
        <f t="array" ref="N32">Fuel_Equations.VEERG_8_2_1_1__1_FuelCombustionStationary($L32,$G32,H32)</f>
        <v>23.050800000000002</v>
      </c>
      <c r="O32" s="239" cm="1">
        <f t="array" ref="O32">Fuel_Equations.VEERG_8_2_1_1__1_FuelCombustionStationary($L32,$G32,I32)</f>
        <v>6.8400000000000002E-2</v>
      </c>
      <c r="P32" s="239" cm="1">
        <f t="array" ref="P32">Fuel_Equations.VEERG_8_2_1_1__1_FuelCombustionStationary($L32,$G32,J32)</f>
        <v>6.8400000000000002E-2</v>
      </c>
      <c r="Q32" s="239" cm="1">
        <f t="array" ref="Q32">Fuel_Equations.VEERG_8_2_1_1__1_FuelCombustionStationary($L32,$G32,IF(ISNUMBER(K32), K32, 0))</f>
        <v>5.8823999999999996</v>
      </c>
    </row>
    <row r="33" spans="1:17" ht="20.100000000000001" customHeight="1" x14ac:dyDescent="0.25">
      <c r="A33" s="5" t="str">
        <f>HYPERLINK("#'5.5.1.1-2 Leaching and runoff'!A1", "5.5.1.1-2 Leaching &amp; runoff")</f>
        <v>5.5.1.1-2 Leaching &amp; runoff</v>
      </c>
      <c r="D33" s="217" t="str">
        <f t="shared" ref="D33:D40" si="1">$D$32</f>
        <v>Power standalone machinery or heating</v>
      </c>
      <c r="E33" s="215" t="str">
        <f>'Constants - Fuel'!$D$63</f>
        <v>Diesel oil</v>
      </c>
      <c r="F33" s="215" t="str">
        <f>'Constants - Fuel'!E132</f>
        <v>Diesel</v>
      </c>
      <c r="G33" s="25">
        <f>IFERROR(_xlfn.XLOOKUP($E33, Table_Fuel_EFs_StationaryLiquid[Fuel combusted], Table_Fuel_EFs_StationaryLiquid[Energy Content Factor (GJ per unit of fuel)]),0)</f>
        <v>38.6</v>
      </c>
      <c r="H33" s="25">
        <f>IFERROR(_xlfn.XLOOKUP($E33, Table_Fuel_EFs_StationaryLiquid[Fuel combusted], Table_Fuel_EFs_StationaryLiquid[Scope 1 Emission Factor (kg CO2 - e / GJ) CO2]),0)</f>
        <v>69.900000000000006</v>
      </c>
      <c r="I33" s="25">
        <f>IFERROR(_xlfn.XLOOKUP($E33, Table_Fuel_EFs_StationaryLiquid[Fuel combusted], Table_Fuel_EFs_StationaryLiquid[Scope 1 Emission Factor (kg CO2 - e / GJ) CH4]),0)</f>
        <v>0.1</v>
      </c>
      <c r="J33" s="25">
        <f>IFERROR(_xlfn.XLOOKUP($E33, Table_Fuel_EFs_StationaryLiquid[Fuel combusted], Table_Fuel_EFs_StationaryLiquid[Scope 1 Emission Factor (kg CO2 - e / GJ) N2O]),0)</f>
        <v>0.2</v>
      </c>
      <c r="K33" s="25">
        <f>IFERROR(_xlfn.XLOOKUP($E33, Table_Fuel_EFs_StationaryLiquid[Fuel combusted], Table_Fuel_EFs_StationaryLiquid[Scope 3 Emission Factor (kg CO2 - e / GJ)]),0)</f>
        <v>17.3</v>
      </c>
      <c r="L33" s="25" cm="1">
        <f t="array" ref="L33">Fuel_InputFunctions.Fuel_TotalConsumption(Table_Input_Fuel[Amount consumed], Table_Input_Fuel[Fuel use (select)], D33, Table_Input_Fuel[Fuel type (select)],F33)</f>
        <v>0</v>
      </c>
      <c r="M33" s="25" t="str" cm="1">
        <f t="array" ref="M33">Common_InputFunctions.Utility_LookupValueInTable(F33,Table_FuelTypes_Units[Fuel type],Table_FuelTypes_Units[Unit])</f>
        <v>kL</v>
      </c>
      <c r="N33" s="237" cm="1">
        <f t="array" ref="N33">Fuel_Equations.VEERG_8_2_1_1__1_FuelCombustionStationary($L33,$G33,H33)</f>
        <v>0</v>
      </c>
      <c r="O33" s="237" cm="1">
        <f t="array" ref="O33">Fuel_Equations.VEERG_8_2_1_1__1_FuelCombustionStationary($L33,$G33,I33)</f>
        <v>0</v>
      </c>
      <c r="P33" s="237" cm="1">
        <f t="array" ref="P33">Fuel_Equations.VEERG_8_2_1_1__1_FuelCombustionStationary($L33,$G33,J33)</f>
        <v>0</v>
      </c>
      <c r="Q33" s="237" cm="1">
        <f t="array" ref="Q33">Fuel_Equations.VEERG_8_2_1_1__1_FuelCombustionStationary($L33,$G33,IF(ISNUMBER(K33), K33, 0))</f>
        <v>0</v>
      </c>
    </row>
    <row r="34" spans="1:17" ht="20.100000000000001" customHeight="1" x14ac:dyDescent="0.25">
      <c r="A34" s="5" t="str">
        <f>HYPERLINK("#'6.2.1.1-2 Pasture residue N2O'!A1", "6.2.1.1-2 Pasture residue N2O")</f>
        <v>6.2.1.1-2 Pasture residue N2O</v>
      </c>
      <c r="D34" s="217" t="str">
        <f t="shared" si="1"/>
        <v>Power standalone machinery or heating</v>
      </c>
      <c r="E34" s="215" t="str">
        <f>'Constants - Fuel'!$D$67</f>
        <v>Liquefied petroleum gas (LPG)</v>
      </c>
      <c r="F34" s="215" t="str">
        <f>'Constants - Fuel'!E133</f>
        <v>Liquefied petroleum gas (LPG)</v>
      </c>
      <c r="G34" s="25">
        <f>IFERROR(_xlfn.XLOOKUP($E34, Table_Fuel_EFs_StationaryLiquid[Fuel combusted], Table_Fuel_EFs_StationaryLiquid[Energy Content Factor (GJ per unit of fuel)]),0)</f>
        <v>25.7</v>
      </c>
      <c r="H34" s="25">
        <f>IFERROR(_xlfn.XLOOKUP($E34, Table_Fuel_EFs_StationaryLiquid[Fuel combusted], Table_Fuel_EFs_StationaryLiquid[Scope 1 Emission Factor (kg CO2 - e / GJ) CO2]),0)</f>
        <v>60.2</v>
      </c>
      <c r="I34" s="25">
        <f>IFERROR(_xlfn.XLOOKUP($E34, Table_Fuel_EFs_StationaryLiquid[Fuel combusted], Table_Fuel_EFs_StationaryLiquid[Scope 1 Emission Factor (kg CO2 - e / GJ) CH4]),0)</f>
        <v>0.2</v>
      </c>
      <c r="J34" s="25">
        <f>IFERROR(_xlfn.XLOOKUP($E34, Table_Fuel_EFs_StationaryLiquid[Fuel combusted], Table_Fuel_EFs_StationaryLiquid[Scope 1 Emission Factor (kg CO2 - e / GJ) N2O]),0)</f>
        <v>0.2</v>
      </c>
      <c r="K34" s="25">
        <f>IFERROR(_xlfn.XLOOKUP($E34, Table_Fuel_EFs_StationaryLiquid[Fuel combusted], Table_Fuel_EFs_StationaryLiquid[Scope 3 Emission Factor (kg CO2 - e / GJ)]),0)</f>
        <v>20.2</v>
      </c>
      <c r="L34" s="25" cm="1">
        <f t="array" ref="L34">Fuel_InputFunctions.Fuel_TotalConsumption(Table_Input_Fuel[Amount consumed], Table_Input_Fuel[Fuel use (select)], D34, Table_Input_Fuel[Fuel type (select)],F34)</f>
        <v>0</v>
      </c>
      <c r="M34" s="25" t="str" cm="1">
        <f t="array" ref="M34">Common_InputFunctions.Utility_LookupValueInTable(F34,Table_FuelTypes_Units[Fuel type],Table_FuelTypes_Units[Unit])</f>
        <v>kL</v>
      </c>
      <c r="N34" s="237" cm="1">
        <f t="array" ref="N34">Fuel_Equations.VEERG_8_2_1_1__1_FuelCombustionStationary($L34,$G34,H34)</f>
        <v>0</v>
      </c>
      <c r="O34" s="237" cm="1">
        <f t="array" ref="O34">Fuel_Equations.VEERG_8_2_1_1__1_FuelCombustionStationary($L34,$G34,I34)</f>
        <v>0</v>
      </c>
      <c r="P34" s="237" cm="1">
        <f t="array" ref="P34">Fuel_Equations.VEERG_8_2_1_1__1_FuelCombustionStationary($L34,$G34,J34)</f>
        <v>0</v>
      </c>
      <c r="Q34" s="237" cm="1">
        <f t="array" ref="Q34">Fuel_Equations.VEERG_8_2_1_1__1_FuelCombustionStationary($L34,$G34,IF(ISNUMBER(K34), K34, 0))</f>
        <v>0</v>
      </c>
    </row>
    <row r="35" spans="1:17" ht="20.100000000000001" customHeight="1" x14ac:dyDescent="0.25">
      <c r="A35" s="5" t="str">
        <f>HYPERLINK("#'6.3.1.1-2 Leach runoff pasture'!A1", "6.3.1.1-2 Leach &amp; runoff (pasture)")</f>
        <v>6.3.1.1-2 Leach &amp; runoff (pasture)</v>
      </c>
      <c r="D35" s="217" t="str">
        <f t="shared" si="1"/>
        <v>Power standalone machinery or heating</v>
      </c>
      <c r="E35" s="215" t="str">
        <f>'Constants - Fuel'!$D$73</f>
        <v>Biodiesel</v>
      </c>
      <c r="F35" s="215" t="str">
        <f>'Constants - Fuel'!E134</f>
        <v>Biodiesel</v>
      </c>
      <c r="G35" s="25">
        <f>IFERROR(_xlfn.XLOOKUP($E35, Table_Fuel_EFs_StationaryLiquid[Fuel combusted], Table_Fuel_EFs_StationaryLiquid[Energy Content Factor (GJ per unit of fuel)]),0)</f>
        <v>34.6</v>
      </c>
      <c r="H35" s="25">
        <f>IFERROR(_xlfn.XLOOKUP($E35, Table_Fuel_EFs_StationaryLiquid[Fuel combusted], Table_Fuel_EFs_StationaryLiquid[Scope 1 Emission Factor (kg CO2 - e / GJ) CO2]),0)</f>
        <v>0</v>
      </c>
      <c r="I35" s="25">
        <f>IFERROR(_xlfn.XLOOKUP($E35, Table_Fuel_EFs_StationaryLiquid[Fuel combusted], Table_Fuel_EFs_StationaryLiquid[Scope 1 Emission Factor (kg CO2 - e / GJ) CH4]),0)</f>
        <v>0.08</v>
      </c>
      <c r="J35" s="25">
        <f>IFERROR(_xlfn.XLOOKUP($E35, Table_Fuel_EFs_StationaryLiquid[Fuel combusted], Table_Fuel_EFs_StationaryLiquid[Scope 1 Emission Factor (kg CO2 - e / GJ) N2O]),0)</f>
        <v>0.2</v>
      </c>
      <c r="K35" s="25" t="str">
        <f>IFERROR(_xlfn.XLOOKUP($E35, Table_Fuel_EFs_StationaryLiquid[Fuel combusted], Table_Fuel_EFs_StationaryLiquid[Scope 3 Emission Factor (kg CO2 - e / GJ)]),0)</f>
        <v>NE</v>
      </c>
      <c r="L35" s="25" cm="1">
        <f t="array" ref="L35">Fuel_InputFunctions.Fuel_TotalConsumption(Table_Input_Fuel[Amount consumed], Table_Input_Fuel[Fuel use (select)], D35, Table_Input_Fuel[Fuel type (select)],F35)</f>
        <v>0</v>
      </c>
      <c r="M35" s="25" t="str" cm="1">
        <f t="array" ref="M35">Common_InputFunctions.Utility_LookupValueInTable(F35,Table_FuelTypes_Units[Fuel type],Table_FuelTypes_Units[Unit])</f>
        <v>kL</v>
      </c>
      <c r="N35" s="237" cm="1">
        <f t="array" ref="N35">Fuel_Equations.VEERG_8_2_1_1__1_FuelCombustionStationary($L35,$G35,H35)</f>
        <v>0</v>
      </c>
      <c r="O35" s="237" cm="1">
        <f t="array" ref="O35">Fuel_Equations.VEERG_8_2_1_1__1_FuelCombustionStationary($L35,$G35,I35)</f>
        <v>0</v>
      </c>
      <c r="P35" s="237" cm="1">
        <f t="array" ref="P35">Fuel_Equations.VEERG_8_2_1_1__1_FuelCombustionStationary($L35,$G35,J35)</f>
        <v>0</v>
      </c>
      <c r="Q35" s="237" cm="1">
        <f t="array" ref="Q35">Fuel_Equations.VEERG_8_2_1_1__1_FuelCombustionStationary($L35,$G35,IF(ISNUMBER(K35), K35, 0))</f>
        <v>0</v>
      </c>
    </row>
    <row r="36" spans="1:17" ht="20.100000000000001" customHeight="1" x14ac:dyDescent="0.25">
      <c r="A36" s="5" t="str">
        <f>HYPERLINK("#'8.1.1.1-2 Transport fuel'!A1", "8.1.1.1-2 Transport fuel")</f>
        <v>8.1.1.1-2 Transport fuel</v>
      </c>
      <c r="D36" s="217" t="str">
        <f t="shared" si="1"/>
        <v>Power standalone machinery or heating</v>
      </c>
      <c r="E36" s="215" t="str">
        <f>'Constants - Fuel'!$D$74</f>
        <v>Ethanol for use as a fuel in an internal combustion engine</v>
      </c>
      <c r="F36" s="215" t="str">
        <f>'Constants - Fuel'!E135</f>
        <v>Ethanol</v>
      </c>
      <c r="G36" s="25">
        <f>IFERROR(_xlfn.XLOOKUP($E36, Table_Fuel_EFs_StationaryLiquid[Fuel combusted], Table_Fuel_EFs_StationaryLiquid[Energy Content Factor (GJ per unit of fuel)]),0)</f>
        <v>23.4</v>
      </c>
      <c r="H36" s="25">
        <f>IFERROR(_xlfn.XLOOKUP($E36, Table_Fuel_EFs_StationaryLiquid[Fuel combusted], Table_Fuel_EFs_StationaryLiquid[Scope 1 Emission Factor (kg CO2 - e / GJ) CO2]),0)</f>
        <v>0</v>
      </c>
      <c r="I36" s="25">
        <f>IFERROR(_xlfn.XLOOKUP($E36, Table_Fuel_EFs_StationaryLiquid[Fuel combusted], Table_Fuel_EFs_StationaryLiquid[Scope 1 Emission Factor (kg CO2 - e / GJ) CH4]),0)</f>
        <v>0.08</v>
      </c>
      <c r="J36" s="25">
        <f>IFERROR(_xlfn.XLOOKUP($E36, Table_Fuel_EFs_StationaryLiquid[Fuel combusted], Table_Fuel_EFs_StationaryLiquid[Scope 1 Emission Factor (kg CO2 - e / GJ) N2O]),0)</f>
        <v>0.2</v>
      </c>
      <c r="K36" s="25" t="str">
        <f>IFERROR(_xlfn.XLOOKUP($E36, Table_Fuel_EFs_StationaryLiquid[Fuel combusted], Table_Fuel_EFs_StationaryLiquid[Scope 3 Emission Factor (kg CO2 - e / GJ)]),0)</f>
        <v>NE</v>
      </c>
      <c r="L36" s="25" cm="1">
        <f t="array" ref="L36">Fuel_InputFunctions.Fuel_TotalConsumption(Table_Input_Fuel[Amount consumed], Table_Input_Fuel[Fuel use (select)], D36, Table_Input_Fuel[Fuel type (select)],F36)</f>
        <v>0</v>
      </c>
      <c r="M36" s="25" t="str" cm="1">
        <f t="array" ref="M36">Common_InputFunctions.Utility_LookupValueInTable(F36,Table_FuelTypes_Units[Fuel type],Table_FuelTypes_Units[Unit])</f>
        <v>kL</v>
      </c>
      <c r="N36" s="237" cm="1">
        <f t="array" ref="N36">Fuel_Equations.VEERG_8_2_1_1__1_FuelCombustionStationary($L36,$G36,H36)</f>
        <v>0</v>
      </c>
      <c r="O36" s="237" cm="1">
        <f t="array" ref="O36">Fuel_Equations.VEERG_8_2_1_1__1_FuelCombustionStationary($L36,$G36,I36)</f>
        <v>0</v>
      </c>
      <c r="P36" s="237" cm="1">
        <f t="array" ref="P36">Fuel_Equations.VEERG_8_2_1_1__1_FuelCombustionStationary($L36,$G36,J36)</f>
        <v>0</v>
      </c>
      <c r="Q36" s="237" cm="1">
        <f t="array" ref="Q36">Fuel_Equations.VEERG_8_2_1_1__1_FuelCombustionStationary($L36,$G36,IF(ISNUMBER(K36), K36, 0))</f>
        <v>0</v>
      </c>
    </row>
    <row r="37" spans="1:17" ht="20.100000000000001" customHeight="1" x14ac:dyDescent="0.25">
      <c r="A37" s="119" t="str">
        <f>HYPERLINK("#'8.2.1.1-2 Stationary fuel'!A1", "8.2.1.1-2 Stationary fuel")</f>
        <v>8.2.1.1-2 Stationary fuel</v>
      </c>
      <c r="D37" s="217" t="str">
        <f t="shared" si="1"/>
        <v>Power standalone machinery or heating</v>
      </c>
      <c r="E37" s="215" t="str">
        <f>'Constants - Fuel'!$D$75</f>
        <v>Biofuels other than those mentioned in the items above and below</v>
      </c>
      <c r="F37" s="215" t="str">
        <f>'Constants - Fuel'!E136</f>
        <v>Other biofuels</v>
      </c>
      <c r="G37" s="25">
        <f>IFERROR(_xlfn.XLOOKUP($E37, Table_Fuel_EFs_StationaryLiquid[Fuel combusted], Table_Fuel_EFs_StationaryLiquid[Energy Content Factor (GJ per unit of fuel)]),0)</f>
        <v>23.4</v>
      </c>
      <c r="H37" s="25">
        <f>IFERROR(_xlfn.XLOOKUP($E37, Table_Fuel_EFs_StationaryLiquid[Fuel combusted], Table_Fuel_EFs_StationaryLiquid[Scope 1 Emission Factor (kg CO2 - e / GJ) CO2]),0)</f>
        <v>0</v>
      </c>
      <c r="I37" s="25">
        <f>IFERROR(_xlfn.XLOOKUP($E37, Table_Fuel_EFs_StationaryLiquid[Fuel combusted], Table_Fuel_EFs_StationaryLiquid[Scope 1 Emission Factor (kg CO2 - e / GJ) CH4]),0)</f>
        <v>0.08</v>
      </c>
      <c r="J37" s="25">
        <f>IFERROR(_xlfn.XLOOKUP($E37, Table_Fuel_EFs_StationaryLiquid[Fuel combusted], Table_Fuel_EFs_StationaryLiquid[Scope 1 Emission Factor (kg CO2 - e / GJ) N2O]),0)</f>
        <v>0.2</v>
      </c>
      <c r="K37" s="25" t="str">
        <f>IFERROR(_xlfn.XLOOKUP($E37, Table_Fuel_EFs_StationaryLiquid[Fuel combusted], Table_Fuel_EFs_StationaryLiquid[Scope 3 Emission Factor (kg CO2 - e / GJ)]),0)</f>
        <v>NE</v>
      </c>
      <c r="L37" s="25" cm="1">
        <f t="array" ref="L37">Fuel_InputFunctions.Fuel_TotalConsumption(Table_Input_Fuel[Amount consumed], Table_Input_Fuel[Fuel use (select)], D37, Table_Input_Fuel[Fuel type (select)],F37)</f>
        <v>0</v>
      </c>
      <c r="M37" s="25" t="str" cm="1">
        <f t="array" ref="M37">Common_InputFunctions.Utility_LookupValueInTable(F37,Table_FuelTypes_Units[Fuel type],Table_FuelTypes_Units[Unit])</f>
        <v>kL</v>
      </c>
      <c r="N37" s="237" cm="1">
        <f t="array" ref="N37">Fuel_Equations.VEERG_8_2_1_1__1_FuelCombustionStationary($L37,$G37,H37)</f>
        <v>0</v>
      </c>
      <c r="O37" s="237" cm="1">
        <f t="array" ref="O37">Fuel_Equations.VEERG_8_2_1_1__1_FuelCombustionStationary($L37,$G37,I37)</f>
        <v>0</v>
      </c>
      <c r="P37" s="237" cm="1">
        <f t="array" ref="P37">Fuel_Equations.VEERG_8_2_1_1__1_FuelCombustionStationary($L37,$G37,J37)</f>
        <v>0</v>
      </c>
      <c r="Q37" s="237" cm="1">
        <f t="array" ref="Q37">Fuel_Equations.VEERG_8_2_1_1__1_FuelCombustionStationary($L37,$G37,IF(ISNUMBER(K37), K37, 0))</f>
        <v>0</v>
      </c>
    </row>
    <row r="38" spans="1:17" ht="20.100000000000001" customHeight="1" x14ac:dyDescent="0.25">
      <c r="A38" s="5" t="str">
        <f>HYPERLINK("#'14.1.1-2 Purchased electricity'!A1", "14.1.1-2 Purchased electricity")</f>
        <v>14.1.1-2 Purchased electricity</v>
      </c>
      <c r="D38" s="217" t="str">
        <f t="shared" si="1"/>
        <v>Power standalone machinery or heating</v>
      </c>
      <c r="E38" s="215" t="str">
        <f>'Constants - Fuel'!$D$77</f>
        <v>Renewable diesel</v>
      </c>
      <c r="F38" s="215" t="str">
        <f>'Constants - Fuel'!E137</f>
        <v>Renewable diesel</v>
      </c>
      <c r="G38" s="25">
        <f>IFERROR(_xlfn.XLOOKUP($E38, Table_Fuel_EFs_StationaryLiquid[Fuel combusted], Table_Fuel_EFs_StationaryLiquid[Energy Content Factor (GJ per unit of fuel)]),0)</f>
        <v>38.6</v>
      </c>
      <c r="H38" s="25">
        <f>IFERROR(_xlfn.XLOOKUP($E38, Table_Fuel_EFs_StationaryLiquid[Fuel combusted], Table_Fuel_EFs_StationaryLiquid[Scope 1 Emission Factor (kg CO2 - e / GJ) CO2]),0)</f>
        <v>0</v>
      </c>
      <c r="I38" s="25">
        <f>IFERROR(_xlfn.XLOOKUP($E38, Table_Fuel_EFs_StationaryLiquid[Fuel combusted], Table_Fuel_EFs_StationaryLiquid[Scope 1 Emission Factor (kg CO2 - e / GJ) CH4]),0)</f>
        <v>0.1</v>
      </c>
      <c r="J38" s="25">
        <f>IFERROR(_xlfn.XLOOKUP($E38, Table_Fuel_EFs_StationaryLiquid[Fuel combusted], Table_Fuel_EFs_StationaryLiquid[Scope 1 Emission Factor (kg CO2 - e / GJ) N2O]),0)</f>
        <v>0.2</v>
      </c>
      <c r="K38" s="25" t="str">
        <f>IFERROR(_xlfn.XLOOKUP($E38, Table_Fuel_EFs_StationaryLiquid[Fuel combusted], Table_Fuel_EFs_StationaryLiquid[Scope 3 Emission Factor (kg CO2 - e / GJ)]),0)</f>
        <v>NE</v>
      </c>
      <c r="L38" s="25" cm="1">
        <f t="array" ref="L38">Fuel_InputFunctions.Fuel_TotalConsumption(Table_Input_Fuel[Amount consumed], Table_Input_Fuel[Fuel use (select)], D38, Table_Input_Fuel[Fuel type (select)],F38)</f>
        <v>0</v>
      </c>
      <c r="M38" s="25" t="str" cm="1">
        <f t="array" ref="M38">Common_InputFunctions.Utility_LookupValueInTable(F38,Table_FuelTypes_Units[Fuel type],Table_FuelTypes_Units[Unit])</f>
        <v>kL</v>
      </c>
      <c r="N38" s="237" cm="1">
        <f t="array" ref="N38">Fuel_Equations.VEERG_8_2_1_1__1_FuelCombustionStationary($L38,$G38,H38)</f>
        <v>0</v>
      </c>
      <c r="O38" s="237" cm="1">
        <f t="array" ref="O38">Fuel_Equations.VEERG_8_2_1_1__1_FuelCombustionStationary($L38,$G38,I38)</f>
        <v>0</v>
      </c>
      <c r="P38" s="237" cm="1">
        <f t="array" ref="P38">Fuel_Equations.VEERG_8_2_1_1__1_FuelCombustionStationary($L38,$G38,J38)</f>
        <v>0</v>
      </c>
      <c r="Q38" s="237" cm="1">
        <f t="array" ref="Q38">Fuel_Equations.VEERG_8_2_1_1__1_FuelCombustionStationary($L38,$G38,IF(ISNUMBER(K38), K38, 0))</f>
        <v>0</v>
      </c>
    </row>
    <row r="39" spans="1:17" ht="20.100000000000001" customHeight="1" x14ac:dyDescent="0.25">
      <c r="A39" s="5" t="str">
        <f>HYPERLINK("#'15 Scope 3'!A1", "15 Scope 3")</f>
        <v>15 Scope 3</v>
      </c>
      <c r="D39" s="217" t="str">
        <f t="shared" si="1"/>
        <v>Power standalone machinery or heating</v>
      </c>
      <c r="E39" s="215" t="str">
        <f>'Constants - Fuel'!$D$103</f>
        <v>Natural gas distributed in a pipeline - Gigajoules</v>
      </c>
      <c r="F39" s="215" t="str">
        <f>'Constants - Fuel'!E138</f>
        <v>Natural gas (via pipeline) in GJ</v>
      </c>
      <c r="G39" s="25">
        <f>IFERROR(_xlfn.XLOOKUP($E39, Table_Fuel_EFs_StationaryGaseous[Fuel combusted], Table_Fuel_EFs_StationaryGaseous[Energy Content Factor (GJ per unit of fuel)]),0)</f>
        <v>1</v>
      </c>
      <c r="H39" s="25">
        <f>IFERROR(_xlfn.XLOOKUP($E39, Table_Fuel_EFs_StationaryGaseous[Fuel combusted], Table_Fuel_EFs_StationaryGaseous[Scope 1 Emission Factor (kg CO2 - e / GJ) CO2]),0)</f>
        <v>51.4</v>
      </c>
      <c r="I39" s="25">
        <f>IFERROR(_xlfn.XLOOKUP($E39, Table_Fuel_EFs_StationaryGaseous[Fuel combusted], Table_Fuel_EFs_StationaryGaseous[Scope 1 Emission Factor (kg CO2 - e / GJ) CH4]),0)</f>
        <v>0.1</v>
      </c>
      <c r="J39" s="25">
        <f>IFERROR(_xlfn.XLOOKUP($E39, Table_Fuel_EFs_StationaryGaseous[Fuel combusted], Table_Fuel_EFs_StationaryGaseous[Scope 1 Emission Factor (kg CO2 - e / GJ) N2O]),0)</f>
        <v>0.03</v>
      </c>
      <c r="K39" s="25" cm="1">
        <f t="array" ref="K39">IFERROR(Common_InputFunctions.Utility_LookupValueInTableOneColumnAndHeader($P$17,$P$18,Table_Fuel_EFs_StationaryGaseous34[State or territory],Table_Fuel_EFs_StationaryGaseous34[#Headers],Table_Fuel_EFs_StationaryGaseous34[#Data]),0)</f>
        <v>4.0999999999999996</v>
      </c>
      <c r="L39" s="194" cm="1">
        <f t="array" ref="L39">Fuel_InputFunctions.Fuel_TotalConsumption(Table_Input_Fuel[Amount consumed], Table_Input_Fuel[Fuel use (select)], D39, Table_Input_Fuel[Fuel type (select)],F39)</f>
        <v>0</v>
      </c>
      <c r="M39" s="194" t="str" cm="1">
        <f t="array" ref="M39">Common_InputFunctions.Utility_LookupValueInTable(F39,Table_FuelTypes_Units[Fuel type],Table_FuelTypes_Units[Unit])</f>
        <v>GJ</v>
      </c>
      <c r="N39" s="237" cm="1">
        <f t="array" ref="N39">Fuel_Equations.VEERG_8_2_1_1__1_FuelCombustionStationary($L39,$G39,H39)</f>
        <v>0</v>
      </c>
      <c r="O39" s="237" cm="1">
        <f t="array" ref="O39">Fuel_Equations.VEERG_8_2_1_1__1_FuelCombustionStationary($L39,$G39,I39)</f>
        <v>0</v>
      </c>
      <c r="P39" s="237" cm="1">
        <f t="array" ref="P39">Fuel_Equations.VEERG_8_2_1_1__1_FuelCombustionStationary($L39,$G39,J39)</f>
        <v>0</v>
      </c>
      <c r="Q39" s="237" cm="1">
        <f t="array" ref="Q39">Fuel_Equations.VEERG_8_2_1_1__1_FuelCombustionStationary($L39,$G39,IF(ISNUMBER(K39), K39, 0))</f>
        <v>0</v>
      </c>
    </row>
    <row r="40" spans="1:17" ht="20.100000000000001" customHeight="1" x14ac:dyDescent="0.25">
      <c r="A40" s="5" t="str">
        <f>HYPERLINK("#'Calcs - Manure sent off-site'!A1", "Calcs - Manure sent off-site")</f>
        <v>Calcs - Manure sent off-site</v>
      </c>
      <c r="D40" s="217" t="str">
        <f t="shared" si="1"/>
        <v>Power standalone machinery or heating</v>
      </c>
      <c r="E40" s="215" t="str">
        <f>'Constants - Fuel'!$D$104</f>
        <v>Town gas - Gigajoules</v>
      </c>
      <c r="F40" s="215" t="str">
        <f>'Constants - Fuel'!E139</f>
        <v>Town gas in GJ</v>
      </c>
      <c r="G40" s="25">
        <f>IFERROR(_xlfn.XLOOKUP($E40, Table_Fuel_EFs_StationaryGaseous[Fuel combusted], Table_Fuel_EFs_StationaryGaseous[Energy Content Factor (GJ per unit of fuel)]),0)</f>
        <v>1</v>
      </c>
      <c r="H40" s="25">
        <f>IFERROR(_xlfn.XLOOKUP($E40, Table_Fuel_EFs_StationaryGaseous[Fuel combusted], Table_Fuel_EFs_StationaryGaseous[Scope 1 Emission Factor (kg CO2 - e / GJ) CO2]),0)</f>
        <v>60.2</v>
      </c>
      <c r="I40" s="25">
        <f>IFERROR(_xlfn.XLOOKUP($E40, Table_Fuel_EFs_StationaryGaseous[Fuel combusted], Table_Fuel_EFs_StationaryGaseous[Scope 1 Emission Factor (kg CO2 - e / GJ) CH4]),0)</f>
        <v>0.04</v>
      </c>
      <c r="J40" s="25">
        <f>IFERROR(_xlfn.XLOOKUP($E40, Table_Fuel_EFs_StationaryGaseous[Fuel combusted], Table_Fuel_EFs_StationaryGaseous[Scope 1 Emission Factor (kg CO2 - e / GJ) N2O]),0)</f>
        <v>0.03</v>
      </c>
      <c r="K40" s="25" cm="1">
        <f t="array" ref="K40">IFERROR(Common_InputFunctions.Utility_LookupValueInTableOneColumnAndHeader($P$17,$P$18,Table_Fuel_EFs_StationaryGaseous34[State or territory],Table_Fuel_EFs_StationaryGaseous34[#Headers],Table_Fuel_EFs_StationaryGaseous34[#Data]),0)</f>
        <v>4.0999999999999996</v>
      </c>
      <c r="L40" s="194" cm="1">
        <f t="array" ref="L40">Fuel_InputFunctions.Fuel_TotalConsumption(Table_Input_Fuel[Amount consumed], Table_Input_Fuel[Fuel use (select)], D40, Table_Input_Fuel[Fuel type (select)],F40)</f>
        <v>100</v>
      </c>
      <c r="M40" s="194" t="str" cm="1">
        <f t="array" ref="M40">Common_InputFunctions.Utility_LookupValueInTable(F40,Table_FuelTypes_Units[Fuel type],Table_FuelTypes_Units[Unit])</f>
        <v>GJ</v>
      </c>
      <c r="N40" s="237" cm="1">
        <f t="array" ref="N40">Fuel_Equations.VEERG_8_2_1_1__1_FuelCombustionStationary($L40,$G40,H40)</f>
        <v>6.0200000000000005</v>
      </c>
      <c r="O40" s="237" cm="1">
        <f t="array" ref="O40">Fuel_Equations.VEERG_8_2_1_1__1_FuelCombustionStationary($L40,$G40,I40)</f>
        <v>4.0000000000000001E-3</v>
      </c>
      <c r="P40" s="237" cm="1">
        <f t="array" ref="P40">Fuel_Equations.VEERG_8_2_1_1__1_FuelCombustionStationary($L40,$G40,J40)</f>
        <v>3.0000000000000001E-3</v>
      </c>
      <c r="Q40" s="237" cm="1">
        <f t="array" ref="Q40">Fuel_Equations.VEERG_8_2_1_1__1_FuelCombustionStationary($L40,$G40,IF(ISNUMBER(K40), K40, 0))</f>
        <v>0.41</v>
      </c>
    </row>
    <row r="41" spans="1:17" ht="20.100000000000001" customHeight="1" x14ac:dyDescent="0.25">
      <c r="A41" s="5" t="str">
        <f>HYPERLINK("#'4.3.1.1-2 Methane'!A1", "4.3.1.1-2 Methane")</f>
        <v>4.3.1.1-2 Methane</v>
      </c>
    </row>
    <row r="42" spans="1:17" ht="20.100000000000001" customHeight="1" x14ac:dyDescent="0.25">
      <c r="A42" s="5" t="str">
        <f>HYPERLINK("#'4.3.1.3-4 Direct N20'!A1", "4.3.1.3-4 Direct N20")</f>
        <v>4.3.1.3-4 Direct N20</v>
      </c>
      <c r="D42" s="230" t="str">
        <f>"Total scope 1 - " &amp; D25</f>
        <v>Total scope 1 - Generators</v>
      </c>
      <c r="E42" s="231"/>
      <c r="F42" s="232"/>
    </row>
    <row r="43" spans="1:17" ht="20.100000000000001" customHeight="1" x14ac:dyDescent="0.25">
      <c r="A43" s="5" t="str">
        <f>HYPERLINK("#'4.3.1.5 Atmos deposition'!A1", "4.3.1.5 Atmos deposition")</f>
        <v>4.3.1.5 Atmos deposition</v>
      </c>
      <c r="D43" s="34" t="s">
        <v>818</v>
      </c>
      <c r="E43" s="233">
        <f>SUM(N25:N31)</f>
        <v>0</v>
      </c>
      <c r="F43" s="26" t="str">
        <f>$E$12</f>
        <v>t CO2-e</v>
      </c>
    </row>
    <row r="44" spans="1:17" ht="20.100000000000001" customHeight="1" x14ac:dyDescent="0.25">
      <c r="A44" s="5" t="str">
        <f>HYPERLINK("#'4.3.1.6-7 Leaching and runoff'!A1", "4.3.1.6-7 Leaching and runoff")</f>
        <v>4.3.1.6-7 Leaching and runoff</v>
      </c>
      <c r="D44" s="34" t="s">
        <v>819</v>
      </c>
      <c r="E44" s="233">
        <f>SUM(O25:O31)</f>
        <v>0</v>
      </c>
      <c r="F44" s="26" t="str">
        <f t="shared" ref="F44:F46" si="2">$E$12</f>
        <v>t CO2-e</v>
      </c>
    </row>
    <row r="45" spans="1:17" ht="20.100000000000001" customHeight="1" x14ac:dyDescent="0.25">
      <c r="A45" s="5" t="str">
        <f>HYPERLINK("#'4.3.1.8 Manure applied to soils'!A1", "4.3.1.8 Manure applied to soils")</f>
        <v>4.3.1.8 Manure applied to soils</v>
      </c>
      <c r="D45" s="34" t="s">
        <v>820</v>
      </c>
      <c r="E45" s="233">
        <f>SUM(P25:P31)</f>
        <v>0</v>
      </c>
      <c r="F45" s="26" t="str">
        <f t="shared" si="2"/>
        <v>t CO2-e</v>
      </c>
    </row>
    <row r="46" spans="1:17" ht="20.100000000000001" customHeight="1" x14ac:dyDescent="0.25">
      <c r="A46" s="5" t="str">
        <f>HYPERLINK("#'4.3.1.9 Soil direct N2O'!A1", "4.3.1.9 Soil direct N2O")</f>
        <v>4.3.1.9 Soil direct N2O</v>
      </c>
      <c r="D46" s="34" t="s">
        <v>821</v>
      </c>
      <c r="E46" s="233">
        <f>SUM(Q25:Q31)</f>
        <v>0</v>
      </c>
      <c r="F46" s="26" t="str">
        <f t="shared" si="2"/>
        <v>t CO2-e</v>
      </c>
    </row>
    <row r="47" spans="1:17" ht="20.100000000000001" customHeight="1" x14ac:dyDescent="0.25">
      <c r="A47" s="5" t="str">
        <f>HYPERLINK("#'4.3.1.10-11 Soil Atmos Dep'!A1", "4.3.1.10-11 Soil Atmos Dep")</f>
        <v>4.3.1.10-11 Soil Atmos Dep</v>
      </c>
      <c r="H47" s="191"/>
      <c r="I47" s="191"/>
      <c r="J47" s="191"/>
      <c r="L47" s="191"/>
      <c r="N47" s="191"/>
      <c r="O47" s="191"/>
      <c r="P47" s="191"/>
      <c r="Q47" s="191"/>
    </row>
    <row r="48" spans="1:17" ht="20.100000000000001" customHeight="1" x14ac:dyDescent="0.25">
      <c r="A48" s="5" t="str">
        <f>HYPERLINK("#'4.3.1.12-13 Soil leach runoff'!A1", "4.3.1.12-13 Soil leach runoff")</f>
        <v>4.3.1.12-13 Soil leach runoff</v>
      </c>
      <c r="D48" s="230" t="str">
        <f>"Total scope 1 - " &amp; D32</f>
        <v>Total scope 1 - Power standalone machinery or heating</v>
      </c>
      <c r="E48" s="234"/>
      <c r="F48" s="232"/>
      <c r="H48" s="191"/>
      <c r="I48" s="191"/>
      <c r="J48" s="191"/>
      <c r="L48" s="191"/>
      <c r="N48" s="191"/>
      <c r="O48" s="191"/>
      <c r="P48" s="191"/>
      <c r="Q48" s="191"/>
    </row>
    <row r="49" spans="1:17" ht="20.100000000000001" customHeight="1" x14ac:dyDescent="0.25">
      <c r="A49" s="5" t="str">
        <f>HYPERLINK("#'3.3.1.1-2 Enteric Methane'!A1", "3.3.1.1-2 Enteric Methane")</f>
        <v>3.3.1.1-2 Enteric Methane</v>
      </c>
      <c r="D49" s="34" t="s">
        <v>818</v>
      </c>
      <c r="E49" s="233">
        <f>SUM(N32:N40)</f>
        <v>29.070800000000002</v>
      </c>
      <c r="F49" s="26" t="str">
        <f t="shared" ref="F49:F52" si="3">$E$12</f>
        <v>t CO2-e</v>
      </c>
      <c r="H49" s="191"/>
      <c r="I49" s="191"/>
      <c r="J49" s="191"/>
      <c r="L49" s="191"/>
      <c r="N49" s="191"/>
      <c r="O49" s="191"/>
      <c r="P49" s="191"/>
      <c r="Q49" s="191"/>
    </row>
    <row r="50" spans="1:17" ht="20.100000000000001" customHeight="1" x14ac:dyDescent="0.25">
      <c r="A50" s="5" t="str">
        <f>HYPERLINK("#'10.1.1-2 Solid waste treatment'!A1", "10.1.1-2 Solid waste treatment")</f>
        <v>10.1.1-2 Solid waste treatment</v>
      </c>
      <c r="D50" s="34" t="s">
        <v>819</v>
      </c>
      <c r="E50" s="233">
        <f>SUM(O32:O40)</f>
        <v>7.2400000000000006E-2</v>
      </c>
      <c r="F50" s="26" t="str">
        <f t="shared" si="3"/>
        <v>t CO2-e</v>
      </c>
      <c r="H50" s="191"/>
      <c r="I50" s="191"/>
      <c r="J50" s="191"/>
      <c r="L50" s="191"/>
      <c r="N50" s="191"/>
      <c r="O50" s="191"/>
      <c r="P50" s="191"/>
      <c r="Q50" s="191"/>
    </row>
    <row r="51" spans="1:17" ht="20.100000000000001" customHeight="1" x14ac:dyDescent="0.25">
      <c r="D51" s="34" t="s">
        <v>820</v>
      </c>
      <c r="E51" s="233">
        <f>SUM(P32:P40)</f>
        <v>7.1400000000000005E-2</v>
      </c>
      <c r="F51" s="26" t="str">
        <f t="shared" si="3"/>
        <v>t CO2-e</v>
      </c>
      <c r="H51" s="191"/>
      <c r="I51" s="191"/>
      <c r="J51" s="191"/>
      <c r="L51" s="191"/>
      <c r="N51" s="191"/>
      <c r="O51" s="191"/>
      <c r="P51" s="191"/>
      <c r="Q51" s="191"/>
    </row>
    <row r="52" spans="1:17" ht="20.100000000000001" customHeight="1" x14ac:dyDescent="0.25">
      <c r="D52" s="34" t="s">
        <v>821</v>
      </c>
      <c r="E52" s="233">
        <f>SUM(Q32:Q40)</f>
        <v>6.2923999999999998</v>
      </c>
      <c r="F52" s="26" t="str">
        <f t="shared" si="3"/>
        <v>t CO2-e</v>
      </c>
      <c r="G52" s="191"/>
      <c r="H52" s="191"/>
      <c r="I52" s="191"/>
      <c r="J52" s="191"/>
      <c r="L52" s="191"/>
      <c r="N52" s="191"/>
      <c r="O52" s="191"/>
      <c r="P52" s="191"/>
      <c r="Q52" s="191"/>
    </row>
    <row r="53" spans="1:17" ht="20.100000000000001" customHeight="1" x14ac:dyDescent="0.25">
      <c r="A53" s="100" t="s">
        <v>1</v>
      </c>
      <c r="G53" s="191"/>
      <c r="H53" s="191"/>
      <c r="I53" s="191"/>
      <c r="J53" s="191"/>
      <c r="L53" s="191"/>
      <c r="N53" s="191"/>
      <c r="O53" s="191"/>
      <c r="P53" s="191"/>
      <c r="Q53" s="191"/>
    </row>
    <row r="54" spans="1:17" ht="20.100000000000001" customHeight="1" x14ac:dyDescent="0.25">
      <c r="A54" s="5" t="str">
        <f>HYPERLINK("#'Constants - Dairy'!A1", "Constants - Dairy")</f>
        <v>Constants - Dairy</v>
      </c>
      <c r="D54" s="230" t="s">
        <v>832</v>
      </c>
      <c r="E54" s="234"/>
      <c r="F54" s="232"/>
      <c r="G54" s="191"/>
      <c r="H54" s="191"/>
      <c r="I54" s="191"/>
      <c r="J54" s="191"/>
      <c r="L54" s="191"/>
      <c r="N54" s="191"/>
      <c r="O54" s="191"/>
      <c r="P54" s="191"/>
      <c r="Q54" s="191"/>
    </row>
    <row r="55" spans="1:17" ht="20.100000000000001" customHeight="1" x14ac:dyDescent="0.25">
      <c r="A55" s="5" t="str">
        <f>HYPERLINK("#'Constants - Ag Residue'!A1", "Constants - Ag residue")</f>
        <v>Constants - Ag residue</v>
      </c>
      <c r="D55" s="34" t="s">
        <v>818</v>
      </c>
      <c r="E55" s="233">
        <f>E43+E49</f>
        <v>29.070800000000002</v>
      </c>
      <c r="F55" s="26" t="str">
        <f t="shared" ref="F55:F58" si="4">$E$12</f>
        <v>t CO2-e</v>
      </c>
      <c r="G55" s="191"/>
      <c r="H55" s="191"/>
      <c r="I55" s="191"/>
      <c r="J55" s="191"/>
      <c r="L55" s="191"/>
      <c r="N55" s="191"/>
      <c r="O55" s="191"/>
      <c r="P55" s="191"/>
      <c r="Q55" s="191"/>
    </row>
    <row r="56" spans="1:17" ht="20.100000000000001" customHeight="1" x14ac:dyDescent="0.25">
      <c r="A56" s="5" t="str">
        <f>HYPERLINK("#'Constants - Common Livestock'!A1", "Constants - Common Livestock")</f>
        <v>Constants - Common Livestock</v>
      </c>
      <c r="D56" s="34" t="s">
        <v>819</v>
      </c>
      <c r="E56" s="233">
        <f>E44+E50</f>
        <v>7.2400000000000006E-2</v>
      </c>
      <c r="F56" s="26" t="str">
        <f t="shared" si="4"/>
        <v>t CO2-e</v>
      </c>
      <c r="H56" s="191"/>
    </row>
    <row r="57" spans="1:17" ht="20.100000000000001" customHeight="1" x14ac:dyDescent="0.25">
      <c r="A57" s="5" t="str">
        <f>HYPERLINK("#'Constants - Electricity'!A1", "Constants - Electricity")</f>
        <v>Constants - Electricity</v>
      </c>
      <c r="D57" s="34" t="s">
        <v>820</v>
      </c>
      <c r="E57" s="233">
        <f>E45+E51</f>
        <v>7.1400000000000005E-2</v>
      </c>
      <c r="F57" s="26" t="str">
        <f t="shared" si="4"/>
        <v>t CO2-e</v>
      </c>
      <c r="G57" s="191"/>
      <c r="H57" s="191"/>
      <c r="I57" s="191"/>
      <c r="J57" s="191"/>
      <c r="L57" s="191"/>
      <c r="N57" s="191"/>
      <c r="O57" s="191"/>
      <c r="P57" s="191"/>
      <c r="Q57" s="191"/>
    </row>
    <row r="58" spans="1:17" ht="20.100000000000001" customHeight="1" x14ac:dyDescent="0.25">
      <c r="A58" s="5" t="str">
        <f>HYPERLINK("#'Constants - Fertiliser'!A1", "Constants - Fertiliser")</f>
        <v>Constants - Fertiliser</v>
      </c>
      <c r="D58" s="34" t="s">
        <v>821</v>
      </c>
      <c r="E58" s="233">
        <f>E46+E52</f>
        <v>6.2923999999999998</v>
      </c>
      <c r="F58" s="26" t="str">
        <f t="shared" si="4"/>
        <v>t CO2-e</v>
      </c>
      <c r="G58" s="191"/>
      <c r="H58" s="191"/>
      <c r="I58" s="191"/>
      <c r="J58" s="191"/>
      <c r="L58" s="191"/>
      <c r="N58" s="191"/>
      <c r="O58" s="191"/>
      <c r="P58" s="191"/>
      <c r="Q58" s="191"/>
    </row>
    <row r="59" spans="1:17" ht="20.100000000000001" customHeight="1" x14ac:dyDescent="0.25">
      <c r="A59" s="5" t="str">
        <f>HYPERLINK("#'Constants - Fuel'!A1", "Constants - Fuel")</f>
        <v>Constants - Fuel</v>
      </c>
      <c r="G59" s="191"/>
      <c r="H59" s="191"/>
      <c r="I59" s="191"/>
      <c r="J59" s="191"/>
      <c r="L59" s="191"/>
      <c r="N59" s="191"/>
      <c r="O59" s="191"/>
      <c r="P59" s="191"/>
      <c r="Q59" s="191"/>
    </row>
    <row r="60" spans="1:17" ht="20.100000000000001" customHeight="1" x14ac:dyDescent="0.25">
      <c r="A60" s="5" t="str">
        <f>HYPERLINK("#'Constants - Scope 3'!A1", "Constants - Scope 3")</f>
        <v>Constants - Scope 3</v>
      </c>
      <c r="G60" s="191"/>
      <c r="H60" s="191"/>
      <c r="I60" s="191"/>
      <c r="J60" s="191"/>
      <c r="L60" s="191"/>
      <c r="N60" s="191"/>
      <c r="O60" s="191"/>
      <c r="P60" s="191"/>
      <c r="Q60" s="191"/>
    </row>
    <row r="61" spans="1:17" ht="20.100000000000001" customHeight="1" x14ac:dyDescent="0.25">
      <c r="A61" s="5" t="str">
        <f>HYPERLINK("#'Constants - Common'!A1", "Constants - Common")</f>
        <v>Constants - Common</v>
      </c>
      <c r="G61" s="191"/>
      <c r="H61" s="191"/>
      <c r="I61" s="191"/>
      <c r="J61" s="191"/>
      <c r="L61" s="191"/>
      <c r="N61" s="191"/>
      <c r="O61" s="191"/>
      <c r="P61" s="191"/>
      <c r="Q61" s="191"/>
    </row>
    <row r="62" spans="1:17" ht="20.100000000000001" customHeight="1" x14ac:dyDescent="0.25">
      <c r="A62" s="5" t="str">
        <f>HYPERLINK("#'Acknowledgements'!A1", "Acknowledgements")</f>
        <v>Acknowledgements</v>
      </c>
      <c r="G62" s="191"/>
      <c r="H62" s="191"/>
      <c r="I62" s="191"/>
      <c r="J62" s="191"/>
      <c r="L62" s="191"/>
      <c r="N62" s="191"/>
      <c r="O62" s="191"/>
      <c r="P62" s="191"/>
      <c r="Q62" s="191"/>
    </row>
    <row r="63" spans="1:17" ht="20.100000000000001" customHeight="1" x14ac:dyDescent="0.25">
      <c r="A63" s="5" t="str">
        <f>HYPERLINK("#'Constants - Solid Waste'!A1", "Constants - Solid Waste")</f>
        <v>Constants - Solid Waste</v>
      </c>
      <c r="G63" s="191"/>
      <c r="H63" s="191"/>
      <c r="I63" s="191"/>
      <c r="J63" s="191"/>
      <c r="L63" s="191"/>
      <c r="N63" s="191"/>
      <c r="O63" s="191"/>
      <c r="P63" s="191"/>
      <c r="Q63" s="191"/>
    </row>
    <row r="64" spans="1:17" ht="20.100000000000001" customHeight="1" x14ac:dyDescent="0.25">
      <c r="G64" s="191"/>
      <c r="H64" s="191"/>
      <c r="I64" s="191"/>
      <c r="J64" s="191"/>
      <c r="L64" s="191"/>
      <c r="N64" s="191"/>
      <c r="O64" s="191"/>
      <c r="P64" s="191"/>
      <c r="Q64" s="191"/>
    </row>
    <row r="65" spans="7:17" ht="20.100000000000001" customHeight="1" x14ac:dyDescent="0.25">
      <c r="G65" s="191"/>
      <c r="H65" s="191"/>
      <c r="I65" s="191"/>
      <c r="J65" s="191"/>
      <c r="L65" s="191"/>
      <c r="N65" s="191"/>
      <c r="O65" s="191"/>
      <c r="P65" s="191"/>
      <c r="Q65" s="191"/>
    </row>
    <row r="66" spans="7:17" ht="20.100000000000001" customHeight="1" x14ac:dyDescent="0.25">
      <c r="G66" s="191"/>
      <c r="H66" s="191"/>
      <c r="I66" s="191"/>
      <c r="J66" s="191"/>
      <c r="L66" s="191"/>
      <c r="N66" s="191"/>
      <c r="O66" s="191"/>
      <c r="P66" s="191"/>
      <c r="Q66" s="191"/>
    </row>
    <row r="67" spans="7:17" ht="20.100000000000001" customHeight="1" x14ac:dyDescent="0.25">
      <c r="G67" s="191"/>
    </row>
    <row r="68" spans="7:17" ht="20.100000000000001" customHeight="1" x14ac:dyDescent="0.25">
      <c r="G68" s="191"/>
    </row>
    <row r="69" spans="7:17" ht="20.100000000000001" customHeight="1" x14ac:dyDescent="0.25">
      <c r="G69" s="191"/>
    </row>
    <row r="70" spans="7:17" ht="20.100000000000001" customHeight="1" x14ac:dyDescent="0.25">
      <c r="G70" s="191"/>
    </row>
    <row r="71" spans="7:17" ht="20.100000000000001" customHeight="1" x14ac:dyDescent="0.25">
      <c r="G71" s="191"/>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3063A-3F39-46C0-A08C-3B1A0A0D3728}">
  <dimension ref="A1:K342"/>
  <sheetViews>
    <sheetView showGridLines="0" topLeftCell="C16"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30" customFormat="1" ht="30" customHeight="1" x14ac:dyDescent="0.35">
      <c r="A1" s="16" t="e" vm="1">
        <v>#VALUE!</v>
      </c>
      <c r="C1" s="30" t="s">
        <v>768</v>
      </c>
    </row>
    <row r="2" spans="1:11" s="3" customFormat="1" ht="20.100000000000001" customHeight="1" x14ac:dyDescent="0.25">
      <c r="A2"/>
    </row>
    <row r="3" spans="1:11" ht="20.100000000000001" customHeight="1" x14ac:dyDescent="0.25">
      <c r="A3" s="5" t="str">
        <f>HYPERLINK("#'Home'!A1", "Home")</f>
        <v>Home</v>
      </c>
      <c r="C3" s="32"/>
      <c r="D3" s="32" t="s">
        <v>136</v>
      </c>
      <c r="E3" s="32"/>
      <c r="F3" s="32"/>
      <c r="G3" s="32"/>
      <c r="H3" s="32"/>
      <c r="I3" s="32"/>
      <c r="J3" s="32"/>
      <c r="K3" s="32"/>
    </row>
    <row r="4" spans="1:11" ht="20.100000000000001" customHeight="1" x14ac:dyDescent="0.25">
      <c r="A4" s="5" t="str">
        <f>HYPERLINK("#'Overview'!A1", "Overview")</f>
        <v>Overview</v>
      </c>
    </row>
    <row r="5" spans="1:11" ht="20.100000000000001" customHeight="1" x14ac:dyDescent="0.25">
      <c r="A5" s="5" t="str">
        <f>HYPERLINK("#'Results'!A1", "Results")</f>
        <v>Results</v>
      </c>
      <c r="D5" s="2" t="str" cm="1">
        <f t="array" ref="D5">Electricity_Equations.VEERG_14_1_1__1_LocationBasedScopeElectricityEmissions_Title()</f>
        <v>Location-based Scope 2 emissions from purchased electricity</v>
      </c>
    </row>
    <row r="6" spans="1:11" ht="20.100000000000001" customHeight="1" x14ac:dyDescent="0.25">
      <c r="D6" s="27" t="str" cm="1">
        <f t="array" ref="D6">Electricity_Equations.VEERG_14_1_1__1_LocationBasedScopeElectricityEmissions_Source()</f>
        <v>VEERG 2026: 14.1.1, Equation (1)</v>
      </c>
    </row>
    <row r="7" spans="1:11" ht="20.100000000000001" customHeight="1" x14ac:dyDescent="0.25">
      <c r="D7" s="35" t="str" cm="1">
        <f t="array" ref="D7">Electricity_Equations.VEERG_14_1_1__1_LocationBasedScopeElectricityEmissions_Variation()</f>
        <v>Added g variable to capture which grid electricity was purchased from</v>
      </c>
    </row>
    <row r="8" spans="1:11" ht="20.100000000000001" customHeight="1" x14ac:dyDescent="0.25">
      <c r="A8" s="7" t="s">
        <v>0</v>
      </c>
      <c r="D8" s="118" t="s">
        <v>262</v>
      </c>
      <c r="E8" s="118"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5">
      <c r="A9" s="5" t="str">
        <f>HYPERLINK("#'Input - Enterprise'!A1", "Enterprise")</f>
        <v>Enterprise</v>
      </c>
    </row>
    <row r="10" spans="1:11" ht="20.100000000000001" customHeight="1" x14ac:dyDescent="0.25">
      <c r="A10" s="5" t="str">
        <f>HYPERLINK("#'Input - Site'!A1", "Site")</f>
        <v>Site</v>
      </c>
    </row>
    <row r="11" spans="1:11" ht="20.100000000000001" customHeight="1" x14ac:dyDescent="0.25">
      <c r="A11" s="5" t="str">
        <f>HYPERLINK("#'Input - Dairy'!A1", "Dairy")</f>
        <v>Dairy</v>
      </c>
      <c r="D11" s="87" t="s">
        <v>263</v>
      </c>
      <c r="E11" s="1" t="str" cm="1">
        <f t="array" ref="E11">Electricity_Equations.VEERG_14_1_1__1_LocationBasedScopeElectricityEmissions_Variable()</f>
        <v>E_2elec</v>
      </c>
    </row>
    <row r="12" spans="1:11" ht="20.100000000000001" customHeight="1" x14ac:dyDescent="0.25">
      <c r="A12" s="5" t="str">
        <f>HYPERLINK("#'Input - Dairy (Enteric)'!A1", "Dairy (Enteric)")</f>
        <v>Dairy (Enteric)</v>
      </c>
      <c r="D12" s="87" t="s">
        <v>122</v>
      </c>
      <c r="E12" s="15" t="str" cm="1">
        <f t="array" ref="E12">Electricity_Equations.VEERG_14_1_1__1_LocationBasedScopeElectricityEmissions_Unit()</f>
        <v>t CO2e</v>
      </c>
    </row>
    <row r="13" spans="1:11" ht="20.100000000000001" customHeight="1" x14ac:dyDescent="0.25">
      <c r="A13" s="5" t="str">
        <f>HYPERLINK("#'Input - Livestock sales'!A1", "Livestock sales")</f>
        <v>Livestock sales</v>
      </c>
    </row>
    <row r="14" spans="1:11" ht="20.100000000000001" customHeight="1" x14ac:dyDescent="0.25">
      <c r="A14" s="5" t="str">
        <f>HYPERLINK("#'Input - Dairy cattle purchases'!A1", "Dairy cattle purchases")</f>
        <v>Dairy cattle purchases</v>
      </c>
      <c r="D14" s="120" t="str" cm="1">
        <f t="array" ref="D14:E16">_xlfn.CHOOSECOLS(Electricity_Equations.VEERG_14_1_1__1_LocationBasedScopeElectricityEmissions_Arguments(),1,2)</f>
        <v>Q_elec</v>
      </c>
      <c r="E14" s="125" t="str">
        <v>amount of electricity purchased from the grid</v>
      </c>
      <c r="F14" s="126"/>
      <c r="G14" s="120" t="str" cm="1">
        <f t="array" ref="G14:H16">_xlfn.CHOOSECOLS(Electricity_Equations.VEERG_14_1_1__1_LocationBasedScopeElectricityEmissions_Arguments(),3,4)</f>
        <v>kWh</v>
      </c>
      <c r="H14" s="121" t="str">
        <v>Input</v>
      </c>
      <c r="I14" s="125">
        <f>X_Cell_Electricity_Location_AmountPurchasedInkWh</f>
        <v>30000</v>
      </c>
      <c r="J14" s="126"/>
    </row>
    <row r="15" spans="1:11" ht="20.100000000000001" customHeight="1" x14ac:dyDescent="0.25">
      <c r="A15" s="5" t="str">
        <f>HYPERLINK("#'Input - Pasture'!A1", "Pasture")</f>
        <v>Pasture</v>
      </c>
      <c r="D15" s="120" t="str">
        <v>EF_2elec</v>
      </c>
      <c r="E15" s="125" t="str">
        <v>location-based Scope 2 emission factor for electricity</v>
      </c>
      <c r="F15" s="126"/>
      <c r="G15" s="120" t="str">
        <v>kg CO2e/kWh</v>
      </c>
      <c r="H15" s="128" t="str">
        <v>Constant</v>
      </c>
      <c r="I15" s="125" cm="1">
        <f t="array" ref="I15">Common_InputFunctions.Utility_LookupValueInTableNumber(I16,Table_SourceData_ElectricityEFs[State, Territory or grid description],Table_SourceData_ElectricityEFs[Scope 2 Emission Factors (kg CO2-e/kWh)])</f>
        <v>0.56000000000000005</v>
      </c>
      <c r="J15" s="126"/>
    </row>
    <row r="16" spans="1:11" ht="20.100000000000001" customHeight="1" x14ac:dyDescent="0.25">
      <c r="A16" s="5" t="str">
        <f>HYPERLINK("#'Input - Fert Prod System'!A1", "Fert Prod System")</f>
        <v>Fert Prod System</v>
      </c>
      <c r="D16" s="120" t="str">
        <v>g</v>
      </c>
      <c r="E16" s="125" t="str">
        <v>Grid electricity was purchased from</v>
      </c>
      <c r="F16" s="126"/>
      <c r="G16" s="120" t="str">
        <v/>
      </c>
      <c r="H16" s="121" t="str">
        <v>Input</v>
      </c>
      <c r="I16" s="125" t="str">
        <f>X_Cell_Electricity_Location_GridElectricityPurchasedFrom</f>
        <v>Western Australia - North Western Interconnected System (NWIS)</v>
      </c>
      <c r="J16" s="126"/>
    </row>
    <row r="17" spans="1:11" ht="20.100000000000001" customHeight="1" x14ac:dyDescent="0.25">
      <c r="A17" s="5" t="str">
        <f>HYPERLINK("#'Input - Fertiliser'!A1", "Fertiliser")</f>
        <v>Fertiliser</v>
      </c>
    </row>
    <row r="18" spans="1:11" ht="20.100000000000001" customHeight="1" x14ac:dyDescent="0.25">
      <c r="A18" s="5" t="str">
        <f>HYPERLINK("#'Input - Fuel'!A1", "Fuel")</f>
        <v>Fuel</v>
      </c>
      <c r="D18" s="135" t="s">
        <v>769</v>
      </c>
      <c r="E18" s="136" cm="1">
        <f t="array" ref="E18">Electricity_Equations.VEERG_14_1_1__1_LocationBasedScopeElectricityEmissions(I14,I15)</f>
        <v>16.8</v>
      </c>
      <c r="F18" s="137" t="str">
        <f>$E$12</f>
        <v>t CO2e</v>
      </c>
    </row>
    <row r="19" spans="1:11" ht="20.100000000000001" customHeight="1" x14ac:dyDescent="0.25">
      <c r="A19" s="5" t="str">
        <f>HYPERLINK("#'Input - Electricity'!A1", "Electricity")</f>
        <v>Electricity</v>
      </c>
    </row>
    <row r="20" spans="1:11" ht="20.100000000000001" customHeight="1" x14ac:dyDescent="0.25">
      <c r="A20" s="5" t="str">
        <f>HYPERLINK("#'Input - Farm Inputs'!A1", "Farm Inputs")</f>
        <v>Farm Inputs</v>
      </c>
    </row>
    <row r="21" spans="1:11" ht="20.100000000000001" customHeight="1" x14ac:dyDescent="0.25">
      <c r="A21" s="5" t="str">
        <f>HYPERLINK("#'Input - Freight'!A1", "Freight")</f>
        <v>Freight</v>
      </c>
      <c r="C21" s="101"/>
      <c r="D21" s="101"/>
      <c r="E21" s="101"/>
      <c r="F21" s="101"/>
      <c r="G21" s="101"/>
      <c r="H21" s="101"/>
      <c r="I21" s="101"/>
      <c r="J21" s="101"/>
      <c r="K21" s="101"/>
    </row>
    <row r="22" spans="1:11" ht="20.100000000000001" customHeight="1" x14ac:dyDescent="0.25">
      <c r="A22" s="5" t="str">
        <f>HYPERLINK("#'Input - Manure sent off-site'!A1", "Manure sent off-site")</f>
        <v>Manure sent off-site</v>
      </c>
      <c r="D22" s="2" t="str" cm="1">
        <f t="array" ref="D22">Electricity_Equations.VEERG_14_1_2__1_MarketBasedScopeElectricityEmissions_Title()</f>
        <v>Market-based Scope 2 emissions from purchased electricity</v>
      </c>
    </row>
    <row r="23" spans="1:11" ht="20.100000000000001" customHeight="1" x14ac:dyDescent="0.25">
      <c r="A23" s="5" t="str">
        <f>HYPERLINK("#'Input - Solid waste'!A1", "Solid waste")</f>
        <v>Solid waste</v>
      </c>
      <c r="D23" s="27" t="str" cm="1">
        <f t="array" ref="D23">Electricity_Equations.VEERG_14_1_2__1_MarketBasedScopeElectricityEmissions_Source()</f>
        <v>VEERG 2026: 14.1.2, Equation (1)</v>
      </c>
    </row>
    <row r="24" spans="1:11" ht="20.100000000000001" customHeight="1" x14ac:dyDescent="0.25">
      <c r="A24" s="5" t="str">
        <f>HYPERLINK("#'Input - Data quality'!A1", "Data quality")</f>
        <v>Data quality</v>
      </c>
      <c r="D24" s="35"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D25" s="118" t="s">
        <v>262</v>
      </c>
      <c r="E25" s="118"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5"/>
    <row r="27" spans="1:11" ht="20.100000000000001" customHeight="1" x14ac:dyDescent="0.25">
      <c r="A27" s="6" t="s">
        <v>2</v>
      </c>
    </row>
    <row r="28" spans="1:11" ht="20.100000000000001" customHeight="1" x14ac:dyDescent="0.25">
      <c r="A28" s="5" t="str">
        <f>HYPERLINK("#'5.1.1.1-2 Inorganic fert N2O'!A1", "5.1.1.1-2 Inorganic fert N2O")</f>
        <v>5.1.1.1-2 Inorganic fert N2O</v>
      </c>
      <c r="D28" s="87" t="s">
        <v>263</v>
      </c>
      <c r="E28" s="1" t="str" cm="1">
        <f t="array" ref="E28">Electricity_Equations.VEERG_14_1_2__1_MarketBasedScopeElectricityEmissions_Variable()</f>
        <v>E_2elec</v>
      </c>
    </row>
    <row r="29" spans="1:11" ht="20.100000000000001" customHeight="1" x14ac:dyDescent="0.25">
      <c r="A29" s="5" t="str">
        <f>HYPERLINK("#'5.1.1.3-4 Inorganic fert CO2'!A1", "5.1.1.3-4 Inorganic fert CO2")</f>
        <v>5.1.1.3-4 Inorganic fert CO2</v>
      </c>
      <c r="D29" s="87" t="s">
        <v>122</v>
      </c>
      <c r="E29" s="15" t="str" cm="1">
        <f t="array" ref="E29">Electricity_Equations.VEERG_14_1_2__1_MarketBasedScopeElectricityEmissions_Unit()</f>
        <v>t CO2e</v>
      </c>
    </row>
    <row r="30" spans="1:11" ht="20.100000000000001" customHeight="1" x14ac:dyDescent="0.25">
      <c r="A30" s="5" t="str">
        <f>HYPERLINK("#'5.2.1.1-2 Organic Fert N2O'!A1", "5.2.1.1-2 Organic fert N2O")</f>
        <v>5.2.1.1-2 Organic fert N2O</v>
      </c>
    </row>
    <row r="31" spans="1:11" ht="20.100000000000001" customHeight="1" x14ac:dyDescent="0.25">
      <c r="A31" s="5" t="str">
        <f>HYPERLINK("#'5.3.1.1-2 Lime CO2'!A1", "5.3.1.1-2 Lime CO2")</f>
        <v>5.3.1.1-2 Lime CO2</v>
      </c>
      <c r="D31" s="120" t="str" cm="1">
        <f t="array" ref="D31:E37">_xlfn.CHOOSECOLS(Electricity_Equations.VEERG_14_1_2__1_MarketBasedScopeElectricityEmissions_Arguments(),1,2)</f>
        <v>Q_elec</v>
      </c>
      <c r="E31" s="125" t="str">
        <v>amount of electricity purchased from the grid</v>
      </c>
      <c r="F31" s="133"/>
      <c r="G31" s="133"/>
      <c r="H31" s="120" t="str" cm="1">
        <f t="array" ref="H31:I37">_xlfn.CHOOSECOLS(Electricity_Equations.VEERG_14_1_2__1_MarketBasedScopeElectricityEmissions_Arguments(),3,4)</f>
        <v>kWh</v>
      </c>
      <c r="I31" s="121" t="str">
        <v>Input</v>
      </c>
      <c r="J31" s="120">
        <f>X_Cell_Electricity_Market_AmountPurchasedExcludingGreenPower</f>
        <v>30000</v>
      </c>
    </row>
    <row r="32" spans="1:11" ht="20.100000000000001" customHeight="1" x14ac:dyDescent="0.25">
      <c r="A32" s="5" t="str">
        <f>HYPERLINK("#'5.4.1.1-4 Atmos deposition'!A1", "5.4.1.1-4 Atmos. deposition")</f>
        <v>5.4.1.1-4 Atmos. deposition</v>
      </c>
      <c r="D32" s="120" t="str">
        <v>RPP</v>
      </c>
      <c r="E32" s="125" t="str">
        <v>Renewable Power Percentage under the Large-scale Renewable Energy Target (LRET)</v>
      </c>
      <c r="F32" s="133"/>
      <c r="G32" s="133"/>
      <c r="H32" s="120" t="str">
        <v>per cent</v>
      </c>
      <c r="I32" s="121" t="str">
        <v>Input</v>
      </c>
      <c r="J32" s="207">
        <f>X_Cell_Electricity_Market_RenewablePowerPercentage</f>
        <v>0.1</v>
      </c>
    </row>
    <row r="33" spans="1:10" ht="20.100000000000001" customHeight="1" x14ac:dyDescent="0.25">
      <c r="A33" s="5" t="str">
        <f>HYPERLINK("#'5.5.1.1-2 Leaching and runoff'!A1", "5.5.1.1-2 Leaching &amp; runoff")</f>
        <v>5.5.1.1-2 Leaching &amp; runoff</v>
      </c>
      <c r="D33" s="120" t="str">
        <v>JRPP</v>
      </c>
      <c r="E33" s="125" t="str">
        <v>jurisdictional renewable power percentage for the applicable period (ACT only)</v>
      </c>
      <c r="F33" s="133"/>
      <c r="G33" s="133"/>
      <c r="H33" s="120" t="str">
        <v>per cent</v>
      </c>
      <c r="I33" s="121" t="str">
        <v>Input</v>
      </c>
      <c r="J33" s="207" t="str">
        <f>IF(J37="ACT", X_Cell_Electricity_Market_JurisdictionalRenewablePowerPercentage, "N/A")</f>
        <v>N/A</v>
      </c>
    </row>
    <row r="34" spans="1:10" ht="20.100000000000001" customHeight="1" x14ac:dyDescent="0.25">
      <c r="A34" s="5" t="str">
        <f>HYPERLINK("#'6.2.1.1-2 Pasture residue N2O'!A1", "6.2.1.1-2 Pasture residue N2O")</f>
        <v>6.2.1.1-2 Pasture residue N2O</v>
      </c>
      <c r="D34" s="120" t="str">
        <v>REC_surrendered</v>
      </c>
      <c r="E34" s="125" t="str">
        <v>Renewable Energy Certificates voluntarily surrendered in the reporting year</v>
      </c>
      <c r="F34" s="133"/>
      <c r="G34" s="133"/>
      <c r="H34" s="120" t="str">
        <v>MWh</v>
      </c>
      <c r="I34" s="121" t="str">
        <v>Input</v>
      </c>
      <c r="J34" s="120">
        <f>(X_Cell_Electricity_Market_AmountPurchasedGreenPower*10^-3)+X_Cell_TotalElegibleVoluntarilySurrenderedRECs</f>
        <v>20</v>
      </c>
    </row>
    <row r="35" spans="1:10" ht="20.100000000000001" customHeight="1" x14ac:dyDescent="0.25">
      <c r="A35" s="5" t="str">
        <f>HYPERLINK("#'6.3.1.1-2 Leach runoff pasture'!A1", "6.3.1.1-2 Leach &amp; runoff (pasture)")</f>
        <v>6.3.1.1-2 Leach &amp; runoff (pasture)</v>
      </c>
      <c r="D35" s="120" t="str">
        <v>REC_onsite</v>
      </c>
      <c r="E35" s="125" t="str">
        <v>Renewable Energy Certificates issued for electricity produced on-site during the year and consumed by the entity</v>
      </c>
      <c r="F35" s="133"/>
      <c r="G35" s="133"/>
      <c r="H35" s="120" t="str">
        <v>MWh</v>
      </c>
      <c r="I35" s="121" t="str">
        <v>Input</v>
      </c>
      <c r="J35" s="120">
        <f>X_Cell_TotalElegibleRECsForElectricityProducedOnSite</f>
        <v>11</v>
      </c>
    </row>
    <row r="36" spans="1:10" ht="20.100000000000001" customHeight="1" x14ac:dyDescent="0.25">
      <c r="A36" s="5" t="str">
        <f>HYPERLINK("#'8.1.1.1-2 Transport fuel'!A1", "8.1.1.1-2 Transport fuel")</f>
        <v>8.1.1.1-2 Transport fuel</v>
      </c>
      <c r="D36" s="120" t="str">
        <v>EF_RMF2elec</v>
      </c>
      <c r="E36" s="125" t="str">
        <v>Scope 2 residual mix emission factor for electricity</v>
      </c>
      <c r="F36" s="133"/>
      <c r="G36" s="133"/>
      <c r="H36" s="120" t="str">
        <v>kg CO2e/kWh</v>
      </c>
      <c r="I36" s="128" t="str">
        <v>Constant</v>
      </c>
      <c r="J36" s="120" cm="1">
        <f t="array" ref="J36">Table_SourceData_ElectricityEFsMarketBased[Scope 2 EF (kg CO2-e/kWh)]</f>
        <v>0.81</v>
      </c>
    </row>
    <row r="37" spans="1:10" ht="20.100000000000001" customHeight="1" x14ac:dyDescent="0.25">
      <c r="A37" s="5" t="str">
        <f>HYPERLINK("#'8.2.1.1-2 Stationary fuel'!A1", "8.2.1.1-2 Stationary fuel")</f>
        <v>8.2.1.1-2 Stationary fuel</v>
      </c>
      <c r="D37" s="120" t="str">
        <v>i</v>
      </c>
      <c r="E37" s="125" t="str">
        <v>state</v>
      </c>
      <c r="F37" s="133"/>
      <c r="G37" s="126"/>
      <c r="H37" s="120" t="str">
        <v/>
      </c>
      <c r="I37" s="121" t="str">
        <v>Input</v>
      </c>
      <c r="J37" s="120" t="str">
        <f>X_Cell_Site_State</f>
        <v>Western Australia</v>
      </c>
    </row>
    <row r="38" spans="1:10" ht="20.100000000000001" customHeight="1" x14ac:dyDescent="0.25">
      <c r="A38" s="119" t="str">
        <f>HYPERLINK("#'14.1.1-2 Purchased electricity'!A1", "14.1.1-2 Purchased electricity")</f>
        <v>14.1.1-2 Purchased electricity</v>
      </c>
    </row>
    <row r="39" spans="1:10" ht="20.100000000000001" customHeight="1" x14ac:dyDescent="0.25">
      <c r="A39" s="5" t="str">
        <f>HYPERLINK("#'15 Scope 3'!A1", "15 Scope 3")</f>
        <v>15 Scope 3</v>
      </c>
      <c r="D39" s="135" t="s">
        <v>769</v>
      </c>
      <c r="E39" s="136" cm="1">
        <f t="array" ref="E39">Electricity_Equations.VEERG_14_1_2__1_MarketBasedScopeElectricityEmissionsVariation(J31,J32,IF(ISNUMBER(J33), J33, 0),J34,J35,J36)</f>
        <v>14.580000000000002</v>
      </c>
      <c r="F39" s="137" t="str">
        <f>E29</f>
        <v>t CO2e</v>
      </c>
    </row>
    <row r="40" spans="1:10" ht="20.100000000000001" customHeight="1" x14ac:dyDescent="0.25">
      <c r="A40" s="5" t="str">
        <f>HYPERLINK("#'Calcs - Manure sent off-site'!A1", "Calcs - Manure sent off-site")</f>
        <v>Calcs - Manure sent off-site</v>
      </c>
      <c r="H40" s="1" t="s">
        <v>487</v>
      </c>
    </row>
    <row r="41" spans="1:10" ht="20.100000000000001" customHeight="1" x14ac:dyDescent="0.25">
      <c r="A41" s="5" t="str">
        <f>HYPERLINK("#'4.3.1.1-2 Methane'!A1", "4.3.1.1-2 Methane")</f>
        <v>4.3.1.1-2 Methane</v>
      </c>
    </row>
    <row r="42" spans="1:10" ht="20.100000000000001" customHeight="1" x14ac:dyDescent="0.25">
      <c r="A42" s="5" t="str">
        <f>HYPERLINK("#'4.3.1.3-4 Direct N20'!A1", "4.3.1.3-4 Direct N20")</f>
        <v>4.3.1.3-4 Direct N20</v>
      </c>
    </row>
    <row r="43" spans="1:10" ht="20.100000000000001" customHeight="1" x14ac:dyDescent="0.25">
      <c r="A43" s="5" t="str">
        <f>HYPERLINK("#'4.3.1.5 Atmos deposition'!A1", "4.3.1.5 Atmos deposition")</f>
        <v>4.3.1.5 Atmos deposition</v>
      </c>
    </row>
    <row r="44" spans="1:10" ht="20.100000000000001" customHeight="1" x14ac:dyDescent="0.25">
      <c r="A44" s="5" t="str">
        <f>HYPERLINK("#'4.3.1.6-7 Leaching and runoff'!A1", "4.3.1.6-7 Leaching and runoff")</f>
        <v>4.3.1.6-7 Leaching and runoff</v>
      </c>
      <c r="E44" s="169"/>
    </row>
    <row r="45" spans="1:10" ht="20.100000000000001" customHeight="1" x14ac:dyDescent="0.25">
      <c r="A45" s="5" t="str">
        <f>HYPERLINK("#'4.3.1.8 Manure applied to soils'!A1", "4.3.1.8 Manure applied to soils")</f>
        <v>4.3.1.8 Manure applied to soils</v>
      </c>
    </row>
    <row r="46" spans="1:10" ht="20.100000000000001" customHeight="1" x14ac:dyDescent="0.25">
      <c r="A46" s="5" t="str">
        <f>HYPERLINK("#'4.3.1.9 Soil direct N2O'!A1", "4.3.1.9 Soil direct N2O")</f>
        <v>4.3.1.9 Soil direct N2O</v>
      </c>
    </row>
    <row r="47" spans="1:10" ht="20.100000000000001" customHeight="1" x14ac:dyDescent="0.25">
      <c r="A47" s="5" t="str">
        <f>HYPERLINK("#'4.3.1.10-11 Soil Atmos Dep'!A1", "4.3.1.10-11 Soil Atmos Dep")</f>
        <v>4.3.1.10-11 Soil Atmos Dep</v>
      </c>
    </row>
    <row r="48" spans="1:10" ht="20.100000000000001" customHeight="1" x14ac:dyDescent="0.25">
      <c r="A48" s="5" t="str">
        <f>HYPERLINK("#'4.3.1.12-13 Soil leach runoff'!A1", "4.3.1.12-13 Soil leach runoff")</f>
        <v>4.3.1.12-13 Soil leach runoff</v>
      </c>
    </row>
    <row r="49" spans="1:1" ht="20.100000000000001" customHeight="1" x14ac:dyDescent="0.25">
      <c r="A49" s="5" t="str">
        <f>HYPERLINK("#'3.3.1.1-2 Enteric Methane'!A1", "3.3.1.1-2 Enteric Methane")</f>
        <v>3.3.1.1-2 Enteric Methane</v>
      </c>
    </row>
    <row r="50" spans="1:1" ht="20.100000000000001" customHeight="1" x14ac:dyDescent="0.25">
      <c r="A50" s="5" t="str">
        <f>HYPERLINK("#'10.1.1-2 Solid waste treatment'!A1", "10.1.1-2 Solid waste treatment")</f>
        <v>10.1.1-2 Solid waste treatment</v>
      </c>
    </row>
    <row r="51" spans="1:1" ht="20.100000000000001" customHeight="1" x14ac:dyDescent="0.25"/>
    <row r="52" spans="1:1" ht="20.100000000000001" customHeight="1" x14ac:dyDescent="0.25"/>
    <row r="53" spans="1:1" ht="20.100000000000001" customHeight="1" x14ac:dyDescent="0.25">
      <c r="A53" s="100" t="s">
        <v>1</v>
      </c>
    </row>
    <row r="54" spans="1:1" ht="20.100000000000001" customHeight="1" x14ac:dyDescent="0.25">
      <c r="A54" s="5" t="str">
        <f>HYPERLINK("#'Constants - Dairy'!A1", "Constants - Dairy")</f>
        <v>Constants - Dairy</v>
      </c>
    </row>
    <row r="55" spans="1:1" ht="20.100000000000001" customHeight="1" x14ac:dyDescent="0.25">
      <c r="A55" s="5" t="str">
        <f>HYPERLINK("#'Constants - Ag Residue'!A1", "Constants - Ag residue")</f>
        <v>Constants - Ag residue</v>
      </c>
    </row>
    <row r="56" spans="1:1" ht="20.100000000000001" customHeight="1" x14ac:dyDescent="0.25">
      <c r="A56" s="5" t="str">
        <f>HYPERLINK("#'Constants - Common Livestock'!A1", "Constants - Common Livestock")</f>
        <v>Constants - Common Livestock</v>
      </c>
    </row>
    <row r="57" spans="1:1" ht="20.100000000000001" customHeight="1" x14ac:dyDescent="0.25">
      <c r="A57" s="5" t="str">
        <f>HYPERLINK("#'Constants - Electricity'!A1", "Constants - Electricity")</f>
        <v>Constants - Electricity</v>
      </c>
    </row>
    <row r="58" spans="1:1" ht="20.100000000000001" customHeight="1" x14ac:dyDescent="0.25">
      <c r="A58" s="5" t="str">
        <f>HYPERLINK("#'Constants - Fertiliser'!A1", "Constants - Fertiliser")</f>
        <v>Constants - Fertiliser</v>
      </c>
    </row>
    <row r="59" spans="1:1" ht="20.100000000000001" customHeight="1" x14ac:dyDescent="0.25">
      <c r="A59" s="5" t="str">
        <f>HYPERLINK("#'Constants - Fuel'!A1", "Constants - Fuel")</f>
        <v>Constants - Fuel</v>
      </c>
    </row>
    <row r="60" spans="1:1" ht="20.100000000000001" customHeight="1" x14ac:dyDescent="0.25">
      <c r="A60" s="5" t="str">
        <f>HYPERLINK("#'Constants - Scope 3'!A1", "Constants - Scope 3")</f>
        <v>Constants - Scope 3</v>
      </c>
    </row>
    <row r="61" spans="1:1" ht="20.100000000000001" customHeight="1" x14ac:dyDescent="0.25">
      <c r="A61" s="5" t="str">
        <f>HYPERLINK("#'Constants - Common'!A1", "Constants - Common")</f>
        <v>Constants - Common</v>
      </c>
    </row>
    <row r="62" spans="1:1" ht="20.100000000000001" customHeight="1" x14ac:dyDescent="0.25">
      <c r="A62" s="5" t="str">
        <f>HYPERLINK("#'Acknowledgements'!A1", "Acknowledgements")</f>
        <v>Acknowledgements</v>
      </c>
    </row>
    <row r="63" spans="1:1" ht="20.100000000000001" customHeight="1" x14ac:dyDescent="0.25">
      <c r="A63" s="5" t="str">
        <f>HYPERLINK("#'Constants - Solid Waste'!A1", "Constants - Solid Waste")</f>
        <v>Constants - Solid Waste</v>
      </c>
    </row>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B4DCF9C4-37BB-446D-BD19-C9F54BF3743D}"/>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AFC5E-2778-43AE-82F0-5BCC28038E1D}">
  <sheetPr>
    <tabColor theme="9" tint="-0.249977111117893"/>
  </sheetPr>
  <dimension ref="A1:AO642"/>
  <sheetViews>
    <sheetView showGridLines="0" topLeftCell="J215" zoomScaleNormal="100" workbookViewId="0">
      <selection activeCell="A63" sqref="A63"/>
    </sheetView>
  </sheetViews>
  <sheetFormatPr defaultRowHeight="15.75" x14ac:dyDescent="0.25"/>
  <cols>
    <col min="1" max="1" width="35" style="260" customWidth="1"/>
    <col min="2" max="2" width="5.28515625" style="260" customWidth="1"/>
    <col min="3" max="3" width="5.28515625" style="1" customWidth="1"/>
    <col min="4" max="40" width="35" style="1" customWidth="1"/>
    <col min="41" max="41" width="5.28515625" style="1" customWidth="1"/>
    <col min="42" max="16384" width="9.140625" style="260"/>
  </cols>
  <sheetData>
    <row r="1" spans="1:41" s="30" customFormat="1" ht="30" customHeight="1" x14ac:dyDescent="0.35">
      <c r="A1" s="16" t="e" vm="1">
        <v>#VALUE!</v>
      </c>
      <c r="C1" s="30" t="s">
        <v>1136</v>
      </c>
    </row>
    <row r="2" spans="1:41" s="3" customFormat="1" ht="20.100000000000001" customHeight="1" x14ac:dyDescent="0.25">
      <c r="A2"/>
    </row>
    <row r="3" spans="1:41" ht="20.100000000000001" customHeight="1" x14ac:dyDescent="0.25">
      <c r="A3" s="5" t="str">
        <f>HYPERLINK("#'Home'!A1", "Home")</f>
        <v>Home</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row>
    <row r="4" spans="1:41" ht="20.100000000000001" customHeight="1" x14ac:dyDescent="0.25">
      <c r="A4" s="5" t="str">
        <f>HYPERLINK("#'Overview'!A1", "Overview")</f>
        <v>Overview</v>
      </c>
    </row>
    <row r="5" spans="1:41" ht="20.100000000000001" customHeight="1" x14ac:dyDescent="0.25">
      <c r="A5" s="5" t="str">
        <f>HYPERLINK("#'Results'!A1", "Results")</f>
        <v>Results</v>
      </c>
      <c r="D5" s="2" t="str" cm="1">
        <f t="array" ref="D5">Scope3_Equations.VEERG_15_1_1_1__1_EmissionsFromPurchasedLivestock_Title()</f>
        <v>Total emissions from purchased livestock</v>
      </c>
    </row>
    <row r="6" spans="1:41" ht="20.100000000000001" customHeight="1" x14ac:dyDescent="0.25">
      <c r="A6"/>
      <c r="D6" s="27" t="str" cm="1">
        <f t="array" ref="D6">Scope3_Equations.VEERG_15_1_1_1__1_EmissionsFromPurchasedLivestock_Source()</f>
        <v>VEERG 2026: 15.1.1.1, Equation (1)</v>
      </c>
    </row>
    <row r="7" spans="1:41" ht="20.100000000000001" customHeight="1" x14ac:dyDescent="0.25">
      <c r="A7"/>
      <c r="D7" s="118" t="s">
        <v>262</v>
      </c>
      <c r="E7" s="118" t="str" cm="1">
        <f t="array" aca="1" ref="E7" ca="1">Common_InputFunctions.Utility_DisplayFunctionName(J23)</f>
        <v>=Scope3_Equations.VEERG_15_1_1_1__1_EmissionsFromPurchasedLivestock</v>
      </c>
    </row>
    <row r="8" spans="1:41" ht="20.100000000000001" customHeight="1" x14ac:dyDescent="0.25">
      <c r="A8" s="7" t="s">
        <v>0</v>
      </c>
    </row>
    <row r="9" spans="1:41" ht="20.100000000000001" customHeight="1" x14ac:dyDescent="0.25">
      <c r="A9" s="5" t="str">
        <f>HYPERLINK("#'Input - Enterprise'!A1", "Enterprise")</f>
        <v>Enterprise</v>
      </c>
      <c r="H9" s="118"/>
    </row>
    <row r="10" spans="1:41" ht="20.100000000000001" customHeight="1" x14ac:dyDescent="0.25">
      <c r="A10" s="5" t="str">
        <f>HYPERLINK("#'Input - Site'!A1", "Site")</f>
        <v>Site</v>
      </c>
      <c r="D10" s="87" t="s">
        <v>263</v>
      </c>
      <c r="E10" s="1" t="str" cm="1">
        <f t="array" ref="E10">Scope3_Equations.VEERG_15_1_1_1__1_EmissionsFromPurchasedLivestock_Variable()</f>
        <v>E</v>
      </c>
    </row>
    <row r="11" spans="1:41" ht="20.100000000000001" customHeight="1" x14ac:dyDescent="0.25">
      <c r="A11" s="5" t="str">
        <f>HYPERLINK("#'Input - Dairy'!A1", "Dairy")</f>
        <v>Dairy</v>
      </c>
      <c r="D11" s="87" t="s">
        <v>122</v>
      </c>
      <c r="E11" s="15" t="str" cm="1">
        <f t="array" ref="E11">Scope3_Equations.VEERG_15_1_1_1__1_EmissionsFromPurchasedLivestock_Unit()</f>
        <v>t CO2e</v>
      </c>
    </row>
    <row r="12" spans="1:41" ht="20.100000000000001" customHeight="1" x14ac:dyDescent="0.25">
      <c r="A12" s="5" t="str">
        <f>HYPERLINK("#'Input - Dairy (Enteric)'!A1", "Dairy (Enteric)")</f>
        <v>Dairy (Enteric)</v>
      </c>
    </row>
    <row r="13" spans="1:41" ht="20.100000000000001" customHeight="1" x14ac:dyDescent="0.25">
      <c r="A13" s="5" t="str">
        <f>HYPERLINK("#'Input - Livestock sales'!A1", "Livestock sales")</f>
        <v>Livestock sales</v>
      </c>
      <c r="D13" s="120" t="str" cm="1">
        <f t="array" ref="D13:E17">_xlfn.CHOOSECOLS(Scope3_Equations.VEERG_15_1_1_1__1_EmissionsFromPurchasedLivestock_Arguments(),1,2)</f>
        <v>N_co</v>
      </c>
      <c r="E13" s="125" t="str">
        <v>number of animals purchased in livestock type c from origin o</v>
      </c>
      <c r="F13" s="126"/>
      <c r="G13" s="120" t="str" cm="1">
        <f t="array" ref="G13:H17">_xlfn.CHOOSECOLS(Scope3_Equations.VEERG_15_1_1_1__1_EmissionsFromPurchasedLivestock_Arguments(),3,4)</f>
        <v>head</v>
      </c>
      <c r="H13" s="275" t="str">
        <v>Input</v>
      </c>
    </row>
    <row r="14" spans="1:41" ht="20.100000000000001" customHeight="1" x14ac:dyDescent="0.25">
      <c r="A14" s="5" t="str">
        <f>HYPERLINK("#'Input - Dairy cattle purchases'!A1", "Dairy cattle purchases")</f>
        <v>Dairy cattle purchases</v>
      </c>
      <c r="D14" s="120" t="str">
        <v>W_co</v>
      </c>
      <c r="E14" s="125" t="str">
        <v>average liveweight of purchased livestock at point of purchase</v>
      </c>
      <c r="F14" s="126"/>
      <c r="G14" s="120" t="str">
        <v>kg/head</v>
      </c>
      <c r="H14" s="275" t="str">
        <v>Input</v>
      </c>
    </row>
    <row r="15" spans="1:41" ht="20.100000000000001" customHeight="1" x14ac:dyDescent="0.25">
      <c r="A15" s="5" t="str">
        <f>HYPERLINK("#'Input - Pasture'!A1", "Pasture")</f>
        <v>Pasture</v>
      </c>
      <c r="D15" s="120" t="str">
        <v>EF_co</v>
      </c>
      <c r="E15" s="125" t="str">
        <v>emission factor per livestock type and origin</v>
      </c>
      <c r="F15" s="126"/>
      <c r="G15" s="120" t="str">
        <v>kg CO2e/kg</v>
      </c>
      <c r="H15" s="128" t="str">
        <v>Constant</v>
      </c>
    </row>
    <row r="16" spans="1:41" ht="20.100000000000001" customHeight="1" x14ac:dyDescent="0.25">
      <c r="A16" s="5" t="str">
        <f>HYPERLINK("#'Input - Fert Prod System'!A1", "Fert Prod System")</f>
        <v>Fert Prod System</v>
      </c>
      <c r="D16" s="120" t="str">
        <v>c</v>
      </c>
      <c r="E16" s="125" t="str">
        <v>livestock type</v>
      </c>
      <c r="F16" s="126"/>
      <c r="G16" s="120" t="str">
        <v/>
      </c>
      <c r="H16" s="275" t="str">
        <v>Input</v>
      </c>
    </row>
    <row r="17" spans="1:16" ht="20.100000000000001" customHeight="1" x14ac:dyDescent="0.25">
      <c r="A17" s="5" t="str">
        <f>HYPERLINK("#'Input - Fertiliser'!A1", "Fertiliser")</f>
        <v>Fertiliser</v>
      </c>
      <c r="D17" s="120" t="str">
        <v>o</v>
      </c>
      <c r="E17" s="125" t="str">
        <v>origin</v>
      </c>
      <c r="F17" s="126"/>
      <c r="G17" s="120" t="str">
        <v/>
      </c>
      <c r="H17" s="275" t="str">
        <v>Input</v>
      </c>
    </row>
    <row r="18" spans="1:16" ht="20.100000000000001" customHeight="1" x14ac:dyDescent="0.25">
      <c r="A18" s="5" t="str">
        <f>HYPERLINK("#'Input - Fuel'!A1", "Fuel")</f>
        <v>Fuel</v>
      </c>
    </row>
    <row r="19" spans="1:16" ht="20.100000000000001" customHeight="1" x14ac:dyDescent="0.25">
      <c r="A19" s="5" t="str">
        <f>HYPERLINK("#'Input - Electricity'!A1", "Electricity")</f>
        <v>Electricity</v>
      </c>
      <c r="D19" s="45" t="s">
        <v>1137</v>
      </c>
      <c r="E19" s="47"/>
      <c r="F19" s="48"/>
    </row>
    <row r="20" spans="1:16" ht="20.100000000000001" customHeight="1" x14ac:dyDescent="0.25">
      <c r="A20" s="5" t="str">
        <f>HYPERLINK("#'Input - Farm Inputs'!A1", "Farm Inputs")</f>
        <v>Farm Inputs</v>
      </c>
    </row>
    <row r="21" spans="1:16" ht="20.100000000000001" customHeight="1" x14ac:dyDescent="0.25">
      <c r="A21" s="5" t="str">
        <f>HYPERLINK("#'Input - Freight'!A1", "Freight")</f>
        <v>Freight</v>
      </c>
      <c r="D21" s="261" t="s">
        <v>1138</v>
      </c>
    </row>
    <row r="22" spans="1:16" ht="20.100000000000001" customHeight="1" x14ac:dyDescent="0.25">
      <c r="A22" s="5" t="str">
        <f>HYPERLINK("#'Input - Manure sent off-site'!A1", "Manure sent off-site")</f>
        <v>Manure sent off-site</v>
      </c>
      <c r="D22" s="94" t="s">
        <v>1139</v>
      </c>
      <c r="E22" s="276" t="s">
        <v>1140</v>
      </c>
      <c r="F22" s="276" t="s">
        <v>1141</v>
      </c>
      <c r="G22" s="276" t="s">
        <v>1142</v>
      </c>
      <c r="H22" s="276" t="s">
        <v>1143</v>
      </c>
      <c r="I22" s="124" t="s">
        <v>1144</v>
      </c>
      <c r="J22" s="124" t="s">
        <v>1145</v>
      </c>
      <c r="K22" s="276" t="s">
        <v>1146</v>
      </c>
      <c r="L22" s="94" t="s">
        <v>1147</v>
      </c>
      <c r="M22" s="124" t="s">
        <v>1148</v>
      </c>
      <c r="N22" s="94" t="s">
        <v>1149</v>
      </c>
      <c r="O22" s="94" t="s">
        <v>1150</v>
      </c>
      <c r="P22" s="94" t="s">
        <v>1151</v>
      </c>
    </row>
    <row r="23" spans="1:16" ht="20.100000000000001" customHeight="1" x14ac:dyDescent="0.25">
      <c r="A23" s="5" t="str">
        <f>HYPERLINK("#'Input - Solid waste'!A1", "Solid waste")</f>
        <v>Solid waste</v>
      </c>
      <c r="D23" s="25"/>
      <c r="E23" s="25"/>
      <c r="F23" s="25"/>
      <c r="G23" s="25"/>
      <c r="H23" s="25"/>
      <c r="I23" s="25" cm="1">
        <f t="array" ref="I23">Common_InputFunctions.Utility_LookupValueInTableTwoColumns(E23,F23,Table_SourceData_Scope3_Animals[Product],Table_SourceData_Scope3_Animals[Region of origin],Table_SourceData_Scope3_Animals[AusLCI Emissions intensity], 0)</f>
        <v>0</v>
      </c>
      <c r="J23" s="277" cm="1">
        <f t="array" ref="J23">Scope3_Equations.VEERG_15_1_1_1__1_EmissionsFromPurchasedLivestock(G23,H23,I23)</f>
        <v>0</v>
      </c>
      <c r="K23" s="25"/>
      <c r="L23" s="85">
        <v>20</v>
      </c>
      <c r="M23" s="277" cm="1">
        <f t="array" ref="M23">Scope3_Equations.VEERG_15_1_1_1__1_EmissionsFromPurchasedLivestock(G23,K23,IF(L23, L23, I23))</f>
        <v>0</v>
      </c>
      <c r="N23" s="43" t="s">
        <v>1152</v>
      </c>
      <c r="O23" s="23" t="s">
        <v>1153</v>
      </c>
      <c r="P23" s="260" t="s">
        <v>1154</v>
      </c>
    </row>
    <row r="24" spans="1:16" ht="20.100000000000001" customHeight="1" x14ac:dyDescent="0.25">
      <c r="A24" s="5" t="str">
        <f>HYPERLINK("#'Input - Data quality'!A1", "Data quality")</f>
        <v>Data quality</v>
      </c>
      <c r="D24" s="25"/>
      <c r="E24" s="25"/>
      <c r="F24" s="25"/>
      <c r="G24" s="25"/>
      <c r="H24" s="25"/>
      <c r="I24" s="25" cm="1">
        <f t="array" ref="I24">Common_InputFunctions.Utility_LookupValueInTableTwoColumns(E24,F24,Table_SourceData_Scope3_Animals[Product],Table_SourceData_Scope3_Animals[Region of origin],Table_SourceData_Scope3_Animals[AusLCI Emissions intensity], 0)</f>
        <v>0</v>
      </c>
      <c r="J24" s="277" cm="1">
        <f t="array" ref="J24">Scope3_Equations.VEERG_15_1_1_1__1_EmissionsFromPurchasedLivestock(G24,H24,I24)</f>
        <v>0</v>
      </c>
      <c r="K24" s="25"/>
      <c r="L24" s="85">
        <v>13</v>
      </c>
      <c r="M24" s="277" cm="1">
        <f t="array" ref="M24">Scope3_Equations.VEERG_15_1_1_1__1_EmissionsFromPurchasedLivestock(G24,K24,IF(L24, L24, I24))</f>
        <v>0</v>
      </c>
      <c r="N24" s="43"/>
      <c r="O24" s="23"/>
      <c r="P24" s="43"/>
    </row>
    <row r="25" spans="1:16" ht="20.100000000000001" customHeight="1" x14ac:dyDescent="0.25">
      <c r="A25"/>
      <c r="D25" s="25"/>
      <c r="E25" s="25"/>
      <c r="F25" s="25"/>
      <c r="G25" s="25"/>
      <c r="H25" s="25"/>
      <c r="I25" s="25" cm="1">
        <f t="array" ref="I25">Common_InputFunctions.Utility_LookupValueInTableTwoColumns(E25,F25,Table_SourceData_Scope3_Animals[Product],Table_SourceData_Scope3_Animals[Region of origin],Table_SourceData_Scope3_Animals[AusLCI Emissions intensity], 0)</f>
        <v>0</v>
      </c>
      <c r="J25" s="277" cm="1">
        <f t="array" ref="J25">Scope3_Equations.VEERG_15_1_1_1__1_EmissionsFromPurchasedLivestock(G25,H25,I25)</f>
        <v>0</v>
      </c>
      <c r="K25" s="25"/>
      <c r="L25" s="85"/>
      <c r="M25" s="277" cm="1">
        <f t="array" ref="M25">Scope3_Equations.VEERG_15_1_1_1__1_EmissionsFromPurchasedLivestock(G25,K25,IF(L25, L25, I25))</f>
        <v>0</v>
      </c>
      <c r="N25" s="43"/>
      <c r="O25" s="23"/>
      <c r="P25" s="43"/>
    </row>
    <row r="26" spans="1:16" ht="20.100000000000001" customHeight="1" x14ac:dyDescent="0.25">
      <c r="A26"/>
      <c r="D26" s="25"/>
      <c r="E26" s="25"/>
      <c r="F26" s="25"/>
      <c r="G26" s="25"/>
      <c r="H26" s="25"/>
      <c r="I26" s="25" cm="1">
        <f t="array" ref="I26">Common_InputFunctions.Utility_LookupValueInTableTwoColumns(E26,F26,Table_SourceData_Scope3_Animals[Product],Table_SourceData_Scope3_Animals[Region of origin],Table_SourceData_Scope3_Animals[AusLCI Emissions intensity], 0)</f>
        <v>0</v>
      </c>
      <c r="J26" s="277" cm="1">
        <f t="array" ref="J26">Scope3_Equations.VEERG_15_1_1_1__1_EmissionsFromPurchasedLivestock(G26,H26,I26)</f>
        <v>0</v>
      </c>
      <c r="K26" s="25"/>
      <c r="L26" s="85"/>
      <c r="M26" s="277" cm="1">
        <f t="array" ref="M26">Scope3_Equations.VEERG_15_1_1_1__1_EmissionsFromPurchasedLivestock(G26,K26,IF(L26, L26, I26))</f>
        <v>0</v>
      </c>
      <c r="N26" s="43"/>
      <c r="O26" s="23"/>
      <c r="P26" s="43"/>
    </row>
    <row r="27" spans="1:16" ht="20.100000000000001" customHeight="1" x14ac:dyDescent="0.25">
      <c r="A27" s="6" t="s">
        <v>2</v>
      </c>
      <c r="D27" s="25"/>
      <c r="E27" s="25"/>
      <c r="F27" s="25"/>
      <c r="G27" s="25"/>
      <c r="H27" s="25"/>
      <c r="I27" s="25" cm="1">
        <f t="array" ref="I27">Common_InputFunctions.Utility_LookupValueInTableTwoColumns(E27,F27,Table_SourceData_Scope3_Animals[Product],Table_SourceData_Scope3_Animals[Region of origin],Table_SourceData_Scope3_Animals[AusLCI Emissions intensity], 0)</f>
        <v>0</v>
      </c>
      <c r="J27" s="277" cm="1">
        <f t="array" ref="J27">Scope3_Equations.VEERG_15_1_1_1__1_EmissionsFromPurchasedLivestock(G27,H27,I27)</f>
        <v>0</v>
      </c>
      <c r="K27" s="25"/>
      <c r="L27" s="85"/>
      <c r="M27" s="277" cm="1">
        <f t="array" ref="M27">Scope3_Equations.VEERG_15_1_1_1__1_EmissionsFromPurchasedLivestock(G27,K27,IF(L27, L27, I27))</f>
        <v>0</v>
      </c>
      <c r="N27" s="43"/>
      <c r="O27" s="23"/>
      <c r="P27" s="43"/>
    </row>
    <row r="28" spans="1:16" ht="20.100000000000001" customHeight="1" x14ac:dyDescent="0.25">
      <c r="A28" s="5" t="str">
        <f>HYPERLINK("#'5.1.1.1-2 Inorganic fert N2O'!A1", "5.1.1.1-2 Inorganic fert N2O")</f>
        <v>5.1.1.1-2 Inorganic fert N2O</v>
      </c>
      <c r="D28" s="25"/>
      <c r="E28" s="25"/>
      <c r="F28" s="25"/>
      <c r="G28" s="25"/>
      <c r="H28" s="25"/>
      <c r="I28" s="25" cm="1">
        <f t="array" ref="I28">Common_InputFunctions.Utility_LookupValueInTableTwoColumns(E28,F28,Table_SourceData_Scope3_Animals[Product],Table_SourceData_Scope3_Animals[Region of origin],Table_SourceData_Scope3_Animals[AusLCI Emissions intensity], 0)</f>
        <v>0</v>
      </c>
      <c r="J28" s="277" cm="1">
        <f t="array" ref="J28">Scope3_Equations.VEERG_15_1_1_1__1_EmissionsFromPurchasedLivestock(G28,H28,I28)</f>
        <v>0</v>
      </c>
      <c r="K28" s="25"/>
      <c r="L28" s="85"/>
      <c r="M28" s="277" cm="1">
        <f t="array" ref="M28">Scope3_Equations.VEERG_15_1_1_1__1_EmissionsFromPurchasedLivestock(G28,K28,IF(L28, L28, I28))</f>
        <v>0</v>
      </c>
      <c r="N28" s="43"/>
      <c r="O28" s="23"/>
      <c r="P28" s="43"/>
    </row>
    <row r="29" spans="1:16" ht="20.100000000000001" customHeight="1" x14ac:dyDescent="0.25">
      <c r="A29" s="5" t="str">
        <f>HYPERLINK("#'5.1.1.3-4 Inorganic fert CO2'!A1", "5.1.1.3-4 Inorganic fert CO2")</f>
        <v>5.1.1.3-4 Inorganic fert CO2</v>
      </c>
      <c r="D29" s="25"/>
      <c r="E29" s="25"/>
      <c r="F29" s="25"/>
      <c r="G29" s="25"/>
      <c r="H29" s="25"/>
      <c r="I29" s="25" cm="1">
        <f t="array" ref="I29">Common_InputFunctions.Utility_LookupValueInTableTwoColumns(E29,F29,Table_SourceData_Scope3_Animals[Product],Table_SourceData_Scope3_Animals[Region of origin],Table_SourceData_Scope3_Animals[AusLCI Emissions intensity], 0)</f>
        <v>0</v>
      </c>
      <c r="J29" s="277" cm="1">
        <f t="array" ref="J29">Scope3_Equations.VEERG_15_1_1_1__1_EmissionsFromPurchasedLivestock(G29,H29,I29)</f>
        <v>0</v>
      </c>
      <c r="K29" s="25"/>
      <c r="L29" s="85"/>
      <c r="M29" s="277" cm="1">
        <f t="array" ref="M29">Scope3_Equations.VEERG_15_1_1_1__1_EmissionsFromPurchasedLivestock(G29,K29,IF(L29, L29, I29))</f>
        <v>0</v>
      </c>
      <c r="N29" s="43"/>
      <c r="O29" s="23"/>
      <c r="P29" s="43"/>
    </row>
    <row r="30" spans="1:16" ht="20.100000000000001" customHeight="1" x14ac:dyDescent="0.25">
      <c r="A30" s="5" t="str">
        <f>HYPERLINK("#'5.2.1.1-2 Organic Fert N2O'!A1", "5.2.1.1-2 Organic fert N2O")</f>
        <v>5.2.1.1-2 Organic fert N2O</v>
      </c>
      <c r="D30" s="25"/>
      <c r="E30" s="25"/>
      <c r="F30" s="25"/>
      <c r="G30" s="25"/>
      <c r="H30" s="25"/>
      <c r="I30" s="25" cm="1">
        <f t="array" ref="I30">Common_InputFunctions.Utility_LookupValueInTableTwoColumns(E30,F30,Table_SourceData_Scope3_Animals[Product],Table_SourceData_Scope3_Animals[Region of origin],Table_SourceData_Scope3_Animals[AusLCI Emissions intensity], 0)</f>
        <v>0</v>
      </c>
      <c r="J30" s="277" cm="1">
        <f t="array" ref="J30">Scope3_Equations.VEERG_15_1_1_1__1_EmissionsFromPurchasedLivestock(G30,H30,I30)</f>
        <v>0</v>
      </c>
      <c r="K30" s="25"/>
      <c r="L30" s="85"/>
      <c r="M30" s="277" cm="1">
        <f t="array" ref="M30">Scope3_Equations.VEERG_15_1_1_1__1_EmissionsFromPurchasedLivestock(G30,K30,IF(L30, L30, I30))</f>
        <v>0</v>
      </c>
      <c r="N30" s="43"/>
      <c r="O30" s="23"/>
      <c r="P30" s="43"/>
    </row>
    <row r="31" spans="1:16" ht="20.100000000000001" customHeight="1" x14ac:dyDescent="0.25">
      <c r="A31" s="5" t="str">
        <f>HYPERLINK("#'5.3.1.1-2 Lime CO2'!A1", "5.3.1.1-2 Lime CO2")</f>
        <v>5.3.1.1-2 Lime CO2</v>
      </c>
      <c r="D31" s="25"/>
      <c r="E31" s="25"/>
      <c r="F31" s="25"/>
      <c r="G31" s="25"/>
      <c r="H31" s="25"/>
      <c r="I31" s="25" cm="1">
        <f t="array" ref="I31">Common_InputFunctions.Utility_LookupValueInTableTwoColumns(E31,F31,Table_SourceData_Scope3_Animals[Product],Table_SourceData_Scope3_Animals[Region of origin],Table_SourceData_Scope3_Animals[AusLCI Emissions intensity], 0)</f>
        <v>0</v>
      </c>
      <c r="J31" s="277" cm="1">
        <f t="array" ref="J31">Scope3_Equations.VEERG_15_1_1_1__1_EmissionsFromPurchasedLivestock(G31,H31,I31)</f>
        <v>0</v>
      </c>
      <c r="K31" s="25"/>
      <c r="L31" s="85"/>
      <c r="M31" s="277" cm="1">
        <f t="array" ref="M31">Scope3_Equations.VEERG_15_1_1_1__1_EmissionsFromPurchasedLivestock(G31,K31,IF(L31, L31, I31))</f>
        <v>0</v>
      </c>
      <c r="N31" s="43"/>
      <c r="O31" s="23"/>
      <c r="P31" s="43"/>
    </row>
    <row r="32" spans="1:16" ht="20.100000000000001" customHeight="1" x14ac:dyDescent="0.25">
      <c r="A32" s="5" t="str">
        <f>HYPERLINK("#'5.4.1.1-4 Atmos deposition'!A1", "5.4.1.1-4 Atmos. deposition")</f>
        <v>5.4.1.1-4 Atmos. deposition</v>
      </c>
      <c r="D32" s="25"/>
      <c r="E32" s="25"/>
      <c r="F32" s="25"/>
      <c r="G32" s="25"/>
      <c r="H32" s="25"/>
      <c r="I32" s="25" cm="1">
        <f t="array" ref="I32">Common_InputFunctions.Utility_LookupValueInTableTwoColumns(E32,F32,Table_SourceData_Scope3_Animals[Product],Table_SourceData_Scope3_Animals[Region of origin],Table_SourceData_Scope3_Animals[AusLCI Emissions intensity], 0)</f>
        <v>0</v>
      </c>
      <c r="J32" s="277" cm="1">
        <f t="array" ref="J32">Scope3_Equations.VEERG_15_1_1_1__1_EmissionsFromPurchasedLivestock(G32,H32,I32)</f>
        <v>0</v>
      </c>
      <c r="K32" s="25"/>
      <c r="L32" s="85"/>
      <c r="M32" s="277" cm="1">
        <f t="array" ref="M32">Scope3_Equations.VEERG_15_1_1_1__1_EmissionsFromPurchasedLivestock(G32,K32,IF(L32, L32, I32))</f>
        <v>0</v>
      </c>
      <c r="N32" s="43"/>
      <c r="O32" s="23"/>
      <c r="P32" s="43"/>
    </row>
    <row r="33" spans="1:13" ht="20.100000000000001" customHeight="1" x14ac:dyDescent="0.25">
      <c r="A33" s="5" t="str">
        <f>HYPERLINK("#'5.5.1.1-2 Leaching and runoff'!A1", "5.5.1.1-2 Leaching &amp; runoff")</f>
        <v>5.5.1.1-2 Leaching &amp; runoff</v>
      </c>
    </row>
    <row r="34" spans="1:13" ht="20.100000000000001" customHeight="1" x14ac:dyDescent="0.25">
      <c r="A34" s="5" t="str">
        <f>HYPERLINK("#'6.2.1.1-2 Pasture residue N2O'!A1", "6.2.1.1-2 Pasture residue N2O")</f>
        <v>6.2.1.1-2 Pasture residue N2O</v>
      </c>
      <c r="D34" s="142" t="s">
        <v>1155</v>
      </c>
      <c r="E34" s="101">
        <f>SUM(J23:J32)</f>
        <v>0</v>
      </c>
      <c r="F34" s="140" t="str">
        <f>$E$11</f>
        <v>t CO2e</v>
      </c>
    </row>
    <row r="35" spans="1:13" ht="20.100000000000001" customHeight="1" x14ac:dyDescent="0.25">
      <c r="A35" s="5" t="str">
        <f>HYPERLINK("#'6.3.1.1-2 Leach runoff pasture'!A1", "6.3.1.1-2 Leach &amp; runoff (pasture)")</f>
        <v>6.3.1.1-2 Leach &amp; runoff (pasture)</v>
      </c>
      <c r="D35" s="142" t="s">
        <v>1156</v>
      </c>
      <c r="E35" s="101">
        <f>SUM(M23:M32)</f>
        <v>0</v>
      </c>
      <c r="F35" s="140" t="str">
        <f>$E$11</f>
        <v>t CO2e</v>
      </c>
    </row>
    <row r="36" spans="1:13" ht="20.100000000000001" customHeight="1" x14ac:dyDescent="0.25">
      <c r="A36" s="5" t="str">
        <f>HYPERLINK("#'8.1.1.1-2 Transport fuel'!A1", "8.1.1.1-2 Transport fuel")</f>
        <v>8.1.1.1-2 Transport fuel</v>
      </c>
    </row>
    <row r="37" spans="1:13" ht="20.100000000000001" customHeight="1" x14ac:dyDescent="0.25">
      <c r="A37" s="5" t="str">
        <f>HYPERLINK("#'8.2.1.1-2 Stationary fuel'!A1", "8.2.1.1-2 Stationary fuel")</f>
        <v>8.2.1.1-2 Stationary fuel</v>
      </c>
    </row>
    <row r="38" spans="1:13" ht="20.100000000000001" customHeight="1" x14ac:dyDescent="0.25">
      <c r="A38" s="5" t="str">
        <f>HYPERLINK("#'14.1.1-2 Purchased electricity'!A1", "14.1.1-2 Purchased electricity")</f>
        <v>14.1.1-2 Purchased electricity</v>
      </c>
      <c r="D38" s="261" t="s">
        <v>1006</v>
      </c>
    </row>
    <row r="39" spans="1:13" ht="20.100000000000001" customHeight="1" x14ac:dyDescent="0.25">
      <c r="A39" s="119" t="str">
        <f>HYPERLINK("#'15 Scope 3'!A1", "15 Scope 3")</f>
        <v>15 Scope 3</v>
      </c>
      <c r="D39" s="120" t="s">
        <v>1157</v>
      </c>
      <c r="E39" s="25" cm="1">
        <f t="array" ref="E39">Common_InputFunctions.Utility_LookupValueInTableNumber("Dairy cows", Table_SourceData_Scope3_Animals[Product],Table_SourceData_Scope3_Animals[AusLCI Emissions intensity])</f>
        <v>4.41</v>
      </c>
    </row>
    <row r="40" spans="1:13" ht="20.100000000000001" customHeight="1" x14ac:dyDescent="0.25">
      <c r="A40" s="5" t="str">
        <f>HYPERLINK("#'Calcs - Manure sent off-site'!A1", "Calcs - Manure sent off-site")</f>
        <v>Calcs - Manure sent off-site</v>
      </c>
    </row>
    <row r="41" spans="1:13" ht="20.100000000000001" customHeight="1" x14ac:dyDescent="0.25">
      <c r="A41" s="5" t="str">
        <f>HYPERLINK("#'4.3.1.1-2 Methane'!A1", "4.3.1.1-2 Methane")</f>
        <v>4.3.1.1-2 Methane</v>
      </c>
      <c r="D41" s="94" t="s">
        <v>1139</v>
      </c>
      <c r="E41" s="276" t="s">
        <v>1142</v>
      </c>
      <c r="F41" s="276" t="s">
        <v>1143</v>
      </c>
      <c r="G41" s="124" t="s">
        <v>1145</v>
      </c>
      <c r="H41" s="276" t="s">
        <v>1146</v>
      </c>
      <c r="I41" s="94" t="s">
        <v>1147</v>
      </c>
      <c r="J41" s="124" t="s">
        <v>1148</v>
      </c>
      <c r="K41" s="94" t="s">
        <v>1149</v>
      </c>
      <c r="L41" s="94" t="s">
        <v>1150</v>
      </c>
      <c r="M41" s="94" t="s">
        <v>1151</v>
      </c>
    </row>
    <row r="42" spans="1:13" ht="20.100000000000001" customHeight="1" x14ac:dyDescent="0.25">
      <c r="A42" s="5" t="str">
        <f>HYPERLINK("#'4.3.1.3-4 Direct N20'!A1", "4.3.1.3-4 Direct N20")</f>
        <v>4.3.1.3-4 Direct N20</v>
      </c>
      <c r="D42" s="25" t="str" cm="1">
        <f t="array" ref="D42:D51">IFERROR(INDEX(Table_Input_LivestockPurchases_Dairy[Transaction name], _xlfn.SEQUENCE(10)), "")</f>
        <v>Dairy cows from Denise</v>
      </c>
      <c r="E42" s="25" cm="1">
        <f t="array" ref="E42:E51">IFERROR(INDEX(Table_Input_LivestockPurchases_Dairy[Quantity (head)], _xlfn.SEQUENCE(10)), 0)</f>
        <v>100</v>
      </c>
      <c r="F42" s="25" cm="1">
        <f t="array" ref="F42:F51">IFERROR(INDEX(Table_Input_LivestockPurchases_Dairy[Liveweight (kg/head) Method 1], _xlfn.SEQUENCE(10)), 0)</f>
        <v>130</v>
      </c>
      <c r="G42" s="277" cm="1">
        <f t="array" ref="G42">Scope3_Equations.VEERG_15_1_1_1__1_EmissionsFromPurchasedLivestock(E42,F42,$E$39)</f>
        <v>57.33</v>
      </c>
      <c r="H42" s="25" cm="1">
        <f t="array" ref="H42:H51">IFERROR(INDEX(Table_Input_LivestockPurchases_Dairy[Liveweight (kg/head) Method 2], _xlfn.SEQUENCE(10)), "")</f>
        <v>350</v>
      </c>
      <c r="I42" s="85">
        <v>4</v>
      </c>
      <c r="J42" s="277" cm="1">
        <f t="array" ref="J42">Scope3_Equations.VEERG_15_1_1_1__1_EmissionsFromPurchasedLivestock(E42,H42,IF(I42,I42,$E$39))</f>
        <v>140</v>
      </c>
      <c r="K42" s="43" t="s">
        <v>1152</v>
      </c>
      <c r="L42" s="23" t="s">
        <v>1153</v>
      </c>
      <c r="M42" s="260" t="s">
        <v>1154</v>
      </c>
    </row>
    <row r="43" spans="1:13" ht="20.100000000000001" customHeight="1" x14ac:dyDescent="0.25">
      <c r="A43" s="5" t="str">
        <f>HYPERLINK("#'4.3.1.5 Atmos deposition'!A1", "4.3.1.5 Atmos deposition")</f>
        <v>4.3.1.5 Atmos deposition</v>
      </c>
      <c r="D43" s="25">
        <v>0</v>
      </c>
      <c r="E43" s="25">
        <v>100</v>
      </c>
      <c r="F43" s="25">
        <v>540</v>
      </c>
      <c r="G43" s="277" cm="1">
        <f t="array" ref="G43">Scope3_Equations.VEERG_15_1_1_1__1_EmissionsFromPurchasedLivestock(E43,F43,$E$39)</f>
        <v>238.14000000000001</v>
      </c>
      <c r="H43" s="25">
        <v>625</v>
      </c>
      <c r="I43" s="85"/>
      <c r="J43" s="277" cm="1">
        <f t="array" ref="J43">Scope3_Equations.VEERG_15_1_1_1__1_EmissionsFromPurchasedLivestock(E43,H43,IF(I43,I43,$E$39))</f>
        <v>275.625</v>
      </c>
      <c r="K43" s="43"/>
      <c r="L43" s="23"/>
      <c r="M43" s="43"/>
    </row>
    <row r="44" spans="1:13" ht="20.100000000000001" customHeight="1" x14ac:dyDescent="0.25">
      <c r="A44" s="5" t="str">
        <f>HYPERLINK("#'4.3.1.6-7 Leaching and runoff'!A1", "4.3.1.6-7 Leaching and runoff")</f>
        <v>4.3.1.6-7 Leaching and runoff</v>
      </c>
      <c r="D44" s="25">
        <v>0</v>
      </c>
      <c r="E44" s="25">
        <v>0</v>
      </c>
      <c r="F44" s="25">
        <v>315</v>
      </c>
      <c r="G44" s="277" cm="1">
        <f t="array" ref="G44">Scope3_Equations.VEERG_15_1_1_1__1_EmissionsFromPurchasedLivestock(E44,F44,$E$39)</f>
        <v>0</v>
      </c>
      <c r="H44" s="25">
        <v>0</v>
      </c>
      <c r="I44" s="85"/>
      <c r="J44" s="277" cm="1">
        <f t="array" ref="J44">Scope3_Equations.VEERG_15_1_1_1__1_EmissionsFromPurchasedLivestock(E44,H44,IF(I44,I44,$E$39))</f>
        <v>0</v>
      </c>
      <c r="K44" s="43"/>
      <c r="L44" s="23"/>
      <c r="M44" s="43"/>
    </row>
    <row r="45" spans="1:13" ht="20.100000000000001" customHeight="1" x14ac:dyDescent="0.25">
      <c r="A45" s="5" t="str">
        <f>HYPERLINK("#'4.3.1.8 Manure applied to soils'!A1", "4.3.1.8 Manure applied to soils")</f>
        <v>4.3.1.8 Manure applied to soils</v>
      </c>
      <c r="D45" s="25">
        <v>0</v>
      </c>
      <c r="E45" s="25">
        <v>0</v>
      </c>
      <c r="F45" s="25">
        <v>0</v>
      </c>
      <c r="G45" s="277" cm="1">
        <f t="array" ref="G45">Scope3_Equations.VEERG_15_1_1_1__1_EmissionsFromPurchasedLivestock(E45,F45,$E$39)</f>
        <v>0</v>
      </c>
      <c r="H45" s="25">
        <v>0</v>
      </c>
      <c r="I45" s="85"/>
      <c r="J45" s="277" cm="1">
        <f t="array" ref="J45">Scope3_Equations.VEERG_15_1_1_1__1_EmissionsFromPurchasedLivestock(E45,H45,IF(I45,I45,$E$39))</f>
        <v>0</v>
      </c>
      <c r="K45" s="43"/>
      <c r="L45" s="23"/>
      <c r="M45" s="43"/>
    </row>
    <row r="46" spans="1:13" ht="20.100000000000001" customHeight="1" x14ac:dyDescent="0.25">
      <c r="A46" s="5" t="str">
        <f>HYPERLINK("#'4.3.1.9 Soil direct N2O'!A1", "4.3.1.9 Soil direct N2O")</f>
        <v>4.3.1.9 Soil direct N2O</v>
      </c>
      <c r="D46" s="25">
        <v>0</v>
      </c>
      <c r="E46" s="25">
        <v>0</v>
      </c>
      <c r="F46" s="25">
        <v>0</v>
      </c>
      <c r="G46" s="277" cm="1">
        <f t="array" ref="G46">Scope3_Equations.VEERG_15_1_1_1__1_EmissionsFromPurchasedLivestock(E46,F46,$E$39)</f>
        <v>0</v>
      </c>
      <c r="H46" s="25">
        <v>0</v>
      </c>
      <c r="I46" s="85"/>
      <c r="J46" s="277" cm="1">
        <f t="array" ref="J46">Scope3_Equations.VEERG_15_1_1_1__1_EmissionsFromPurchasedLivestock(E46,H46,IF(I46,I46,$E$39))</f>
        <v>0</v>
      </c>
      <c r="K46" s="43"/>
      <c r="L46" s="23"/>
      <c r="M46" s="43"/>
    </row>
    <row r="47" spans="1:13" ht="20.100000000000001" customHeight="1" x14ac:dyDescent="0.25">
      <c r="A47" s="5" t="str">
        <f>HYPERLINK("#'4.3.1.10-11 Soil Atmos Dep'!A1", "4.3.1.10-11 Soil Atmos Dep")</f>
        <v>4.3.1.10-11 Soil Atmos Dep</v>
      </c>
      <c r="D47" s="25">
        <v>0</v>
      </c>
      <c r="E47" s="25">
        <v>0</v>
      </c>
      <c r="F47" s="25">
        <v>0</v>
      </c>
      <c r="G47" s="277" cm="1">
        <f t="array" ref="G47">Scope3_Equations.VEERG_15_1_1_1__1_EmissionsFromPurchasedLivestock(E47,F47,$E$39)</f>
        <v>0</v>
      </c>
      <c r="H47" s="25">
        <v>0</v>
      </c>
      <c r="I47" s="85"/>
      <c r="J47" s="277" cm="1">
        <f t="array" ref="J47">Scope3_Equations.VEERG_15_1_1_1__1_EmissionsFromPurchasedLivestock(E47,H47,IF(I47,I47,$E$39))</f>
        <v>0</v>
      </c>
      <c r="K47" s="43"/>
      <c r="L47" s="23"/>
      <c r="M47" s="43"/>
    </row>
    <row r="48" spans="1:13" ht="20.100000000000001" customHeight="1" x14ac:dyDescent="0.25">
      <c r="A48" s="5" t="str">
        <f>HYPERLINK("#'4.3.1.12-13 Soil leach runoff'!A1", "4.3.1.12-13 Soil leach runoff")</f>
        <v>4.3.1.12-13 Soil leach runoff</v>
      </c>
      <c r="D48" s="25">
        <v>0</v>
      </c>
      <c r="E48" s="25">
        <v>0</v>
      </c>
      <c r="F48" s="25">
        <v>0</v>
      </c>
      <c r="G48" s="277" cm="1">
        <f t="array" ref="G48">Scope3_Equations.VEERG_15_1_1_1__1_EmissionsFromPurchasedLivestock(E48,F48,$E$39)</f>
        <v>0</v>
      </c>
      <c r="H48" s="25">
        <v>0</v>
      </c>
      <c r="I48" s="85"/>
      <c r="J48" s="277" cm="1">
        <f t="array" ref="J48">Scope3_Equations.VEERG_15_1_1_1__1_EmissionsFromPurchasedLivestock(E48,H48,IF(I48,I48,$E$39))</f>
        <v>0</v>
      </c>
      <c r="K48" s="43"/>
      <c r="L48" s="23"/>
      <c r="M48" s="43"/>
    </row>
    <row r="49" spans="1:13" ht="20.100000000000001" customHeight="1" x14ac:dyDescent="0.25">
      <c r="A49" s="5" t="str">
        <f>HYPERLINK("#'3.3.1.1-2 Enteric Methane'!A1", "3.3.1.1-2 Enteric Methane")</f>
        <v>3.3.1.1-2 Enteric Methane</v>
      </c>
      <c r="D49" s="25">
        <v>0</v>
      </c>
      <c r="E49" s="25">
        <v>0</v>
      </c>
      <c r="F49" s="25">
        <v>0</v>
      </c>
      <c r="G49" s="277" cm="1">
        <f t="array" ref="G49">Scope3_Equations.VEERG_15_1_1_1__1_EmissionsFromPurchasedLivestock(E49,F49,$E$39)</f>
        <v>0</v>
      </c>
      <c r="H49" s="25">
        <v>0</v>
      </c>
      <c r="I49" s="85"/>
      <c r="J49" s="277" cm="1">
        <f t="array" ref="J49">Scope3_Equations.VEERG_15_1_1_1__1_EmissionsFromPurchasedLivestock(E49,H49,IF(I49,I49,$E$39))</f>
        <v>0</v>
      </c>
      <c r="K49" s="43"/>
      <c r="L49" s="23"/>
      <c r="M49" s="43"/>
    </row>
    <row r="50" spans="1:13" ht="20.100000000000001" customHeight="1" x14ac:dyDescent="0.25">
      <c r="A50" s="5" t="str">
        <f>HYPERLINK("#'10.1.1-2 Solid waste treatment'!A1", "10.1.1-2 Solid waste treatment")</f>
        <v>10.1.1-2 Solid waste treatment</v>
      </c>
      <c r="D50" s="25">
        <v>0</v>
      </c>
      <c r="E50" s="25">
        <v>0</v>
      </c>
      <c r="F50" s="25">
        <v>0</v>
      </c>
      <c r="G50" s="277" cm="1">
        <f t="array" ref="G50">Scope3_Equations.VEERG_15_1_1_1__1_EmissionsFromPurchasedLivestock(E50,F50,$E$39)</f>
        <v>0</v>
      </c>
      <c r="H50" s="25">
        <v>0</v>
      </c>
      <c r="I50" s="85"/>
      <c r="J50" s="277" cm="1">
        <f t="array" ref="J50">Scope3_Equations.VEERG_15_1_1_1__1_EmissionsFromPurchasedLivestock(E50,H50,IF(I50,I50,$E$39))</f>
        <v>0</v>
      </c>
      <c r="K50" s="43"/>
      <c r="L50" s="23"/>
      <c r="M50" s="43"/>
    </row>
    <row r="51" spans="1:13" ht="20.100000000000001" customHeight="1" x14ac:dyDescent="0.25">
      <c r="A51"/>
      <c r="D51" s="25">
        <v>0</v>
      </c>
      <c r="E51" s="25">
        <v>0</v>
      </c>
      <c r="F51" s="25">
        <v>0</v>
      </c>
      <c r="G51" s="277" cm="1">
        <f t="array" ref="G51">Scope3_Equations.VEERG_15_1_1_1__1_EmissionsFromPurchasedLivestock(E51,F51,$E$39)</f>
        <v>0</v>
      </c>
      <c r="H51" s="25">
        <v>0</v>
      </c>
      <c r="I51" s="85"/>
      <c r="J51" s="277" cm="1">
        <f t="array" ref="J51">Scope3_Equations.VEERG_15_1_1_1__1_EmissionsFromPurchasedLivestock(E51,H51,IF(I51,I51,$E$39))</f>
        <v>0</v>
      </c>
      <c r="K51" s="43"/>
      <c r="L51" s="23"/>
      <c r="M51" s="43"/>
    </row>
    <row r="52" spans="1:13" ht="20.100000000000001" customHeight="1" x14ac:dyDescent="0.25">
      <c r="A52"/>
    </row>
    <row r="53" spans="1:13" ht="20.100000000000001" customHeight="1" x14ac:dyDescent="0.25">
      <c r="A53" s="100" t="s">
        <v>1</v>
      </c>
      <c r="D53" s="142" t="s">
        <v>1158</v>
      </c>
      <c r="E53" s="101">
        <f>SUM(G42:G51)</f>
        <v>295.47000000000003</v>
      </c>
      <c r="F53" s="140" t="str">
        <f>$E$11</f>
        <v>t CO2e</v>
      </c>
    </row>
    <row r="54" spans="1:13" ht="20.100000000000001" customHeight="1" x14ac:dyDescent="0.25">
      <c r="A54" s="5" t="str">
        <f>HYPERLINK("#'Constants - Dairy'!A1", "Constants - Dairy")</f>
        <v>Constants - Dairy</v>
      </c>
      <c r="D54" s="142" t="s">
        <v>1159</v>
      </c>
      <c r="E54" s="101">
        <f>SUM(J42:J51)</f>
        <v>415.625</v>
      </c>
      <c r="F54" s="140" t="str">
        <f>$E$11</f>
        <v>t CO2e</v>
      </c>
    </row>
    <row r="55" spans="1:13" ht="20.100000000000001" customHeight="1" x14ac:dyDescent="0.25">
      <c r="A55" s="5" t="str">
        <f>HYPERLINK("#'Constants - Ag Residue'!A1", "Constants - Ag residue")</f>
        <v>Constants - Ag residue</v>
      </c>
    </row>
    <row r="56" spans="1:13" ht="20.100000000000001" customHeight="1" x14ac:dyDescent="0.25">
      <c r="A56" s="5" t="str">
        <f>HYPERLINK("#'Constants - Common Livestock'!A1", "Constants - Common Livestock")</f>
        <v>Constants - Common Livestock</v>
      </c>
    </row>
    <row r="57" spans="1:13" ht="20.100000000000001" customHeight="1" x14ac:dyDescent="0.25">
      <c r="A57" s="5" t="str">
        <f>HYPERLINK("#'Constants - Electricity'!A1", "Constants - Electricity")</f>
        <v>Constants - Electricity</v>
      </c>
      <c r="D57" s="261" t="s">
        <v>1160</v>
      </c>
    </row>
    <row r="58" spans="1:13" ht="20.100000000000001" customHeight="1" x14ac:dyDescent="0.25">
      <c r="A58" s="5" t="str">
        <f>HYPERLINK("#'Constants - Fertiliser'!A1", "Constants - Fertiliser")</f>
        <v>Constants - Fertiliser</v>
      </c>
      <c r="D58" s="120" t="s">
        <v>1157</v>
      </c>
      <c r="E58" s="25" cm="1">
        <f t="array" ref="E58">Common_InputFunctions.Utility_LookupValueInTableNumber("Pigs", Table_SourceData_Scope3_Animals[Product],Table_SourceData_Scope3_Animals[AusLCI Emissions intensity])</f>
        <v>3.38</v>
      </c>
    </row>
    <row r="59" spans="1:13" ht="20.100000000000001" customHeight="1" x14ac:dyDescent="0.25">
      <c r="A59" s="5" t="str">
        <f>HYPERLINK("#'Constants - Fuel'!A1", "Constants - Fuel")</f>
        <v>Constants - Fuel</v>
      </c>
    </row>
    <row r="60" spans="1:13" ht="20.100000000000001" customHeight="1" x14ac:dyDescent="0.25">
      <c r="A60" s="5" t="str">
        <f>HYPERLINK("#'Constants - Scope 3'!A1", "Constants - Scope 3")</f>
        <v>Constants - Scope 3</v>
      </c>
      <c r="D60" s="94" t="s">
        <v>1139</v>
      </c>
      <c r="E60" s="276" t="s">
        <v>1142</v>
      </c>
      <c r="F60" s="276" t="s">
        <v>1143</v>
      </c>
      <c r="G60" s="124" t="s">
        <v>1145</v>
      </c>
      <c r="H60" s="276" t="s">
        <v>1146</v>
      </c>
      <c r="I60" s="94" t="s">
        <v>1147</v>
      </c>
      <c r="J60" s="124" t="s">
        <v>1148</v>
      </c>
      <c r="K60" s="94" t="s">
        <v>1149</v>
      </c>
      <c r="L60" s="94" t="s">
        <v>1150</v>
      </c>
      <c r="M60" s="94" t="s">
        <v>1151</v>
      </c>
    </row>
    <row r="61" spans="1:13" ht="20.100000000000001" customHeight="1" x14ac:dyDescent="0.25">
      <c r="A61" s="5" t="str">
        <f>HYPERLINK("#'Constants - Common'!A1", "Constants - Common")</f>
        <v>Constants - Common</v>
      </c>
      <c r="D61" s="25"/>
      <c r="E61" s="25"/>
      <c r="F61" s="25"/>
      <c r="G61" s="277" cm="1">
        <f t="array" ref="G61">Scope3_Equations.VEERG_15_1_1_1__1_EmissionsFromPurchasedLivestock(E61,F61,$E$58)</f>
        <v>0</v>
      </c>
      <c r="H61" s="25"/>
      <c r="I61" s="85">
        <v>3.38</v>
      </c>
      <c r="J61" s="277" cm="1">
        <f t="array" ref="J61">Scope3_Equations.VEERG_15_1_1_1__1_EmissionsFromPurchasedLivestock(E61,H61,IF(I61, I61,$E$58))</f>
        <v>0</v>
      </c>
      <c r="K61" s="43"/>
      <c r="L61" s="23"/>
      <c r="M61" s="260"/>
    </row>
    <row r="62" spans="1:13" ht="20.100000000000001" customHeight="1" x14ac:dyDescent="0.25">
      <c r="A62" s="5" t="str">
        <f>HYPERLINK("#'Acknowledgements'!A1", "Acknowledgements")</f>
        <v>Acknowledgements</v>
      </c>
      <c r="D62" s="25"/>
      <c r="E62" s="25"/>
      <c r="F62" s="25"/>
      <c r="G62" s="277" cm="1">
        <f t="array" ref="G62">Scope3_Equations.VEERG_15_1_1_1__1_EmissionsFromPurchasedLivestock(E62,F62,$E$58)</f>
        <v>0</v>
      </c>
      <c r="H62" s="25"/>
      <c r="I62" s="85">
        <v>3.3</v>
      </c>
      <c r="J62" s="277" cm="1">
        <f t="array" ref="J62">Scope3_Equations.VEERG_15_1_1_1__1_EmissionsFromPurchasedLivestock(E62,H62,IF(I62, I62,$E$58))</f>
        <v>0</v>
      </c>
      <c r="K62" s="43"/>
      <c r="L62" s="23"/>
      <c r="M62" s="43"/>
    </row>
    <row r="63" spans="1:13" ht="20.100000000000001" customHeight="1" x14ac:dyDescent="0.25">
      <c r="A63" s="5" t="str">
        <f>HYPERLINK("#'Constants - Solid Waste'!A1", "Constants - Solid Waste")</f>
        <v>Constants - Solid Waste</v>
      </c>
      <c r="D63" s="25"/>
      <c r="E63" s="25"/>
      <c r="F63" s="25"/>
      <c r="G63" s="277" cm="1">
        <f t="array" ref="G63">Scope3_Equations.VEERG_15_1_1_1__1_EmissionsFromPurchasedLivestock(E63,F63,$E$58)</f>
        <v>0</v>
      </c>
      <c r="H63" s="25"/>
      <c r="I63" s="85"/>
      <c r="J63" s="277" cm="1">
        <f t="array" ref="J63">Scope3_Equations.VEERG_15_1_1_1__1_EmissionsFromPurchasedLivestock(E63,H63,IF(I63, I63,$E$58))</f>
        <v>0</v>
      </c>
      <c r="K63" s="43"/>
      <c r="L63" s="23"/>
      <c r="M63" s="43"/>
    </row>
    <row r="64" spans="1:13" ht="20.100000000000001" customHeight="1" x14ac:dyDescent="0.25">
      <c r="A64"/>
      <c r="D64" s="25"/>
      <c r="E64" s="25"/>
      <c r="F64" s="25"/>
      <c r="G64" s="277" cm="1">
        <f t="array" ref="G64">Scope3_Equations.VEERG_15_1_1_1__1_EmissionsFromPurchasedLivestock(E64,F64,$E$58)</f>
        <v>0</v>
      </c>
      <c r="H64" s="25"/>
      <c r="I64" s="85"/>
      <c r="J64" s="277" cm="1">
        <f t="array" ref="J64">Scope3_Equations.VEERG_15_1_1_1__1_EmissionsFromPurchasedLivestock(E64,H64,IF(I64, I64,$E$58))</f>
        <v>0</v>
      </c>
      <c r="K64" s="43"/>
      <c r="L64" s="23"/>
      <c r="M64" s="43"/>
    </row>
    <row r="65" spans="1:13" ht="20.100000000000001" customHeight="1" x14ac:dyDescent="0.25">
      <c r="A65"/>
      <c r="D65" s="25"/>
      <c r="E65" s="25"/>
      <c r="F65" s="25"/>
      <c r="G65" s="277" cm="1">
        <f t="array" ref="G65">Scope3_Equations.VEERG_15_1_1_1__1_EmissionsFromPurchasedLivestock(E65,F65,$E$58)</f>
        <v>0</v>
      </c>
      <c r="H65" s="25"/>
      <c r="I65" s="85"/>
      <c r="J65" s="277" cm="1">
        <f t="array" ref="J65">Scope3_Equations.VEERG_15_1_1_1__1_EmissionsFromPurchasedLivestock(E65,H65,IF(I65, I65,$E$58))</f>
        <v>0</v>
      </c>
      <c r="K65" s="43"/>
      <c r="L65" s="23"/>
      <c r="M65" s="43"/>
    </row>
    <row r="66" spans="1:13" ht="20.100000000000001" customHeight="1" x14ac:dyDescent="0.25">
      <c r="A66"/>
      <c r="D66" s="25"/>
      <c r="E66" s="25"/>
      <c r="F66" s="25"/>
      <c r="G66" s="277" cm="1">
        <f t="array" ref="G66">Scope3_Equations.VEERG_15_1_1_1__1_EmissionsFromPurchasedLivestock(E66,F66,$E$58)</f>
        <v>0</v>
      </c>
      <c r="H66" s="25"/>
      <c r="I66" s="85"/>
      <c r="J66" s="277" cm="1">
        <f t="array" ref="J66">Scope3_Equations.VEERG_15_1_1_1__1_EmissionsFromPurchasedLivestock(E66,H66,IF(I66, I66,$E$58))</f>
        <v>0</v>
      </c>
      <c r="K66" s="43"/>
      <c r="L66" s="23"/>
      <c r="M66" s="43"/>
    </row>
    <row r="67" spans="1:13" ht="20.100000000000001" customHeight="1" x14ac:dyDescent="0.25">
      <c r="A67"/>
      <c r="D67" s="25"/>
      <c r="E67" s="25"/>
      <c r="F67" s="25"/>
      <c r="G67" s="277" cm="1">
        <f t="array" ref="G67">Scope3_Equations.VEERG_15_1_1_1__1_EmissionsFromPurchasedLivestock(E67,F67,$E$58)</f>
        <v>0</v>
      </c>
      <c r="H67" s="25"/>
      <c r="I67" s="85"/>
      <c r="J67" s="277" cm="1">
        <f t="array" ref="J67">Scope3_Equations.VEERG_15_1_1_1__1_EmissionsFromPurchasedLivestock(E67,H67,IF(I67, I67,$E$58))</f>
        <v>0</v>
      </c>
      <c r="K67" s="43"/>
      <c r="L67" s="23"/>
      <c r="M67" s="43"/>
    </row>
    <row r="68" spans="1:13" ht="20.100000000000001" customHeight="1" x14ac:dyDescent="0.25">
      <c r="A68"/>
      <c r="D68" s="25"/>
      <c r="E68" s="25"/>
      <c r="F68" s="25"/>
      <c r="G68" s="277" cm="1">
        <f t="array" ref="G68">Scope3_Equations.VEERG_15_1_1_1__1_EmissionsFromPurchasedLivestock(E68,F68,$E$58)</f>
        <v>0</v>
      </c>
      <c r="H68" s="25"/>
      <c r="I68" s="85"/>
      <c r="J68" s="277" cm="1">
        <f t="array" ref="J68">Scope3_Equations.VEERG_15_1_1_1__1_EmissionsFromPurchasedLivestock(E68,H68,IF(I68, I68,$E$58))</f>
        <v>0</v>
      </c>
      <c r="K68" s="43"/>
      <c r="L68" s="23"/>
      <c r="M68" s="43"/>
    </row>
    <row r="69" spans="1:13" ht="20.100000000000001" customHeight="1" x14ac:dyDescent="0.25">
      <c r="A69"/>
      <c r="D69" s="25"/>
      <c r="E69" s="25"/>
      <c r="F69" s="25"/>
      <c r="G69" s="277" cm="1">
        <f t="array" ref="G69">Scope3_Equations.VEERG_15_1_1_1__1_EmissionsFromPurchasedLivestock(E69,F69,$E$58)</f>
        <v>0</v>
      </c>
      <c r="H69" s="25"/>
      <c r="I69" s="85"/>
      <c r="J69" s="277" cm="1">
        <f t="array" ref="J69">Scope3_Equations.VEERG_15_1_1_1__1_EmissionsFromPurchasedLivestock(E69,H69,IF(I69, I69,$E$58))</f>
        <v>0</v>
      </c>
      <c r="K69" s="43"/>
      <c r="L69" s="23"/>
      <c r="M69" s="43"/>
    </row>
    <row r="70" spans="1:13" ht="20.100000000000001" customHeight="1" x14ac:dyDescent="0.25">
      <c r="A70"/>
      <c r="D70" s="25"/>
      <c r="E70" s="25"/>
      <c r="F70" s="25"/>
      <c r="G70" s="277" cm="1">
        <f t="array" ref="G70">Scope3_Equations.VEERG_15_1_1_1__1_EmissionsFromPurchasedLivestock(E70,F70,$E$58)</f>
        <v>0</v>
      </c>
      <c r="H70" s="25"/>
      <c r="I70" s="85"/>
      <c r="J70" s="277" cm="1">
        <f t="array" ref="J70">Scope3_Equations.VEERG_15_1_1_1__1_EmissionsFromPurchasedLivestock(E70,H70,IF(I70, I70,$E$58))</f>
        <v>0</v>
      </c>
      <c r="K70" s="43"/>
      <c r="L70" s="23"/>
      <c r="M70" s="43"/>
    </row>
    <row r="71" spans="1:13" ht="20.100000000000001" customHeight="1" x14ac:dyDescent="0.25">
      <c r="A71"/>
    </row>
    <row r="72" spans="1:13" ht="20.100000000000001" customHeight="1" x14ac:dyDescent="0.25">
      <c r="A72"/>
      <c r="D72" s="142" t="s">
        <v>1161</v>
      </c>
      <c r="E72" s="101">
        <f>SUM(G61:G70)</f>
        <v>0</v>
      </c>
      <c r="F72" s="140" t="str">
        <f>$E$11</f>
        <v>t CO2e</v>
      </c>
    </row>
    <row r="73" spans="1:13" ht="20.100000000000001" customHeight="1" x14ac:dyDescent="0.25">
      <c r="A73"/>
      <c r="D73" s="142" t="s">
        <v>1162</v>
      </c>
      <c r="E73" s="101">
        <f>SUM(J61:J70)</f>
        <v>0</v>
      </c>
      <c r="F73" s="140" t="str">
        <f>$E$11</f>
        <v>t CO2e</v>
      </c>
    </row>
    <row r="74" spans="1:13" ht="20.100000000000001" customHeight="1" x14ac:dyDescent="0.25">
      <c r="A74"/>
    </row>
    <row r="75" spans="1:13" ht="20.100000000000001" customHeight="1" x14ac:dyDescent="0.25">
      <c r="A75"/>
      <c r="D75" s="261" t="s">
        <v>1163</v>
      </c>
    </row>
    <row r="76" spans="1:13" ht="20.100000000000001" customHeight="1" x14ac:dyDescent="0.25">
      <c r="A76"/>
      <c r="D76" s="120" t="s">
        <v>1157</v>
      </c>
      <c r="E76" s="25" cm="1">
        <f t="array" ref="E76">Common_InputFunctions.Utility_LookupValueInTableNumber("Chickens", Table_SourceData_Scope3_Animals[Product],Table_SourceData_Scope3_Animals[AusLCI Emissions intensity])</f>
        <v>1.36</v>
      </c>
    </row>
    <row r="77" spans="1:13" ht="20.100000000000001" customHeight="1" x14ac:dyDescent="0.25">
      <c r="A77"/>
    </row>
    <row r="78" spans="1:13" ht="20.100000000000001" customHeight="1" x14ac:dyDescent="0.25">
      <c r="A78"/>
      <c r="D78" s="94" t="s">
        <v>1139</v>
      </c>
      <c r="E78" s="276" t="s">
        <v>1142</v>
      </c>
      <c r="F78" s="276" t="s">
        <v>1143</v>
      </c>
      <c r="G78" s="124" t="s">
        <v>1145</v>
      </c>
      <c r="H78" s="276" t="s">
        <v>1146</v>
      </c>
      <c r="I78" s="94" t="s">
        <v>1147</v>
      </c>
      <c r="J78" s="124" t="s">
        <v>1148</v>
      </c>
      <c r="K78" s="94" t="s">
        <v>1149</v>
      </c>
      <c r="L78" s="94" t="s">
        <v>1150</v>
      </c>
      <c r="M78" s="94" t="s">
        <v>1151</v>
      </c>
    </row>
    <row r="79" spans="1:13" ht="20.100000000000001" customHeight="1" x14ac:dyDescent="0.25">
      <c r="A79"/>
      <c r="D79" s="25"/>
      <c r="E79" s="25"/>
      <c r="F79" s="25"/>
      <c r="G79" s="277" cm="1">
        <f t="array" ref="G79">Scope3_Equations.VEERG_15_1_1_1__1_EmissionsFromPurchasedLivestock(E79,F79,$E$76)</f>
        <v>0</v>
      </c>
      <c r="H79" s="25"/>
      <c r="I79" s="85">
        <v>1.3</v>
      </c>
      <c r="J79" s="277" cm="1">
        <f t="array" ref="J79">Scope3_Equations.VEERG_15_1_1_1__1_EmissionsFromPurchasedLivestock(E79,H79,IF(I79, I79,$E$76))</f>
        <v>0</v>
      </c>
      <c r="K79" s="43"/>
      <c r="L79" s="23"/>
      <c r="M79" s="260"/>
    </row>
    <row r="80" spans="1:13" ht="20.100000000000001" customHeight="1" x14ac:dyDescent="0.25">
      <c r="A80"/>
      <c r="D80" s="25"/>
      <c r="E80" s="25"/>
      <c r="F80" s="25"/>
      <c r="G80" s="277" cm="1">
        <f t="array" ref="G80">Scope3_Equations.VEERG_15_1_1_1__1_EmissionsFromPurchasedLivestock(E80,F80,$E$76)</f>
        <v>0</v>
      </c>
      <c r="H80" s="25"/>
      <c r="I80" s="85"/>
      <c r="J80" s="277" cm="1">
        <f t="array" ref="J80">Scope3_Equations.VEERG_15_1_1_1__1_EmissionsFromPurchasedLivestock(E80,H80,IF(I80, I80,$E$76))</f>
        <v>0</v>
      </c>
      <c r="K80" s="43"/>
      <c r="L80" s="23"/>
      <c r="M80" s="43"/>
    </row>
    <row r="81" spans="1:13" ht="20.100000000000001" customHeight="1" x14ac:dyDescent="0.25">
      <c r="A81"/>
      <c r="D81" s="25"/>
      <c r="E81" s="25"/>
      <c r="F81" s="25"/>
      <c r="G81" s="277" cm="1">
        <f t="array" ref="G81">Scope3_Equations.VEERG_15_1_1_1__1_EmissionsFromPurchasedLivestock(E81,F81,$E$76)</f>
        <v>0</v>
      </c>
      <c r="H81" s="25"/>
      <c r="I81" s="85"/>
      <c r="J81" s="277" cm="1">
        <f t="array" ref="J81">Scope3_Equations.VEERG_15_1_1_1__1_EmissionsFromPurchasedLivestock(E81,H81,IF(I81, I81,$E$76))</f>
        <v>0</v>
      </c>
      <c r="K81" s="43"/>
      <c r="L81" s="23"/>
      <c r="M81" s="43"/>
    </row>
    <row r="82" spans="1:13" ht="20.100000000000001" customHeight="1" x14ac:dyDescent="0.25">
      <c r="A82"/>
      <c r="D82" s="25"/>
      <c r="E82" s="25"/>
      <c r="F82" s="25"/>
      <c r="G82" s="277" cm="1">
        <f t="array" ref="G82">Scope3_Equations.VEERG_15_1_1_1__1_EmissionsFromPurchasedLivestock(E82,F82,$E$76)</f>
        <v>0</v>
      </c>
      <c r="H82" s="25"/>
      <c r="I82" s="85"/>
      <c r="J82" s="277" cm="1">
        <f t="array" ref="J82">Scope3_Equations.VEERG_15_1_1_1__1_EmissionsFromPurchasedLivestock(E82,H82,IF(I82, I82,$E$76))</f>
        <v>0</v>
      </c>
      <c r="K82" s="43"/>
      <c r="L82" s="23"/>
      <c r="M82" s="43"/>
    </row>
    <row r="83" spans="1:13" ht="20.100000000000001" customHeight="1" x14ac:dyDescent="0.25">
      <c r="A83"/>
      <c r="D83" s="25"/>
      <c r="E83" s="25"/>
      <c r="F83" s="25"/>
      <c r="G83" s="277" cm="1">
        <f t="array" ref="G83">Scope3_Equations.VEERG_15_1_1_1__1_EmissionsFromPurchasedLivestock(E83,F83,$E$76)</f>
        <v>0</v>
      </c>
      <c r="H83" s="25"/>
      <c r="I83" s="85"/>
      <c r="J83" s="277" cm="1">
        <f t="array" ref="J83">Scope3_Equations.VEERG_15_1_1_1__1_EmissionsFromPurchasedLivestock(E83,H83,IF(I83, I83,$E$76))</f>
        <v>0</v>
      </c>
      <c r="K83" s="43"/>
      <c r="L83" s="23"/>
      <c r="M83" s="43"/>
    </row>
    <row r="84" spans="1:13" ht="20.100000000000001" customHeight="1" x14ac:dyDescent="0.25">
      <c r="A84"/>
      <c r="D84" s="25"/>
      <c r="E84" s="25"/>
      <c r="F84" s="25"/>
      <c r="G84" s="277" cm="1">
        <f t="array" ref="G84">Scope3_Equations.VEERG_15_1_1_1__1_EmissionsFromPurchasedLivestock(E84,F84,$E$76)</f>
        <v>0</v>
      </c>
      <c r="H84" s="25"/>
      <c r="I84" s="85"/>
      <c r="J84" s="277" cm="1">
        <f t="array" ref="J84">Scope3_Equations.VEERG_15_1_1_1__1_EmissionsFromPurchasedLivestock(E84,H84,IF(I84, I84,$E$76))</f>
        <v>0</v>
      </c>
      <c r="K84" s="43"/>
      <c r="L84" s="23"/>
      <c r="M84" s="43"/>
    </row>
    <row r="85" spans="1:13" ht="20.100000000000001" customHeight="1" x14ac:dyDescent="0.25">
      <c r="A85"/>
      <c r="D85" s="25"/>
      <c r="E85" s="25"/>
      <c r="F85" s="25"/>
      <c r="G85" s="277" cm="1">
        <f t="array" ref="G85">Scope3_Equations.VEERG_15_1_1_1__1_EmissionsFromPurchasedLivestock(E85,F85,$E$76)</f>
        <v>0</v>
      </c>
      <c r="H85" s="25"/>
      <c r="I85" s="85"/>
      <c r="J85" s="277" cm="1">
        <f t="array" ref="J85">Scope3_Equations.VEERG_15_1_1_1__1_EmissionsFromPurchasedLivestock(E85,H85,IF(I85, I85,$E$76))</f>
        <v>0</v>
      </c>
      <c r="K85" s="43"/>
      <c r="L85" s="23"/>
      <c r="M85" s="43"/>
    </row>
    <row r="86" spans="1:13" ht="20.100000000000001" customHeight="1" x14ac:dyDescent="0.25">
      <c r="A86"/>
      <c r="D86" s="25"/>
      <c r="E86" s="25"/>
      <c r="F86" s="25"/>
      <c r="G86" s="277" cm="1">
        <f t="array" ref="G86">Scope3_Equations.VEERG_15_1_1_1__1_EmissionsFromPurchasedLivestock(E86,F86,$E$76)</f>
        <v>0</v>
      </c>
      <c r="H86" s="25"/>
      <c r="I86" s="85"/>
      <c r="J86" s="277" cm="1">
        <f t="array" ref="J86">Scope3_Equations.VEERG_15_1_1_1__1_EmissionsFromPurchasedLivestock(E86,H86,IF(I86, I86,$E$76))</f>
        <v>0</v>
      </c>
      <c r="K86" s="43"/>
      <c r="L86" s="23"/>
      <c r="M86" s="43"/>
    </row>
    <row r="87" spans="1:13" ht="20.100000000000001" customHeight="1" x14ac:dyDescent="0.25">
      <c r="A87"/>
      <c r="D87" s="25"/>
      <c r="E87" s="25"/>
      <c r="F87" s="25"/>
      <c r="G87" s="277" cm="1">
        <f t="array" ref="G87">Scope3_Equations.VEERG_15_1_1_1__1_EmissionsFromPurchasedLivestock(E87,F87,$E$76)</f>
        <v>0</v>
      </c>
      <c r="H87" s="25"/>
      <c r="I87" s="85"/>
      <c r="J87" s="277" cm="1">
        <f t="array" ref="J87">Scope3_Equations.VEERG_15_1_1_1__1_EmissionsFromPurchasedLivestock(E87,H87,IF(I87, I87,$E$76))</f>
        <v>0</v>
      </c>
      <c r="K87" s="43"/>
      <c r="L87" s="23"/>
      <c r="M87" s="43"/>
    </row>
    <row r="88" spans="1:13" ht="20.100000000000001" customHeight="1" x14ac:dyDescent="0.25">
      <c r="A88"/>
      <c r="D88" s="25"/>
      <c r="E88" s="25"/>
      <c r="F88" s="25"/>
      <c r="G88" s="277" cm="1">
        <f t="array" ref="G88">Scope3_Equations.VEERG_15_1_1_1__1_EmissionsFromPurchasedLivestock(E88,F88,$E$76)</f>
        <v>0</v>
      </c>
      <c r="H88" s="25"/>
      <c r="I88" s="85"/>
      <c r="J88" s="277" cm="1">
        <f t="array" ref="J88">Scope3_Equations.VEERG_15_1_1_1__1_EmissionsFromPurchasedLivestock(E88,H88,IF(I88, I88,$E$76))</f>
        <v>0</v>
      </c>
      <c r="K88" s="43"/>
      <c r="L88" s="23"/>
      <c r="M88" s="43"/>
    </row>
    <row r="89" spans="1:13" ht="20.100000000000001" customHeight="1" x14ac:dyDescent="0.25">
      <c r="A89"/>
    </row>
    <row r="90" spans="1:13" ht="20.100000000000001" customHeight="1" x14ac:dyDescent="0.25">
      <c r="A90"/>
      <c r="D90" s="142" t="s">
        <v>1164</v>
      </c>
      <c r="E90" s="101">
        <f>SUM(G79:G88)</f>
        <v>0</v>
      </c>
      <c r="F90" s="140" t="str">
        <f>$E$11</f>
        <v>t CO2e</v>
      </c>
    </row>
    <row r="91" spans="1:13" ht="20.100000000000001" customHeight="1" x14ac:dyDescent="0.25">
      <c r="A91"/>
      <c r="D91" s="142" t="s">
        <v>1165</v>
      </c>
      <c r="E91" s="101">
        <f>SUM(J79:J88)</f>
        <v>0</v>
      </c>
      <c r="F91" s="140" t="str">
        <f>$E$11</f>
        <v>t CO2e</v>
      </c>
    </row>
    <row r="92" spans="1:13" ht="20.100000000000001" customHeight="1" x14ac:dyDescent="0.25">
      <c r="A92"/>
    </row>
    <row r="93" spans="1:13" ht="20.100000000000001" customHeight="1" x14ac:dyDescent="0.25">
      <c r="A93"/>
      <c r="D93" s="135" t="s">
        <v>1145</v>
      </c>
      <c r="E93" s="136">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295.47000000000003</v>
      </c>
      <c r="F93" s="137" t="str">
        <f>$E$11</f>
        <v>t CO2e</v>
      </c>
    </row>
    <row r="94" spans="1:13" ht="20.100000000000001" customHeight="1" x14ac:dyDescent="0.25">
      <c r="A94"/>
      <c r="D94" s="135" t="s">
        <v>1148</v>
      </c>
      <c r="E94" s="136">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415.625</v>
      </c>
      <c r="F94" s="137" t="str">
        <f>$E$11</f>
        <v>t CO2e</v>
      </c>
    </row>
    <row r="95" spans="1:13" ht="20.100000000000001" customHeight="1" x14ac:dyDescent="0.25">
      <c r="A95"/>
    </row>
    <row r="96" spans="1:13" ht="20.100000000000001" customHeight="1" x14ac:dyDescent="0.25">
      <c r="A96"/>
    </row>
    <row r="97" spans="1:41" ht="20.100000000000001" customHeight="1" x14ac:dyDescent="0.25">
      <c r="A97"/>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row>
    <row r="98" spans="1:41" ht="20.100000000000001" customHeight="1" x14ac:dyDescent="0.25">
      <c r="A98"/>
      <c r="D98" s="2" t="str" cm="1">
        <f t="array" ref="D98">Scope3_Equations.VEERG_15_2_1_1__1_EmissionsFromPurchasedFeed_Title()</f>
        <v>Emissions from purchased feed</v>
      </c>
    </row>
    <row r="99" spans="1:41" ht="20.100000000000001" customHeight="1" x14ac:dyDescent="0.25">
      <c r="A99"/>
      <c r="D99" s="27" t="str" cm="1">
        <f t="array" ref="D99">Scope3_Equations.VEERG_15_2_1_1__1_EmissionsFromPurchasedFeed_Source()</f>
        <v>VEERG 2026: 15.2.1.1, Equation (1)</v>
      </c>
    </row>
    <row r="100" spans="1:41" ht="20.100000000000001" customHeight="1" x14ac:dyDescent="0.25">
      <c r="A100"/>
      <c r="D100" s="118" t="s">
        <v>262</v>
      </c>
      <c r="E100" s="118" t="str" cm="1">
        <f t="array" aca="1" ref="E100" ca="1">Common_InputFunctions.Utility_DisplayFunctionName(G119)</f>
        <v>=Scope3_Equations.VEERG_15_2_1_1__1_EmissionsFromPurchasedFeed</v>
      </c>
    </row>
    <row r="101" spans="1:41" ht="20.100000000000001" customHeight="1" x14ac:dyDescent="0.25">
      <c r="A101"/>
    </row>
    <row r="102" spans="1:41" ht="20.100000000000001" customHeight="1" x14ac:dyDescent="0.25">
      <c r="A102"/>
      <c r="H102" s="118"/>
    </row>
    <row r="103" spans="1:41" ht="20.100000000000001" customHeight="1" x14ac:dyDescent="0.25">
      <c r="A103"/>
      <c r="D103" s="87" t="s">
        <v>263</v>
      </c>
      <c r="E103" s="1" t="str" cm="1">
        <f t="array" ref="E103">Scope3_Equations.VEERG_15_2_1_1__1_EmissionsFromPurchasedFeed_Variable()</f>
        <v>E</v>
      </c>
    </row>
    <row r="104" spans="1:41" ht="20.100000000000001" customHeight="1" x14ac:dyDescent="0.25">
      <c r="A104"/>
      <c r="D104" s="87" t="s">
        <v>122</v>
      </c>
      <c r="E104" s="15" t="str" cm="1">
        <f t="array" ref="E104">Scope3_Equations.VEERG_15_2_1_1__1_EmissionsFromPurchasedFeed_Unit()</f>
        <v>t CO2e</v>
      </c>
    </row>
    <row r="105" spans="1:41" ht="20.100000000000001" customHeight="1" x14ac:dyDescent="0.25">
      <c r="A105"/>
    </row>
    <row r="106" spans="1:41" ht="20.100000000000001" customHeight="1" x14ac:dyDescent="0.25">
      <c r="A106"/>
      <c r="D106" s="120" t="str" cm="1">
        <f t="array" ref="D106:E108">_xlfn.CHOOSECOLS(Scope3_Equations.VEERG_15_2_1_1__1_EmissionsFromPurchasedFeed_Arguments(),1,2)</f>
        <v>Q_j</v>
      </c>
      <c r="E106" s="125" t="str">
        <v>quantity of feed type j purchased</v>
      </c>
      <c r="F106" s="126"/>
      <c r="G106" s="120" t="str" cm="1">
        <f t="array" ref="G106:H108">_xlfn.CHOOSECOLS(Scope3_Equations.VEERG_15_2_1_1__1_EmissionsFromPurchasedFeed_Arguments(),3,4)</f>
        <v>t</v>
      </c>
      <c r="H106" s="275" t="str">
        <v>Input</v>
      </c>
    </row>
    <row r="107" spans="1:41" ht="20.100000000000001" customHeight="1" x14ac:dyDescent="0.25">
      <c r="A107"/>
      <c r="D107" s="120" t="str">
        <v>EF_j</v>
      </c>
      <c r="E107" s="125" t="str">
        <v>emission factor of purchased feed</v>
      </c>
      <c r="F107" s="126"/>
      <c r="G107" s="120" t="str">
        <v>kg CO2e/kg</v>
      </c>
      <c r="H107" s="275" t="str">
        <v>Constant</v>
      </c>
    </row>
    <row r="108" spans="1:41" ht="20.100000000000001" customHeight="1" x14ac:dyDescent="0.25">
      <c r="A108"/>
      <c r="D108" s="120" t="str">
        <v>j</v>
      </c>
      <c r="E108" s="125" t="str">
        <v>feed type</v>
      </c>
      <c r="F108" s="126"/>
      <c r="G108" s="120" t="str">
        <v/>
      </c>
      <c r="H108" s="128" t="str">
        <v>Input</v>
      </c>
    </row>
    <row r="109" spans="1:41" ht="20.100000000000001" customHeight="1" x14ac:dyDescent="0.25">
      <c r="A109"/>
    </row>
    <row r="110" spans="1:41" ht="20.100000000000001" customHeight="1" x14ac:dyDescent="0.25">
      <c r="A110"/>
      <c r="D110" s="261" t="s">
        <v>1166</v>
      </c>
    </row>
    <row r="111" spans="1:41" ht="20.100000000000001" customHeight="1" x14ac:dyDescent="0.25">
      <c r="A111"/>
    </row>
    <row r="112" spans="1:41" ht="20.100000000000001" customHeight="1" x14ac:dyDescent="0.25">
      <c r="A112"/>
      <c r="D112" s="145" t="s">
        <v>1167</v>
      </c>
      <c r="E112" s="54"/>
      <c r="F112" s="145"/>
      <c r="G112" s="53"/>
      <c r="H112" s="54"/>
    </row>
    <row r="113" spans="1:28" ht="20.100000000000001" customHeight="1" x14ac:dyDescent="0.25">
      <c r="A113"/>
      <c r="D113" s="176" t="s">
        <v>1168</v>
      </c>
      <c r="E113" s="178"/>
      <c r="F113" s="176"/>
      <c r="G113" s="177"/>
      <c r="H113" s="178"/>
    </row>
    <row r="114" spans="1:28" ht="20.100000000000001" customHeight="1" x14ac:dyDescent="0.25">
      <c r="A114"/>
      <c r="D114" s="55" t="s">
        <v>1169</v>
      </c>
      <c r="E114" s="57"/>
      <c r="F114" s="55"/>
      <c r="G114" s="56"/>
      <c r="H114" s="57"/>
    </row>
    <row r="115" spans="1:28" ht="20.100000000000001" customHeight="1" x14ac:dyDescent="0.25">
      <c r="A115"/>
    </row>
    <row r="116" spans="1:28" ht="20.100000000000001" customHeight="1" x14ac:dyDescent="0.25">
      <c r="A116"/>
      <c r="D116" s="45" t="s">
        <v>1170</v>
      </c>
      <c r="E116" s="47"/>
      <c r="F116" s="48"/>
    </row>
    <row r="117" spans="1:28" ht="20.100000000000001" customHeight="1" x14ac:dyDescent="0.25">
      <c r="A117"/>
    </row>
    <row r="118" spans="1:28" ht="20.100000000000001" customHeight="1" x14ac:dyDescent="0.25">
      <c r="A118"/>
      <c r="D118" s="94" t="s">
        <v>1171</v>
      </c>
      <c r="E118" s="94" t="s">
        <v>1172</v>
      </c>
      <c r="F118" s="124" t="s">
        <v>1173</v>
      </c>
      <c r="G118" s="124" t="s">
        <v>1145</v>
      </c>
      <c r="H118" s="94" t="s">
        <v>1174</v>
      </c>
      <c r="I118" s="124" t="s">
        <v>1148</v>
      </c>
      <c r="J118" s="94" t="s">
        <v>1149</v>
      </c>
      <c r="K118" s="94" t="s">
        <v>1150</v>
      </c>
      <c r="L118" s="94" t="s">
        <v>1151</v>
      </c>
      <c r="M118" s="124" t="s">
        <v>560</v>
      </c>
      <c r="N118" s="124" t="s">
        <v>1175</v>
      </c>
      <c r="O118" s="124" t="s">
        <v>561</v>
      </c>
      <c r="P118" s="124" t="s">
        <v>1176</v>
      </c>
      <c r="Q118" s="124" t="s">
        <v>562</v>
      </c>
      <c r="R118" s="124" t="s">
        <v>1177</v>
      </c>
      <c r="S118" s="124" t="s">
        <v>563</v>
      </c>
      <c r="T118" s="124" t="s">
        <v>1178</v>
      </c>
      <c r="U118" s="124" t="s">
        <v>564</v>
      </c>
      <c r="V118" s="124" t="s">
        <v>1179</v>
      </c>
      <c r="W118" s="124" t="s">
        <v>565</v>
      </c>
      <c r="X118" s="124" t="s">
        <v>1180</v>
      </c>
      <c r="Y118" s="124" t="s">
        <v>566</v>
      </c>
      <c r="Z118" s="124" t="s">
        <v>1181</v>
      </c>
      <c r="AA118" s="124" t="s">
        <v>567</v>
      </c>
      <c r="AB118" s="124" t="s">
        <v>1182</v>
      </c>
    </row>
    <row r="119" spans="1:28" ht="20.100000000000001" customHeight="1" x14ac:dyDescent="0.25">
      <c r="A119"/>
      <c r="D119" s="25" cm="1">
        <f t="array" ref="D119:D128">IFERROR(INDEX(Table_Input_FeedBlends[Feed blend name], _xlfn.SEQUENCE(10)), "")</f>
        <v>0</v>
      </c>
      <c r="E119" s="25" cm="1">
        <f t="array" ref="E119:E128">IFERROR(INDEX(Table_Input_FeedBlends[Amount fed (kg)], _xlfn.SEQUENCE(10)), "")</f>
        <v>1200</v>
      </c>
      <c r="F119" s="25">
        <f t="shared" ref="F119:F128" si="0">IFERROR((O119*P119)+(S119*T119)+(W119*X119)+(AA119*AB119), 0)</f>
        <v>0.16272999999999999</v>
      </c>
      <c r="G119" s="277" cm="1">
        <f t="array" ref="G119">Scope3_Equations.VEERG_15_2_1_1__1_EmissionsFromPurchasedFeed(E119,F119)</f>
        <v>195.27599999999998</v>
      </c>
      <c r="H119" s="85">
        <v>0.04</v>
      </c>
      <c r="I119" s="277" cm="1">
        <f t="array" ref="I119">Scope3_Equations.VEERG_15_2_1_1__1_EmissionsFromPurchasedFeed(E119,IF(H119,H119, F119))</f>
        <v>48</v>
      </c>
      <c r="J119" s="43"/>
      <c r="K119" s="23"/>
      <c r="L119" s="260"/>
      <c r="M119" s="25" t="str" cm="1">
        <f t="array" ref="M119:M128">IFERROR(INDEX(Table_Input_FeedBlends[Ingredient 1 (select)], _xlfn.SEQUENCE(10)), "")</f>
        <v>Cereal silage</v>
      </c>
      <c r="N119" s="25" t="str" cm="1">
        <f t="array" ref="N119:N128">IFERROR(INDEX(Table_Input_FeedBlends[Ingredient 1 source region], _xlfn.SEQUENCE(10)), "")</f>
        <v>SA</v>
      </c>
      <c r="O119" s="25" cm="1">
        <f t="array" ref="O119:O128">IFERROR(INDEX(Table_Input_FeedBlends[Ingredient 1 percent], _xlfn.SEQUENCE(10)), "")</f>
        <v>0.35</v>
      </c>
      <c r="P119" s="25"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25" t="str" cm="1">
        <f t="array" ref="Q119:Q128">IFERROR(INDEX(Table_Input_FeedBlends[Ingredient 2 (select)], _xlfn.SEQUENCE(10)), "")</f>
        <v>Cereal hay</v>
      </c>
      <c r="R119" s="25" t="str" cm="1">
        <f t="array" ref="R119:R128">IFERROR(INDEX(Table_Input_FeedBlends[Ingredient 2 source region], _xlfn.SEQUENCE(10)), "")</f>
        <v>SA</v>
      </c>
      <c r="S119" s="25" cm="1">
        <f t="array" ref="S119:S128">IFERROR(INDEX(Table_Input_FeedBlends[Ingredient 2 percent], _xlfn.SEQUENCE(10)), "")</f>
        <v>0.22</v>
      </c>
      <c r="T119" s="25" cm="1">
        <f t="array" ref="T119">_xlfn.LET(_xlpm.result, Common_InputFunctions.Utility_LookupValueInTableTwoColumns(Q119, R119, Table_SourceData_Scope3_Feed[Product], Table_SourceData_Scope3_Feed[Region of origin], Table_SourceData_Scope3_Feed[AusLCI Emissions intensity]), IF(_xlpm.result="", 0, _xlpm.result))</f>
        <v>0.111</v>
      </c>
      <c r="U119" s="25" t="str" cm="1">
        <f t="array" ref="U119:U128">IFERROR(INDEX(Table_Input_FeedBlends[Ingredient 3 (select)], _xlfn.SEQUENCE(10)), "")</f>
        <v>Canola oil</v>
      </c>
      <c r="V119" s="25" t="str" cm="1">
        <f t="array" ref="V119:V128">IFERROR(INDEX(Table_Input_FeedBlends[Ingredient 3 source region], _xlfn.SEQUENCE(10)), "")</f>
        <v>Australia</v>
      </c>
      <c r="W119" s="25" cm="1">
        <f t="array" ref="W119:W128">IFERROR(INDEX(Table_Input_FeedBlends[Ingredient 3 percent], _xlfn.SEQUENCE(10)), "")</f>
        <v>0.12</v>
      </c>
      <c r="X119" s="25" cm="1">
        <f t="array" ref="X119">_xlfn.LET(_xlpm.result, Common_InputFunctions.Utility_LookupValueInTableTwoColumns(U119, V119, Table_SourceData_Scope3_Feed[Product], Table_SourceData_Scope3_Feed[Region of origin], Table_SourceData_Scope3_Feed[AusLCI Emissions intensity]), IF(_xlpm.result="", 0, _xlpm.result))</f>
        <v>0.87</v>
      </c>
      <c r="Y119" s="25" t="str" cm="1">
        <f t="array" ref="Y119:Y128">IFERROR(INDEX(Table_Input_FeedBlends[Ingredient 4 (select)], _xlfn.SEQUENCE(10)), "")</f>
        <v>Molasses</v>
      </c>
      <c r="Z119" s="25" t="str" cm="1">
        <f t="array" ref="Z119:Z128">IFERROR(INDEX(Table_Input_FeedBlends[Ingredient 4 source region], _xlfn.SEQUENCE(10)), "")</f>
        <v>QLD</v>
      </c>
      <c r="AA119" s="25" cm="1">
        <f t="array" ref="AA119:AA128">IFERROR(INDEX(Table_Input_FeedBlends[Ingredient 4 percent], _xlfn.SEQUENCE(10)), "")</f>
        <v>0.05</v>
      </c>
      <c r="AB119" s="25" cm="1">
        <f t="array" ref="AB119">_xlfn.LET(_xlpm.result, Common_InputFunctions.Utility_LookupValueInTableTwoColumns(Y119, Z119, Table_SourceData_Scope3_Feed[Product], Table_SourceData_Scope3_Feed[Region of origin], Table_SourceData_Scope3_Feed[AusLCI Emissions intensity]), IF(_xlpm.result="", 0, _xlpm.result))</f>
        <v>0.184</v>
      </c>
    </row>
    <row r="120" spans="1:28" ht="20.100000000000001" customHeight="1" x14ac:dyDescent="0.25">
      <c r="A120"/>
      <c r="D120" s="25">
        <v>0</v>
      </c>
      <c r="E120" s="25">
        <v>3456</v>
      </c>
      <c r="F120" s="25">
        <f t="shared" si="0"/>
        <v>2.2600000000000002E-2</v>
      </c>
      <c r="G120" s="277" cm="1">
        <f t="array" ref="G120">Scope3_Equations.VEERG_15_2_1_1__1_EmissionsFromPurchasedFeed(E120,F120)</f>
        <v>78.10560000000001</v>
      </c>
      <c r="H120" s="85">
        <v>0.03</v>
      </c>
      <c r="I120" s="277" cm="1">
        <f t="array" ref="I120">Scope3_Equations.VEERG_15_2_1_1__1_EmissionsFromPurchasedFeed(E120,IF(H120,H120, F120))</f>
        <v>103.67999999999999</v>
      </c>
      <c r="J120" s="43"/>
      <c r="K120" s="23"/>
      <c r="L120" s="43"/>
      <c r="M120" s="25" t="str">
        <v>Lucerne hay</v>
      </c>
      <c r="N120" s="25" t="str">
        <v>WA</v>
      </c>
      <c r="O120" s="25">
        <v>0.2</v>
      </c>
      <c r="P120" s="25"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25" t="str">
        <v>Lucerne hay</v>
      </c>
      <c r="R120" s="25" t="str">
        <v>NSW</v>
      </c>
      <c r="S120" s="25">
        <v>0.2</v>
      </c>
      <c r="T120" s="25" cm="1">
        <f t="array" ref="T120">_xlfn.LET(_xlpm.result, Common_InputFunctions.Utility_LookupValueInTableTwoColumns(Q120, R120, Table_SourceData_Scope3_Feed[Product], Table_SourceData_Scope3_Feed[Region of origin], Table_SourceData_Scope3_Feed[AusLCI Emissions intensity]), IF(_xlpm.result="", 0, _xlpm.result))</f>
        <v>0.113</v>
      </c>
      <c r="U120" s="25">
        <v>0</v>
      </c>
      <c r="V120" s="25">
        <v>0</v>
      </c>
      <c r="W120" s="25">
        <v>0</v>
      </c>
      <c r="X120" s="25" cm="1">
        <f t="array" ref="X120">_xlfn.LET(_xlpm.result, Common_InputFunctions.Utility_LookupValueInTableTwoColumns(U120, V120, Table_SourceData_Scope3_Feed[Product], Table_SourceData_Scope3_Feed[Region of origin], Table_SourceData_Scope3_Feed[AusLCI Emissions intensity]), IF(_xlpm.result="", 0, _xlpm.result))</f>
        <v>0</v>
      </c>
      <c r="Y120" s="25">
        <v>0</v>
      </c>
      <c r="Z120" s="25">
        <v>0</v>
      </c>
      <c r="AA120" s="25">
        <v>0</v>
      </c>
      <c r="AB120" s="25" cm="1">
        <f t="array" ref="AB120">_xlfn.LET(_xlpm.result, Common_InputFunctions.Utility_LookupValueInTableTwoColumns(Y120, Z120, Table_SourceData_Scope3_Feed[Product], Table_SourceData_Scope3_Feed[Region of origin], Table_SourceData_Scope3_Feed[AusLCI Emissions intensity]), IF(_xlpm.result="", 0, _xlpm.result))</f>
        <v>0</v>
      </c>
    </row>
    <row r="121" spans="1:28" ht="20.100000000000001" customHeight="1" x14ac:dyDescent="0.25">
      <c r="A121"/>
      <c r="D121" s="25" t="str">
        <v>Hay bales in paddock</v>
      </c>
      <c r="E121" s="25">
        <v>300</v>
      </c>
      <c r="F121" s="25">
        <f t="shared" si="0"/>
        <v>8.5199999999999998E-2</v>
      </c>
      <c r="G121" s="277" cm="1">
        <f t="array" ref="G121">Scope3_Equations.VEERG_15_2_1_1__1_EmissionsFromPurchasedFeed(E121,F121)</f>
        <v>25.56</v>
      </c>
      <c r="H121" s="85">
        <v>0.14000000000000001</v>
      </c>
      <c r="I121" s="277" cm="1">
        <f t="array" ref="I121">Scope3_Equations.VEERG_15_2_1_1__1_EmissionsFromPurchasedFeed(E121,IF(H121,H121, F121))</f>
        <v>42.000000000000007</v>
      </c>
      <c r="J121" s="43"/>
      <c r="K121" s="23"/>
      <c r="L121" s="43"/>
      <c r="M121" s="25" t="str">
        <v>Sardines (whole)</v>
      </c>
      <c r="N121" s="25" t="str">
        <v>VIC</v>
      </c>
      <c r="O121" s="25">
        <v>0.8</v>
      </c>
      <c r="P121" s="25"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25" t="str">
        <v>Soybean meal</v>
      </c>
      <c r="R121" s="25" t="str">
        <v>Brazil</v>
      </c>
      <c r="S121" s="25">
        <v>0.2</v>
      </c>
      <c r="T121" s="25" cm="1">
        <f t="array" ref="T121">_xlfn.LET(_xlpm.result, Common_InputFunctions.Utility_LookupValueInTableTwoColumns(Q121, R121, Table_SourceData_Scope3_Feed[Product], Table_SourceData_Scope3_Feed[Region of origin], Table_SourceData_Scope3_Feed[AusLCI Emissions intensity]), IF(_xlpm.result="", 0, _xlpm.result))</f>
        <v>0.42599999999999999</v>
      </c>
      <c r="U121" s="25">
        <v>0</v>
      </c>
      <c r="V121" s="25">
        <v>0</v>
      </c>
      <c r="W121" s="25">
        <v>0</v>
      </c>
      <c r="X121" s="25" cm="1">
        <f t="array" ref="X121">_xlfn.LET(_xlpm.result, Common_InputFunctions.Utility_LookupValueInTableTwoColumns(U121, V121, Table_SourceData_Scope3_Feed[Product], Table_SourceData_Scope3_Feed[Region of origin], Table_SourceData_Scope3_Feed[AusLCI Emissions intensity]), IF(_xlpm.result="", 0, _xlpm.result))</f>
        <v>0</v>
      </c>
      <c r="Y121" s="25">
        <v>0</v>
      </c>
      <c r="Z121" s="25">
        <v>0</v>
      </c>
      <c r="AA121" s="25">
        <v>0</v>
      </c>
      <c r="AB121" s="25" cm="1">
        <f t="array" ref="AB121">_xlfn.LET(_xlpm.result, Common_InputFunctions.Utility_LookupValueInTableTwoColumns(Y121, Z121, Table_SourceData_Scope3_Feed[Product], Table_SourceData_Scope3_Feed[Region of origin], Table_SourceData_Scope3_Feed[AusLCI Emissions intensity]), IF(_xlpm.result="", 0, _xlpm.result))</f>
        <v>0</v>
      </c>
    </row>
    <row r="122" spans="1:28" ht="20.100000000000001" customHeight="1" x14ac:dyDescent="0.25">
      <c r="A122"/>
      <c r="D122" s="25">
        <v>0</v>
      </c>
      <c r="E122" s="25">
        <v>500</v>
      </c>
      <c r="F122" s="25">
        <f t="shared" si="0"/>
        <v>0.34499999999999997</v>
      </c>
      <c r="G122" s="277" cm="1">
        <f t="array" ref="G122">Scope3_Equations.VEERG_15_2_1_1__1_EmissionsFromPurchasedFeed(E122,F122)</f>
        <v>172.5</v>
      </c>
      <c r="H122" s="85"/>
      <c r="I122" s="277" cm="1">
        <f t="array" ref="I122">Scope3_Equations.VEERG_15_2_1_1__1_EmissionsFromPurchasedFeed(E122,IF(H122,H122, F122))</f>
        <v>172.5</v>
      </c>
      <c r="J122" s="43"/>
      <c r="K122" s="23"/>
      <c r="L122" s="43"/>
      <c r="M122" s="25" t="str">
        <v>Pasture hay</v>
      </c>
      <c r="N122" s="25" t="str">
        <v>VIC</v>
      </c>
      <c r="O122" s="25">
        <v>1</v>
      </c>
      <c r="P122" s="25"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25">
        <v>0</v>
      </c>
      <c r="R122" s="25">
        <v>0</v>
      </c>
      <c r="S122" s="25">
        <v>0</v>
      </c>
      <c r="T122" s="25" cm="1">
        <f t="array" ref="T122">_xlfn.LET(_xlpm.result, Common_InputFunctions.Utility_LookupValueInTableTwoColumns(Q122, R122, Table_SourceData_Scope3_Feed[Product], Table_SourceData_Scope3_Feed[Region of origin], Table_SourceData_Scope3_Feed[AusLCI Emissions intensity]), IF(_xlpm.result="", 0, _xlpm.result))</f>
        <v>0</v>
      </c>
      <c r="U122" s="25">
        <v>0</v>
      </c>
      <c r="V122" s="25">
        <v>0</v>
      </c>
      <c r="W122" s="25">
        <v>0</v>
      </c>
      <c r="X122" s="25" cm="1">
        <f t="array" ref="X122">_xlfn.LET(_xlpm.result, Common_InputFunctions.Utility_LookupValueInTableTwoColumns(U122, V122, Table_SourceData_Scope3_Feed[Product], Table_SourceData_Scope3_Feed[Region of origin], Table_SourceData_Scope3_Feed[AusLCI Emissions intensity]), IF(_xlpm.result="", 0, _xlpm.result))</f>
        <v>0</v>
      </c>
      <c r="Y122" s="25">
        <v>0</v>
      </c>
      <c r="Z122" s="25">
        <v>0</v>
      </c>
      <c r="AA122" s="25">
        <v>0</v>
      </c>
      <c r="AB122" s="25" cm="1">
        <f t="array" ref="AB122">_xlfn.LET(_xlpm.result, Common_InputFunctions.Utility_LookupValueInTableTwoColumns(Y122, Z122, Table_SourceData_Scope3_Feed[Product], Table_SourceData_Scope3_Feed[Region of origin], Table_SourceData_Scope3_Feed[AusLCI Emissions intensity]), IF(_xlpm.result="", 0, _xlpm.result))</f>
        <v>0</v>
      </c>
    </row>
    <row r="123" spans="1:28" ht="20.100000000000001" customHeight="1" x14ac:dyDescent="0.25">
      <c r="A123"/>
      <c r="D123" s="25">
        <v>0</v>
      </c>
      <c r="E123" s="25">
        <v>0</v>
      </c>
      <c r="F123" s="25">
        <f t="shared" si="0"/>
        <v>0</v>
      </c>
      <c r="G123" s="277" cm="1">
        <f t="array" ref="G123">Scope3_Equations.VEERG_15_2_1_1__1_EmissionsFromPurchasedFeed(E123,F123)</f>
        <v>0</v>
      </c>
      <c r="H123" s="85"/>
      <c r="I123" s="277" cm="1">
        <f t="array" ref="I123">Scope3_Equations.VEERG_15_2_1_1__1_EmissionsFromPurchasedFeed(E123,IF(H123,H123, F123))</f>
        <v>0</v>
      </c>
      <c r="J123" s="43"/>
      <c r="K123" s="23"/>
      <c r="L123" s="43"/>
      <c r="M123" s="25">
        <v>0</v>
      </c>
      <c r="N123" s="25">
        <v>0</v>
      </c>
      <c r="O123" s="25">
        <v>0</v>
      </c>
      <c r="P123" s="25"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25">
        <v>0</v>
      </c>
      <c r="R123" s="25">
        <v>0</v>
      </c>
      <c r="S123" s="25">
        <v>0</v>
      </c>
      <c r="T123" s="25" cm="1">
        <f t="array" ref="T123">_xlfn.LET(_xlpm.result, Common_InputFunctions.Utility_LookupValueInTableTwoColumns(Q123, R123, Table_SourceData_Scope3_Feed[Product], Table_SourceData_Scope3_Feed[Region of origin], Table_SourceData_Scope3_Feed[AusLCI Emissions intensity]), IF(_xlpm.result="", 0, _xlpm.result))</f>
        <v>0</v>
      </c>
      <c r="U123" s="25">
        <v>0</v>
      </c>
      <c r="V123" s="25">
        <v>0</v>
      </c>
      <c r="W123" s="25">
        <v>0</v>
      </c>
      <c r="X123" s="25" cm="1">
        <f t="array" ref="X123">_xlfn.LET(_xlpm.result, Common_InputFunctions.Utility_LookupValueInTableTwoColumns(U123, V123, Table_SourceData_Scope3_Feed[Product], Table_SourceData_Scope3_Feed[Region of origin], Table_SourceData_Scope3_Feed[AusLCI Emissions intensity]), IF(_xlpm.result="", 0, _xlpm.result))</f>
        <v>0</v>
      </c>
      <c r="Y123" s="25">
        <v>0</v>
      </c>
      <c r="Z123" s="25">
        <v>0</v>
      </c>
      <c r="AA123" s="25">
        <v>0</v>
      </c>
      <c r="AB123" s="25" cm="1">
        <f t="array" ref="AB123">_xlfn.LET(_xlpm.result, Common_InputFunctions.Utility_LookupValueInTableTwoColumns(Y123, Z123, Table_SourceData_Scope3_Feed[Product], Table_SourceData_Scope3_Feed[Region of origin], Table_SourceData_Scope3_Feed[AusLCI Emissions intensity]), IF(_xlpm.result="", 0, _xlpm.result))</f>
        <v>0</v>
      </c>
    </row>
    <row r="124" spans="1:28" ht="20.100000000000001" customHeight="1" x14ac:dyDescent="0.25">
      <c r="A124"/>
      <c r="D124" s="25">
        <v>0</v>
      </c>
      <c r="E124" s="25">
        <v>0</v>
      </c>
      <c r="F124" s="25">
        <f t="shared" si="0"/>
        <v>0</v>
      </c>
      <c r="G124" s="277" cm="1">
        <f t="array" ref="G124">Scope3_Equations.VEERG_15_2_1_1__1_EmissionsFromPurchasedFeed(E124,F124)</f>
        <v>0</v>
      </c>
      <c r="H124" s="85"/>
      <c r="I124" s="277" cm="1">
        <f t="array" ref="I124">Scope3_Equations.VEERG_15_2_1_1__1_EmissionsFromPurchasedFeed(E124,IF(H124,H124, F124))</f>
        <v>0</v>
      </c>
      <c r="J124" s="43"/>
      <c r="K124" s="23"/>
      <c r="L124" s="43"/>
      <c r="M124" s="25">
        <v>0</v>
      </c>
      <c r="N124" s="25">
        <v>0</v>
      </c>
      <c r="O124" s="25">
        <v>0</v>
      </c>
      <c r="P124" s="25"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25">
        <v>0</v>
      </c>
      <c r="R124" s="25">
        <v>0</v>
      </c>
      <c r="S124" s="25">
        <v>0</v>
      </c>
      <c r="T124" s="25" cm="1">
        <f t="array" ref="T124">_xlfn.LET(_xlpm.result, Common_InputFunctions.Utility_LookupValueInTableTwoColumns(Q124, R124, Table_SourceData_Scope3_Feed[Product], Table_SourceData_Scope3_Feed[Region of origin], Table_SourceData_Scope3_Feed[AusLCI Emissions intensity]), IF(_xlpm.result="", 0, _xlpm.result))</f>
        <v>0</v>
      </c>
      <c r="U124" s="25">
        <v>0</v>
      </c>
      <c r="V124" s="25">
        <v>0</v>
      </c>
      <c r="W124" s="25">
        <v>0</v>
      </c>
      <c r="X124" s="25" cm="1">
        <f t="array" ref="X124">_xlfn.LET(_xlpm.result, Common_InputFunctions.Utility_LookupValueInTableTwoColumns(U124, V124, Table_SourceData_Scope3_Feed[Product], Table_SourceData_Scope3_Feed[Region of origin], Table_SourceData_Scope3_Feed[AusLCI Emissions intensity]), IF(_xlpm.result="", 0, _xlpm.result))</f>
        <v>0</v>
      </c>
      <c r="Y124" s="25">
        <v>0</v>
      </c>
      <c r="Z124" s="25">
        <v>0</v>
      </c>
      <c r="AA124" s="25">
        <v>0</v>
      </c>
      <c r="AB124" s="25" cm="1">
        <f t="array" ref="AB124">_xlfn.LET(_xlpm.result, Common_InputFunctions.Utility_LookupValueInTableTwoColumns(Y124, Z124, Table_SourceData_Scope3_Feed[Product], Table_SourceData_Scope3_Feed[Region of origin], Table_SourceData_Scope3_Feed[AusLCI Emissions intensity]), IF(_xlpm.result="", 0, _xlpm.result))</f>
        <v>0</v>
      </c>
    </row>
    <row r="125" spans="1:28" ht="20.100000000000001" customHeight="1" x14ac:dyDescent="0.25">
      <c r="A125"/>
      <c r="D125" s="25">
        <v>0</v>
      </c>
      <c r="E125" s="25">
        <v>0</v>
      </c>
      <c r="F125" s="25">
        <f t="shared" si="0"/>
        <v>0</v>
      </c>
      <c r="G125" s="277" cm="1">
        <f t="array" ref="G125">Scope3_Equations.VEERG_15_2_1_1__1_EmissionsFromPurchasedFeed(E125,F125)</f>
        <v>0</v>
      </c>
      <c r="H125" s="85"/>
      <c r="I125" s="277" cm="1">
        <f t="array" ref="I125">Scope3_Equations.VEERG_15_2_1_1__1_EmissionsFromPurchasedFeed(E125,IF(H125,H125, F125))</f>
        <v>0</v>
      </c>
      <c r="J125" s="43"/>
      <c r="K125" s="23"/>
      <c r="L125" s="43"/>
      <c r="M125" s="25">
        <v>0</v>
      </c>
      <c r="N125" s="25">
        <v>0</v>
      </c>
      <c r="O125" s="25">
        <v>0</v>
      </c>
      <c r="P125" s="25"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25">
        <v>0</v>
      </c>
      <c r="R125" s="25">
        <v>0</v>
      </c>
      <c r="S125" s="25">
        <v>0</v>
      </c>
      <c r="T125" s="25" cm="1">
        <f t="array" ref="T125">_xlfn.LET(_xlpm.result, Common_InputFunctions.Utility_LookupValueInTableTwoColumns(Q125, R125, Table_SourceData_Scope3_Feed[Product], Table_SourceData_Scope3_Feed[Region of origin], Table_SourceData_Scope3_Feed[AusLCI Emissions intensity]), IF(_xlpm.result="", 0, _xlpm.result))</f>
        <v>0</v>
      </c>
      <c r="U125" s="25">
        <v>0</v>
      </c>
      <c r="V125" s="25">
        <v>0</v>
      </c>
      <c r="W125" s="25">
        <v>0</v>
      </c>
      <c r="X125" s="25" cm="1">
        <f t="array" ref="X125">_xlfn.LET(_xlpm.result, Common_InputFunctions.Utility_LookupValueInTableTwoColumns(U125, V125, Table_SourceData_Scope3_Feed[Product], Table_SourceData_Scope3_Feed[Region of origin], Table_SourceData_Scope3_Feed[AusLCI Emissions intensity]), IF(_xlpm.result="", 0, _xlpm.result))</f>
        <v>0</v>
      </c>
      <c r="Y125" s="25">
        <v>0</v>
      </c>
      <c r="Z125" s="25">
        <v>0</v>
      </c>
      <c r="AA125" s="25">
        <v>0</v>
      </c>
      <c r="AB125" s="25" cm="1">
        <f t="array" ref="AB125">_xlfn.LET(_xlpm.result, Common_InputFunctions.Utility_LookupValueInTableTwoColumns(Y125, Z125, Table_SourceData_Scope3_Feed[Product], Table_SourceData_Scope3_Feed[Region of origin], Table_SourceData_Scope3_Feed[AusLCI Emissions intensity]), IF(_xlpm.result="", 0, _xlpm.result))</f>
        <v>0</v>
      </c>
    </row>
    <row r="126" spans="1:28" ht="20.100000000000001" customHeight="1" x14ac:dyDescent="0.25">
      <c r="A126"/>
      <c r="D126" s="25">
        <v>0</v>
      </c>
      <c r="E126" s="25">
        <v>0</v>
      </c>
      <c r="F126" s="25">
        <f t="shared" si="0"/>
        <v>0</v>
      </c>
      <c r="G126" s="277" cm="1">
        <f t="array" ref="G126">Scope3_Equations.VEERG_15_2_1_1__1_EmissionsFromPurchasedFeed(E126,F126)</f>
        <v>0</v>
      </c>
      <c r="H126" s="85"/>
      <c r="I126" s="277" cm="1">
        <f t="array" ref="I126">Scope3_Equations.VEERG_15_2_1_1__1_EmissionsFromPurchasedFeed(E126,IF(H126,H126, F126))</f>
        <v>0</v>
      </c>
      <c r="J126" s="43"/>
      <c r="K126" s="23"/>
      <c r="L126" s="43"/>
      <c r="M126" s="25">
        <v>0</v>
      </c>
      <c r="N126" s="25">
        <v>0</v>
      </c>
      <c r="O126" s="25">
        <v>0</v>
      </c>
      <c r="P126" s="25"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25">
        <v>0</v>
      </c>
      <c r="R126" s="25">
        <v>0</v>
      </c>
      <c r="S126" s="25">
        <v>0</v>
      </c>
      <c r="T126" s="25" cm="1">
        <f t="array" ref="T126">_xlfn.LET(_xlpm.result, Common_InputFunctions.Utility_LookupValueInTableTwoColumns(Q126, R126, Table_SourceData_Scope3_Feed[Product], Table_SourceData_Scope3_Feed[Region of origin], Table_SourceData_Scope3_Feed[AusLCI Emissions intensity]), IF(_xlpm.result="", 0, _xlpm.result))</f>
        <v>0</v>
      </c>
      <c r="U126" s="25">
        <v>0</v>
      </c>
      <c r="V126" s="25">
        <v>0</v>
      </c>
      <c r="W126" s="25">
        <v>0</v>
      </c>
      <c r="X126" s="25" cm="1">
        <f t="array" ref="X126">_xlfn.LET(_xlpm.result, Common_InputFunctions.Utility_LookupValueInTableTwoColumns(U126, V126, Table_SourceData_Scope3_Feed[Product], Table_SourceData_Scope3_Feed[Region of origin], Table_SourceData_Scope3_Feed[AusLCI Emissions intensity]), IF(_xlpm.result="", 0, _xlpm.result))</f>
        <v>0</v>
      </c>
      <c r="Y126" s="25">
        <v>0</v>
      </c>
      <c r="Z126" s="25">
        <v>0</v>
      </c>
      <c r="AA126" s="25">
        <v>0</v>
      </c>
      <c r="AB126" s="25" cm="1">
        <f t="array" ref="AB126">_xlfn.LET(_xlpm.result, Common_InputFunctions.Utility_LookupValueInTableTwoColumns(Y126, Z126, Table_SourceData_Scope3_Feed[Product], Table_SourceData_Scope3_Feed[Region of origin], Table_SourceData_Scope3_Feed[AusLCI Emissions intensity]), IF(_xlpm.result="", 0, _xlpm.result))</f>
        <v>0</v>
      </c>
    </row>
    <row r="127" spans="1:28" ht="20.100000000000001" customHeight="1" x14ac:dyDescent="0.25">
      <c r="A127"/>
      <c r="D127" s="25">
        <v>0</v>
      </c>
      <c r="E127" s="25">
        <v>0</v>
      </c>
      <c r="F127" s="25">
        <f t="shared" si="0"/>
        <v>0</v>
      </c>
      <c r="G127" s="277" cm="1">
        <f t="array" ref="G127">Scope3_Equations.VEERG_15_2_1_1__1_EmissionsFromPurchasedFeed(E127,F127)</f>
        <v>0</v>
      </c>
      <c r="H127" s="85"/>
      <c r="I127" s="277" cm="1">
        <f t="array" ref="I127">Scope3_Equations.VEERG_15_2_1_1__1_EmissionsFromPurchasedFeed(E127,IF(H127,H127, F127))</f>
        <v>0</v>
      </c>
      <c r="J127" s="43"/>
      <c r="K127" s="23"/>
      <c r="L127" s="43"/>
      <c r="M127" s="25">
        <v>0</v>
      </c>
      <c r="N127" s="25">
        <v>0</v>
      </c>
      <c r="O127" s="25">
        <v>0</v>
      </c>
      <c r="P127" s="25"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25">
        <v>0</v>
      </c>
      <c r="R127" s="25">
        <v>0</v>
      </c>
      <c r="S127" s="25">
        <v>0</v>
      </c>
      <c r="T127" s="25" cm="1">
        <f t="array" ref="T127">_xlfn.LET(_xlpm.result, Common_InputFunctions.Utility_LookupValueInTableTwoColumns(Q127, R127, Table_SourceData_Scope3_Feed[Product], Table_SourceData_Scope3_Feed[Region of origin], Table_SourceData_Scope3_Feed[AusLCI Emissions intensity]), IF(_xlpm.result="", 0, _xlpm.result))</f>
        <v>0</v>
      </c>
      <c r="U127" s="25">
        <v>0</v>
      </c>
      <c r="V127" s="25">
        <v>0</v>
      </c>
      <c r="W127" s="25">
        <v>0</v>
      </c>
      <c r="X127" s="25" cm="1">
        <f t="array" ref="X127">_xlfn.LET(_xlpm.result, Common_InputFunctions.Utility_LookupValueInTableTwoColumns(U127, V127, Table_SourceData_Scope3_Feed[Product], Table_SourceData_Scope3_Feed[Region of origin], Table_SourceData_Scope3_Feed[AusLCI Emissions intensity]), IF(_xlpm.result="", 0, _xlpm.result))</f>
        <v>0</v>
      </c>
      <c r="Y127" s="25">
        <v>0</v>
      </c>
      <c r="Z127" s="25">
        <v>0</v>
      </c>
      <c r="AA127" s="25">
        <v>0</v>
      </c>
      <c r="AB127" s="25" cm="1">
        <f t="array" ref="AB127">_xlfn.LET(_xlpm.result, Common_InputFunctions.Utility_LookupValueInTableTwoColumns(Y127, Z127, Table_SourceData_Scope3_Feed[Product], Table_SourceData_Scope3_Feed[Region of origin], Table_SourceData_Scope3_Feed[AusLCI Emissions intensity]), IF(_xlpm.result="", 0, _xlpm.result))</f>
        <v>0</v>
      </c>
    </row>
    <row r="128" spans="1:28" ht="20.100000000000001" customHeight="1" x14ac:dyDescent="0.25">
      <c r="A128"/>
      <c r="D128" s="25">
        <v>0</v>
      </c>
      <c r="E128" s="25">
        <v>0</v>
      </c>
      <c r="F128" s="25">
        <f t="shared" si="0"/>
        <v>0</v>
      </c>
      <c r="G128" s="277" cm="1">
        <f t="array" ref="G128">Scope3_Equations.VEERG_15_2_1_1__1_EmissionsFromPurchasedFeed(E128,F128)</f>
        <v>0</v>
      </c>
      <c r="H128" s="85"/>
      <c r="I128" s="277" cm="1">
        <f t="array" ref="I128">Scope3_Equations.VEERG_15_2_1_1__1_EmissionsFromPurchasedFeed(E128,IF(H128,H128, F128))</f>
        <v>0</v>
      </c>
      <c r="J128" s="43"/>
      <c r="K128" s="23"/>
      <c r="L128" s="43"/>
      <c r="M128" s="25">
        <v>0</v>
      </c>
      <c r="N128" s="25">
        <v>0</v>
      </c>
      <c r="O128" s="25">
        <v>0</v>
      </c>
      <c r="P128" s="25"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25">
        <v>0</v>
      </c>
      <c r="R128" s="25">
        <v>0</v>
      </c>
      <c r="S128" s="25">
        <v>0</v>
      </c>
      <c r="T128" s="25" cm="1">
        <f t="array" ref="T128">_xlfn.LET(_xlpm.result, Common_InputFunctions.Utility_LookupValueInTableTwoColumns(Q128, R128, Table_SourceData_Scope3_Feed[Product], Table_SourceData_Scope3_Feed[Region of origin], Table_SourceData_Scope3_Feed[AusLCI Emissions intensity]), IF(_xlpm.result="", 0, _xlpm.result))</f>
        <v>0</v>
      </c>
      <c r="U128" s="25">
        <v>0</v>
      </c>
      <c r="V128" s="25">
        <v>0</v>
      </c>
      <c r="W128" s="25">
        <v>0</v>
      </c>
      <c r="X128" s="25" cm="1">
        <f t="array" ref="X128">_xlfn.LET(_xlpm.result, Common_InputFunctions.Utility_LookupValueInTableTwoColumns(U128, V128, Table_SourceData_Scope3_Feed[Product], Table_SourceData_Scope3_Feed[Region of origin], Table_SourceData_Scope3_Feed[AusLCI Emissions intensity]), IF(_xlpm.result="", 0, _xlpm.result))</f>
        <v>0</v>
      </c>
      <c r="Y128" s="25">
        <v>0</v>
      </c>
      <c r="Z128" s="25">
        <v>0</v>
      </c>
      <c r="AA128" s="25">
        <v>0</v>
      </c>
      <c r="AB128" s="25" cm="1">
        <f t="array" ref="AB128">_xlfn.LET(_xlpm.result, Common_InputFunctions.Utility_LookupValueInTableTwoColumns(Y128, Z128, Table_SourceData_Scope3_Feed[Product], Table_SourceData_Scope3_Feed[Region of origin], Table_SourceData_Scope3_Feed[AusLCI Emissions intensity]), IF(_xlpm.result="", 0, _xlpm.result))</f>
        <v>0</v>
      </c>
    </row>
    <row r="129" spans="1:12" ht="20.100000000000001" customHeight="1" x14ac:dyDescent="0.25">
      <c r="A129"/>
    </row>
    <row r="130" spans="1:12" ht="20.100000000000001" customHeight="1" x14ac:dyDescent="0.25">
      <c r="A130"/>
      <c r="D130" s="142" t="s">
        <v>1145</v>
      </c>
      <c r="E130" s="101">
        <f>SUM(G119:G128)</f>
        <v>471.44159999999999</v>
      </c>
      <c r="F130" s="140" t="str">
        <f>$E$104</f>
        <v>t CO2e</v>
      </c>
    </row>
    <row r="131" spans="1:12" ht="20.100000000000001" customHeight="1" x14ac:dyDescent="0.25">
      <c r="A131"/>
      <c r="D131" s="142" t="s">
        <v>1148</v>
      </c>
      <c r="E131" s="101">
        <f>SUM(I119:I128)</f>
        <v>366.18</v>
      </c>
      <c r="F131" s="140" t="str">
        <f>$E$104</f>
        <v>t CO2e</v>
      </c>
    </row>
    <row r="132" spans="1:12" ht="20.100000000000001" customHeight="1" x14ac:dyDescent="0.25">
      <c r="A132"/>
    </row>
    <row r="133" spans="1:12" ht="20.100000000000001" customHeight="1" x14ac:dyDescent="0.25">
      <c r="A133"/>
    </row>
    <row r="134" spans="1:12" ht="20.100000000000001" customHeight="1" x14ac:dyDescent="0.25">
      <c r="A134"/>
      <c r="D134" s="261" t="s">
        <v>1064</v>
      </c>
    </row>
    <row r="135" spans="1:12" ht="20.100000000000001" customHeight="1" x14ac:dyDescent="0.25">
      <c r="A135"/>
      <c r="D135" s="94" t="s">
        <v>138</v>
      </c>
      <c r="E135" s="94" t="s">
        <v>1172</v>
      </c>
      <c r="F135" s="124" t="s">
        <v>1173</v>
      </c>
      <c r="G135" s="124" t="s">
        <v>1145</v>
      </c>
      <c r="H135" s="94" t="s">
        <v>1174</v>
      </c>
      <c r="I135" s="124" t="s">
        <v>1148</v>
      </c>
      <c r="J135" s="94" t="s">
        <v>1149</v>
      </c>
      <c r="K135" s="94" t="s">
        <v>1150</v>
      </c>
      <c r="L135" s="94" t="s">
        <v>1151</v>
      </c>
    </row>
    <row r="136" spans="1:12" ht="20.100000000000001" customHeight="1" x14ac:dyDescent="0.25">
      <c r="A136"/>
      <c r="D136" s="25" t="str">
        <f>'Input - Farm Inputs'!D56</f>
        <v>Feed for chickens</v>
      </c>
      <c r="E136" s="25">
        <f>X_Cell_FarmInputs_FeedRations_Chickens</f>
        <v>100</v>
      </c>
      <c r="F136" s="25" cm="1">
        <f t="array" ref="F136">Common_InputFunctions.Utility_LookupValueInTableNumber(D136,Table_SourceData_Scope3_MixedRations[Product],Table_SourceData_Scope3_MixedRations[AusLCI Emissions intensity])</f>
        <v>0.59399999999999997</v>
      </c>
      <c r="G136" s="277" cm="1">
        <f t="array" ref="G136">Scope3_Equations.VEERG_15_2_1_1__1_EmissionsFromPurchasedFeed(E136,F136)</f>
        <v>59.4</v>
      </c>
      <c r="H136" s="85">
        <v>0.5</v>
      </c>
      <c r="I136" s="277" cm="1">
        <f t="array" ref="I136">Scope3_Equations.VEERG_15_2_1_1__1_EmissionsFromPurchasedFeed(E136,IF(H136,H136, F136))</f>
        <v>50</v>
      </c>
      <c r="J136" s="43"/>
      <c r="K136" s="23"/>
      <c r="L136" s="260"/>
    </row>
    <row r="137" spans="1:12" ht="20.100000000000001" customHeight="1" x14ac:dyDescent="0.25">
      <c r="A137"/>
      <c r="D137" s="25" t="str">
        <f>'Input - Farm Inputs'!D57</f>
        <v>Feed for dairy calves</v>
      </c>
      <c r="E137" s="25">
        <f>X_Cell_FarmInputs_FeedRations_DairyCalves</f>
        <v>100</v>
      </c>
      <c r="F137" s="25" cm="1">
        <f t="array" ref="F137">Common_InputFunctions.Utility_LookupValueInTableNumber(D137,Table_SourceData_Scope3_MixedRations[Product],Table_SourceData_Scope3_MixedRations[AusLCI Emissions intensity])</f>
        <v>0.41899999999999998</v>
      </c>
      <c r="G137" s="277" cm="1">
        <f t="array" ref="G137">Scope3_Equations.VEERG_15_2_1_1__1_EmissionsFromPurchasedFeed(E137,F137)</f>
        <v>41.9</v>
      </c>
      <c r="H137" s="85">
        <v>0.4</v>
      </c>
      <c r="I137" s="277" cm="1">
        <f t="array" ref="I137">Scope3_Equations.VEERG_15_2_1_1__1_EmissionsFromPurchasedFeed(E137,IF(H137,H137, F137))</f>
        <v>40</v>
      </c>
      <c r="J137" s="43"/>
      <c r="K137" s="23"/>
      <c r="L137" s="43"/>
    </row>
    <row r="138" spans="1:12" ht="20.100000000000001" customHeight="1" x14ac:dyDescent="0.25">
      <c r="A138"/>
      <c r="D138" s="25" t="str">
        <f>'Input - Farm Inputs'!D58</f>
        <v>Feed for dairy cows</v>
      </c>
      <c r="E138" s="25">
        <f>X_Cell_FarmInputs_FeedRations_DairyCows</f>
        <v>100</v>
      </c>
      <c r="F138" s="25" cm="1">
        <f t="array" ref="F138">Common_InputFunctions.Utility_LookupValueInTableNumber(D138,Table_SourceData_Scope3_MixedRations[Product],Table_SourceData_Scope3_MixedRations[AusLCI Emissions intensity])</f>
        <v>0.33300000000000002</v>
      </c>
      <c r="G138" s="277" cm="1">
        <f t="array" ref="G138">Scope3_Equations.VEERG_15_2_1_1__1_EmissionsFromPurchasedFeed(E138,F138)</f>
        <v>33.300000000000004</v>
      </c>
      <c r="H138" s="85">
        <v>0</v>
      </c>
      <c r="I138" s="277" cm="1">
        <f t="array" ref="I138">Scope3_Equations.VEERG_15_2_1_1__1_EmissionsFromPurchasedFeed(E138,IF(H138,H138, F138))</f>
        <v>33.300000000000004</v>
      </c>
      <c r="J138" s="43"/>
      <c r="K138" s="23"/>
      <c r="L138" s="43"/>
    </row>
    <row r="139" spans="1:12" ht="20.100000000000001" customHeight="1" x14ac:dyDescent="0.25">
      <c r="A139"/>
      <c r="D139" s="25" t="str">
        <f>'Input - Farm Inputs'!D59</f>
        <v>Feed for pigs</v>
      </c>
      <c r="E139" s="25">
        <f>X_Cell_FarmInputs_FeedRations_Pigs</f>
        <v>100</v>
      </c>
      <c r="F139" s="25" cm="1">
        <f t="array" ref="F139">Common_InputFunctions.Utility_LookupValueInTableNumber(D139,Table_SourceData_Scope3_MixedRations[Product],Table_SourceData_Scope3_MixedRations[AusLCI Emissions intensity])</f>
        <v>0.40300000000000002</v>
      </c>
      <c r="G139" s="277" cm="1">
        <f t="array" ref="G139">Scope3_Equations.VEERG_15_2_1_1__1_EmissionsFromPurchasedFeed(E139,F139)</f>
        <v>40.300000000000004</v>
      </c>
      <c r="H139" s="85">
        <v>0</v>
      </c>
      <c r="I139" s="277" cm="1">
        <f t="array" ref="I139">Scope3_Equations.VEERG_15_2_1_1__1_EmissionsFromPurchasedFeed(E139,IF(H139,H139, F139))</f>
        <v>40.300000000000004</v>
      </c>
      <c r="J139" s="43"/>
      <c r="K139" s="23"/>
      <c r="L139" s="43"/>
    </row>
    <row r="140" spans="1:12" ht="20.100000000000001" customHeight="1" x14ac:dyDescent="0.25">
      <c r="A140"/>
    </row>
    <row r="141" spans="1:12" ht="20.100000000000001" customHeight="1" x14ac:dyDescent="0.25">
      <c r="A141"/>
      <c r="D141" s="142" t="s">
        <v>1145</v>
      </c>
      <c r="E141" s="101">
        <f>SUM(G136:G139)</f>
        <v>174.9</v>
      </c>
      <c r="F141" s="140" t="str">
        <f>$E$104</f>
        <v>t CO2e</v>
      </c>
    </row>
    <row r="142" spans="1:12" ht="20.100000000000001" customHeight="1" x14ac:dyDescent="0.25">
      <c r="A142"/>
      <c r="D142" s="142" t="s">
        <v>1148</v>
      </c>
      <c r="E142" s="101">
        <f>SUM(I136:I139)</f>
        <v>163.60000000000002</v>
      </c>
      <c r="F142" s="140" t="str">
        <f>$E$104</f>
        <v>t CO2e</v>
      </c>
    </row>
    <row r="143" spans="1:12" ht="20.100000000000001" customHeight="1" x14ac:dyDescent="0.25">
      <c r="A143"/>
    </row>
    <row r="144" spans="1:12" ht="20.100000000000001" customHeight="1" x14ac:dyDescent="0.25">
      <c r="A144"/>
      <c r="D144" s="135" t="s">
        <v>1145</v>
      </c>
      <c r="E144" s="136">
        <f>E130+E141</f>
        <v>646.34159999999997</v>
      </c>
      <c r="F144" s="137" t="str">
        <f>$E$104</f>
        <v>t CO2e</v>
      </c>
    </row>
    <row r="145" spans="1:41" ht="20.100000000000001" customHeight="1" x14ac:dyDescent="0.25">
      <c r="A145"/>
      <c r="D145" s="135" t="s">
        <v>1148</v>
      </c>
      <c r="E145" s="136">
        <f>E131+E142</f>
        <v>529.78</v>
      </c>
      <c r="F145" s="137" t="str">
        <f>$E$104</f>
        <v>t CO2e</v>
      </c>
    </row>
    <row r="146" spans="1:41" ht="20.100000000000001" customHeight="1" x14ac:dyDescent="0.25">
      <c r="A146"/>
    </row>
    <row r="147" spans="1:41" ht="20.100000000000001" customHeight="1" x14ac:dyDescent="0.25">
      <c r="A147"/>
    </row>
    <row r="148" spans="1:41" ht="20.100000000000001" customHeight="1" x14ac:dyDescent="0.25">
      <c r="A148"/>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row>
    <row r="149" spans="1:41" ht="20.100000000000001" customHeight="1" x14ac:dyDescent="0.25">
      <c r="A149"/>
      <c r="D149" s="2" t="str" cm="1">
        <f t="array" ref="D149">Scope3_Equations.VEERG_15_3_1_1__1_EmissionsFromPurchasedMineralSupplements_Title()</f>
        <v>Total emissions from purchased mineral supplements</v>
      </c>
    </row>
    <row r="150" spans="1:41" ht="20.100000000000001" customHeight="1" x14ac:dyDescent="0.25">
      <c r="A150"/>
      <c r="D150" s="27" t="str" cm="1">
        <f t="array" ref="D150">Scope3_Equations.VEERG_15_3_1_1__1_EmissionsFromPurchasedMineralSupplements_Source()</f>
        <v>VEERG 2026: 15.3.1.1, Equation (1)</v>
      </c>
    </row>
    <row r="151" spans="1:41" ht="20.100000000000001" customHeight="1" x14ac:dyDescent="0.25">
      <c r="A151"/>
      <c r="D151" s="118" t="s">
        <v>262</v>
      </c>
      <c r="E151" s="118" t="str" cm="1">
        <f t="array" aca="1" ref="E151" ca="1">Common_InputFunctions.Utility_DisplayFunctionName(G162)</f>
        <v>=Scope3_Equations.VEERG_15_3_1_1__1_EmissionsFromPurchasedMineralSupplements</v>
      </c>
    </row>
    <row r="152" spans="1:41" ht="20.100000000000001" customHeight="1" x14ac:dyDescent="0.25">
      <c r="A152"/>
    </row>
    <row r="153" spans="1:41" ht="20.100000000000001" customHeight="1" x14ac:dyDescent="0.25">
      <c r="A153"/>
      <c r="H153" s="118"/>
    </row>
    <row r="154" spans="1:41" ht="20.100000000000001" customHeight="1" x14ac:dyDescent="0.25">
      <c r="A154"/>
      <c r="D154" s="87" t="s">
        <v>263</v>
      </c>
      <c r="E154" s="1" t="str" cm="1">
        <f t="array" ref="E154">Scope3_Equations.VEERG_15_3_1_1__1_EmissionsFromPurchasedMineralSupplements_Variable()</f>
        <v>E</v>
      </c>
    </row>
    <row r="155" spans="1:41" ht="20.100000000000001" customHeight="1" x14ac:dyDescent="0.25">
      <c r="A155"/>
      <c r="D155" s="87" t="s">
        <v>122</v>
      </c>
      <c r="E155" s="15" t="str" cm="1">
        <f t="array" ref="E155">Scope3_Equations.VEERG_15_3_1_1__1_EmissionsFromPurchasedMineralSupplements_Unit()</f>
        <v>t CO2e</v>
      </c>
    </row>
    <row r="156" spans="1:41" ht="20.100000000000001" customHeight="1" x14ac:dyDescent="0.25">
      <c r="A156"/>
    </row>
    <row r="157" spans="1:41" ht="20.100000000000001" customHeight="1" x14ac:dyDescent="0.25">
      <c r="A157"/>
      <c r="D157" s="120" t="str" cm="1">
        <f t="array" ref="D157:E159">_xlfn.CHOOSECOLS(Scope3_Equations.VEERG_15_3_1_1__1_EmissionsFromPurchasedMineralSupplements_Arguments(),1,2)</f>
        <v>Q_m</v>
      </c>
      <c r="E157" s="125" t="str">
        <v>total quantity of mineral supplement type m used</v>
      </c>
      <c r="F157" s="126"/>
      <c r="G157" s="120" t="str" cm="1">
        <f t="array" ref="G157:H159">_xlfn.CHOOSECOLS(Scope3_Equations.VEERG_15_3_1_1__1_EmissionsFromPurchasedMineralSupplements_Arguments(),3,4)</f>
        <v>t</v>
      </c>
      <c r="H157" s="275" t="str">
        <v>Input</v>
      </c>
    </row>
    <row r="158" spans="1:41" ht="20.100000000000001" customHeight="1" x14ac:dyDescent="0.25">
      <c r="A158"/>
      <c r="D158" s="120" t="str">
        <v>EF_m</v>
      </c>
      <c r="E158" s="125" t="str">
        <v>emission factor of purchased mineral supplement</v>
      </c>
      <c r="F158" s="126"/>
      <c r="G158" s="120" t="str">
        <v>kg CO2e/kg</v>
      </c>
      <c r="H158" s="275" t="str">
        <v>Constant</v>
      </c>
    </row>
    <row r="159" spans="1:41" ht="20.100000000000001" customHeight="1" x14ac:dyDescent="0.25">
      <c r="A159"/>
      <c r="D159" s="120" t="str">
        <v>m</v>
      </c>
      <c r="E159" s="125" t="str">
        <v>mineral supplement type</v>
      </c>
      <c r="F159" s="126"/>
      <c r="G159" s="120" t="str">
        <v/>
      </c>
      <c r="H159" s="128" t="str">
        <v>Input</v>
      </c>
    </row>
    <row r="160" spans="1:41" ht="20.100000000000001" customHeight="1" x14ac:dyDescent="0.25">
      <c r="A160"/>
    </row>
    <row r="161" spans="3:41" ht="20.100000000000001" customHeight="1" x14ac:dyDescent="0.25">
      <c r="D161" s="94" t="s">
        <v>138</v>
      </c>
      <c r="E161" s="94" t="s">
        <v>1183</v>
      </c>
      <c r="F161" s="124" t="s">
        <v>1184</v>
      </c>
      <c r="G161" s="124" t="s">
        <v>1145</v>
      </c>
      <c r="H161" s="94" t="s">
        <v>1185</v>
      </c>
      <c r="I161" s="124" t="s">
        <v>1148</v>
      </c>
      <c r="J161" s="94" t="s">
        <v>1149</v>
      </c>
      <c r="K161" s="94" t="s">
        <v>1150</v>
      </c>
      <c r="L161" s="94" t="s">
        <v>1151</v>
      </c>
    </row>
    <row r="162" spans="3:41" ht="20.100000000000001" customHeight="1" x14ac:dyDescent="0.25">
      <c r="D162" s="25" t="str">
        <f>'Input - Farm Inputs'!D51</f>
        <v>Lick block, dry season mix</v>
      </c>
      <c r="E162" s="25">
        <f>X_Cell_FarmInputs_LickBlocks_DrySeasonMix</f>
        <v>100</v>
      </c>
      <c r="F162" s="25" cm="1">
        <f t="array" ref="F162">Common_InputFunctions.Utility_LookupValueInTableNumber(D162,Table_SourceData_Scope3_LickBlocks[Product],Table_SourceData_Scope3_LickBlocks[AusLCI Emissions intensity])</f>
        <v>0.88100000000000001</v>
      </c>
      <c r="G162" s="277" cm="1">
        <f t="array" ref="G162">Scope3_Equations.VEERG_15_3_1_1__1_EmissionsFromPurchasedMineralSupplements(E162,F162)</f>
        <v>88.1</v>
      </c>
      <c r="H162" s="85">
        <v>0.8</v>
      </c>
      <c r="I162" s="277" cm="1">
        <f t="array" ref="I162">Scope3_Equations.VEERG_15_3_1_1__1_EmissionsFromPurchasedMineralSupplements(E162,IF(H162, H162, F162))</f>
        <v>80</v>
      </c>
      <c r="J162" s="43"/>
      <c r="K162" s="23"/>
      <c r="L162" s="260"/>
    </row>
    <row r="163" spans="3:41" ht="20.100000000000001" customHeight="1" x14ac:dyDescent="0.25">
      <c r="D163" s="25" t="str">
        <f>'Input - Farm Inputs'!D52</f>
        <v>Lick block, mineral</v>
      </c>
      <c r="E163" s="25">
        <f>X_Cell_FarmInputs_LickBlocks_Mineral</f>
        <v>100</v>
      </c>
      <c r="F163" s="25" cm="1">
        <f t="array" ref="F163">Common_InputFunctions.Utility_LookupValueInTableNumber(D163,Table_SourceData_Scope3_LickBlocks[Product],Table_SourceData_Scope3_LickBlocks[AusLCI Emissions intensity])</f>
        <v>0.67700000000000005</v>
      </c>
      <c r="G163" s="277" cm="1">
        <f t="array" ref="G163">Scope3_Equations.VEERG_15_3_1_1__1_EmissionsFromPurchasedMineralSupplements(E163,F163)</f>
        <v>67.7</v>
      </c>
      <c r="H163" s="85">
        <v>0.6</v>
      </c>
      <c r="I163" s="277" cm="1">
        <f t="array" ref="I163">Scope3_Equations.VEERG_15_3_1_1__1_EmissionsFromPurchasedMineralSupplements(E163,IF(H163, H163, F163))</f>
        <v>60</v>
      </c>
      <c r="J163" s="43"/>
      <c r="K163" s="23"/>
      <c r="L163" s="43"/>
    </row>
    <row r="164" spans="3:41" ht="20.100000000000001" customHeight="1" x14ac:dyDescent="0.25">
      <c r="D164" s="25" t="str">
        <f>'Input - Farm Inputs'!D53</f>
        <v>Lick block, weaner</v>
      </c>
      <c r="E164" s="25">
        <f>X_Cell_FarmInputs_LickBlocks_Weaner</f>
        <v>100</v>
      </c>
      <c r="F164" s="25" cm="1">
        <f t="array" ref="F164">Common_InputFunctions.Utility_LookupValueInTableNumber(D164,Table_SourceData_Scope3_LickBlocks[Product],Table_SourceData_Scope3_LickBlocks[AusLCI Emissions intensity])</f>
        <v>0.23100000000000001</v>
      </c>
      <c r="G164" s="277" cm="1">
        <f t="array" ref="G164">Scope3_Equations.VEERG_15_3_1_1__1_EmissionsFromPurchasedMineralSupplements(E164,F164)</f>
        <v>23.1</v>
      </c>
      <c r="H164" s="85">
        <v>0.2</v>
      </c>
      <c r="I164" s="277" cm="1">
        <f t="array" ref="I164">Scope3_Equations.VEERG_15_3_1_1__1_EmissionsFromPurchasedMineralSupplements(E164,IF(H164, H164, F164))</f>
        <v>20</v>
      </c>
      <c r="J164" s="43"/>
      <c r="K164" s="23"/>
      <c r="L164" s="43"/>
    </row>
    <row r="165" spans="3:41" ht="20.100000000000001" customHeight="1" x14ac:dyDescent="0.25"/>
    <row r="166" spans="3:41" ht="20.100000000000001" customHeight="1" x14ac:dyDescent="0.25">
      <c r="D166" s="135" t="s">
        <v>1145</v>
      </c>
      <c r="E166" s="136">
        <f>SUM(G162:G164)</f>
        <v>178.9</v>
      </c>
      <c r="F166" s="137" t="str">
        <f>$E$155</f>
        <v>t CO2e</v>
      </c>
    </row>
    <row r="167" spans="3:41" ht="20.100000000000001" customHeight="1" x14ac:dyDescent="0.25">
      <c r="D167" s="135" t="s">
        <v>1148</v>
      </c>
      <c r="E167" s="136">
        <f>SUM(I162:I164)</f>
        <v>160</v>
      </c>
      <c r="F167" s="137" t="str">
        <f>$E$155</f>
        <v>t CO2e</v>
      </c>
    </row>
    <row r="168" spans="3:41" ht="20.100000000000001" customHeight="1" x14ac:dyDescent="0.25"/>
    <row r="169" spans="3:41" ht="20.100000000000001" customHeight="1" x14ac:dyDescent="0.25"/>
    <row r="170" spans="3:41" ht="20.100000000000001" customHeight="1" x14ac:dyDescent="0.25">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row>
    <row r="171" spans="3:41" ht="20.100000000000001" customHeight="1" x14ac:dyDescent="0.25">
      <c r="D171" s="2" t="str" cm="1">
        <f t="array" ref="D171">Scope3_Equations.VEERG_15_4_1_1__X_EmissionFactorFromPurchasedFertiliserComponents_Title()</f>
        <v>Emission factor for fertiliser product derived from components</v>
      </c>
    </row>
    <row r="172" spans="3:41" ht="20.100000000000001" customHeight="1" x14ac:dyDescent="0.25">
      <c r="D172" s="27" t="str" cm="1">
        <f t="array" ref="D172">Scope3_Equations.VEERG_15_4_1_1__X_EmissionFactorFromPurchasedFertiliserComponents_Source()</f>
        <v>GAF</v>
      </c>
    </row>
    <row r="173" spans="3:41" ht="20.100000000000001" customHeight="1" x14ac:dyDescent="0.25">
      <c r="D173" s="35"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18" t="s">
        <v>262</v>
      </c>
      <c r="E174" s="118"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87" t="s">
        <v>263</v>
      </c>
      <c r="E177" s="1" t="str" cm="1">
        <f t="array" ref="E177">Scope3_Equations.VEERG_15_4_1_1__X_EmissionFactorFromPurchasedFertiliserComponents_Variable()</f>
        <v>EF_f</v>
      </c>
    </row>
    <row r="178" spans="4:8" ht="20.100000000000001" customHeight="1" x14ac:dyDescent="0.25">
      <c r="D178" s="87" t="s">
        <v>122</v>
      </c>
      <c r="E178" s="15"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20" t="str" cm="1">
        <f t="array" ref="D180:E183">_xlfn.CHOOSECOLS(Scope3_Equations.VEERG_15_4_1_1__X_EmissionFactorFromPurchasedFertiliserComponents_Arguments(),1,2)</f>
        <v>F_cf</v>
      </c>
      <c r="E180" s="125" t="str">
        <v>fraction of component c contained within the inorganic fertiliser f</v>
      </c>
      <c r="F180" s="126"/>
      <c r="G180" s="120" t="str" cm="1">
        <f t="array" ref="G180:H183">_xlfn.CHOOSECOLS(Scope3_Equations.VEERG_15_4_1_1__X_EmissionFactorFromPurchasedFertiliserComponents_Arguments(),3,4)</f>
        <v>wt%</v>
      </c>
      <c r="H180" s="275" t="str">
        <v>Input</v>
      </c>
    </row>
    <row r="181" spans="4:8" ht="20.100000000000001" customHeight="1" x14ac:dyDescent="0.25">
      <c r="D181" s="120" t="str">
        <v>EF_c</v>
      </c>
      <c r="E181" s="125" t="str">
        <v>emission factor for the production of component c</v>
      </c>
      <c r="F181" s="126"/>
      <c r="G181" s="120" t="str">
        <v>kg CO2e/kg component</v>
      </c>
      <c r="H181" s="128" t="str">
        <v>Constant</v>
      </c>
    </row>
    <row r="182" spans="4:8" ht="20.100000000000001" customHeight="1" x14ac:dyDescent="0.25">
      <c r="D182" s="120" t="str">
        <v>c</v>
      </c>
      <c r="E182" s="125" t="str">
        <v>fertiliser component</v>
      </c>
      <c r="F182" s="126"/>
      <c r="G182" s="120" t="str">
        <v/>
      </c>
      <c r="H182" s="275" t="str">
        <v>Input</v>
      </c>
    </row>
    <row r="183" spans="4:8" ht="20.100000000000001" customHeight="1" x14ac:dyDescent="0.25">
      <c r="D183" s="120" t="str">
        <v>f</v>
      </c>
      <c r="E183" s="125" t="str">
        <v>inorganic fertiliser type</v>
      </c>
      <c r="F183" s="126"/>
      <c r="G183" s="120" t="str">
        <v/>
      </c>
      <c r="H183" s="275" t="str">
        <v>Input</v>
      </c>
    </row>
    <row r="184" spans="4:8" ht="20.100000000000001" customHeight="1" x14ac:dyDescent="0.25"/>
    <row r="185" spans="4:8" ht="20.100000000000001" customHeight="1" x14ac:dyDescent="0.25"/>
    <row r="186" spans="4:8" ht="20.100000000000001" customHeight="1" x14ac:dyDescent="0.25">
      <c r="D186" s="2" t="str" cm="1">
        <f t="array" ref="D186">Scope3_Equations.VEERG_15_4_1_1__1_EmissionsFromPurchasedFertiliser_Title()</f>
        <v>Emissions from purchased fertiliser</v>
      </c>
    </row>
    <row r="187" spans="4:8" ht="20.100000000000001" customHeight="1" x14ac:dyDescent="0.25">
      <c r="D187" s="27" t="str" cm="1">
        <f t="array" ref="D187">Scope3_Equations.VEERG_15_4_1_1__1_EmissionsFromPurchasedFertiliser_Source()</f>
        <v>VEERG 2026: 15.4.1.1, Equation (1)</v>
      </c>
    </row>
    <row r="188" spans="4:8" ht="20.100000000000001" customHeight="1" x14ac:dyDescent="0.25">
      <c r="D188" s="118" t="s">
        <v>262</v>
      </c>
      <c r="E188" s="118"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87" t="s">
        <v>263</v>
      </c>
      <c r="E191" s="1" t="str" cm="1">
        <f t="array" ref="E191">Scope3_Equations.VEERG_15_4_1_1__1_EmissionsFromPurchasedFertiliser_Variable()</f>
        <v>E</v>
      </c>
    </row>
    <row r="192" spans="4:8" ht="20.100000000000001" customHeight="1" x14ac:dyDescent="0.25">
      <c r="D192" s="87" t="s">
        <v>122</v>
      </c>
      <c r="E192" s="15" t="str" cm="1">
        <f t="array" ref="E192">Scope3_Equations.VEERG_15_4_1_1__1_EmissionsFromPurchasedFertiliser_Unit()</f>
        <v>t CO2e</v>
      </c>
    </row>
    <row r="193" spans="4:8" ht="20.100000000000001" customHeight="1" x14ac:dyDescent="0.25"/>
    <row r="194" spans="4:8" ht="20.100000000000001" customHeight="1" x14ac:dyDescent="0.25">
      <c r="D194" s="120" t="str" cm="1">
        <f t="array" ref="D194:E197">_xlfn.CHOOSECOLS(Scope3_Equations.VEERG_15_4_1_1__1_EmissionsFromPurchasedFertiliser_Arguments(),1,2)</f>
        <v>TM_jf</v>
      </c>
      <c r="E194" s="120" t="str">
        <v>quantity of inorganic fertiliser type f purchased and applied to production system j</v>
      </c>
      <c r="F194" s="120"/>
      <c r="G194" s="120" t="str" cm="1">
        <f t="array" ref="G194:H197">_xlfn.CHOOSECOLS(Scope3_Equations.VEERG_15_4_1_1__1_EmissionsFromPurchasedFertiliser_Arguments(),3,4)</f>
        <v>kg</v>
      </c>
      <c r="H194" s="275" t="str">
        <v>Input</v>
      </c>
    </row>
    <row r="195" spans="4:8" ht="20.100000000000001" customHeight="1" x14ac:dyDescent="0.25">
      <c r="D195" s="120" t="str">
        <v>EF_f</v>
      </c>
      <c r="E195" s="120" t="str">
        <v>emission factor of purchased inorganic fertiliser</v>
      </c>
      <c r="F195" s="120"/>
      <c r="G195" s="120" t="str">
        <v>kg CO2e/kg</v>
      </c>
      <c r="H195" s="128" t="str">
        <v>Constant</v>
      </c>
    </row>
    <row r="196" spans="4:8" ht="20.100000000000001" customHeight="1" x14ac:dyDescent="0.25">
      <c r="D196" s="120" t="str">
        <v>j</v>
      </c>
      <c r="E196" s="120" t="str">
        <v>production system</v>
      </c>
      <c r="F196" s="120"/>
      <c r="G196" s="120" t="str">
        <v/>
      </c>
      <c r="H196" s="275" t="str">
        <v>Input</v>
      </c>
    </row>
    <row r="197" spans="4:8" ht="20.100000000000001" customHeight="1" x14ac:dyDescent="0.25">
      <c r="D197" s="120" t="str">
        <v>f</v>
      </c>
      <c r="E197" s="120" t="str">
        <v>inorganic fertiliser type</v>
      </c>
      <c r="F197" s="120"/>
      <c r="G197" s="120" t="str">
        <v/>
      </c>
      <c r="H197" s="275" t="str">
        <v>Input</v>
      </c>
    </row>
    <row r="198" spans="4:8" ht="20.100000000000001" customHeight="1" x14ac:dyDescent="0.25"/>
    <row r="199" spans="4:8" ht="20.100000000000001" customHeight="1" x14ac:dyDescent="0.25"/>
    <row r="200" spans="4:8" ht="20.100000000000001" customHeight="1" x14ac:dyDescent="0.25">
      <c r="D200" s="2" t="str" cm="1">
        <f t="array" ref="D200">Scope3_Equations.VEERG_15_4_1_1__2_EmissionsFromPurchasedFertiliserComponents_Title()</f>
        <v>Emissions from purchased fertiliser components</v>
      </c>
    </row>
    <row r="201" spans="4:8" ht="20.100000000000001" customHeight="1" x14ac:dyDescent="0.25">
      <c r="D201" s="27" t="str" cm="1">
        <f t="array" ref="D201">Scope3_Equations.VEERG_15_4_1_1__2_EmissionsFromPurchasedFertiliserComponents_Source()</f>
        <v>VEERG 2026: 15.4.1.1, Equation (2)</v>
      </c>
    </row>
    <row r="202" spans="4:8" ht="20.100000000000001" customHeight="1" x14ac:dyDescent="0.25">
      <c r="D202" s="35"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18" t="s">
        <v>262</v>
      </c>
      <c r="E203" s="118"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87" t="s">
        <v>263</v>
      </c>
      <c r="E206" s="1" t="str" cm="1">
        <f t="array" ref="E206">Scope3_Equations.VEERG_15_4_1_1__2_EmissionsFromPurchasedFertiliserComponents_Variable()</f>
        <v>E</v>
      </c>
    </row>
    <row r="207" spans="4:8" ht="20.100000000000001" customHeight="1" x14ac:dyDescent="0.25">
      <c r="D207" s="87" t="s">
        <v>122</v>
      </c>
      <c r="E207" s="15" t="str" cm="1">
        <f t="array" ref="E207">Scope3_Equations.VEERG_15_4_1_1__2_EmissionsFromPurchasedFertiliserComponents_Unit()</f>
        <v>t CO2e</v>
      </c>
    </row>
    <row r="208" spans="4:8" ht="20.100000000000001" customHeight="1" x14ac:dyDescent="0.25"/>
    <row r="209" spans="4:40" ht="20.100000000000001" customHeight="1" x14ac:dyDescent="0.25">
      <c r="D209" s="120" t="str" cm="1">
        <f t="array" ref="D209:E214">_xlfn.CHOOSECOLS(Scope3_Equations.VEERG_15_4_1_1__2_EmissionsFromPurchasedFertiliserComponents_Arguments(),1,2)</f>
        <v>F_cf</v>
      </c>
      <c r="E209" s="125" t="str">
        <v>fraction of component c contained within the inorganic fertiliser f</v>
      </c>
      <c r="F209" s="126"/>
      <c r="G209" s="120" t="str" cm="1">
        <f t="array" ref="G209:H214">_xlfn.CHOOSECOLS(Scope3_Equations.VEERG_15_4_1_1__2_EmissionsFromPurchasedFertiliserComponents_Arguments(),3,4)</f>
        <v>wt%</v>
      </c>
      <c r="H209" s="275" t="str">
        <v>Input</v>
      </c>
    </row>
    <row r="210" spans="4:40" ht="20.100000000000001" customHeight="1" x14ac:dyDescent="0.25">
      <c r="D210" s="120" t="str">
        <v>TM_jf</v>
      </c>
      <c r="E210" s="125" t="str">
        <v>quantity of inorganic fertiliser type f purchased and applied to production system j</v>
      </c>
      <c r="F210" s="126"/>
      <c r="G210" s="120" t="str">
        <v>kg</v>
      </c>
      <c r="H210" s="128" t="str">
        <v>Input</v>
      </c>
    </row>
    <row r="211" spans="4:40" ht="20.100000000000001" customHeight="1" x14ac:dyDescent="0.25">
      <c r="D211" s="120" t="str">
        <v>EF_c</v>
      </c>
      <c r="E211" s="125" t="str">
        <v>emission factor for the production of component c</v>
      </c>
      <c r="F211" s="126"/>
      <c r="G211" s="120" t="str">
        <v>kg CO2e/kg component</v>
      </c>
      <c r="H211" s="128" t="str">
        <v>Constant</v>
      </c>
    </row>
    <row r="212" spans="4:40" ht="20.100000000000001" customHeight="1" x14ac:dyDescent="0.25">
      <c r="D212" s="120" t="str">
        <v>c</v>
      </c>
      <c r="E212" s="125" t="str">
        <v>fertiliser component</v>
      </c>
      <c r="F212" s="126"/>
      <c r="G212" s="120" t="str">
        <v/>
      </c>
      <c r="H212" s="275" t="str">
        <v>Input</v>
      </c>
    </row>
    <row r="213" spans="4:40" ht="20.100000000000001" customHeight="1" x14ac:dyDescent="0.25">
      <c r="D213" s="120" t="str">
        <v>f</v>
      </c>
      <c r="E213" s="125" t="str">
        <v>inorganic fertiliser type</v>
      </c>
      <c r="F213" s="126"/>
      <c r="G213" s="120" t="str">
        <v/>
      </c>
      <c r="H213" s="275" t="str">
        <v>Input</v>
      </c>
    </row>
    <row r="214" spans="4:40" ht="20.100000000000001" customHeight="1" x14ac:dyDescent="0.25">
      <c r="D214" s="120" t="str">
        <v>j</v>
      </c>
      <c r="E214" s="125" t="str">
        <v>production system</v>
      </c>
      <c r="F214" s="126"/>
      <c r="G214" s="120" t="str">
        <v/>
      </c>
      <c r="H214" s="275" t="str">
        <v>Input</v>
      </c>
    </row>
    <row r="215" spans="4:40" ht="20.100000000000001" customHeight="1" x14ac:dyDescent="0.25"/>
    <row r="216" spans="4:40" ht="20.100000000000001" customHeight="1" x14ac:dyDescent="0.25">
      <c r="D216" s="261" t="s">
        <v>1186</v>
      </c>
    </row>
    <row r="217" spans="4:40" ht="20.100000000000001" customHeight="1" x14ac:dyDescent="0.25"/>
    <row r="218" spans="4:40" ht="20.100000000000001" customHeight="1" x14ac:dyDescent="0.25">
      <c r="D218" s="45" t="s">
        <v>1187</v>
      </c>
      <c r="E218" s="47"/>
      <c r="F218" s="48"/>
    </row>
    <row r="219" spans="4:40" ht="20.100000000000001" customHeight="1" x14ac:dyDescent="0.25"/>
    <row r="220" spans="4:40" ht="20.100000000000001" customHeight="1" x14ac:dyDescent="0.25">
      <c r="D220" s="94" t="s">
        <v>138</v>
      </c>
      <c r="E220" s="94" t="s">
        <v>1188</v>
      </c>
      <c r="F220" s="124" t="s">
        <v>1189</v>
      </c>
      <c r="G220" s="124" t="s">
        <v>1190</v>
      </c>
      <c r="H220" s="124" t="s">
        <v>1191</v>
      </c>
      <c r="I220" s="94" t="s">
        <v>1192</v>
      </c>
      <c r="J220" s="124" t="s">
        <v>1193</v>
      </c>
      <c r="K220" s="124" t="s">
        <v>1194</v>
      </c>
      <c r="L220" s="94" t="s">
        <v>1149</v>
      </c>
      <c r="M220" s="94" t="s">
        <v>1150</v>
      </c>
      <c r="N220" s="94" t="s">
        <v>1151</v>
      </c>
      <c r="O220" s="124" t="s">
        <v>573</v>
      </c>
      <c r="P220" s="124" t="s">
        <v>574</v>
      </c>
      <c r="Q220" s="124" t="s">
        <v>560</v>
      </c>
      <c r="R220" s="124" t="s">
        <v>561</v>
      </c>
      <c r="S220" s="124" t="s">
        <v>1195</v>
      </c>
      <c r="T220" s="94" t="s">
        <v>1196</v>
      </c>
      <c r="U220" s="124" t="s">
        <v>562</v>
      </c>
      <c r="V220" s="124" t="s">
        <v>563</v>
      </c>
      <c r="W220" s="124" t="s">
        <v>1197</v>
      </c>
      <c r="X220" s="94" t="s">
        <v>1198</v>
      </c>
      <c r="Y220" s="124" t="s">
        <v>564</v>
      </c>
      <c r="Z220" s="124" t="s">
        <v>565</v>
      </c>
      <c r="AA220" s="124" t="s">
        <v>1199</v>
      </c>
      <c r="AB220" s="94" t="s">
        <v>1200</v>
      </c>
      <c r="AC220" s="124" t="s">
        <v>566</v>
      </c>
      <c r="AD220" s="124" t="s">
        <v>567</v>
      </c>
      <c r="AE220" s="124" t="s">
        <v>1201</v>
      </c>
      <c r="AF220" s="94" t="s">
        <v>1202</v>
      </c>
      <c r="AG220" s="124" t="s">
        <v>568</v>
      </c>
      <c r="AH220" s="124" t="s">
        <v>569</v>
      </c>
      <c r="AI220" s="124" t="s">
        <v>1203</v>
      </c>
      <c r="AJ220" s="94" t="s">
        <v>1204</v>
      </c>
      <c r="AK220" s="124" t="s">
        <v>570</v>
      </c>
      <c r="AL220" s="124" t="s">
        <v>571</v>
      </c>
      <c r="AM220" s="124" t="s">
        <v>1205</v>
      </c>
      <c r="AN220" s="94" t="s">
        <v>1206</v>
      </c>
    </row>
    <row r="221" spans="4:40" ht="20.100000000000001" customHeight="1" x14ac:dyDescent="0.25">
      <c r="D221" s="25" t="str" cm="1">
        <f t="array" ref="D221:D230">IFERROR(INDEX(Table_Input_InorganicFertiliser_Brands[Product (select)], _xlfn.SEQUENCE(10)), "")</f>
        <v>Aqua Finish</v>
      </c>
      <c r="E221" s="25" cm="1">
        <f t="array" ref="E221:E230">IFERROR(INDEX(Table_Input_InorganicFertiliser_Brands[Total applied (kg)], _xlfn.SEQUENCE(10)), 0)</f>
        <v>126000</v>
      </c>
      <c r="F221" s="25"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0.47212500000000007</v>
      </c>
      <c r="G221" s="277" cm="1">
        <f t="array" ref="G221">Scope3_Equations.VEERG_15_4_1_1__1_EmissionsFromPurchasedFertiliser(E221,F221)</f>
        <v>59.487750000000005</v>
      </c>
      <c r="H221" s="25"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59.487749999999998</v>
      </c>
      <c r="I221" s="85">
        <v>0.4</v>
      </c>
      <c r="J221" s="277" cm="1">
        <f t="array" ref="J221">Scope3_Equations.VEERG_15_4_1_1__1_EmissionsFromPurchasedFertiliser(E221,I221)</f>
        <v>50.4</v>
      </c>
      <c r="K221" s="277"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43.155000000000001</v>
      </c>
      <c r="L221" s="43"/>
      <c r="M221" s="23"/>
      <c r="N221" s="260"/>
      <c r="O221" s="25" t="str" cm="1">
        <f t="array" ref="O221:O230">IFERROR(INDEX(Table_Input_InorganicFertiliser_Brands[Urea source], _xlfn.SEQUENCE(10)), "")</f>
        <v/>
      </c>
      <c r="P221" s="25" t="str" cm="1">
        <f t="array" ref="P221:P230">IFERROR(INDEX(Table_Input_InorganicFertiliser_Brands[Ammonia source], _xlfn.SEQUENCE(10)), "")</f>
        <v/>
      </c>
      <c r="Q221" s="25" t="str" cm="1">
        <f t="array" ref="Q221:Q230">IFERROR(INDEX(Table_Input_InorganicFertiliser_Brands[Ingredient 1], _xlfn.SEQUENCE(10)), "")</f>
        <v>Potassium - Generic</v>
      </c>
      <c r="R221" s="25" cm="1">
        <f t="array" ref="R221:R230">IFERROR(INDEX(_xlfn.LET(_xlpm.result, Table_Input_InorganicFertiliser_Brands[Ingredient 1 percent], IF(_xlpm.result="", 0, _xlpm.result)), _xlfn.SEQUENCE(10)), 0)</f>
        <v>0.22500000000000001</v>
      </c>
      <c r="S221" s="25"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T221" s="85">
        <v>0.9</v>
      </c>
      <c r="U221" s="25" t="str" cm="1">
        <f t="array" ref="U221:U230">IFERROR(INDEX(Table_Input_InorganicFertiliser_Brands[Ingredient 2], _xlfn.SEQUENCE(10)), "")</f>
        <v>Phosphorus - Generic</v>
      </c>
      <c r="V221" s="25" cm="1">
        <f t="array" ref="V221:V230">IFERROR(INDEX(_xlfn.LET(_xlpm.result, Table_Input_InorganicFertiliser_Brands[Ingredient 2 percent], IF(_xlpm.result="", 0, _xlpm.result)), _xlfn.SEQUENCE(10)), 0)</f>
        <v>0.04</v>
      </c>
      <c r="W221" s="25"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3.96</v>
      </c>
      <c r="X221" s="85">
        <v>0.9</v>
      </c>
      <c r="Y221" s="25" t="str" cm="1">
        <f t="array" ref="Y221:Y230">IFERROR(INDEX(Table_Input_InorganicFertiliser_Brands[Ingredient 3], _xlfn.SEQUENCE(10)), "")</f>
        <v>Nitrogen - Generic</v>
      </c>
      <c r="Z221" s="25" cm="1">
        <f t="array" ref="Z221:Z230">IFERROR(INDEX(_xlfn.LET(_xlpm.result, Table_Input_InorganicFertiliser_Brands[Ingredient 3 percent], IF(_xlpm.result="", 0, _xlpm.result)), _xlfn.SEQUENCE(10)), 0)</f>
        <v>2.5999999999999999E-2</v>
      </c>
      <c r="AA221" s="25"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85">
        <v>4</v>
      </c>
      <c r="AC221" s="25" t="str" cm="1">
        <f t="array" ref="AC221:AC230">IFERROR(INDEX(Table_Input_InorganicFertiliser_Brands[Ingredient 4], _xlfn.SEQUENCE(10)), "")</f>
        <v/>
      </c>
      <c r="AD221" s="25" cm="1">
        <f t="array" ref="AD221:AD230">IFERROR(INDEX(_xlfn.LET(_xlpm.result, Table_Input_InorganicFertiliser_Brands[Ingredient 4 percent], IF(_xlpm.result="", 0, _xlpm.result)), _xlfn.SEQUENCE(10)), 0)</f>
        <v>0</v>
      </c>
      <c r="AE221" s="25"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85">
        <v>0</v>
      </c>
      <c r="AG221" s="25" t="str" cm="1">
        <f t="array" ref="AG221:AG230">IFERROR(INDEX(Table_Input_InorganicFertiliser_Brands[Ingredient 5], _xlfn.SEQUENCE(10)), "")</f>
        <v/>
      </c>
      <c r="AH221" s="25" cm="1">
        <f t="array" ref="AH221:AH230">IFERROR(INDEX(_xlfn.LET(_xlpm.result, Table_Input_InorganicFertiliser_Brands[Ingredient 5 percent], IF(_xlpm.result="", 0, _xlpm.result)), _xlfn.SEQUENCE(10)), 0)</f>
        <v>0</v>
      </c>
      <c r="AI221" s="25"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85">
        <v>0</v>
      </c>
      <c r="AK221" s="25" t="str" cm="1">
        <f t="array" ref="AK221:AK230">IFERROR(INDEX(Table_Input_InorganicFertiliser_Brands[Ingredient 6], _xlfn.SEQUENCE(10)), "")</f>
        <v/>
      </c>
      <c r="AL221" s="25" cm="1">
        <f t="array" ref="AL221:AL230">IFERROR(INDEX(_xlfn.LET(_xlpm.result, Table_Input_InorganicFertiliser_Brands[Ingredient 6 percent], IF(_xlpm.result="", 0, _xlpm.result)), _xlfn.SEQUENCE(10)), 0)</f>
        <v>0</v>
      </c>
      <c r="AM221" s="25"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85"/>
    </row>
    <row r="222" spans="4:40" ht="20.100000000000001" customHeight="1" x14ac:dyDescent="0.25">
      <c r="D222" s="25" t="str">
        <v>CalPhos</v>
      </c>
      <c r="E222" s="25">
        <v>128500</v>
      </c>
      <c r="F222" s="25"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0.53460000000000008</v>
      </c>
      <c r="G222" s="277" cm="1">
        <f t="array" ref="G222">Scope3_Equations.VEERG_15_4_1_1__1_EmissionsFromPurchasedFertiliser(E222,F222)</f>
        <v>68.696100000000001</v>
      </c>
      <c r="H222" s="25"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68.696100000000001</v>
      </c>
      <c r="I222" s="85">
        <v>0.9</v>
      </c>
      <c r="J222" s="277" cm="1">
        <f t="array" ref="J222">Scope3_Equations.VEERG_15_4_1_1__1_EmissionsFromPurchasedFertiliser(E222,I222)</f>
        <v>115.65</v>
      </c>
      <c r="K222" s="277"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68.696100000000001</v>
      </c>
      <c r="L222" s="43"/>
      <c r="M222" s="23"/>
      <c r="N222" s="43"/>
      <c r="O222" s="25" t="str">
        <v/>
      </c>
      <c r="P222" s="25" t="str">
        <v/>
      </c>
      <c r="Q222" s="25" t="str">
        <v>Phosphorus - Generic</v>
      </c>
      <c r="R222" s="25">
        <v>0.13500000000000001</v>
      </c>
      <c r="S222" s="25"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3.96</v>
      </c>
      <c r="T222" s="85"/>
      <c r="U222" s="25" t="str">
        <v>Calcium - Generic</v>
      </c>
      <c r="V222" s="25">
        <v>0.04</v>
      </c>
      <c r="W222" s="25"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85"/>
      <c r="Y222" s="25" t="str">
        <v/>
      </c>
      <c r="Z222" s="25">
        <v>0</v>
      </c>
      <c r="AA222" s="25"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85"/>
      <c r="AC222" s="25" t="str">
        <v/>
      </c>
      <c r="AD222" s="25">
        <v>0</v>
      </c>
      <c r="AE222" s="25"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85"/>
      <c r="AG222" s="25" t="str">
        <v/>
      </c>
      <c r="AH222" s="25">
        <v>0</v>
      </c>
      <c r="AI222" s="25"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85"/>
      <c r="AK222" s="25" t="str">
        <v/>
      </c>
      <c r="AL222" s="25">
        <v>0</v>
      </c>
      <c r="AM222" s="25"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85"/>
    </row>
    <row r="223" spans="4:40" ht="20.100000000000001" customHeight="1" x14ac:dyDescent="0.25">
      <c r="D223" s="25" t="str">
        <v>CalPhos</v>
      </c>
      <c r="E223" s="25">
        <v>128500</v>
      </c>
      <c r="F223" s="25"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0.53460000000000008</v>
      </c>
      <c r="G223" s="277" cm="1">
        <f t="array" ref="G223">Scope3_Equations.VEERG_15_4_1_1__1_EmissionsFromPurchasedFertiliser(E223,F223)</f>
        <v>68.696100000000001</v>
      </c>
      <c r="H223" s="25"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68.696100000000001</v>
      </c>
      <c r="I223" s="85">
        <v>0.4</v>
      </c>
      <c r="J223" s="277" cm="1">
        <f t="array" ref="J223">Scope3_Equations.VEERG_15_4_1_1__1_EmissionsFromPurchasedFertiliser(E223,I223)</f>
        <v>51.4</v>
      </c>
      <c r="K223" s="277"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68.696100000000001</v>
      </c>
      <c r="L223" s="43"/>
      <c r="M223" s="23"/>
      <c r="N223" s="43"/>
      <c r="O223" s="25" t="str">
        <v/>
      </c>
      <c r="P223" s="25" t="str">
        <v/>
      </c>
      <c r="Q223" s="25" t="str">
        <v>Phosphorus - Generic</v>
      </c>
      <c r="R223" s="25">
        <v>0.13500000000000001</v>
      </c>
      <c r="S223" s="25"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3.96</v>
      </c>
      <c r="T223" s="85"/>
      <c r="U223" s="25" t="str">
        <v>Calcium - Generic</v>
      </c>
      <c r="V223" s="25">
        <v>0.04</v>
      </c>
      <c r="W223" s="25"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85"/>
      <c r="Y223" s="25" t="str">
        <v/>
      </c>
      <c r="Z223" s="25">
        <v>0</v>
      </c>
      <c r="AA223" s="25"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85"/>
      <c r="AC223" s="25" t="str">
        <v/>
      </c>
      <c r="AD223" s="25">
        <v>0</v>
      </c>
      <c r="AE223" s="25"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85"/>
      <c r="AG223" s="25" t="str">
        <v/>
      </c>
      <c r="AH223" s="25">
        <v>0</v>
      </c>
      <c r="AI223" s="25"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85"/>
      <c r="AK223" s="25" t="str">
        <v/>
      </c>
      <c r="AL223" s="25">
        <v>0</v>
      </c>
      <c r="AM223" s="25"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85"/>
    </row>
    <row r="224" spans="4:40" ht="20.100000000000001" customHeight="1" x14ac:dyDescent="0.25">
      <c r="D224" s="25" t="str">
        <v>Aqua Grow</v>
      </c>
      <c r="E224" s="25">
        <v>126000</v>
      </c>
      <c r="F224" s="25"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0.69664499999999996</v>
      </c>
      <c r="G224" s="277" cm="1">
        <f t="array" ref="G224">Scope3_Equations.VEERG_15_4_1_1__1_EmissionsFromPurchasedFertiliser(E224,F224)</f>
        <v>87.777269999999987</v>
      </c>
      <c r="H224" s="25"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87.777270000000016</v>
      </c>
      <c r="I224" s="85"/>
      <c r="J224" s="277" cm="1">
        <f t="array" ref="J224">Scope3_Equations.VEERG_15_4_1_1__1_EmissionsFromPurchasedFertiliser(E224,I224)</f>
        <v>0</v>
      </c>
      <c r="K224" s="277"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87.777270000000016</v>
      </c>
      <c r="L224" s="43"/>
      <c r="M224" s="23"/>
      <c r="N224" s="43"/>
      <c r="O224" s="25" t="str">
        <v/>
      </c>
      <c r="P224" s="25" t="str">
        <v/>
      </c>
      <c r="Q224" s="25" t="str">
        <v>Potassium - Generic</v>
      </c>
      <c r="R224" s="25">
        <v>0.105</v>
      </c>
      <c r="S224" s="25"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0.90900000000000003</v>
      </c>
      <c r="T224" s="85"/>
      <c r="U224" s="25" t="str">
        <v>Nitrogen - Generic</v>
      </c>
      <c r="V224" s="25">
        <v>9.6000000000000002E-2</v>
      </c>
      <c r="W224" s="25"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4.2</v>
      </c>
      <c r="X224" s="85"/>
      <c r="Y224" s="25" t="str">
        <v>Phosphorus - Generic</v>
      </c>
      <c r="Z224" s="25">
        <v>0.05</v>
      </c>
      <c r="AA224" s="25"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3.96</v>
      </c>
      <c r="AB224" s="85"/>
      <c r="AC224" s="25" t="str">
        <v/>
      </c>
      <c r="AD224" s="25">
        <v>0</v>
      </c>
      <c r="AE224" s="25"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85"/>
      <c r="AG224" s="25" t="str">
        <v/>
      </c>
      <c r="AH224" s="25">
        <v>0</v>
      </c>
      <c r="AI224" s="25"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85"/>
      <c r="AK224" s="25" t="str">
        <v/>
      </c>
      <c r="AL224" s="25">
        <v>0</v>
      </c>
      <c r="AM224" s="25"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85"/>
    </row>
    <row r="225" spans="4:40" ht="20.100000000000001" customHeight="1" x14ac:dyDescent="0.25">
      <c r="D225" s="25" t="str">
        <v>Aqua NitroCal</v>
      </c>
      <c r="E225" s="25">
        <v>150000</v>
      </c>
      <c r="F225" s="25"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0.72204000000000002</v>
      </c>
      <c r="G225" s="277" cm="1">
        <f t="array" ref="G225">Scope3_Equations.VEERG_15_4_1_1__1_EmissionsFromPurchasedFertiliser(E225,F225)</f>
        <v>108.306</v>
      </c>
      <c r="H225" s="25"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108.306</v>
      </c>
      <c r="I225" s="85"/>
      <c r="J225" s="277" cm="1">
        <f t="array" ref="J225">Scope3_Equations.VEERG_15_4_1_1__1_EmissionsFromPurchasedFertiliser(E225,I225)</f>
        <v>0</v>
      </c>
      <c r="K225" s="277"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108.306</v>
      </c>
      <c r="L225" s="43"/>
      <c r="M225" s="23"/>
      <c r="N225" s="43"/>
      <c r="O225" s="25" t="str">
        <v/>
      </c>
      <c r="P225" s="25" t="str">
        <v/>
      </c>
      <c r="Q225" s="25" t="str">
        <v>Calcium - Generic</v>
      </c>
      <c r="R225" s="25">
        <v>0.16200000000000001</v>
      </c>
      <c r="S225" s="25"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85"/>
      <c r="U225" s="25" t="str">
        <v>Nitrogen - Nitrate</v>
      </c>
      <c r="V225" s="25">
        <v>0.13200000000000001</v>
      </c>
      <c r="W225" s="25"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5.47</v>
      </c>
      <c r="X225" s="85"/>
      <c r="Y225" s="25" t="str">
        <v/>
      </c>
      <c r="Z225" s="25">
        <v>0</v>
      </c>
      <c r="AA225" s="25"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85"/>
      <c r="AC225" s="25" t="str">
        <v/>
      </c>
      <c r="AD225" s="25">
        <v>0</v>
      </c>
      <c r="AE225" s="25"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85"/>
      <c r="AG225" s="25" t="str">
        <v/>
      </c>
      <c r="AH225" s="25">
        <v>0</v>
      </c>
      <c r="AI225" s="25"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85"/>
      <c r="AK225" s="25" t="str">
        <v/>
      </c>
      <c r="AL225" s="25">
        <v>0</v>
      </c>
      <c r="AM225" s="25"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85"/>
    </row>
    <row r="226" spans="4:40" ht="20.100000000000001" customHeight="1" x14ac:dyDescent="0.25">
      <c r="D226" s="25" t="str">
        <v/>
      </c>
      <c r="E226" s="25">
        <v>0</v>
      </c>
      <c r="F226" s="25"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277" cm="1">
        <f t="array" ref="G226">Scope3_Equations.VEERG_15_4_1_1__1_EmissionsFromPurchasedFertiliser(E226,F226)</f>
        <v>0</v>
      </c>
      <c r="H226" s="25"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85"/>
      <c r="J226" s="277" cm="1">
        <f t="array" ref="J226">Scope3_Equations.VEERG_15_4_1_1__1_EmissionsFromPurchasedFertiliser(E226,I226)</f>
        <v>0</v>
      </c>
      <c r="K226" s="277"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43"/>
      <c r="M226" s="23"/>
      <c r="N226" s="43"/>
      <c r="O226" s="25" t="str">
        <v/>
      </c>
      <c r="P226" s="25" t="str">
        <v/>
      </c>
      <c r="Q226" s="25" t="str">
        <v/>
      </c>
      <c r="R226" s="25">
        <v>0</v>
      </c>
      <c r="S226" s="25"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85"/>
      <c r="U226" s="25" t="str">
        <v/>
      </c>
      <c r="V226" s="25">
        <v>0</v>
      </c>
      <c r="W226" s="25"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85"/>
      <c r="Y226" s="25" t="str">
        <v/>
      </c>
      <c r="Z226" s="25">
        <v>0</v>
      </c>
      <c r="AA226" s="25"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85"/>
      <c r="AC226" s="25" t="str">
        <v/>
      </c>
      <c r="AD226" s="25">
        <v>0</v>
      </c>
      <c r="AE226" s="25"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85"/>
      <c r="AG226" s="25" t="str">
        <v/>
      </c>
      <c r="AH226" s="25">
        <v>0</v>
      </c>
      <c r="AI226" s="25"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85"/>
      <c r="AK226" s="25" t="str">
        <v/>
      </c>
      <c r="AL226" s="25">
        <v>0</v>
      </c>
      <c r="AM226" s="25"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85"/>
    </row>
    <row r="227" spans="4:40" ht="20.100000000000001" customHeight="1" x14ac:dyDescent="0.25">
      <c r="D227" s="25" t="str">
        <v/>
      </c>
      <c r="E227" s="25">
        <v>0</v>
      </c>
      <c r="F227" s="25"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277" cm="1">
        <f t="array" ref="G227">Scope3_Equations.VEERG_15_4_1_1__1_EmissionsFromPurchasedFertiliser(E227,F227)</f>
        <v>0</v>
      </c>
      <c r="H227" s="25"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85"/>
      <c r="J227" s="277" cm="1">
        <f t="array" ref="J227">Scope3_Equations.VEERG_15_4_1_1__1_EmissionsFromPurchasedFertiliser(E227,I227)</f>
        <v>0</v>
      </c>
      <c r="K227" s="277"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43"/>
      <c r="M227" s="23"/>
      <c r="N227" s="43"/>
      <c r="O227" s="25" t="str">
        <v/>
      </c>
      <c r="P227" s="25" t="str">
        <v/>
      </c>
      <c r="Q227" s="25" t="str">
        <v/>
      </c>
      <c r="R227" s="25">
        <v>0</v>
      </c>
      <c r="S227" s="25"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85"/>
      <c r="U227" s="25" t="str">
        <v/>
      </c>
      <c r="V227" s="25">
        <v>0</v>
      </c>
      <c r="W227" s="25"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85"/>
      <c r="Y227" s="25" t="str">
        <v/>
      </c>
      <c r="Z227" s="25">
        <v>0</v>
      </c>
      <c r="AA227" s="25"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85"/>
      <c r="AC227" s="25" t="str">
        <v/>
      </c>
      <c r="AD227" s="25">
        <v>0</v>
      </c>
      <c r="AE227" s="25"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85"/>
      <c r="AG227" s="25" t="str">
        <v/>
      </c>
      <c r="AH227" s="25">
        <v>0</v>
      </c>
      <c r="AI227" s="25"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85"/>
      <c r="AK227" s="25" t="str">
        <v/>
      </c>
      <c r="AL227" s="25">
        <v>0</v>
      </c>
      <c r="AM227" s="25"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85"/>
    </row>
    <row r="228" spans="4:40" ht="20.100000000000001" customHeight="1" x14ac:dyDescent="0.25">
      <c r="D228" s="25" t="str">
        <v/>
      </c>
      <c r="E228" s="25">
        <v>0</v>
      </c>
      <c r="F228" s="25"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277" cm="1">
        <f t="array" ref="G228">Scope3_Equations.VEERG_15_4_1_1__1_EmissionsFromPurchasedFertiliser(E228,F228)</f>
        <v>0</v>
      </c>
      <c r="H228" s="25"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85"/>
      <c r="J228" s="277" cm="1">
        <f t="array" ref="J228">Scope3_Equations.VEERG_15_4_1_1__1_EmissionsFromPurchasedFertiliser(E228,I228)</f>
        <v>0</v>
      </c>
      <c r="K228" s="277"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43"/>
      <c r="M228" s="23"/>
      <c r="N228" s="43"/>
      <c r="O228" s="25" t="str">
        <v/>
      </c>
      <c r="P228" s="25" t="str">
        <v/>
      </c>
      <c r="Q228" s="25" t="str">
        <v/>
      </c>
      <c r="R228" s="25">
        <v>0</v>
      </c>
      <c r="S228" s="25"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85"/>
      <c r="U228" s="25" t="str">
        <v/>
      </c>
      <c r="V228" s="25">
        <v>0</v>
      </c>
      <c r="W228" s="25"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85"/>
      <c r="Y228" s="25" t="str">
        <v/>
      </c>
      <c r="Z228" s="25">
        <v>0</v>
      </c>
      <c r="AA228" s="25"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85"/>
      <c r="AC228" s="25" t="str">
        <v/>
      </c>
      <c r="AD228" s="25">
        <v>0</v>
      </c>
      <c r="AE228" s="25"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85"/>
      <c r="AG228" s="25" t="str">
        <v/>
      </c>
      <c r="AH228" s="25">
        <v>0</v>
      </c>
      <c r="AI228" s="25"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85"/>
      <c r="AK228" s="25" t="str">
        <v/>
      </c>
      <c r="AL228" s="25">
        <v>0</v>
      </c>
      <c r="AM228" s="25"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85"/>
    </row>
    <row r="229" spans="4:40" ht="20.100000000000001" customHeight="1" x14ac:dyDescent="0.25">
      <c r="D229" s="25" t="str">
        <v/>
      </c>
      <c r="E229" s="25">
        <v>0</v>
      </c>
      <c r="F229" s="25"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277" cm="1">
        <f t="array" ref="G229">Scope3_Equations.VEERG_15_4_1_1__1_EmissionsFromPurchasedFertiliser(E229,F229)</f>
        <v>0</v>
      </c>
      <c r="H229" s="25"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85"/>
      <c r="J229" s="277" cm="1">
        <f t="array" ref="J229">Scope3_Equations.VEERG_15_4_1_1__1_EmissionsFromPurchasedFertiliser(E229,I229)</f>
        <v>0</v>
      </c>
      <c r="K229" s="277"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43"/>
      <c r="M229" s="23"/>
      <c r="N229" s="43"/>
      <c r="O229" s="25" t="str">
        <v/>
      </c>
      <c r="P229" s="25" t="str">
        <v/>
      </c>
      <c r="Q229" s="25" t="str">
        <v/>
      </c>
      <c r="R229" s="25">
        <v>0</v>
      </c>
      <c r="S229" s="25"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85"/>
      <c r="U229" s="25" t="str">
        <v/>
      </c>
      <c r="V229" s="25">
        <v>0</v>
      </c>
      <c r="W229" s="25"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85"/>
      <c r="Y229" s="25" t="str">
        <v/>
      </c>
      <c r="Z229" s="25">
        <v>0</v>
      </c>
      <c r="AA229" s="25"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85"/>
      <c r="AC229" s="25" t="str">
        <v/>
      </c>
      <c r="AD229" s="25">
        <v>0</v>
      </c>
      <c r="AE229" s="25"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85"/>
      <c r="AG229" s="25" t="str">
        <v/>
      </c>
      <c r="AH229" s="25">
        <v>0</v>
      </c>
      <c r="AI229" s="25"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85"/>
      <c r="AK229" s="25" t="str">
        <v/>
      </c>
      <c r="AL229" s="25">
        <v>0</v>
      </c>
      <c r="AM229" s="25"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85"/>
    </row>
    <row r="230" spans="4:40" ht="20.100000000000001" customHeight="1" x14ac:dyDescent="0.25">
      <c r="D230" s="25" t="str">
        <v/>
      </c>
      <c r="E230" s="25">
        <v>0</v>
      </c>
      <c r="F230" s="25"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277" cm="1">
        <f t="array" ref="G230">Scope3_Equations.VEERG_15_4_1_1__1_EmissionsFromPurchasedFertiliser(E230,F230)</f>
        <v>0</v>
      </c>
      <c r="H230" s="25"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85"/>
      <c r="J230" s="277" cm="1">
        <f t="array" ref="J230">Scope3_Equations.VEERG_15_4_1_1__1_EmissionsFromPurchasedFertiliser(E230,I230)</f>
        <v>0</v>
      </c>
      <c r="K230" s="277"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43"/>
      <c r="M230" s="23"/>
      <c r="N230" s="43"/>
      <c r="O230" s="25" t="str">
        <v/>
      </c>
      <c r="P230" s="25" t="str">
        <v/>
      </c>
      <c r="Q230" s="25" t="str">
        <v/>
      </c>
      <c r="R230" s="25">
        <v>0</v>
      </c>
      <c r="S230" s="25"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85"/>
      <c r="U230" s="25" t="str">
        <v/>
      </c>
      <c r="V230" s="25">
        <v>0</v>
      </c>
      <c r="W230" s="25"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85"/>
      <c r="Y230" s="25" t="str">
        <v/>
      </c>
      <c r="Z230" s="25">
        <v>0</v>
      </c>
      <c r="AA230" s="25"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85"/>
      <c r="AC230" s="25" t="str">
        <v/>
      </c>
      <c r="AD230" s="25">
        <v>0</v>
      </c>
      <c r="AE230" s="25"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85"/>
      <c r="AG230" s="25" t="str">
        <v/>
      </c>
      <c r="AH230" s="25">
        <v>0</v>
      </c>
      <c r="AI230" s="25"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85"/>
      <c r="AK230" s="25" t="str">
        <v/>
      </c>
      <c r="AL230" s="25">
        <v>0</v>
      </c>
      <c r="AM230" s="25"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85"/>
    </row>
    <row r="231" spans="4:40" ht="20.100000000000001" customHeight="1" x14ac:dyDescent="0.25"/>
    <row r="232" spans="4:40" ht="20.100000000000001" customHeight="1" x14ac:dyDescent="0.25">
      <c r="D232" s="261" t="s">
        <v>1207</v>
      </c>
    </row>
    <row r="233" spans="4:40" ht="20.100000000000001" customHeight="1" x14ac:dyDescent="0.25"/>
    <row r="234" spans="4:40" ht="20.100000000000001" customHeight="1" x14ac:dyDescent="0.25">
      <c r="D234" s="45" t="s">
        <v>1208</v>
      </c>
      <c r="E234" s="47"/>
      <c r="F234" s="48"/>
    </row>
    <row r="235" spans="4:40" ht="20.100000000000001" customHeight="1" x14ac:dyDescent="0.25"/>
    <row r="236" spans="4:40" ht="20.100000000000001" customHeight="1" x14ac:dyDescent="0.25">
      <c r="D236" s="94" t="s">
        <v>1171</v>
      </c>
      <c r="E236" s="94" t="s">
        <v>1188</v>
      </c>
      <c r="F236" s="124" t="s">
        <v>1189</v>
      </c>
      <c r="G236" s="124" t="s">
        <v>1190</v>
      </c>
      <c r="H236" s="124" t="s">
        <v>1191</v>
      </c>
      <c r="I236" s="94" t="s">
        <v>1192</v>
      </c>
      <c r="J236" s="124" t="s">
        <v>1193</v>
      </c>
      <c r="K236" s="124" t="s">
        <v>1194</v>
      </c>
      <c r="L236" s="94" t="s">
        <v>1149</v>
      </c>
      <c r="M236" s="94" t="s">
        <v>1150</v>
      </c>
      <c r="N236" s="94" t="s">
        <v>1151</v>
      </c>
      <c r="O236" s="124" t="s">
        <v>573</v>
      </c>
      <c r="P236" s="124" t="s">
        <v>574</v>
      </c>
      <c r="Q236" s="124" t="s">
        <v>560</v>
      </c>
      <c r="R236" s="124" t="s">
        <v>561</v>
      </c>
      <c r="S236" s="124" t="s">
        <v>1195</v>
      </c>
      <c r="T236" s="94" t="s">
        <v>1196</v>
      </c>
      <c r="U236" s="124" t="s">
        <v>562</v>
      </c>
      <c r="V236" s="124" t="s">
        <v>563</v>
      </c>
      <c r="W236" s="124" t="s">
        <v>1197</v>
      </c>
      <c r="X236" s="94" t="s">
        <v>1198</v>
      </c>
      <c r="Y236" s="124" t="s">
        <v>564</v>
      </c>
      <c r="Z236" s="124" t="s">
        <v>565</v>
      </c>
      <c r="AA236" s="124" t="s">
        <v>1199</v>
      </c>
      <c r="AB236" s="94" t="s">
        <v>1200</v>
      </c>
      <c r="AC236" s="124" t="s">
        <v>566</v>
      </c>
      <c r="AD236" s="124" t="s">
        <v>567</v>
      </c>
      <c r="AE236" s="124" t="s">
        <v>1201</v>
      </c>
      <c r="AF236" s="94" t="s">
        <v>1202</v>
      </c>
    </row>
    <row r="237" spans="4:40" ht="20.100000000000001" customHeight="1" x14ac:dyDescent="0.25">
      <c r="D237" s="25" t="str" cm="1">
        <f t="array" ref="D237:D246">IFERROR(INDEX(Table_Input_InorganicFertiliser_Custom[Custom blend name], _xlfn.SEQUENCE(10)), "")</f>
        <v>My first custom blend</v>
      </c>
      <c r="E237" s="25" cm="1">
        <f t="array" ref="E237:E246">IFERROR(INDEX(Table_Input_InorganicFertiliser_Custom[Total applied (kg)], _xlfn.SEQUENCE(10)), 0)</f>
        <v>100000</v>
      </c>
      <c r="F237" s="2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1.7707999999999999</v>
      </c>
      <c r="G237" s="277" cm="1">
        <f t="array" ref="G237">Scope3_Equations.VEERG_15_4_1_1__1_EmissionsFromPurchasedFertiliser(E237,F237)</f>
        <v>177.08</v>
      </c>
      <c r="H237" s="2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177.08</v>
      </c>
      <c r="I237" s="85">
        <v>0.4</v>
      </c>
      <c r="J237" s="277" cm="1">
        <f t="array" ref="J237">Scope3_Equations.VEERG_15_4_1_1__1_EmissionsFromPurchasedFertiliser(E237,I237)</f>
        <v>40</v>
      </c>
      <c r="K237" s="277"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168</v>
      </c>
      <c r="L237" s="43"/>
      <c r="M237" s="23"/>
      <c r="N237" s="260"/>
      <c r="O237" s="25" cm="1">
        <f t="array" ref="O237:O246">IFERROR(INDEX(Table_Input_InorganicFertiliser_Custom[Urea source (Select)], _xlfn.SEQUENCE(10)), "")</f>
        <v>0</v>
      </c>
      <c r="P237" s="25" cm="1">
        <f t="array" ref="P237:P246">IFERROR(INDEX(Table_Input_InorganicFertiliser_Custom[Ammonia source (select)], _xlfn.SEQUENCE(10)), "")</f>
        <v>0</v>
      </c>
      <c r="Q237" s="25" t="str" cm="1">
        <f t="array" ref="Q237:Q246">IFERROR(INDEX(Table_Input_InorganicFertiliser_Custom[Ingredient 1 (select)], _xlfn.SEQUENCE(10)), "")</f>
        <v>Calcium nitrate</v>
      </c>
      <c r="R237" s="25" cm="1">
        <f t="array" ref="R237:R246">IFERROR(INDEX(_xlfn.LET(_xlpm.result, Table_Input_InorganicFertiliser_Custom[Ingredient 1 percent], IF(_xlpm.result="", 0, _xlpm.result)), _xlfn.SEQUENCE(10)), 0)</f>
        <v>0.5</v>
      </c>
      <c r="S237" s="2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0.75</v>
      </c>
      <c r="T237" s="85">
        <v>0.9</v>
      </c>
      <c r="U237" s="25" t="str" cm="1">
        <f t="array" ref="U237:U246">IFERROR(INDEX(Table_Input_InorganicFertiliser_Custom[Ingredient 2], _xlfn.SEQUENCE(10)), "")</f>
        <v>Zinc - Generic</v>
      </c>
      <c r="V237" s="25" cm="1">
        <f t="array" ref="V237:V246">IFERROR(INDEX(_xlfn.LET(_xlpm.result, Table_Input_InorganicFertiliser_Custom[Ingredient 2 percent], IF(_xlpm.result="", 0, _xlpm.result)), _xlfn.SEQUENCE(10)), 0)</f>
        <v>0.2</v>
      </c>
      <c r="W237" s="2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4.82</v>
      </c>
      <c r="X237" s="85">
        <v>0.9</v>
      </c>
      <c r="Y237" s="25" t="str" cm="1">
        <f t="array" ref="Y237:Y246">IFERROR(INDEX(Table_Input_InorganicFertiliser_Custom[Ingredient 3], _xlfn.SEQUENCE(10)), "")</f>
        <v>Potassium - Generic</v>
      </c>
      <c r="Z237" s="25" cm="1">
        <f t="array" ref="Z237:Z246">IFERROR(INDEX(_xlfn.LET(_xlpm.result, Table_Input_InorganicFertiliser_Custom[Ingredient 3 percent], IF(_xlpm.result="", 0, _xlpm.result)), _xlfn.SEQUENCE(10)), 0)</f>
        <v>0.2</v>
      </c>
      <c r="AA237" s="2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85">
        <v>4</v>
      </c>
      <c r="AC237" s="25" t="str" cm="1">
        <f t="array" ref="AC237:AC246">IFERROR(INDEX(Table_Input_InorganicFertiliser_Custom[Ingredient 4], _xlfn.SEQUENCE(10)), "")</f>
        <v>Sulfur - Generic</v>
      </c>
      <c r="AD237" s="25" cm="1">
        <f t="array" ref="AD237:AD246">IFERROR(INDEX(_xlfn.LET(_xlpm.result, Table_Input_InorganicFertiliser_Custom[Ingredient 4 percent], IF(_xlpm.result="", 0, _xlpm.result)), _xlfn.SEQUENCE(10)), 0)</f>
        <v>0.1</v>
      </c>
      <c r="AE237" s="2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85">
        <v>0</v>
      </c>
    </row>
    <row r="238" spans="4:40" ht="20.100000000000001" customHeight="1" x14ac:dyDescent="0.25">
      <c r="D238" s="25" t="str">
        <v>My second custom blend</v>
      </c>
      <c r="E238" s="25">
        <v>100000</v>
      </c>
      <c r="F238" s="2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v>
      </c>
      <c r="G238" s="277" cm="1">
        <f t="array" ref="G238">Scope3_Equations.VEERG_15_4_1_1__1_EmissionsFromPurchasedFertiliser(E238,F238)</f>
        <v>0</v>
      </c>
      <c r="H238" s="2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0</v>
      </c>
      <c r="I238" s="85">
        <v>0.9</v>
      </c>
      <c r="J238" s="277" cm="1">
        <f t="array" ref="J238">Scope3_Equations.VEERG_15_4_1_1__1_EmissionsFromPurchasedFertiliser(E238,I238)</f>
        <v>90</v>
      </c>
      <c r="K238" s="277"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0</v>
      </c>
      <c r="L238" s="43"/>
      <c r="M238" s="23"/>
      <c r="N238" s="43"/>
      <c r="O238" s="25">
        <v>0</v>
      </c>
      <c r="P238" s="25">
        <v>0</v>
      </c>
      <c r="Q238" s="25" t="str">
        <v>Urea</v>
      </c>
      <c r="R238" s="25">
        <v>1</v>
      </c>
      <c r="S238" s="2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v>
      </c>
      <c r="T238" s="85"/>
      <c r="U238" s="25">
        <v>0</v>
      </c>
      <c r="V238" s="25">
        <v>0</v>
      </c>
      <c r="W238" s="2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0</v>
      </c>
      <c r="X238" s="85"/>
      <c r="Y238" s="25">
        <v>0</v>
      </c>
      <c r="Z238" s="25">
        <v>0</v>
      </c>
      <c r="AA238" s="2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85"/>
      <c r="AC238" s="25">
        <v>0</v>
      </c>
      <c r="AD238" s="25">
        <v>0</v>
      </c>
      <c r="AE238" s="2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85"/>
    </row>
    <row r="239" spans="4:40" ht="20.100000000000001" customHeight="1" x14ac:dyDescent="0.25">
      <c r="D239" s="25" t="str">
        <v>My third custom blend</v>
      </c>
      <c r="E239" s="25">
        <v>100000</v>
      </c>
      <c r="F239" s="2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277" cm="1">
        <f t="array" ref="G239">Scope3_Equations.VEERG_15_4_1_1__1_EmissionsFromPurchasedFertiliser(E239,F239)</f>
        <v>0</v>
      </c>
      <c r="H239" s="2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85">
        <v>0.4</v>
      </c>
      <c r="J239" s="277" cm="1">
        <f t="array" ref="J239">Scope3_Equations.VEERG_15_4_1_1__1_EmissionsFromPurchasedFertiliser(E239,I239)</f>
        <v>40</v>
      </c>
      <c r="K239" s="277"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43"/>
      <c r="M239" s="23"/>
      <c r="N239" s="43"/>
      <c r="O239" s="25">
        <v>0</v>
      </c>
      <c r="P239" s="25">
        <v>0</v>
      </c>
      <c r="Q239" s="25" t="str">
        <v>Ammonia</v>
      </c>
      <c r="R239" s="25">
        <v>0.5</v>
      </c>
      <c r="S239" s="2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85"/>
      <c r="U239" s="25">
        <v>0</v>
      </c>
      <c r="V239" s="25">
        <v>0</v>
      </c>
      <c r="W239" s="2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85"/>
      <c r="Y239" s="25">
        <v>0</v>
      </c>
      <c r="Z239" s="25">
        <v>0</v>
      </c>
      <c r="AA239" s="2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85"/>
      <c r="AC239" s="25">
        <v>0</v>
      </c>
      <c r="AD239" s="25">
        <v>0</v>
      </c>
      <c r="AE239" s="2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85"/>
    </row>
    <row r="240" spans="4:40" ht="20.100000000000001" customHeight="1" x14ac:dyDescent="0.25">
      <c r="D240" s="25" t="str">
        <v/>
      </c>
      <c r="E240" s="25">
        <v>0</v>
      </c>
      <c r="F240" s="2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277" cm="1">
        <f t="array" ref="G240">Scope3_Equations.VEERG_15_4_1_1__1_EmissionsFromPurchasedFertiliser(E240,F240)</f>
        <v>0</v>
      </c>
      <c r="H240" s="2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85"/>
      <c r="J240" s="277" cm="1">
        <f t="array" ref="J240">Scope3_Equations.VEERG_15_4_1_1__1_EmissionsFromPurchasedFertiliser(E240,I240)</f>
        <v>0</v>
      </c>
      <c r="K240" s="277"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43"/>
      <c r="M240" s="23"/>
      <c r="N240" s="43"/>
      <c r="O240" s="25" t="str">
        <v/>
      </c>
      <c r="P240" s="25" t="str">
        <v/>
      </c>
      <c r="Q240" s="25" t="str">
        <v/>
      </c>
      <c r="R240" s="25">
        <v>0</v>
      </c>
      <c r="S240" s="2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85"/>
      <c r="U240" s="25" t="str">
        <v/>
      </c>
      <c r="V240" s="25">
        <v>0</v>
      </c>
      <c r="W240" s="2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85"/>
      <c r="Y240" s="25" t="str">
        <v/>
      </c>
      <c r="Z240" s="25">
        <v>0</v>
      </c>
      <c r="AA240" s="2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85"/>
      <c r="AC240" s="25" t="str">
        <v/>
      </c>
      <c r="AD240" s="25">
        <v>0</v>
      </c>
      <c r="AE240" s="2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85"/>
    </row>
    <row r="241" spans="3:41" ht="20.100000000000001" customHeight="1" x14ac:dyDescent="0.25">
      <c r="D241" s="25" t="str">
        <v/>
      </c>
      <c r="E241" s="25">
        <v>0</v>
      </c>
      <c r="F241" s="2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277" cm="1">
        <f t="array" ref="G241">Scope3_Equations.VEERG_15_4_1_1__1_EmissionsFromPurchasedFertiliser(E241,F241)</f>
        <v>0</v>
      </c>
      <c r="H241" s="2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85"/>
      <c r="J241" s="277" cm="1">
        <f t="array" ref="J241">Scope3_Equations.VEERG_15_4_1_1__1_EmissionsFromPurchasedFertiliser(E241,I241)</f>
        <v>0</v>
      </c>
      <c r="K241" s="277"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43"/>
      <c r="M241" s="23"/>
      <c r="N241" s="43"/>
      <c r="O241" s="25" t="str">
        <v/>
      </c>
      <c r="P241" s="25" t="str">
        <v/>
      </c>
      <c r="Q241" s="25" t="str">
        <v/>
      </c>
      <c r="R241" s="25">
        <v>0</v>
      </c>
      <c r="S241" s="2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85"/>
      <c r="U241" s="25" t="str">
        <v/>
      </c>
      <c r="V241" s="25">
        <v>0</v>
      </c>
      <c r="W241" s="2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85"/>
      <c r="Y241" s="25" t="str">
        <v/>
      </c>
      <c r="Z241" s="25">
        <v>0</v>
      </c>
      <c r="AA241" s="2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85"/>
      <c r="AC241" s="25" t="str">
        <v/>
      </c>
      <c r="AD241" s="25">
        <v>0</v>
      </c>
      <c r="AE241" s="2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85"/>
    </row>
    <row r="242" spans="3:41" ht="20.100000000000001" customHeight="1" x14ac:dyDescent="0.25">
      <c r="D242" s="25" t="str">
        <v/>
      </c>
      <c r="E242" s="25">
        <v>0</v>
      </c>
      <c r="F242" s="2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277" cm="1">
        <f t="array" ref="G242">Scope3_Equations.VEERG_15_4_1_1__1_EmissionsFromPurchasedFertiliser(E242,F242)</f>
        <v>0</v>
      </c>
      <c r="H242" s="2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85"/>
      <c r="J242" s="277" cm="1">
        <f t="array" ref="J242">Scope3_Equations.VEERG_15_4_1_1__1_EmissionsFromPurchasedFertiliser(E242,I242)</f>
        <v>0</v>
      </c>
      <c r="K242" s="277"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43"/>
      <c r="M242" s="23"/>
      <c r="N242" s="43"/>
      <c r="O242" s="25" t="str">
        <v/>
      </c>
      <c r="P242" s="25" t="str">
        <v/>
      </c>
      <c r="Q242" s="25" t="str">
        <v/>
      </c>
      <c r="R242" s="25">
        <v>0</v>
      </c>
      <c r="S242" s="2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85"/>
      <c r="U242" s="25" t="str">
        <v/>
      </c>
      <c r="V242" s="25">
        <v>0</v>
      </c>
      <c r="W242" s="2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85"/>
      <c r="Y242" s="25" t="str">
        <v/>
      </c>
      <c r="Z242" s="25">
        <v>0</v>
      </c>
      <c r="AA242" s="2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85"/>
      <c r="AC242" s="25" t="str">
        <v/>
      </c>
      <c r="AD242" s="25">
        <v>0</v>
      </c>
      <c r="AE242" s="2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85"/>
    </row>
    <row r="243" spans="3:41" ht="20.100000000000001" customHeight="1" x14ac:dyDescent="0.25">
      <c r="D243" s="25" t="str">
        <v/>
      </c>
      <c r="E243" s="25">
        <v>0</v>
      </c>
      <c r="F243" s="2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277" cm="1">
        <f t="array" ref="G243">Scope3_Equations.VEERG_15_4_1_1__1_EmissionsFromPurchasedFertiliser(E243,F243)</f>
        <v>0</v>
      </c>
      <c r="H243" s="2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85"/>
      <c r="J243" s="277" cm="1">
        <f t="array" ref="J243">Scope3_Equations.VEERG_15_4_1_1__1_EmissionsFromPurchasedFertiliser(E243,I243)</f>
        <v>0</v>
      </c>
      <c r="K243" s="277"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43"/>
      <c r="M243" s="23"/>
      <c r="N243" s="43"/>
      <c r="O243" s="25" t="str">
        <v/>
      </c>
      <c r="P243" s="25" t="str">
        <v/>
      </c>
      <c r="Q243" s="25" t="str">
        <v/>
      </c>
      <c r="R243" s="25">
        <v>0</v>
      </c>
      <c r="S243" s="2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85"/>
      <c r="U243" s="25" t="str">
        <v/>
      </c>
      <c r="V243" s="25">
        <v>0</v>
      </c>
      <c r="W243" s="2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85"/>
      <c r="Y243" s="25" t="str">
        <v/>
      </c>
      <c r="Z243" s="25">
        <v>0</v>
      </c>
      <c r="AA243" s="2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85"/>
      <c r="AC243" s="25" t="str">
        <v/>
      </c>
      <c r="AD243" s="25">
        <v>0</v>
      </c>
      <c r="AE243" s="2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85"/>
    </row>
    <row r="244" spans="3:41" ht="20.100000000000001" customHeight="1" x14ac:dyDescent="0.25">
      <c r="D244" s="25" t="str">
        <v/>
      </c>
      <c r="E244" s="25">
        <v>0</v>
      </c>
      <c r="F244" s="2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277" cm="1">
        <f t="array" ref="G244">Scope3_Equations.VEERG_15_4_1_1__1_EmissionsFromPurchasedFertiliser(E244,F244)</f>
        <v>0</v>
      </c>
      <c r="H244" s="2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85"/>
      <c r="J244" s="277" cm="1">
        <f t="array" ref="J244">Scope3_Equations.VEERG_15_4_1_1__1_EmissionsFromPurchasedFertiliser(E244,I244)</f>
        <v>0</v>
      </c>
      <c r="K244" s="277"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43"/>
      <c r="M244" s="23"/>
      <c r="N244" s="43"/>
      <c r="O244" s="25" t="str">
        <v/>
      </c>
      <c r="P244" s="25" t="str">
        <v/>
      </c>
      <c r="Q244" s="25" t="str">
        <v/>
      </c>
      <c r="R244" s="25">
        <v>0</v>
      </c>
      <c r="S244" s="2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85"/>
      <c r="U244" s="25" t="str">
        <v/>
      </c>
      <c r="V244" s="25">
        <v>0</v>
      </c>
      <c r="W244" s="2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85"/>
      <c r="Y244" s="25" t="str">
        <v/>
      </c>
      <c r="Z244" s="25">
        <v>0</v>
      </c>
      <c r="AA244" s="2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85"/>
      <c r="AC244" s="25" t="str">
        <v/>
      </c>
      <c r="AD244" s="25">
        <v>0</v>
      </c>
      <c r="AE244" s="2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85"/>
    </row>
    <row r="245" spans="3:41" ht="20.100000000000001" customHeight="1" x14ac:dyDescent="0.25">
      <c r="D245" s="25" t="str">
        <v/>
      </c>
      <c r="E245" s="25">
        <v>0</v>
      </c>
      <c r="F245" s="2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277" cm="1">
        <f t="array" ref="G245">Scope3_Equations.VEERG_15_4_1_1__1_EmissionsFromPurchasedFertiliser(E245,F245)</f>
        <v>0</v>
      </c>
      <c r="H245" s="2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85"/>
      <c r="J245" s="277" cm="1">
        <f t="array" ref="J245">Scope3_Equations.VEERG_15_4_1_1__1_EmissionsFromPurchasedFertiliser(E245,I245)</f>
        <v>0</v>
      </c>
      <c r="K245" s="277"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43"/>
      <c r="M245" s="23"/>
      <c r="N245" s="43"/>
      <c r="O245" s="25" t="str">
        <v/>
      </c>
      <c r="P245" s="25" t="str">
        <v/>
      </c>
      <c r="Q245" s="25" t="str">
        <v/>
      </c>
      <c r="R245" s="25">
        <v>0</v>
      </c>
      <c r="S245" s="2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85"/>
      <c r="U245" s="25" t="str">
        <v/>
      </c>
      <c r="V245" s="25">
        <v>0</v>
      </c>
      <c r="W245" s="2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85"/>
      <c r="Y245" s="25" t="str">
        <v/>
      </c>
      <c r="Z245" s="25">
        <v>0</v>
      </c>
      <c r="AA245" s="2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85"/>
      <c r="AC245" s="25" t="str">
        <v/>
      </c>
      <c r="AD245" s="25">
        <v>0</v>
      </c>
      <c r="AE245" s="2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85"/>
    </row>
    <row r="246" spans="3:41" ht="20.100000000000001" customHeight="1" x14ac:dyDescent="0.25">
      <c r="D246" s="25" t="str">
        <v/>
      </c>
      <c r="E246" s="25">
        <v>0</v>
      </c>
      <c r="F246" s="25"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277" cm="1">
        <f t="array" ref="G246">Scope3_Equations.VEERG_15_4_1_1__1_EmissionsFromPurchasedFertiliser(E246,F246)</f>
        <v>0</v>
      </c>
      <c r="H246" s="25"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85"/>
      <c r="J246" s="277" cm="1">
        <f t="array" ref="J246">Scope3_Equations.VEERG_15_4_1_1__1_EmissionsFromPurchasedFertiliser(E246,I246)</f>
        <v>0</v>
      </c>
      <c r="K246" s="277"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43"/>
      <c r="M246" s="23"/>
      <c r="N246" s="43"/>
      <c r="O246" s="25" t="str">
        <v/>
      </c>
      <c r="P246" s="25" t="str">
        <v/>
      </c>
      <c r="Q246" s="25" t="str">
        <v/>
      </c>
      <c r="R246" s="25">
        <v>0</v>
      </c>
      <c r="S246" s="25"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85"/>
      <c r="U246" s="25" t="str">
        <v/>
      </c>
      <c r="V246" s="25">
        <v>0</v>
      </c>
      <c r="W246" s="25"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85"/>
      <c r="Y246" s="25" t="str">
        <v/>
      </c>
      <c r="Z246" s="25">
        <v>0</v>
      </c>
      <c r="AA246" s="25"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85"/>
      <c r="AC246" s="25" t="str">
        <v/>
      </c>
      <c r="AD246" s="25">
        <v>0</v>
      </c>
      <c r="AE246" s="25"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85"/>
    </row>
    <row r="247" spans="3:41" ht="20.100000000000001" customHeight="1" x14ac:dyDescent="0.25"/>
    <row r="248" spans="3:41" ht="20.100000000000001" customHeight="1" x14ac:dyDescent="0.25">
      <c r="D248" s="278" t="s">
        <v>1209</v>
      </c>
      <c r="E248" s="136">
        <f>SUM(G221:G230)+SUM(G237:G246)</f>
        <v>570.04322000000002</v>
      </c>
      <c r="F248" s="137" t="str">
        <f>$E$155</f>
        <v>t CO2e</v>
      </c>
    </row>
    <row r="249" spans="3:41" ht="20.100000000000001" customHeight="1" x14ac:dyDescent="0.25">
      <c r="D249" s="278" t="s">
        <v>1210</v>
      </c>
      <c r="E249" s="136">
        <f>SUM(J221:J230)+SUM(J237:J246)</f>
        <v>387.45000000000005</v>
      </c>
      <c r="F249" s="137" t="str">
        <f>$E$155</f>
        <v>t CO2e</v>
      </c>
    </row>
    <row r="250" spans="3:41" ht="20.100000000000001" customHeight="1" x14ac:dyDescent="0.25"/>
    <row r="251" spans="3:41" ht="20.100000000000001" customHeight="1" x14ac:dyDescent="0.25">
      <c r="D251" s="278" t="s">
        <v>1211</v>
      </c>
      <c r="E251" s="136">
        <f>SUM(H221:H230)+SUM(H237:H246)</f>
        <v>570.04322000000002</v>
      </c>
      <c r="F251" s="137" t="str">
        <f>$E$155</f>
        <v>t CO2e</v>
      </c>
    </row>
    <row r="252" spans="3:41" ht="20.100000000000001" customHeight="1" x14ac:dyDescent="0.25">
      <c r="D252" s="278" t="s">
        <v>1212</v>
      </c>
      <c r="E252" s="136">
        <f>SUM(K221:K230)+SUM(K237:K246)</f>
        <v>544.63047000000006</v>
      </c>
      <c r="F252" s="137" t="str">
        <f>$E$155</f>
        <v>t CO2e</v>
      </c>
    </row>
    <row r="253" spans="3:41" ht="20.100000000000001" customHeight="1" x14ac:dyDescent="0.25"/>
    <row r="254" spans="3:41" ht="20.100000000000001" customHeight="1" x14ac:dyDescent="0.25"/>
    <row r="255" spans="3:41" ht="20.100000000000001" customHeight="1" x14ac:dyDescent="0.25">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row>
    <row r="256" spans="3:41" ht="20.100000000000001" customHeight="1" x14ac:dyDescent="0.25">
      <c r="D256" s="2" t="str" cm="1">
        <f t="array" ref="D256">Scope3_Equations.VEERG_15_5_1_1__1_EmissionsFromPurchasedAgrichemicals_Title()</f>
        <v>Total emissions from purchased agrichemicals</v>
      </c>
    </row>
    <row r="257" spans="4:9" ht="20.100000000000001" customHeight="1" x14ac:dyDescent="0.25">
      <c r="D257" s="27" t="str" cm="1">
        <f t="array" ref="D257">Scope3_Equations.VEERG_15_5_1_1__1_EmissionsFromPurchasedAgrichemicals_Source()</f>
        <v>VEERG 2026: 15.5.1.1, Equation (1)</v>
      </c>
    </row>
    <row r="258" spans="4:9" ht="20.100000000000001" customHeight="1" x14ac:dyDescent="0.25">
      <c r="D258" s="118" t="s">
        <v>262</v>
      </c>
      <c r="E258" s="118"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87" t="s">
        <v>263</v>
      </c>
      <c r="E262" s="1" t="str" cm="1">
        <f t="array" ref="E262">Scope3_Equations.VEERG_15_5_1_1__1_EmissionsFromPurchasedAgrichemicals_Variable()</f>
        <v>E</v>
      </c>
    </row>
    <row r="263" spans="4:9" ht="20.100000000000001" customHeight="1" x14ac:dyDescent="0.25">
      <c r="D263" s="87" t="s">
        <v>122</v>
      </c>
      <c r="E263" s="15" t="str" cm="1">
        <f t="array" ref="E263">Scope3_Equations.VEERG_15_5_1_1__1_EmissionsFromPurchasedAgrichemicals_Unit()</f>
        <v>t CO2e</v>
      </c>
    </row>
    <row r="264" spans="4:9" ht="20.100000000000001" customHeight="1" x14ac:dyDescent="0.25"/>
    <row r="265" spans="4:9" x14ac:dyDescent="0.25">
      <c r="D265" s="120" t="str" cm="1">
        <f t="array" ref="D265:E267">_xlfn.CHOOSECOLS(Scope3_Equations.VEERG_15_5_1_1__1_EmissionsFromPurchasedAgrichemicals_Arguments(),1,2)</f>
        <v>Q_h</v>
      </c>
      <c r="E265" s="125" t="str">
        <v>quantity of active ingredients in agrichemical type h purchased and applied to soils</v>
      </c>
      <c r="F265" s="126"/>
      <c r="G265" s="120" t="str" cm="1">
        <f t="array" ref="G265:H267">_xlfn.CHOOSECOLS(Scope3_Equations.VEERG_15_5_1_1__1_EmissionsFromPurchasedAgrichemicals_Arguments(),3,4)</f>
        <v>kg ai</v>
      </c>
      <c r="H265" s="275" t="str">
        <v>Input</v>
      </c>
    </row>
    <row r="266" spans="4:9" x14ac:dyDescent="0.25">
      <c r="D266" s="120" t="str">
        <v>EF_h</v>
      </c>
      <c r="E266" s="125" t="str">
        <v>emission factor for purchased agrichemical active ingredient</v>
      </c>
      <c r="F266" s="126"/>
      <c r="G266" s="120" t="str">
        <v>kg CO2e/kg ai</v>
      </c>
      <c r="H266" s="128" t="str">
        <v>Constant</v>
      </c>
    </row>
    <row r="267" spans="4:9" x14ac:dyDescent="0.25">
      <c r="D267" s="120" t="str">
        <v>h</v>
      </c>
      <c r="E267" s="125" t="str">
        <v>agrichemical type</v>
      </c>
      <c r="F267" s="126"/>
      <c r="G267" s="120" t="str">
        <v/>
      </c>
      <c r="H267" s="275" t="str">
        <v>Input</v>
      </c>
    </row>
    <row r="269" spans="4:9" ht="17.25" x14ac:dyDescent="0.25">
      <c r="D269" s="94" t="s">
        <v>1213</v>
      </c>
      <c r="E269" s="94" t="s">
        <v>559</v>
      </c>
      <c r="F269" s="124" t="s">
        <v>1214</v>
      </c>
      <c r="G269" s="124" t="s">
        <v>1145</v>
      </c>
      <c r="H269" s="94" t="s">
        <v>1215</v>
      </c>
      <c r="I269" s="124" t="s">
        <v>1148</v>
      </c>
    </row>
    <row r="270" spans="4:9" x14ac:dyDescent="0.25">
      <c r="D270" s="25" t="str" cm="1">
        <f t="array" ref="D270:D281">Table_SourceData_Scope3_Pesticides[Product]</f>
        <v>2,4-D</v>
      </c>
      <c r="E270" s="25">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25" cm="1">
        <f t="array" ref="F270">Common_InputFunctions.Utility_LookupValueInTableNumber(D270,Table_SourceData_Scope3_Pesticides[Product],Table_SourceData_Scope3_Pesticides[AusLCI Emissions intensity])</f>
        <v>5.2</v>
      </c>
      <c r="G270" s="25" cm="1">
        <f t="array" ref="G270">Scope3_Equations.VEERG_15_5_1_1__1_EmissionsFromPurchasedAgrichemicals($E270,F270)</f>
        <v>0.52</v>
      </c>
      <c r="H270" s="85">
        <v>5</v>
      </c>
      <c r="I270" s="25" cm="1">
        <f t="array" ref="I270">Scope3_Equations.VEERG_15_5_1_1__1_EmissionsFromPurchasedAgrichemicals($E270,IF(H270,H270,F270))</f>
        <v>0.5</v>
      </c>
    </row>
    <row r="271" spans="4:9" x14ac:dyDescent="0.25">
      <c r="D271" s="25" t="str">
        <v>Atrazine</v>
      </c>
      <c r="E271" s="25">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25" cm="1">
        <f t="array" ref="F271">Common_InputFunctions.Utility_LookupValueInTableNumber(D271,Table_SourceData_Scope3_Pesticides[Product],Table_SourceData_Scope3_Pesticides[AusLCI Emissions intensity])</f>
        <v>8.3800000000000008</v>
      </c>
      <c r="G271" s="25" cm="1">
        <f t="array" ref="G271">Scope3_Equations.VEERG_15_5_1_1__1_EmissionsFromPurchasedAgrichemicals($E271,F271)</f>
        <v>0</v>
      </c>
      <c r="H271" s="85">
        <v>8</v>
      </c>
      <c r="I271" s="25" cm="1">
        <f t="array" ref="I271">Scope3_Equations.VEERG_15_5_1_1__1_EmissionsFromPurchasedAgrichemicals($E271,IF(H271,H271,F271))</f>
        <v>0</v>
      </c>
    </row>
    <row r="272" spans="4:9" x14ac:dyDescent="0.25">
      <c r="D272" s="25" t="str">
        <v>Diuron</v>
      </c>
      <c r="E272" s="25">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25" cm="1">
        <f t="array" ref="F272">Common_InputFunctions.Utility_LookupValueInTableNumber(D272,Table_SourceData_Scope3_Pesticides[Product],Table_SourceData_Scope3_Pesticides[AusLCI Emissions intensity])</f>
        <v>8.8000000000000007</v>
      </c>
      <c r="G272" s="25" cm="1">
        <f t="array" ref="G272">Scope3_Equations.VEERG_15_5_1_1__1_EmissionsFromPurchasedAgrichemicals($E272,F272)</f>
        <v>0</v>
      </c>
      <c r="H272" s="85"/>
      <c r="I272" s="25" cm="1">
        <f t="array" ref="I272">Scope3_Equations.VEERG_15_5_1_1__1_EmissionsFromPurchasedAgrichemicals($E272,IF(H272,H272,F272))</f>
        <v>0</v>
      </c>
    </row>
    <row r="273" spans="3:41" x14ac:dyDescent="0.25">
      <c r="D273" s="25" t="str">
        <v>Glyphosate</v>
      </c>
      <c r="E273" s="25">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25" cm="1">
        <f t="array" ref="F273">Common_InputFunctions.Utility_LookupValueInTableNumber(D273,Table_SourceData_Scope3_Pesticides[Product],Table_SourceData_Scope3_Pesticides[AusLCI Emissions intensity])</f>
        <v>10.3</v>
      </c>
      <c r="G273" s="25" cm="1">
        <f t="array" ref="G273">Scope3_Equations.VEERG_15_5_1_1__1_EmissionsFromPurchasedAgrichemicals($E273,F273)</f>
        <v>1.03</v>
      </c>
      <c r="H273" s="85"/>
      <c r="I273" s="25" cm="1">
        <f t="array" ref="I273">Scope3_Equations.VEERG_15_5_1_1__1_EmissionsFromPurchasedAgrichemicals($E273,IF(H273,H273,F273))</f>
        <v>1.03</v>
      </c>
    </row>
    <row r="274" spans="3:41" x14ac:dyDescent="0.25">
      <c r="D274" s="25" t="str">
        <v>Mancozeb</v>
      </c>
      <c r="E274" s="25">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25" cm="1">
        <f t="array" ref="F274">Common_InputFunctions.Utility_LookupValueInTableNumber(D274,Table_SourceData_Scope3_Pesticides[Product],Table_SourceData_Scope3_Pesticides[AusLCI Emissions intensity])</f>
        <v>4.55</v>
      </c>
      <c r="G274" s="25" cm="1">
        <f t="array" ref="G274">Scope3_Equations.VEERG_15_5_1_1__1_EmissionsFromPurchasedAgrichemicals($E274,F274)</f>
        <v>0</v>
      </c>
      <c r="H274" s="85"/>
      <c r="I274" s="25" cm="1">
        <f t="array" ref="I274">Scope3_Equations.VEERG_15_5_1_1__1_EmissionsFromPurchasedAgrichemicals($E274,IF(H274,H274,F274))</f>
        <v>0</v>
      </c>
    </row>
    <row r="275" spans="3:41" x14ac:dyDescent="0.25">
      <c r="D275" s="25" t="str">
        <v>MCPA</v>
      </c>
      <c r="E275" s="25">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25" cm="1">
        <f t="array" ref="F275">Common_InputFunctions.Utility_LookupValueInTableNumber(D275,Table_SourceData_Scope3_Pesticides[Product],Table_SourceData_Scope3_Pesticides[AusLCI Emissions intensity])</f>
        <v>5.6</v>
      </c>
      <c r="G275" s="25" cm="1">
        <f t="array" ref="G275">Scope3_Equations.VEERG_15_5_1_1__1_EmissionsFromPurchasedAgrichemicals($E275,F275)</f>
        <v>0</v>
      </c>
      <c r="H275" s="85"/>
      <c r="I275" s="25" cm="1">
        <f t="array" ref="I275">Scope3_Equations.VEERG_15_5_1_1__1_EmissionsFromPurchasedAgrichemicals($E275,IF(H275,H275,F275))</f>
        <v>0</v>
      </c>
    </row>
    <row r="276" spans="3:41" x14ac:dyDescent="0.25">
      <c r="D276" s="25" t="str">
        <v>Metolachlor</v>
      </c>
      <c r="E276" s="25">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25" cm="1">
        <f t="array" ref="F276">Common_InputFunctions.Utility_LookupValueInTableNumber(D276,Table_SourceData_Scope3_Pesticides[Product],Table_SourceData_Scope3_Pesticides[AusLCI Emissions intensity])</f>
        <v>8.06</v>
      </c>
      <c r="G276" s="25" cm="1">
        <f t="array" ref="G276">Scope3_Equations.VEERG_15_5_1_1__1_EmissionsFromPurchasedAgrichemicals($E276,F276)</f>
        <v>0.80600000000000005</v>
      </c>
      <c r="H276" s="85"/>
      <c r="I276" s="25" cm="1">
        <f t="array" ref="I276">Scope3_Equations.VEERG_15_5_1_1__1_EmissionsFromPurchasedAgrichemicals($E276,IF(H276,H276,F276))</f>
        <v>0.80600000000000005</v>
      </c>
    </row>
    <row r="277" spans="3:41" x14ac:dyDescent="0.25">
      <c r="D277" s="25" t="str">
        <v>Metsulfuron-methyl</v>
      </c>
      <c r="E277" s="25">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25" cm="1">
        <f t="array" ref="F277">Common_InputFunctions.Utility_LookupValueInTableNumber(D277,Table_SourceData_Scope3_Pesticides[Product],Table_SourceData_Scope3_Pesticides[AusLCI Emissions intensity])</f>
        <v>8.8000000000000007</v>
      </c>
      <c r="G277" s="25" cm="1">
        <f t="array" ref="G277">Scope3_Equations.VEERG_15_5_1_1__1_EmissionsFromPurchasedAgrichemicals($E277,F277)</f>
        <v>0</v>
      </c>
      <c r="H277" s="85"/>
      <c r="I277" s="25" cm="1">
        <f t="array" ref="I277">Scope3_Equations.VEERG_15_5_1_1__1_EmissionsFromPurchasedAgrichemicals($E277,IF(H277,H277,F277))</f>
        <v>0</v>
      </c>
    </row>
    <row r="278" spans="3:41" x14ac:dyDescent="0.25">
      <c r="D278" s="25" t="str">
        <v>Pesticides (generic)</v>
      </c>
      <c r="E278" s="25">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25" cm="1">
        <f t="array" ref="F278">Common_InputFunctions.Utility_LookupValueInTableNumber(D278,Table_SourceData_Scope3_Pesticides[Product],Table_SourceData_Scope3_Pesticides[AusLCI Emissions intensity])</f>
        <v>9.16</v>
      </c>
      <c r="G278" s="25" cm="1">
        <f t="array" ref="G278">Scope3_Equations.VEERG_15_5_1_1__1_EmissionsFromPurchasedAgrichemicals($E278,F278)</f>
        <v>3.6640000000000001</v>
      </c>
      <c r="H278" s="85"/>
      <c r="I278" s="25" cm="1">
        <f t="array" ref="I278">Scope3_Equations.VEERG_15_5_1_1__1_EmissionsFromPurchasedAgrichemicals($E278,IF(H278,H278,F278))</f>
        <v>3.6640000000000001</v>
      </c>
    </row>
    <row r="279" spans="3:41" x14ac:dyDescent="0.25">
      <c r="D279" s="25" t="str">
        <v>Tri-allate</v>
      </c>
      <c r="E279" s="25">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25" cm="1">
        <f t="array" ref="F279">Common_InputFunctions.Utility_LookupValueInTableNumber(D279,Table_SourceData_Scope3_Pesticides[Product],Table_SourceData_Scope3_Pesticides[AusLCI Emissions intensity])</f>
        <v>8.57</v>
      </c>
      <c r="G279" s="25" cm="1">
        <f t="array" ref="G279">Scope3_Equations.VEERG_15_5_1_1__1_EmissionsFromPurchasedAgrichemicals($E279,F279)</f>
        <v>0</v>
      </c>
      <c r="H279" s="85"/>
      <c r="I279" s="25" cm="1">
        <f t="array" ref="I279">Scope3_Equations.VEERG_15_5_1_1__1_EmissionsFromPurchasedAgrichemicals($E279,IF(H279,H279,F279))</f>
        <v>0</v>
      </c>
    </row>
    <row r="280" spans="3:41" x14ac:dyDescent="0.25">
      <c r="D280" s="25" t="str">
        <v>Tribenuron methyl</v>
      </c>
      <c r="E280" s="25">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25" cm="1">
        <f t="array" ref="F280">Common_InputFunctions.Utility_LookupValueInTableNumber(D280,Table_SourceData_Scope3_Pesticides[Product],Table_SourceData_Scope3_Pesticides[AusLCI Emissions intensity])</f>
        <v>8.8000000000000007</v>
      </c>
      <c r="G280" s="25" cm="1">
        <f t="array" ref="G280">Scope3_Equations.VEERG_15_5_1_1__1_EmissionsFromPurchasedAgrichemicals($E280,F280)</f>
        <v>0.88000000000000012</v>
      </c>
      <c r="H280" s="85"/>
      <c r="I280" s="25" cm="1">
        <f t="array" ref="I280">Scope3_Equations.VEERG_15_5_1_1__1_EmissionsFromPurchasedAgrichemicals($E280,IF(H280,H280,F280))</f>
        <v>0.88000000000000012</v>
      </c>
    </row>
    <row r="281" spans="3:41" x14ac:dyDescent="0.25">
      <c r="D281" s="25" t="str">
        <v>Trifluralin</v>
      </c>
      <c r="E281" s="25">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25" cm="1">
        <f t="array" ref="F281">Common_InputFunctions.Utility_LookupValueInTableNumber(D281,Table_SourceData_Scope3_Pesticides[Product],Table_SourceData_Scope3_Pesticides[AusLCI Emissions intensity])</f>
        <v>6.16</v>
      </c>
      <c r="G281" s="25" cm="1">
        <f t="array" ref="G281">Scope3_Equations.VEERG_15_5_1_1__1_EmissionsFromPurchasedAgrichemicals($E281,F281)</f>
        <v>0.61599999999999999</v>
      </c>
      <c r="H281" s="85"/>
      <c r="I281" s="25" cm="1">
        <f t="array" ref="I281">Scope3_Equations.VEERG_15_5_1_1__1_EmissionsFromPurchasedAgrichemicals($E281,IF(H281,H281,F281))</f>
        <v>0.61599999999999999</v>
      </c>
    </row>
    <row r="283" spans="3:41" ht="20.25" x14ac:dyDescent="0.25">
      <c r="D283" s="278" t="s">
        <v>1145</v>
      </c>
      <c r="E283" s="136">
        <f>SUM(G270:G281)</f>
        <v>7.5159999999999991</v>
      </c>
      <c r="F283" s="137" t="str">
        <f>$E$155</f>
        <v>t CO2e</v>
      </c>
    </row>
    <row r="284" spans="3:41" ht="20.25" x14ac:dyDescent="0.25">
      <c r="D284" s="278" t="s">
        <v>1148</v>
      </c>
      <c r="E284" s="136">
        <f>SUM(I270:I281)</f>
        <v>7.4959999999999996</v>
      </c>
      <c r="F284" s="137" t="str">
        <f>$E$155</f>
        <v>t CO2e</v>
      </c>
    </row>
    <row r="287" spans="3:41" x14ac:dyDescent="0.25">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row>
    <row r="288" spans="3:41" ht="23.25" x14ac:dyDescent="0.25">
      <c r="D288" s="2" t="str" cm="1">
        <f t="array" ref="D288">Scope3_Equations.VEERG_15_6_1_1__1_EmissionsFromPurchasedLime_Title()</f>
        <v>Embedded emissions for purchased lime</v>
      </c>
    </row>
    <row r="289" spans="4:13" x14ac:dyDescent="0.25">
      <c r="D289" s="27" t="str" cm="1">
        <f t="array" ref="D289">Scope3_Equations.VEERG_15_6_1_1__1_EmissionsFromPurchasedLime_Source()</f>
        <v>VEERG 2026: 15.6.1.1, Equation (1)</v>
      </c>
    </row>
    <row r="290" spans="4:13" x14ac:dyDescent="0.25">
      <c r="D290" s="118" t="s">
        <v>262</v>
      </c>
      <c r="E290" s="118" t="str" cm="1">
        <f t="array" aca="1" ref="E290" ca="1">Common_InputFunctions.Utility_DisplayFunctionName(I305)</f>
        <v>=Scope3_Equations.VEERG_15_6_1_1__1_EmissionsFromPurchasedLime</v>
      </c>
    </row>
    <row r="293" spans="4:13" x14ac:dyDescent="0.25">
      <c r="D293" s="87" t="s">
        <v>263</v>
      </c>
      <c r="E293" s="1" t="str" cm="1">
        <f t="array" ref="E293">Scope3_Equations.VEERG_15_6_1_1__1_EmissionsFromPurchasedLime_Variable()</f>
        <v>E</v>
      </c>
    </row>
    <row r="294" spans="4:13" x14ac:dyDescent="0.25">
      <c r="D294" s="87" t="s">
        <v>122</v>
      </c>
      <c r="E294" s="1" t="str" cm="1">
        <f t="array" ref="E294">Scope3_Equations.VEERG_15_6_1_1__1_EmissionsFromPurchasedLime_Unit()</f>
        <v>t CO2e</v>
      </c>
    </row>
    <row r="296" spans="4:13" x14ac:dyDescent="0.25">
      <c r="D296" s="120" t="str" cm="1">
        <f t="array" ref="D296:E297">_xlfn.CHOOSECOLS(Scope3_Equations.VEERG_15_6_1_1__1_EmissionsFromPurchasedLime_Arguments(),1,2)</f>
        <v>M_lime</v>
      </c>
      <c r="E296" s="120" t="str">
        <v>total quantity of lime applied to soils</v>
      </c>
      <c r="F296" s="120" t="str" cm="1">
        <f t="array" ref="F296:G297">_xlfn.CHOOSECOLS(Scope3_Equations.VEERG_15_6_1_1__1_EmissionsFromPurchasedLime_Arguments(),3,4)</f>
        <v>t</v>
      </c>
      <c r="G296" s="275" t="str">
        <v>Input</v>
      </c>
    </row>
    <row r="297" spans="4:13" x14ac:dyDescent="0.25">
      <c r="D297" s="120" t="str">
        <v>EF_l</v>
      </c>
      <c r="E297" s="120" t="str">
        <v>emission factor for purchased lime</v>
      </c>
      <c r="F297" s="120" t="str">
        <v>t CO2e/t</v>
      </c>
      <c r="G297" s="128" t="str">
        <v>Constant</v>
      </c>
    </row>
    <row r="299" spans="4:13" x14ac:dyDescent="0.25">
      <c r="E299" s="124" t="s">
        <v>136</v>
      </c>
      <c r="F299" s="94" t="s">
        <v>137</v>
      </c>
    </row>
    <row r="300" spans="4:13" ht="18.75" x14ac:dyDescent="0.25">
      <c r="D300" s="1" t="s">
        <v>1216</v>
      </c>
      <c r="E300" s="25" cm="1">
        <f t="array" ref="E300">Common_InputFunctions.Utility_LookupValueInTableNumber("Limestone (crushed)", Table_SourceData_Scope3_SoilAmeliorants[Product],Table_SourceData_Scope3_SoilAmeliorants[AusLCI Emissions intensity])*10^-3</f>
        <v>4.85E-5</v>
      </c>
      <c r="F300" s="85">
        <v>4.0000000000000003E-5</v>
      </c>
      <c r="G300" s="26" t="str">
        <f>$F$297</f>
        <v>t CO2e/t</v>
      </c>
    </row>
    <row r="301" spans="4:13" ht="18.75" x14ac:dyDescent="0.25">
      <c r="D301" s="1" t="s">
        <v>1217</v>
      </c>
      <c r="E301" s="25" cm="1">
        <f t="array" ref="E301">Common_InputFunctions.Utility_LookupValueInTableNumber("Dolomite", Table_SourceData_Scope3_SoilAmeliorants[Product],Table_SourceData_Scope3_SoilAmeliorants[AusLCI Emissions intensity])*10^-3</f>
        <v>6.5199999999999999E-5</v>
      </c>
      <c r="F301" s="85">
        <v>6.0000000000000002E-5</v>
      </c>
      <c r="G301" s="26"/>
    </row>
    <row r="302" spans="4:13" ht="18.75" x14ac:dyDescent="0.25">
      <c r="D302" s="1" t="s">
        <v>1218</v>
      </c>
      <c r="E302" s="25" cm="1">
        <f t="array" ref="E302">Common_InputFunctions.Utility_LookupValueInTableNumber("Gypsum", Table_SourceData_Scope3_SoilAmeliorants[Product],Table_SourceData_Scope3_SoilAmeliorants[AusLCI Emissions intensity])*10^-3</f>
        <v>6.5199999999999999E-5</v>
      </c>
      <c r="F302" s="85">
        <v>6.0000000000000002E-5</v>
      </c>
      <c r="G302" s="26"/>
    </row>
    <row r="304" spans="4:13" ht="17.25" x14ac:dyDescent="0.25">
      <c r="D304" s="94" t="s">
        <v>722</v>
      </c>
      <c r="E304" s="276" t="s">
        <v>1219</v>
      </c>
      <c r="F304" s="94" t="s">
        <v>1220</v>
      </c>
      <c r="G304" s="94" t="s">
        <v>1221</v>
      </c>
      <c r="H304" s="94" t="s">
        <v>1222</v>
      </c>
      <c r="I304" s="124" t="s">
        <v>1145</v>
      </c>
      <c r="J304" s="124" t="s">
        <v>1223</v>
      </c>
      <c r="K304" s="94" t="s">
        <v>1149</v>
      </c>
      <c r="L304" s="94" t="s">
        <v>1150</v>
      </c>
      <c r="M304" s="94" t="s">
        <v>1151</v>
      </c>
    </row>
    <row r="305" spans="3:41" x14ac:dyDescent="0.25">
      <c r="D305" s="25" t="str" cm="1">
        <f t="array" ref="D305:D314">IFERROR(INDEX(Table_Input_Lime[Product], _xlfn.SEQUENCE(10)), "")</f>
        <v>Lime product 1</v>
      </c>
      <c r="E305" s="25" cm="1">
        <f t="array" ref="E305:E314">IFERROR(INDEX(Table_Input_Lime[Total amount applied (t)], _xlfn.SEQUENCE(10)), 0)</f>
        <v>1000</v>
      </c>
      <c r="F305" s="25" cm="1">
        <f t="array" ref="F305:F314">IFERROR(INDEX(Table_Input_Lime[Percent Lime CaCO3], _xlfn.SEQUENCE(10)), 0)*E305</f>
        <v>800</v>
      </c>
      <c r="G305" s="25" cm="1">
        <f t="array" ref="G305:G314">IFERROR(INDEX(Table_Input_Lime[Percent Dolomite CaMg(CO3)2], _xlfn.SEQUENCE(10)), 0)*E305</f>
        <v>100</v>
      </c>
      <c r="H305" s="25" cm="1">
        <f t="array" ref="H305:H314">IFERROR(INDEX(Table_Input_Lime[Percent Gypsum], _xlfn.SEQUENCE(10)), 0)*E305</f>
        <v>100</v>
      </c>
      <c r="I305" s="277" cm="1">
        <f t="array" ref="I305">Scope3_Equations.VEERG_15_6_1_1__1_EmissionsFromPurchasedLime(F305,$E$300)+
Scope3_Equations.VEERG_15_6_1_1__1_EmissionsFromPurchasedLime(G305,$E$301)+
Scope3_Equations.VEERG_15_6_1_1__1_EmissionsFromPurchasedLime(H305,$E$302)</f>
        <v>5.1839999999999997E-2</v>
      </c>
      <c r="J305" s="277" cm="1">
        <f t="array" ref="J305">Scope3_Equations.VEERG_15_6_1_1__1_EmissionsFromPurchasedLime(F305,IF($F$300,$F$300,$E$300))+
Scope3_Equations.VEERG_15_6_1_1__1_EmissionsFromPurchasedLime(G305,IF($F$301,$F$301,$E$301))+
Scope3_Equations.VEERG_15_6_1_1__1_EmissionsFromPurchasedLime(H305,IF($F$302,$F$302,$E$302))</f>
        <v>4.3999999999999997E-2</v>
      </c>
      <c r="K305" s="43"/>
      <c r="L305" s="23"/>
      <c r="M305" s="43"/>
    </row>
    <row r="306" spans="3:41" x14ac:dyDescent="0.25">
      <c r="D306" s="25" t="str">
        <v>Lime product 2</v>
      </c>
      <c r="E306" s="25">
        <v>1000</v>
      </c>
      <c r="F306" s="25">
        <v>1000</v>
      </c>
      <c r="G306" s="25">
        <v>0</v>
      </c>
      <c r="H306" s="25">
        <v>0</v>
      </c>
      <c r="I306" s="277" cm="1">
        <f t="array" ref="I306">Scope3_Equations.VEERG_15_6_1_1__1_EmissionsFromPurchasedLime(F306,$E$300)+
Scope3_Equations.VEERG_15_6_1_1__1_EmissionsFromPurchasedLime(G306,$E$301)+
Scope3_Equations.VEERG_15_6_1_1__1_EmissionsFromPurchasedLime(H306,$E$302)</f>
        <v>4.8500000000000001E-2</v>
      </c>
      <c r="J306" s="277" cm="1">
        <f t="array" ref="J306">Scope3_Equations.VEERG_15_6_1_1__1_EmissionsFromPurchasedLime(F306,IF($F$300,$F$300,$E$300))+
Scope3_Equations.VEERG_15_6_1_1__1_EmissionsFromPurchasedLime(G306,IF($F$301,$F$301,$E$301))+
Scope3_Equations.VEERG_15_6_1_1__1_EmissionsFromPurchasedLime(H306,IF($F$302,$F$302,$E$302))</f>
        <v>0.04</v>
      </c>
      <c r="K306" s="43"/>
      <c r="L306" s="23"/>
      <c r="M306" s="43"/>
    </row>
    <row r="307" spans="3:41" x14ac:dyDescent="0.25">
      <c r="D307" s="25" t="str">
        <v>Lime product 3</v>
      </c>
      <c r="E307" s="25">
        <v>1000</v>
      </c>
      <c r="F307" s="25">
        <v>0</v>
      </c>
      <c r="G307" s="25">
        <v>0</v>
      </c>
      <c r="H307" s="25">
        <v>1000</v>
      </c>
      <c r="I307" s="277" cm="1">
        <f t="array" ref="I307">Scope3_Equations.VEERG_15_6_1_1__1_EmissionsFromPurchasedLime(F307,$E$300)+
Scope3_Equations.VEERG_15_6_1_1__1_EmissionsFromPurchasedLime(G307,$E$301)+
Scope3_Equations.VEERG_15_6_1_1__1_EmissionsFromPurchasedLime(H307,$E$302)</f>
        <v>6.5199999999999994E-2</v>
      </c>
      <c r="J307" s="277" cm="1">
        <f t="array" ref="J307">Scope3_Equations.VEERG_15_6_1_1__1_EmissionsFromPurchasedLime(F307,IF($F$300,$F$300,$E$300))+
Scope3_Equations.VEERG_15_6_1_1__1_EmissionsFromPurchasedLime(G307,IF($F$301,$F$301,$E$301))+
Scope3_Equations.VEERG_15_6_1_1__1_EmissionsFromPurchasedLime(H307,IF($F$302,$F$302,$E$302))</f>
        <v>6.0000000000000005E-2</v>
      </c>
      <c r="K307" s="43"/>
      <c r="L307" s="23"/>
      <c r="M307" s="43"/>
    </row>
    <row r="308" spans="3:41" x14ac:dyDescent="0.25">
      <c r="D308" s="25" t="str">
        <v/>
      </c>
      <c r="E308" s="25">
        <v>0</v>
      </c>
      <c r="F308" s="25">
        <v>0</v>
      </c>
      <c r="G308" s="25">
        <v>0</v>
      </c>
      <c r="H308" s="25">
        <v>0</v>
      </c>
      <c r="I308" s="277" cm="1">
        <f t="array" ref="I308">Scope3_Equations.VEERG_15_6_1_1__1_EmissionsFromPurchasedLime(F308,$E$300)+
Scope3_Equations.VEERG_15_6_1_1__1_EmissionsFromPurchasedLime(G308,$E$301)+
Scope3_Equations.VEERG_15_6_1_1__1_EmissionsFromPurchasedLime(H308,$E$302)</f>
        <v>0</v>
      </c>
      <c r="J308" s="277" cm="1">
        <f t="array" ref="J308">Scope3_Equations.VEERG_15_6_1_1__1_EmissionsFromPurchasedLime(F308,IF($F$300,$F$300,$E$300))+
Scope3_Equations.VEERG_15_6_1_1__1_EmissionsFromPurchasedLime(G308,IF($F$301,$F$301,$E$301))+
Scope3_Equations.VEERG_15_6_1_1__1_EmissionsFromPurchasedLime(H308,IF($F$302,$F$302,$E$302))</f>
        <v>0</v>
      </c>
      <c r="K308" s="43"/>
      <c r="L308" s="23"/>
      <c r="M308" s="43"/>
    </row>
    <row r="309" spans="3:41" x14ac:dyDescent="0.25">
      <c r="D309" s="25" t="str">
        <v/>
      </c>
      <c r="E309" s="25">
        <v>0</v>
      </c>
      <c r="F309" s="25">
        <v>0</v>
      </c>
      <c r="G309" s="25">
        <v>0</v>
      </c>
      <c r="H309" s="25">
        <v>0</v>
      </c>
      <c r="I309" s="277" cm="1">
        <f t="array" ref="I309">Scope3_Equations.VEERG_15_6_1_1__1_EmissionsFromPurchasedLime(F309,$E$300)+
Scope3_Equations.VEERG_15_6_1_1__1_EmissionsFromPurchasedLime(G309,$E$301)+
Scope3_Equations.VEERG_15_6_1_1__1_EmissionsFromPurchasedLime(H309,$E$302)</f>
        <v>0</v>
      </c>
      <c r="J309" s="277" cm="1">
        <f t="array" ref="J309">Scope3_Equations.VEERG_15_6_1_1__1_EmissionsFromPurchasedLime(F309,IF($F$300,$F$300,$E$300))+
Scope3_Equations.VEERG_15_6_1_1__1_EmissionsFromPurchasedLime(G309,IF($F$301,$F$301,$E$301))+
Scope3_Equations.VEERG_15_6_1_1__1_EmissionsFromPurchasedLime(H309,IF($F$302,$F$302,$E$302))</f>
        <v>0</v>
      </c>
      <c r="K309" s="43"/>
      <c r="L309" s="23"/>
      <c r="M309" s="43"/>
    </row>
    <row r="310" spans="3:41" x14ac:dyDescent="0.25">
      <c r="D310" s="25" t="str">
        <v/>
      </c>
      <c r="E310" s="25">
        <v>0</v>
      </c>
      <c r="F310" s="25">
        <v>0</v>
      </c>
      <c r="G310" s="25">
        <v>0</v>
      </c>
      <c r="H310" s="25">
        <v>0</v>
      </c>
      <c r="I310" s="277" cm="1">
        <f t="array" ref="I310">Scope3_Equations.VEERG_15_6_1_1__1_EmissionsFromPurchasedLime(F310,$E$300)+
Scope3_Equations.VEERG_15_6_1_1__1_EmissionsFromPurchasedLime(G310,$E$301)+
Scope3_Equations.VEERG_15_6_1_1__1_EmissionsFromPurchasedLime(H310,$E$302)</f>
        <v>0</v>
      </c>
      <c r="J310" s="277" cm="1">
        <f t="array" ref="J310">Scope3_Equations.VEERG_15_6_1_1__1_EmissionsFromPurchasedLime(F310,IF($F$300,$F$300,$E$300))+
Scope3_Equations.VEERG_15_6_1_1__1_EmissionsFromPurchasedLime(G310,IF($F$301,$F$301,$E$301))+
Scope3_Equations.VEERG_15_6_1_1__1_EmissionsFromPurchasedLime(H310,IF($F$302,$F$302,$E$302))</f>
        <v>0</v>
      </c>
      <c r="K310" s="43"/>
      <c r="L310" s="23"/>
      <c r="M310" s="43"/>
    </row>
    <row r="311" spans="3:41" x14ac:dyDescent="0.25">
      <c r="D311" s="25" t="str">
        <v/>
      </c>
      <c r="E311" s="25">
        <v>0</v>
      </c>
      <c r="F311" s="25">
        <v>0</v>
      </c>
      <c r="G311" s="25">
        <v>0</v>
      </c>
      <c r="H311" s="25">
        <v>0</v>
      </c>
      <c r="I311" s="277" cm="1">
        <f t="array" ref="I311">Scope3_Equations.VEERG_15_6_1_1__1_EmissionsFromPurchasedLime(F311,$E$300)+
Scope3_Equations.VEERG_15_6_1_1__1_EmissionsFromPurchasedLime(G311,$E$301)+
Scope3_Equations.VEERG_15_6_1_1__1_EmissionsFromPurchasedLime(H311,$E$302)</f>
        <v>0</v>
      </c>
      <c r="J311" s="277" cm="1">
        <f t="array" ref="J311">Scope3_Equations.VEERG_15_6_1_1__1_EmissionsFromPurchasedLime(F311,IF($F$300,$F$300,$E$300))+
Scope3_Equations.VEERG_15_6_1_1__1_EmissionsFromPurchasedLime(G311,IF($F$301,$F$301,$E$301))+
Scope3_Equations.VEERG_15_6_1_1__1_EmissionsFromPurchasedLime(H311,IF($F$302,$F$302,$E$302))</f>
        <v>0</v>
      </c>
      <c r="K311" s="43"/>
      <c r="L311" s="23"/>
      <c r="M311" s="43"/>
    </row>
    <row r="312" spans="3:41" x14ac:dyDescent="0.25">
      <c r="D312" s="25" t="str">
        <v/>
      </c>
      <c r="E312" s="25">
        <v>0</v>
      </c>
      <c r="F312" s="25">
        <v>0</v>
      </c>
      <c r="G312" s="25">
        <v>0</v>
      </c>
      <c r="H312" s="25">
        <v>0</v>
      </c>
      <c r="I312" s="277" cm="1">
        <f t="array" ref="I312">Scope3_Equations.VEERG_15_6_1_1__1_EmissionsFromPurchasedLime(F312,$E$300)+
Scope3_Equations.VEERG_15_6_1_1__1_EmissionsFromPurchasedLime(G312,$E$301)+
Scope3_Equations.VEERG_15_6_1_1__1_EmissionsFromPurchasedLime(H312,$E$302)</f>
        <v>0</v>
      </c>
      <c r="J312" s="277" cm="1">
        <f t="array" ref="J312">Scope3_Equations.VEERG_15_6_1_1__1_EmissionsFromPurchasedLime(F312,IF($F$300,$F$300,$E$300))+
Scope3_Equations.VEERG_15_6_1_1__1_EmissionsFromPurchasedLime(G312,IF($F$301,$F$301,$E$301))+
Scope3_Equations.VEERG_15_6_1_1__1_EmissionsFromPurchasedLime(H312,IF($F$302,$F$302,$E$302))</f>
        <v>0</v>
      </c>
      <c r="K312" s="43"/>
      <c r="L312" s="23"/>
      <c r="M312" s="43"/>
    </row>
    <row r="313" spans="3:41" x14ac:dyDescent="0.25">
      <c r="D313" s="25" t="str">
        <v/>
      </c>
      <c r="E313" s="25">
        <v>0</v>
      </c>
      <c r="F313" s="25">
        <v>0</v>
      </c>
      <c r="G313" s="25">
        <v>0</v>
      </c>
      <c r="H313" s="25">
        <v>0</v>
      </c>
      <c r="I313" s="277" cm="1">
        <f t="array" ref="I313">Scope3_Equations.VEERG_15_6_1_1__1_EmissionsFromPurchasedLime(F313,$E$300)+
Scope3_Equations.VEERG_15_6_1_1__1_EmissionsFromPurchasedLime(G313,$E$301)+
Scope3_Equations.VEERG_15_6_1_1__1_EmissionsFromPurchasedLime(H313,$E$302)</f>
        <v>0</v>
      </c>
      <c r="J313" s="277" cm="1">
        <f t="array" ref="J313">Scope3_Equations.VEERG_15_6_1_1__1_EmissionsFromPurchasedLime(F313,IF($F$300,$F$300,$E$300))+
Scope3_Equations.VEERG_15_6_1_1__1_EmissionsFromPurchasedLime(G313,IF($F$301,$F$301,$E$301))+
Scope3_Equations.VEERG_15_6_1_1__1_EmissionsFromPurchasedLime(H313,IF($F$302,$F$302,$E$302))</f>
        <v>0</v>
      </c>
      <c r="K313" s="43"/>
      <c r="L313" s="23"/>
      <c r="M313" s="43"/>
    </row>
    <row r="314" spans="3:41" x14ac:dyDescent="0.25">
      <c r="D314" s="25" t="str">
        <v/>
      </c>
      <c r="E314" s="25">
        <v>0</v>
      </c>
      <c r="F314" s="25">
        <v>0</v>
      </c>
      <c r="G314" s="25">
        <v>0</v>
      </c>
      <c r="H314" s="25">
        <v>0</v>
      </c>
      <c r="I314" s="277" cm="1">
        <f t="array" ref="I314">Scope3_Equations.VEERG_15_6_1_1__1_EmissionsFromPurchasedLime(F314,$E$300)+
Scope3_Equations.VEERG_15_6_1_1__1_EmissionsFromPurchasedLime(G314,$E$301)+
Scope3_Equations.VEERG_15_6_1_1__1_EmissionsFromPurchasedLime(H314,$E$302)</f>
        <v>0</v>
      </c>
      <c r="J314" s="277" cm="1">
        <f t="array" ref="J314">Scope3_Equations.VEERG_15_6_1_1__1_EmissionsFromPurchasedLime(F314,IF($F$300,$F$300,$E$300))+
Scope3_Equations.VEERG_15_6_1_1__1_EmissionsFromPurchasedLime(G314,IF($F$301,$F$301,$E$301))+
Scope3_Equations.VEERG_15_6_1_1__1_EmissionsFromPurchasedLime(H314,IF($F$302,$F$302,$E$302))</f>
        <v>0</v>
      </c>
      <c r="K314" s="43"/>
      <c r="L314" s="23"/>
      <c r="M314" s="43"/>
    </row>
    <row r="316" spans="3:41" ht="20.25" x14ac:dyDescent="0.25">
      <c r="D316" s="278" t="s">
        <v>1145</v>
      </c>
      <c r="E316" s="136">
        <f>SUM(I305:I314)</f>
        <v>0.16553999999999999</v>
      </c>
      <c r="F316" s="137" t="str">
        <f>$E$155</f>
        <v>t CO2e</v>
      </c>
    </row>
    <row r="317" spans="3:41" ht="20.25" x14ac:dyDescent="0.25">
      <c r="D317" s="278" t="s">
        <v>1148</v>
      </c>
      <c r="E317" s="136">
        <f>SUM(J305:J314)</f>
        <v>0.14399999999999999</v>
      </c>
      <c r="F317" s="137" t="str">
        <f>$E$155</f>
        <v>t CO2e</v>
      </c>
    </row>
    <row r="320" spans="3:41" x14ac:dyDescent="0.25">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row>
    <row r="321" spans="4:15" ht="23.25" x14ac:dyDescent="0.25">
      <c r="D321" s="2" t="str" cm="1">
        <f t="array" ref="D321">Scope3_Equations.VEERG_15_7_1_1__1_EmissionsFromPurchasedServices_Title()</f>
        <v>Emissions of purchased services and contractor operations</v>
      </c>
    </row>
    <row r="322" spans="4:15" x14ac:dyDescent="0.25">
      <c r="D322" s="27" t="str" cm="1">
        <f t="array" ref="D322">Scope3_Equations.VEERG_15_7_1_1__1_EmissionsFromPurchasedServices_Source()</f>
        <v>VEERG 2026: 15.7.1.1, Equation (1)</v>
      </c>
    </row>
    <row r="323" spans="4:15" x14ac:dyDescent="0.25">
      <c r="D323" s="118" t="s">
        <v>262</v>
      </c>
      <c r="E323" s="118" t="str" cm="1">
        <f t="array" aca="1" ref="E323" ca="1">Common_InputFunctions.Utility_DisplayFunctionName(K336)</f>
        <v>=Scope3_Equations.VEERG_15_7_1_1__1_EmissionsFromPurchasedServices</v>
      </c>
    </row>
    <row r="325" spans="4:15" x14ac:dyDescent="0.25">
      <c r="H325" s="1" t="s">
        <v>1224</v>
      </c>
    </row>
    <row r="326" spans="4:15" x14ac:dyDescent="0.25">
      <c r="D326" s="87" t="s">
        <v>263</v>
      </c>
      <c r="E326" s="1" t="str" cm="1">
        <f t="array" ref="E326">Scope3_Equations.VEERG_15_7_1_1__1_EmissionsFromPurchasedServices_Variable()</f>
        <v>E</v>
      </c>
    </row>
    <row r="327" spans="4:15" x14ac:dyDescent="0.25">
      <c r="D327" s="87" t="s">
        <v>122</v>
      </c>
      <c r="E327" s="1" t="str" cm="1">
        <f t="array" ref="E327">Scope3_Equations.VEERG_15_7_1_1__1_EmissionsFromPurchasedServices_Unit()</f>
        <v>t CO2e</v>
      </c>
    </row>
    <row r="329" spans="4:15" x14ac:dyDescent="0.25">
      <c r="D329" s="120" t="str" cm="1">
        <f t="array" ref="D329:E331">_xlfn.CHOOSECOLS(Scope3_Equations.VEERG_15_7_1_1__1_EmissionsFromPurchasedServices_Arguments(),1,2)</f>
        <v>A_p</v>
      </c>
      <c r="E329" s="125" t="str">
        <v>activity data of the service that was purchased</v>
      </c>
      <c r="F329" s="126"/>
      <c r="G329" s="120" t="str" cm="1">
        <f t="array" ref="G329:H331">_xlfn.CHOOSECOLS(Scope3_Equations.VEERG_15_7_1_1__1_EmissionsFromPurchasedServices_Arguments(),3,4)</f>
        <v>ha or h</v>
      </c>
      <c r="H329" s="275" t="str">
        <v>Input</v>
      </c>
    </row>
    <row r="330" spans="4:15" x14ac:dyDescent="0.25">
      <c r="D330" s="120" t="str">
        <v>EF_p</v>
      </c>
      <c r="E330" s="125" t="str">
        <v>life cycle emission factor for the purchased service</v>
      </c>
      <c r="F330" s="126"/>
      <c r="G330" s="120" t="str">
        <v>kg CO2e/ha or kg CO2e/h</v>
      </c>
      <c r="H330" s="128" t="str">
        <v>Constant</v>
      </c>
    </row>
    <row r="331" spans="4:15" x14ac:dyDescent="0.25">
      <c r="D331" s="120" t="str">
        <v>p</v>
      </c>
      <c r="E331" s="125" t="str">
        <v>service type</v>
      </c>
      <c r="F331" s="126"/>
      <c r="G331" s="120" t="str">
        <v/>
      </c>
      <c r="H331" s="275" t="str">
        <v>Input</v>
      </c>
    </row>
    <row r="333" spans="4:15" x14ac:dyDescent="0.25">
      <c r="D333" s="35" t="s">
        <v>1225</v>
      </c>
    </row>
    <row r="335" spans="4:15" x14ac:dyDescent="0.25">
      <c r="D335" s="94" t="s">
        <v>1087</v>
      </c>
      <c r="E335" s="94" t="s">
        <v>1088</v>
      </c>
      <c r="F335" s="94" t="s">
        <v>1089</v>
      </c>
      <c r="G335" s="94" t="s">
        <v>789</v>
      </c>
      <c r="H335" s="124" t="s">
        <v>1226</v>
      </c>
      <c r="I335" s="124" t="s">
        <v>1227</v>
      </c>
      <c r="J335" s="94" t="s">
        <v>1228</v>
      </c>
      <c r="K335" s="124" t="s">
        <v>1229</v>
      </c>
      <c r="L335" s="124" t="s">
        <v>1230</v>
      </c>
      <c r="M335" s="94" t="s">
        <v>1149</v>
      </c>
      <c r="N335" s="94" t="s">
        <v>1150</v>
      </c>
      <c r="O335" s="94" t="s">
        <v>1151</v>
      </c>
    </row>
    <row r="336" spans="4:15" x14ac:dyDescent="0.25">
      <c r="D336" s="25" t="str" cm="1">
        <f t="array" ref="D336:D345">IFERROR(INDEX(Table_Input_ServicesAndContractors[Service provider / contractor], _xlfn.SEQUENCE(10)), "")</f>
        <v>Pete's Pickers</v>
      </c>
      <c r="E336" s="25" t="str" cm="1">
        <f t="array" ref="E336:E345">IFERROR(INDEX(Table_Input_ServicesAndContractors[Activity], _xlfn.SEQUENCE(10)), "")</f>
        <v>Fruit picking</v>
      </c>
      <c r="F336" s="25" cm="1">
        <f t="array" ref="F336:F345">IFERROR(INDEX(Table_Input_ServicesAndContractors[Total amount], _xlfn.SEQUENCE(10)), "")</f>
        <v>10000</v>
      </c>
      <c r="G336" s="25" t="str" cm="1">
        <f t="array" ref="G336:G345">IFERROR(INDEX(Table_Input_ServicesAndContractors[Amount unit], _xlfn.SEQUENCE(10)), "")</f>
        <v>Hour</v>
      </c>
      <c r="H336" s="25" t="s">
        <v>1231</v>
      </c>
      <c r="I336" s="25" t="s">
        <v>1231</v>
      </c>
      <c r="J336" s="85">
        <v>4</v>
      </c>
      <c r="K336" s="277" cm="1">
        <f t="array" ref="K336">Scope3_Equations.VEERG_15_7_1_1__1_EmissionsFromPurchasedServices(F336,J336)</f>
        <v>40</v>
      </c>
      <c r="L336" s="25" t="str">
        <f>"t CO2e / " &amp; G336</f>
        <v>t CO2e / Hour</v>
      </c>
      <c r="M336" s="43"/>
      <c r="N336" s="23"/>
      <c r="O336" s="43"/>
    </row>
    <row r="337" spans="3:41" x14ac:dyDescent="0.25">
      <c r="D337" s="25" t="str">
        <v>Harini's Harvesting Services Pty Ltd</v>
      </c>
      <c r="E337" s="25" t="str">
        <v>Wheat harvesting</v>
      </c>
      <c r="F337" s="25">
        <v>1000</v>
      </c>
      <c r="G337" s="25" t="str">
        <v>Hectare</v>
      </c>
      <c r="H337" s="25" t="s">
        <v>1231</v>
      </c>
      <c r="I337" s="25" t="s">
        <v>1231</v>
      </c>
      <c r="J337" s="85">
        <v>2</v>
      </c>
      <c r="K337" s="277" cm="1">
        <f t="array" ref="K337">Scope3_Equations.VEERG_15_7_1_1__1_EmissionsFromPurchasedServices(F337,J337)</f>
        <v>2</v>
      </c>
      <c r="L337" s="25" t="str">
        <f t="shared" ref="L337:L345" si="1">"t CO2e / " &amp; G337</f>
        <v>t CO2e / Hectare</v>
      </c>
      <c r="M337" s="43"/>
      <c r="N337" s="23"/>
      <c r="O337" s="43"/>
    </row>
    <row r="338" spans="3:41" x14ac:dyDescent="0.25">
      <c r="D338" s="25">
        <v>0</v>
      </c>
      <c r="E338" s="25">
        <v>0</v>
      </c>
      <c r="F338" s="25">
        <v>0</v>
      </c>
      <c r="G338" s="25">
        <v>0</v>
      </c>
      <c r="H338" s="25" t="s">
        <v>1231</v>
      </c>
      <c r="I338" s="25" t="s">
        <v>1231</v>
      </c>
      <c r="J338" s="85"/>
      <c r="K338" s="277" cm="1">
        <f t="array" ref="K338">Scope3_Equations.VEERG_15_7_1_1__1_EmissionsFromPurchasedServices(F338,J338)</f>
        <v>0</v>
      </c>
      <c r="L338" s="25" t="str">
        <f t="shared" si="1"/>
        <v>t CO2e / 0</v>
      </c>
      <c r="M338" s="43"/>
      <c r="N338" s="23"/>
      <c r="O338" s="43"/>
    </row>
    <row r="339" spans="3:41" x14ac:dyDescent="0.25">
      <c r="D339" s="25">
        <v>0</v>
      </c>
      <c r="E339" s="25">
        <v>0</v>
      </c>
      <c r="F339" s="25">
        <v>0</v>
      </c>
      <c r="G339" s="25">
        <v>0</v>
      </c>
      <c r="H339" s="25" t="s">
        <v>1231</v>
      </c>
      <c r="I339" s="25" t="s">
        <v>1231</v>
      </c>
      <c r="J339" s="85"/>
      <c r="K339" s="277" cm="1">
        <f t="array" ref="K339">Scope3_Equations.VEERG_15_7_1_1__1_EmissionsFromPurchasedServices(F339,J339)</f>
        <v>0</v>
      </c>
      <c r="L339" s="25" t="str">
        <f t="shared" si="1"/>
        <v>t CO2e / 0</v>
      </c>
      <c r="M339" s="43"/>
      <c r="N339" s="23"/>
      <c r="O339" s="43"/>
    </row>
    <row r="340" spans="3:41" x14ac:dyDescent="0.25">
      <c r="D340" s="25">
        <v>0</v>
      </c>
      <c r="E340" s="25">
        <v>0</v>
      </c>
      <c r="F340" s="25">
        <v>0</v>
      </c>
      <c r="G340" s="25">
        <v>0</v>
      </c>
      <c r="H340" s="25" t="s">
        <v>1231</v>
      </c>
      <c r="I340" s="25" t="s">
        <v>1231</v>
      </c>
      <c r="J340" s="85"/>
      <c r="K340" s="277" cm="1">
        <f t="array" ref="K340">Scope3_Equations.VEERG_15_7_1_1__1_EmissionsFromPurchasedServices(F340,J340)</f>
        <v>0</v>
      </c>
      <c r="L340" s="25" t="str">
        <f t="shared" si="1"/>
        <v>t CO2e / 0</v>
      </c>
      <c r="M340" s="43"/>
      <c r="N340" s="23"/>
      <c r="O340" s="43"/>
    </row>
    <row r="341" spans="3:41" x14ac:dyDescent="0.25">
      <c r="D341" s="25">
        <v>0</v>
      </c>
      <c r="E341" s="25">
        <v>0</v>
      </c>
      <c r="F341" s="25">
        <v>0</v>
      </c>
      <c r="G341" s="25">
        <v>0</v>
      </c>
      <c r="H341" s="25" t="s">
        <v>1231</v>
      </c>
      <c r="I341" s="25" t="s">
        <v>1231</v>
      </c>
      <c r="J341" s="85"/>
      <c r="K341" s="277" cm="1">
        <f t="array" ref="K341">Scope3_Equations.VEERG_15_7_1_1__1_EmissionsFromPurchasedServices(F341,J341)</f>
        <v>0</v>
      </c>
      <c r="L341" s="25" t="str">
        <f t="shared" si="1"/>
        <v>t CO2e / 0</v>
      </c>
      <c r="M341" s="43"/>
      <c r="N341" s="23"/>
      <c r="O341" s="43"/>
    </row>
    <row r="342" spans="3:41" x14ac:dyDescent="0.25">
      <c r="D342" s="25">
        <v>0</v>
      </c>
      <c r="E342" s="25">
        <v>0</v>
      </c>
      <c r="F342" s="25">
        <v>0</v>
      </c>
      <c r="G342" s="25">
        <v>0</v>
      </c>
      <c r="H342" s="25" t="s">
        <v>1231</v>
      </c>
      <c r="I342" s="25" t="s">
        <v>1231</v>
      </c>
      <c r="J342" s="85"/>
      <c r="K342" s="277" cm="1">
        <f t="array" ref="K342">Scope3_Equations.VEERG_15_7_1_1__1_EmissionsFromPurchasedServices(F342,J342)</f>
        <v>0</v>
      </c>
      <c r="L342" s="25" t="str">
        <f t="shared" si="1"/>
        <v>t CO2e / 0</v>
      </c>
      <c r="M342" s="43"/>
      <c r="N342" s="23"/>
      <c r="O342" s="43"/>
    </row>
    <row r="343" spans="3:41" x14ac:dyDescent="0.25">
      <c r="D343" s="25">
        <v>0</v>
      </c>
      <c r="E343" s="25">
        <v>0</v>
      </c>
      <c r="F343" s="25">
        <v>0</v>
      </c>
      <c r="G343" s="25">
        <v>0</v>
      </c>
      <c r="H343" s="25" t="s">
        <v>1231</v>
      </c>
      <c r="I343" s="25" t="s">
        <v>1231</v>
      </c>
      <c r="J343" s="85"/>
      <c r="K343" s="277" cm="1">
        <f t="array" ref="K343">Scope3_Equations.VEERG_15_7_1_1__1_EmissionsFromPurchasedServices(F343,J343)</f>
        <v>0</v>
      </c>
      <c r="L343" s="25" t="str">
        <f t="shared" si="1"/>
        <v>t CO2e / 0</v>
      </c>
      <c r="M343" s="43"/>
      <c r="N343" s="23"/>
      <c r="O343" s="43"/>
    </row>
    <row r="344" spans="3:41" x14ac:dyDescent="0.25">
      <c r="D344" s="25">
        <v>0</v>
      </c>
      <c r="E344" s="25">
        <v>0</v>
      </c>
      <c r="F344" s="25">
        <v>0</v>
      </c>
      <c r="G344" s="25">
        <v>0</v>
      </c>
      <c r="H344" s="25" t="s">
        <v>1231</v>
      </c>
      <c r="I344" s="25" t="s">
        <v>1231</v>
      </c>
      <c r="J344" s="85"/>
      <c r="K344" s="277" cm="1">
        <f t="array" ref="K344">Scope3_Equations.VEERG_15_7_1_1__1_EmissionsFromPurchasedServices(F344,J344)</f>
        <v>0</v>
      </c>
      <c r="L344" s="25" t="str">
        <f t="shared" si="1"/>
        <v>t CO2e / 0</v>
      </c>
      <c r="M344" s="43"/>
      <c r="N344" s="23"/>
      <c r="O344" s="43"/>
    </row>
    <row r="345" spans="3:41" x14ac:dyDescent="0.25">
      <c r="D345" s="25">
        <v>0</v>
      </c>
      <c r="E345" s="25">
        <v>0</v>
      </c>
      <c r="F345" s="25">
        <v>0</v>
      </c>
      <c r="G345" s="25">
        <v>0</v>
      </c>
      <c r="H345" s="25" t="s">
        <v>1231</v>
      </c>
      <c r="I345" s="25" t="s">
        <v>1231</v>
      </c>
      <c r="J345" s="85"/>
      <c r="K345" s="277" cm="1">
        <f t="array" ref="K345">Scope3_Equations.VEERG_15_7_1_1__1_EmissionsFromPurchasedServices(F345,J345)</f>
        <v>0</v>
      </c>
      <c r="L345" s="25" t="str">
        <f t="shared" si="1"/>
        <v>t CO2e / 0</v>
      </c>
      <c r="M345" s="43"/>
      <c r="N345" s="23"/>
      <c r="O345" s="43"/>
    </row>
    <row r="347" spans="3:41" ht="20.25" x14ac:dyDescent="0.25">
      <c r="D347" s="278" t="s">
        <v>1145</v>
      </c>
      <c r="E347" s="136" t="s">
        <v>1231</v>
      </c>
      <c r="F347" s="137" t="str">
        <f>$E$155</f>
        <v>t CO2e</v>
      </c>
    </row>
    <row r="348" spans="3:41" ht="20.25" x14ac:dyDescent="0.25">
      <c r="D348" s="278" t="s">
        <v>1148</v>
      </c>
      <c r="E348" s="136">
        <f>SUM(K336:K345)</f>
        <v>42</v>
      </c>
      <c r="F348" s="137" t="str">
        <f>$E$155</f>
        <v>t CO2e</v>
      </c>
    </row>
    <row r="351" spans="3:41" x14ac:dyDescent="0.25">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row>
    <row r="352" spans="3:41" ht="23.25" x14ac:dyDescent="0.25">
      <c r="D352" s="2" t="str" cm="1">
        <f t="array" ref="D352">Scope3_Equations.VEERG_15_8_1_1__1_EmissionsFromPurchasedPackaging_Title()</f>
        <v>Embedded emissions from use of packaging materials</v>
      </c>
    </row>
    <row r="353" spans="4:13" x14ac:dyDescent="0.25">
      <c r="D353" s="27" t="str" cm="1">
        <f t="array" ref="D353">Scope3_Equations.VEERG_15_8_1_1__1_EmissionsFromPurchasedPackaging_Source()</f>
        <v>VEERG 2026: 15.8.1.1, Equation (1)</v>
      </c>
    </row>
    <row r="354" spans="4:13" x14ac:dyDescent="0.25">
      <c r="D354" s="35" t="str" cm="1">
        <f t="array" ref="D354">Scope3_Equations.VEERG_15_8_1_1__1_EmissionsFromPurchasedPackaging_Variation()</f>
        <v>VARIATION ON SOURCE: Changed unit of Q from 'units' to 'kg' as EF data is in kg.</v>
      </c>
    </row>
    <row r="355" spans="4:13" x14ac:dyDescent="0.25">
      <c r="D355" s="118" t="s">
        <v>262</v>
      </c>
      <c r="E355" s="118" t="str" cm="1">
        <f t="array" aca="1" ref="E355" ca="1">Common_InputFunctions.Utility_DisplayFunctionName(H367)</f>
        <v>=Scope3_Equations.VEERG_15_8_1_1__1_EmissionsFromPurchasedPackaging</v>
      </c>
    </row>
    <row r="359" spans="4:13" x14ac:dyDescent="0.25">
      <c r="D359" s="87" t="s">
        <v>263</v>
      </c>
      <c r="E359" s="1" t="str" cm="1">
        <f t="array" ref="E359">Scope3_Equations.VEERG_15_8_1_1__1_EmissionsFromPurchasedPackaging_Variable()</f>
        <v>E</v>
      </c>
    </row>
    <row r="360" spans="4:13" x14ac:dyDescent="0.25">
      <c r="D360" s="87" t="s">
        <v>122</v>
      </c>
      <c r="E360" s="15" t="str" cm="1">
        <f t="array" ref="E360">Scope3_Equations.VEERG_15_8_1_1__1_EmissionsFromPurchasedPackaging_Unit()</f>
        <v>t CO2e</v>
      </c>
    </row>
    <row r="362" spans="4:13" x14ac:dyDescent="0.25">
      <c r="D362" s="120" t="str" cm="1">
        <f t="array" ref="D362:E364">_xlfn.CHOOSECOLS(Scope3_Equations.VEERG_15_8_1_1__1_EmissionsFromPurchasedPackaging_Arguments(),1,2)</f>
        <v>Q_p</v>
      </c>
      <c r="E362" s="120" t="str">
        <v>units of packaging type p</v>
      </c>
      <c r="F362" s="120" t="str" cm="1">
        <f t="array" ref="F362:G364">_xlfn.CHOOSECOLS(Scope3_Equations.VEERG_15_8_1_1__1_EmissionsFromPurchasedPackaging_Arguments(),3,4)</f>
        <v>units</v>
      </c>
      <c r="G362" s="275" t="str">
        <v>Input</v>
      </c>
    </row>
    <row r="363" spans="4:13" x14ac:dyDescent="0.25">
      <c r="D363" s="120" t="str">
        <v>EF_p</v>
      </c>
      <c r="E363" s="120" t="str">
        <v>emission factor for packaging type p</v>
      </c>
      <c r="F363" s="120" t="str">
        <v>kg CO2e/unit</v>
      </c>
      <c r="G363" s="128" t="str">
        <v>Constant</v>
      </c>
    </row>
    <row r="364" spans="4:13" x14ac:dyDescent="0.25">
      <c r="D364" s="120" t="str">
        <v>p</v>
      </c>
      <c r="E364" s="120" t="str">
        <v>packaging type</v>
      </c>
      <c r="F364" s="120" t="str">
        <v/>
      </c>
      <c r="G364" s="275" t="str">
        <v>Input</v>
      </c>
    </row>
    <row r="366" spans="4:13" ht="17.25" x14ac:dyDescent="0.25">
      <c r="D366" s="94" t="s">
        <v>1139</v>
      </c>
      <c r="E366" s="276" t="s">
        <v>1099</v>
      </c>
      <c r="F366" s="276" t="s">
        <v>1232</v>
      </c>
      <c r="G366" s="124" t="s">
        <v>1233</v>
      </c>
      <c r="H366" s="124" t="s">
        <v>1145</v>
      </c>
      <c r="I366" s="94" t="s">
        <v>1234</v>
      </c>
      <c r="J366" s="124" t="s">
        <v>1148</v>
      </c>
      <c r="K366" s="94" t="s">
        <v>1149</v>
      </c>
      <c r="L366" s="94" t="s">
        <v>1150</v>
      </c>
      <c r="M366" s="94" t="s">
        <v>1151</v>
      </c>
    </row>
    <row r="367" spans="4:13" x14ac:dyDescent="0.25">
      <c r="D367" s="25" t="str" cm="1">
        <f t="array" ref="D367:D376">IFERROR(INDEX(Table_Input_Packaging[Packaging name], _xlfn.SEQUENCE(10)), "")</f>
        <v>250g punnet</v>
      </c>
      <c r="E367" s="25" t="str" cm="1">
        <f t="array" ref="E367:E376">IFERROR(INDEX(Table_Input_Packaging[Primary material], _xlfn.SEQUENCE(10)), "")</f>
        <v>Plastic sheet HDPE</v>
      </c>
      <c r="F367" s="25" cm="1">
        <f t="array" ref="F367:F376">IFERROR(INDEX(Table_Input_Packaging[Total weight purchased (kg)], _xlfn.SEQUENCE(10)), "")</f>
        <v>2000</v>
      </c>
      <c r="G367" s="25" cm="1">
        <f t="array" ref="G367">Common_InputFunctions.Utility_LookupValueInTableNumber(E367,Table_SourceData_Scope3_Packaging[Product],Table_SourceData_Scope3_Packaging[AusLCI Emissions intensity])</f>
        <v>3.72</v>
      </c>
      <c r="H367" s="277" cm="1">
        <f t="array" ref="H367">Scope3_Equations.VEERG_15_8_1_1__1_EmissionsFromPurchasedPackaging(F367,G367)</f>
        <v>7.44</v>
      </c>
      <c r="I367" s="85">
        <v>3</v>
      </c>
      <c r="J367" s="277" cm="1">
        <f t="array" ref="J367">Scope3_Equations.VEERG_15_8_1_1__1_EmissionsFromPurchasedPackaging(F367,IF(I367,I367,G367))</f>
        <v>6</v>
      </c>
      <c r="K367" s="43"/>
      <c r="L367" s="23"/>
      <c r="M367" s="43"/>
    </row>
    <row r="368" spans="4:13" x14ac:dyDescent="0.25">
      <c r="D368" s="25">
        <v>0</v>
      </c>
      <c r="E368" s="25">
        <v>0</v>
      </c>
      <c r="F368" s="25">
        <v>0</v>
      </c>
      <c r="G368" s="25" cm="1">
        <f t="array" ref="G368">Common_InputFunctions.Utility_LookupValueInTableNumber(E368,Table_SourceData_Scope3_Packaging[Product],Table_SourceData_Scope3_Packaging[AusLCI Emissions intensity])</f>
        <v>0</v>
      </c>
      <c r="H368" s="277" cm="1">
        <f t="array" ref="H368">Scope3_Equations.VEERG_15_8_1_1__1_EmissionsFromPurchasedPackaging(F368,G368)</f>
        <v>0</v>
      </c>
      <c r="I368" s="85"/>
      <c r="J368" s="277" cm="1">
        <f t="array" ref="J368">Scope3_Equations.VEERG_15_8_1_1__1_EmissionsFromPurchasedPackaging(F368,IF(I368,I368,G368))</f>
        <v>0</v>
      </c>
      <c r="K368" s="43"/>
      <c r="L368" s="23"/>
      <c r="M368" s="43"/>
    </row>
    <row r="369" spans="3:41" x14ac:dyDescent="0.25">
      <c r="D369" s="25">
        <v>0</v>
      </c>
      <c r="E369" s="25">
        <v>0</v>
      </c>
      <c r="F369" s="25">
        <v>0</v>
      </c>
      <c r="G369" s="25" cm="1">
        <f t="array" ref="G369">Common_InputFunctions.Utility_LookupValueInTableNumber(E369,Table_SourceData_Scope3_Packaging[Product],Table_SourceData_Scope3_Packaging[AusLCI Emissions intensity])</f>
        <v>0</v>
      </c>
      <c r="H369" s="277" cm="1">
        <f t="array" ref="H369">Scope3_Equations.VEERG_15_8_1_1__1_EmissionsFromPurchasedPackaging(F369,G369)</f>
        <v>0</v>
      </c>
      <c r="I369" s="85"/>
      <c r="J369" s="277" cm="1">
        <f t="array" ref="J369">Scope3_Equations.VEERG_15_8_1_1__1_EmissionsFromPurchasedPackaging(F369,IF(I369,I369,G369))</f>
        <v>0</v>
      </c>
      <c r="K369" s="43"/>
      <c r="L369" s="23"/>
      <c r="M369" s="43"/>
    </row>
    <row r="370" spans="3:41" x14ac:dyDescent="0.25">
      <c r="D370" s="25">
        <v>0</v>
      </c>
      <c r="E370" s="25">
        <v>0</v>
      </c>
      <c r="F370" s="25">
        <v>0</v>
      </c>
      <c r="G370" s="25" cm="1">
        <f t="array" ref="G370">Common_InputFunctions.Utility_LookupValueInTableNumber(E370,Table_SourceData_Scope3_Packaging[Product],Table_SourceData_Scope3_Packaging[AusLCI Emissions intensity])</f>
        <v>0</v>
      </c>
      <c r="H370" s="277" cm="1">
        <f t="array" ref="H370">Scope3_Equations.VEERG_15_8_1_1__1_EmissionsFromPurchasedPackaging(F370,G370)</f>
        <v>0</v>
      </c>
      <c r="I370" s="85"/>
      <c r="J370" s="277" cm="1">
        <f t="array" ref="J370">Scope3_Equations.VEERG_15_8_1_1__1_EmissionsFromPurchasedPackaging(F370,IF(I370,I370,G370))</f>
        <v>0</v>
      </c>
      <c r="K370" s="43"/>
      <c r="L370" s="23"/>
      <c r="M370" s="43"/>
    </row>
    <row r="371" spans="3:41" x14ac:dyDescent="0.25">
      <c r="D371" s="25">
        <v>0</v>
      </c>
      <c r="E371" s="25">
        <v>0</v>
      </c>
      <c r="F371" s="25">
        <v>0</v>
      </c>
      <c r="G371" s="25" cm="1">
        <f t="array" ref="G371">Common_InputFunctions.Utility_LookupValueInTableNumber(E371,Table_SourceData_Scope3_Packaging[Product],Table_SourceData_Scope3_Packaging[AusLCI Emissions intensity])</f>
        <v>0</v>
      </c>
      <c r="H371" s="277" cm="1">
        <f t="array" ref="H371">Scope3_Equations.VEERG_15_8_1_1__1_EmissionsFromPurchasedPackaging(F371,G371)</f>
        <v>0</v>
      </c>
      <c r="I371" s="85"/>
      <c r="J371" s="277" cm="1">
        <f t="array" ref="J371">Scope3_Equations.VEERG_15_8_1_1__1_EmissionsFromPurchasedPackaging(F371,IF(I371,I371,G371))</f>
        <v>0</v>
      </c>
      <c r="K371" s="43"/>
      <c r="L371" s="23"/>
      <c r="M371" s="43"/>
    </row>
    <row r="372" spans="3:41" x14ac:dyDescent="0.25">
      <c r="D372" s="25">
        <v>0</v>
      </c>
      <c r="E372" s="25">
        <v>0</v>
      </c>
      <c r="F372" s="25">
        <v>0</v>
      </c>
      <c r="G372" s="25" cm="1">
        <f t="array" ref="G372">Common_InputFunctions.Utility_LookupValueInTableNumber(E372,Table_SourceData_Scope3_Packaging[Product],Table_SourceData_Scope3_Packaging[AusLCI Emissions intensity])</f>
        <v>0</v>
      </c>
      <c r="H372" s="277" cm="1">
        <f t="array" ref="H372">Scope3_Equations.VEERG_15_8_1_1__1_EmissionsFromPurchasedPackaging(F372,G372)</f>
        <v>0</v>
      </c>
      <c r="I372" s="85"/>
      <c r="J372" s="277" cm="1">
        <f t="array" ref="J372">Scope3_Equations.VEERG_15_8_1_1__1_EmissionsFromPurchasedPackaging(F372,IF(I372,I372,G372))</f>
        <v>0</v>
      </c>
      <c r="K372" s="43"/>
      <c r="L372" s="23"/>
      <c r="M372" s="43"/>
    </row>
    <row r="373" spans="3:41" x14ac:dyDescent="0.25">
      <c r="D373" s="25">
        <v>0</v>
      </c>
      <c r="E373" s="25">
        <v>0</v>
      </c>
      <c r="F373" s="25">
        <v>0</v>
      </c>
      <c r="G373" s="25" cm="1">
        <f t="array" ref="G373">Common_InputFunctions.Utility_LookupValueInTableNumber(E373,Table_SourceData_Scope3_Packaging[Product],Table_SourceData_Scope3_Packaging[AusLCI Emissions intensity])</f>
        <v>0</v>
      </c>
      <c r="H373" s="277" cm="1">
        <f t="array" ref="H373">Scope3_Equations.VEERG_15_8_1_1__1_EmissionsFromPurchasedPackaging(F373,G373)</f>
        <v>0</v>
      </c>
      <c r="I373" s="85"/>
      <c r="J373" s="277" cm="1">
        <f t="array" ref="J373">Scope3_Equations.VEERG_15_8_1_1__1_EmissionsFromPurchasedPackaging(F373,IF(I373,I373,G373))</f>
        <v>0</v>
      </c>
      <c r="K373" s="43"/>
      <c r="L373" s="23"/>
      <c r="M373" s="43"/>
    </row>
    <row r="374" spans="3:41" x14ac:dyDescent="0.25">
      <c r="D374" s="25">
        <v>0</v>
      </c>
      <c r="E374" s="25">
        <v>0</v>
      </c>
      <c r="F374" s="25">
        <v>0</v>
      </c>
      <c r="G374" s="25" cm="1">
        <f t="array" ref="G374">Common_InputFunctions.Utility_LookupValueInTableNumber(E374,Table_SourceData_Scope3_Packaging[Product],Table_SourceData_Scope3_Packaging[AusLCI Emissions intensity])</f>
        <v>0</v>
      </c>
      <c r="H374" s="277" cm="1">
        <f t="array" ref="H374">Scope3_Equations.VEERG_15_8_1_1__1_EmissionsFromPurchasedPackaging(F374,G374)</f>
        <v>0</v>
      </c>
      <c r="I374" s="85"/>
      <c r="J374" s="277" cm="1">
        <f t="array" ref="J374">Scope3_Equations.VEERG_15_8_1_1__1_EmissionsFromPurchasedPackaging(F374,IF(I374,I374,G374))</f>
        <v>0</v>
      </c>
      <c r="K374" s="43"/>
      <c r="L374" s="23"/>
      <c r="M374" s="43"/>
    </row>
    <row r="375" spans="3:41" x14ac:dyDescent="0.25">
      <c r="D375" s="25">
        <v>0</v>
      </c>
      <c r="E375" s="25">
        <v>0</v>
      </c>
      <c r="F375" s="25">
        <v>0</v>
      </c>
      <c r="G375" s="25" cm="1">
        <f t="array" ref="G375">Common_InputFunctions.Utility_LookupValueInTableNumber(E375,Table_SourceData_Scope3_Packaging[Product],Table_SourceData_Scope3_Packaging[AusLCI Emissions intensity])</f>
        <v>0</v>
      </c>
      <c r="H375" s="277" cm="1">
        <f t="array" ref="H375">Scope3_Equations.VEERG_15_8_1_1__1_EmissionsFromPurchasedPackaging(F375,G375)</f>
        <v>0</v>
      </c>
      <c r="I375" s="85"/>
      <c r="J375" s="277" cm="1">
        <f t="array" ref="J375">Scope3_Equations.VEERG_15_8_1_1__1_EmissionsFromPurchasedPackaging(F375,IF(I375,I375,G375))</f>
        <v>0</v>
      </c>
      <c r="K375" s="43"/>
      <c r="L375" s="23"/>
      <c r="M375" s="43"/>
    </row>
    <row r="376" spans="3:41" x14ac:dyDescent="0.25">
      <c r="D376" s="25">
        <v>0</v>
      </c>
      <c r="E376" s="25">
        <v>0</v>
      </c>
      <c r="F376" s="25">
        <v>0</v>
      </c>
      <c r="G376" s="25" cm="1">
        <f t="array" ref="G376">Common_InputFunctions.Utility_LookupValueInTableNumber(E376,Table_SourceData_Scope3_Packaging[Product],Table_SourceData_Scope3_Packaging[AusLCI Emissions intensity])</f>
        <v>0</v>
      </c>
      <c r="H376" s="277" cm="1">
        <f t="array" ref="H376">Scope3_Equations.VEERG_15_8_1_1__1_EmissionsFromPurchasedPackaging(F376,G376)</f>
        <v>0</v>
      </c>
      <c r="I376" s="85"/>
      <c r="J376" s="277" cm="1">
        <f t="array" ref="J376">Scope3_Equations.VEERG_15_8_1_1__1_EmissionsFromPurchasedPackaging(F376,IF(I376,I376,G376))</f>
        <v>0</v>
      </c>
      <c r="K376" s="43"/>
      <c r="L376" s="23"/>
      <c r="M376" s="43"/>
    </row>
    <row r="378" spans="3:41" ht="20.25" x14ac:dyDescent="0.25">
      <c r="D378" s="278" t="s">
        <v>1145</v>
      </c>
      <c r="E378" s="136">
        <f>SUM(H367:H376)</f>
        <v>7.44</v>
      </c>
      <c r="F378" s="137" t="str">
        <f>$E$155</f>
        <v>t CO2e</v>
      </c>
    </row>
    <row r="379" spans="3:41" ht="20.25" x14ac:dyDescent="0.25">
      <c r="D379" s="278" t="s">
        <v>1148</v>
      </c>
      <c r="E379" s="136">
        <f>SUM(J367:J376)</f>
        <v>6</v>
      </c>
      <c r="F379" s="137" t="str">
        <f>$E$155</f>
        <v>t CO2e</v>
      </c>
    </row>
    <row r="382" spans="3:41" x14ac:dyDescent="0.25">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row>
    <row r="383" spans="3:41" ht="23.25" x14ac:dyDescent="0.25">
      <c r="D383" s="2" t="str" cm="1">
        <f t="array" ref="D383">Scope3_Equations.VEERG_15_9_1_1__1_EmissionsFromPurchasedGrowMedia_Title()</f>
        <v>Embedded emissions from use of grow media products</v>
      </c>
    </row>
    <row r="384" spans="3:41" x14ac:dyDescent="0.25">
      <c r="D384" s="27" t="str" cm="1">
        <f t="array" ref="D384">Scope3_Equations.VEERG_15_9_1_1__1_EmissionsFromPurchasedGrowMedia_Source()</f>
        <v>VEERG 2026: 15.9.1.1, Equation (1)</v>
      </c>
    </row>
    <row r="385" spans="4:14" x14ac:dyDescent="0.25">
      <c r="D385" s="118" t="s">
        <v>262</v>
      </c>
      <c r="E385" s="118" t="str" cm="1">
        <f t="array" aca="1" ref="E385" ca="1">Common_InputFunctions.Utility_DisplayFunctionName(J399)</f>
        <v>=Scope3_Equations.VEERG_15_9_1_1__1_EmissionsFromPurchasedGrowMedia</v>
      </c>
    </row>
    <row r="388" spans="4:14" x14ac:dyDescent="0.25">
      <c r="G388" s="118"/>
    </row>
    <row r="389" spans="4:14" x14ac:dyDescent="0.25">
      <c r="D389" s="87" t="s">
        <v>263</v>
      </c>
      <c r="E389" s="1" t="str" cm="1">
        <f t="array" ref="E389">Scope3_Equations.VEERG_15_9_1_1__1_EmissionsFromPurchasedGrowMedia_Variable()</f>
        <v>E</v>
      </c>
    </row>
    <row r="390" spans="4:14" x14ac:dyDescent="0.25">
      <c r="D390" s="87" t="s">
        <v>122</v>
      </c>
      <c r="E390" s="1" t="str" cm="1">
        <f t="array" ref="E390">Scope3_Equations.VEERG_15_9_1_1__1_EmissionsFromPurchasedGrowMedia_Unit()</f>
        <v>t CO2e</v>
      </c>
    </row>
    <row r="392" spans="4:14" x14ac:dyDescent="0.25">
      <c r="D392" s="120" t="str" cm="1">
        <f t="array" ref="D392:E394">_xlfn.CHOOSECOLS(Scope3_Equations.VEERG_15_9_1_1__1_EmissionsFromPurchasedGrowMedia_Arguments(),1,2)</f>
        <v>Q_g</v>
      </c>
      <c r="E392" s="120" t="str">
        <v>total quantity of grow media type g</v>
      </c>
      <c r="F392" s="120" t="str" cm="1">
        <f t="array" ref="F392:G394">_xlfn.CHOOSECOLS(Scope3_Equations.VEERG_15_9_1_1__1_EmissionsFromPurchasedGrowMedia_Arguments(),3,4)</f>
        <v>kg or m3</v>
      </c>
      <c r="G392" s="275" t="str">
        <v>Input</v>
      </c>
    </row>
    <row r="393" spans="4:14" x14ac:dyDescent="0.25">
      <c r="D393" s="120" t="str">
        <v>EF_g</v>
      </c>
      <c r="E393" s="120" t="str">
        <v>emission factor for grow media type g</v>
      </c>
      <c r="F393" s="120" t="str">
        <v>kg CO2e/kg or kg CO2e/m3</v>
      </c>
      <c r="G393" s="128" t="str">
        <v>Constant</v>
      </c>
    </row>
    <row r="394" spans="4:14" x14ac:dyDescent="0.25">
      <c r="D394" s="120" t="str">
        <v>g</v>
      </c>
      <c r="E394" s="120" t="str">
        <v>grow media type</v>
      </c>
      <c r="F394" s="120" t="str">
        <v/>
      </c>
      <c r="G394" s="275" t="str">
        <v>Input</v>
      </c>
    </row>
    <row r="396" spans="4:14" x14ac:dyDescent="0.25">
      <c r="D396" s="35" t="s">
        <v>1225</v>
      </c>
    </row>
    <row r="398" spans="4:14" x14ac:dyDescent="0.25">
      <c r="D398" s="94" t="s">
        <v>1105</v>
      </c>
      <c r="E398" s="94" t="s">
        <v>1089</v>
      </c>
      <c r="F398" s="94" t="s">
        <v>789</v>
      </c>
      <c r="G398" s="124" t="s">
        <v>1226</v>
      </c>
      <c r="H398" s="124" t="s">
        <v>1227</v>
      </c>
      <c r="I398" s="94" t="s">
        <v>1228</v>
      </c>
      <c r="J398" s="124" t="s">
        <v>1229</v>
      </c>
      <c r="K398" s="124" t="s">
        <v>1230</v>
      </c>
      <c r="L398" s="94" t="s">
        <v>1149</v>
      </c>
      <c r="M398" s="94" t="s">
        <v>1150</v>
      </c>
      <c r="N398" s="94" t="s">
        <v>1151</v>
      </c>
    </row>
    <row r="399" spans="4:14" x14ac:dyDescent="0.25">
      <c r="D399" s="25" t="str" cm="1">
        <f t="array" ref="D399:D408">IFERROR(INDEX(Table_Input_GrowMedia[Grow media type], _xlfn.SEQUENCE(10)), "")</f>
        <v>Coir</v>
      </c>
      <c r="E399" s="25" cm="1">
        <f t="array" ref="E399:E408">IFERROR(INDEX(Table_Input_GrowMedia[Total amount], _xlfn.SEQUENCE(10)), "")</f>
        <v>10000</v>
      </c>
      <c r="F399" s="25" t="str" cm="1">
        <f t="array" ref="F399:F408">IFERROR(INDEX(Table_Input_GrowMedia[Amount unit], _xlfn.SEQUENCE(10)), "")</f>
        <v>kg</v>
      </c>
      <c r="G399" s="25" t="s">
        <v>1231</v>
      </c>
      <c r="H399" s="25" t="s">
        <v>1231</v>
      </c>
      <c r="I399" s="85">
        <v>4</v>
      </c>
      <c r="J399" s="277" cm="1">
        <f t="array" ref="J399">Scope3_Equations.VEERG_15_9_1_1__1_EmissionsFromPurchasedGrowMedia(E399,I399)</f>
        <v>40</v>
      </c>
      <c r="K399" s="25" t="str">
        <f>"t CO2e / " &amp; F399</f>
        <v>t CO2e / kg</v>
      </c>
      <c r="L399" s="43"/>
      <c r="M399" s="23"/>
      <c r="N399" s="43"/>
    </row>
    <row r="400" spans="4:14" x14ac:dyDescent="0.25">
      <c r="D400" s="25" t="str">
        <v>Peat moss</v>
      </c>
      <c r="E400" s="25">
        <v>100</v>
      </c>
      <c r="F400" s="25" t="str">
        <v>m3</v>
      </c>
      <c r="G400" s="25" t="s">
        <v>1231</v>
      </c>
      <c r="H400" s="25" t="s">
        <v>1231</v>
      </c>
      <c r="I400" s="85">
        <v>2</v>
      </c>
      <c r="J400" s="277" cm="1">
        <f t="array" ref="J400">Scope3_Equations.VEERG_15_9_1_1__1_EmissionsFromPurchasedGrowMedia(E400,I400)</f>
        <v>0.2</v>
      </c>
      <c r="K400" s="25" t="str">
        <f t="shared" ref="K400:K408" si="2">"t CO2e / " &amp; F400</f>
        <v>t CO2e / m3</v>
      </c>
      <c r="L400" s="43"/>
      <c r="M400" s="23"/>
      <c r="N400" s="43"/>
    </row>
    <row r="401" spans="3:41" x14ac:dyDescent="0.25">
      <c r="D401" s="25" t="str">
        <v>tiny gravel</v>
      </c>
      <c r="E401" s="25">
        <v>10000</v>
      </c>
      <c r="F401" s="25" t="str">
        <v>kg</v>
      </c>
      <c r="G401" s="25" t="s">
        <v>1231</v>
      </c>
      <c r="H401" s="25" t="s">
        <v>1231</v>
      </c>
      <c r="I401" s="85"/>
      <c r="J401" s="277" cm="1">
        <f t="array" ref="J401">Scope3_Equations.VEERG_15_9_1_1__1_EmissionsFromPurchasedGrowMedia(E401,I401)</f>
        <v>0</v>
      </c>
      <c r="K401" s="25" t="str">
        <f t="shared" si="2"/>
        <v>t CO2e / kg</v>
      </c>
      <c r="L401" s="43"/>
      <c r="M401" s="23"/>
      <c r="N401" s="43"/>
    </row>
    <row r="402" spans="3:41" x14ac:dyDescent="0.25">
      <c r="D402" s="25">
        <v>0</v>
      </c>
      <c r="E402" s="25">
        <v>0</v>
      </c>
      <c r="F402" s="25">
        <v>0</v>
      </c>
      <c r="G402" s="25" t="s">
        <v>1231</v>
      </c>
      <c r="H402" s="25" t="s">
        <v>1231</v>
      </c>
      <c r="I402" s="85"/>
      <c r="J402" s="277" cm="1">
        <f t="array" ref="J402">Scope3_Equations.VEERG_15_9_1_1__1_EmissionsFromPurchasedGrowMedia(E402,I402)</f>
        <v>0</v>
      </c>
      <c r="K402" s="25" t="str">
        <f t="shared" si="2"/>
        <v>t CO2e / 0</v>
      </c>
      <c r="L402" s="43"/>
      <c r="M402" s="23"/>
      <c r="N402" s="43"/>
    </row>
    <row r="403" spans="3:41" x14ac:dyDescent="0.25">
      <c r="D403" s="25">
        <v>0</v>
      </c>
      <c r="E403" s="25">
        <v>0</v>
      </c>
      <c r="F403" s="25">
        <v>0</v>
      </c>
      <c r="G403" s="25" t="s">
        <v>1231</v>
      </c>
      <c r="H403" s="25" t="s">
        <v>1231</v>
      </c>
      <c r="I403" s="85"/>
      <c r="J403" s="277" cm="1">
        <f t="array" ref="J403">Scope3_Equations.VEERG_15_9_1_1__1_EmissionsFromPurchasedGrowMedia(E403,I403)</f>
        <v>0</v>
      </c>
      <c r="K403" s="25" t="str">
        <f t="shared" si="2"/>
        <v>t CO2e / 0</v>
      </c>
      <c r="L403" s="43"/>
      <c r="M403" s="23"/>
      <c r="N403" s="43"/>
    </row>
    <row r="404" spans="3:41" x14ac:dyDescent="0.25">
      <c r="D404" s="25">
        <v>0</v>
      </c>
      <c r="E404" s="25">
        <v>0</v>
      </c>
      <c r="F404" s="25">
        <v>0</v>
      </c>
      <c r="G404" s="25" t="s">
        <v>1231</v>
      </c>
      <c r="H404" s="25" t="s">
        <v>1231</v>
      </c>
      <c r="I404" s="85"/>
      <c r="J404" s="277" cm="1">
        <f t="array" ref="J404">Scope3_Equations.VEERG_15_9_1_1__1_EmissionsFromPurchasedGrowMedia(E404,I404)</f>
        <v>0</v>
      </c>
      <c r="K404" s="25" t="str">
        <f t="shared" si="2"/>
        <v>t CO2e / 0</v>
      </c>
      <c r="L404" s="43"/>
      <c r="M404" s="23"/>
      <c r="N404" s="43"/>
    </row>
    <row r="405" spans="3:41" x14ac:dyDescent="0.25">
      <c r="D405" s="25">
        <v>0</v>
      </c>
      <c r="E405" s="25">
        <v>0</v>
      </c>
      <c r="F405" s="25">
        <v>0</v>
      </c>
      <c r="G405" s="25" t="s">
        <v>1231</v>
      </c>
      <c r="H405" s="25" t="s">
        <v>1231</v>
      </c>
      <c r="I405" s="85"/>
      <c r="J405" s="277" cm="1">
        <f t="array" ref="J405">Scope3_Equations.VEERG_15_9_1_1__1_EmissionsFromPurchasedGrowMedia(E405,I405)</f>
        <v>0</v>
      </c>
      <c r="K405" s="25" t="str">
        <f t="shared" si="2"/>
        <v>t CO2e / 0</v>
      </c>
      <c r="L405" s="43"/>
      <c r="M405" s="23"/>
      <c r="N405" s="43"/>
    </row>
    <row r="406" spans="3:41" x14ac:dyDescent="0.25">
      <c r="D406" s="25">
        <v>0</v>
      </c>
      <c r="E406" s="25">
        <v>0</v>
      </c>
      <c r="F406" s="25">
        <v>0</v>
      </c>
      <c r="G406" s="25" t="s">
        <v>1231</v>
      </c>
      <c r="H406" s="25" t="s">
        <v>1231</v>
      </c>
      <c r="I406" s="85"/>
      <c r="J406" s="277" cm="1">
        <f t="array" ref="J406">Scope3_Equations.VEERG_15_9_1_1__1_EmissionsFromPurchasedGrowMedia(E406,I406)</f>
        <v>0</v>
      </c>
      <c r="K406" s="25" t="str">
        <f t="shared" si="2"/>
        <v>t CO2e / 0</v>
      </c>
      <c r="L406" s="43"/>
      <c r="M406" s="23"/>
      <c r="N406" s="43"/>
    </row>
    <row r="407" spans="3:41" x14ac:dyDescent="0.25">
      <c r="D407" s="25">
        <v>0</v>
      </c>
      <c r="E407" s="25">
        <v>0</v>
      </c>
      <c r="F407" s="25">
        <v>0</v>
      </c>
      <c r="G407" s="25" t="s">
        <v>1231</v>
      </c>
      <c r="H407" s="25" t="s">
        <v>1231</v>
      </c>
      <c r="I407" s="85"/>
      <c r="J407" s="277" cm="1">
        <f t="array" ref="J407">Scope3_Equations.VEERG_15_9_1_1__1_EmissionsFromPurchasedGrowMedia(E407,I407)</f>
        <v>0</v>
      </c>
      <c r="K407" s="25" t="str">
        <f t="shared" si="2"/>
        <v>t CO2e / 0</v>
      </c>
      <c r="L407" s="43"/>
      <c r="M407" s="23"/>
      <c r="N407" s="43"/>
    </row>
    <row r="408" spans="3:41" x14ac:dyDescent="0.25">
      <c r="D408" s="25">
        <v>0</v>
      </c>
      <c r="E408" s="25">
        <v>0</v>
      </c>
      <c r="F408" s="25">
        <v>0</v>
      </c>
      <c r="G408" s="25" t="s">
        <v>1231</v>
      </c>
      <c r="H408" s="25" t="s">
        <v>1231</v>
      </c>
      <c r="I408" s="85"/>
      <c r="J408" s="277" cm="1">
        <f t="array" ref="J408">Scope3_Equations.VEERG_15_9_1_1__1_EmissionsFromPurchasedGrowMedia(E408,I408)</f>
        <v>0</v>
      </c>
      <c r="K408" s="25" t="str">
        <f t="shared" si="2"/>
        <v>t CO2e / 0</v>
      </c>
      <c r="L408" s="43"/>
      <c r="M408" s="23"/>
      <c r="N408" s="43"/>
    </row>
    <row r="410" spans="3:41" ht="20.25" x14ac:dyDescent="0.25">
      <c r="D410" s="278" t="s">
        <v>1145</v>
      </c>
      <c r="E410" s="136" t="s">
        <v>1231</v>
      </c>
      <c r="F410" s="137" t="str">
        <f>$E$155</f>
        <v>t CO2e</v>
      </c>
    </row>
    <row r="411" spans="3:41" ht="20.25" x14ac:dyDescent="0.25">
      <c r="D411" s="278" t="s">
        <v>1148</v>
      </c>
      <c r="E411" s="136">
        <f>SUM(J399:J408)</f>
        <v>40.200000000000003</v>
      </c>
      <c r="F411" s="137" t="str">
        <f>$E$155</f>
        <v>t CO2e</v>
      </c>
    </row>
    <row r="414" spans="3:41" x14ac:dyDescent="0.25">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row>
    <row r="415" spans="3:41" ht="23.25" x14ac:dyDescent="0.25">
      <c r="D415" s="2" t="str" cm="1">
        <f t="array" ref="D415">Scope3_Equations.VEERG_15_10_1_1__1_OtherPurchasedGoodsAndServices_Title()</f>
        <v>Other purchased goods and services generic estimate</v>
      </c>
    </row>
    <row r="416" spans="3:41" x14ac:dyDescent="0.25">
      <c r="D416" s="27" t="str" cm="1">
        <f t="array" ref="D416">Scope3_Equations.VEERG_15_10_1_1__1_OtherPurchasedGoodsAndServices_Source()</f>
        <v>VEERG 2026: 15.10, generic placeholder equation</v>
      </c>
    </row>
    <row r="417" spans="4:13" x14ac:dyDescent="0.25">
      <c r="D417" s="35" t="s">
        <v>1235</v>
      </c>
    </row>
    <row r="418" spans="4:13" x14ac:dyDescent="0.25">
      <c r="D418" s="118" t="s">
        <v>262</v>
      </c>
      <c r="E418" s="118" t="str" cm="1">
        <f t="array" aca="1" ref="E418" ca="1">Common_InputFunctions.Utility_DisplayFunctionName(H430)</f>
        <v>=Scope3_Equations.VEERG_15_10_1_1__1_OtherPurchasedGoodsAndServices</v>
      </c>
    </row>
    <row r="421" spans="4:13" x14ac:dyDescent="0.25">
      <c r="D421" s="87" t="s">
        <v>263</v>
      </c>
      <c r="E421" s="1" t="str" cm="1">
        <f t="array" ref="E421">Scope3_Equations.VEERG_15_10_1_1__1_OtherPurchasedGoodsAndServices_Variable()</f>
        <v>emissions</v>
      </c>
    </row>
    <row r="422" spans="4:13" x14ac:dyDescent="0.25">
      <c r="D422" s="87" t="s">
        <v>122</v>
      </c>
      <c r="E422" s="15" t="str" cm="1">
        <f t="array" ref="E422">Scope3_Equations.VEERG_15_10_1_1__1_OtherPurchasedGoodsAndServices_Unit()</f>
        <v>t CO2e</v>
      </c>
    </row>
    <row r="424" spans="4:13" x14ac:dyDescent="0.25">
      <c r="D424" s="120" t="str" cm="1">
        <f t="array" ref="D424:E425">_xlfn.CHOOSECOLS(Scope3_Equations.VEERG_15_10_1_1__1_OtherPurchasedGoodsAndServices_Arguments(),1,2)</f>
        <v>activity_data</v>
      </c>
      <c r="E424" s="125" t="str">
        <v>measured activity for the purchased good or service</v>
      </c>
      <c r="F424" s="126"/>
      <c r="G424" s="120" t="str" cm="1">
        <f t="array" ref="G424:H425">_xlfn.CHOOSECOLS(Scope3_Equations.VEERG_15_10_1_1__1_OtherPurchasedGoodsAndServices_Arguments(),3,4)</f>
        <v>varies</v>
      </c>
      <c r="H424" s="275" t="str">
        <v>Input</v>
      </c>
    </row>
    <row r="425" spans="4:13" x14ac:dyDescent="0.25">
      <c r="D425" s="120" t="str">
        <v>emission_factor</v>
      </c>
      <c r="E425" s="125" t="str">
        <v>lifecycle emissions per unit of activity</v>
      </c>
      <c r="F425" s="126"/>
      <c r="G425" s="120" t="str">
        <v>varies</v>
      </c>
      <c r="H425" s="128" t="str">
        <v>Constant</v>
      </c>
    </row>
    <row r="427" spans="4:13" ht="18.75" x14ac:dyDescent="0.25">
      <c r="D427" s="261" t="s">
        <v>1236</v>
      </c>
    </row>
    <row r="429" spans="4:13" x14ac:dyDescent="0.25">
      <c r="D429" s="94" t="s">
        <v>1139</v>
      </c>
      <c r="E429" s="276" t="s">
        <v>1237</v>
      </c>
      <c r="F429" s="276" t="s">
        <v>1238</v>
      </c>
      <c r="G429" s="124" t="s">
        <v>125</v>
      </c>
      <c r="H429" s="124" t="s">
        <v>1145</v>
      </c>
      <c r="I429" s="94" t="s">
        <v>126</v>
      </c>
      <c r="J429" s="124" t="s">
        <v>1148</v>
      </c>
      <c r="K429" s="94" t="s">
        <v>1149</v>
      </c>
      <c r="L429" s="94" t="s">
        <v>1150</v>
      </c>
      <c r="M429" s="94" t="s">
        <v>1151</v>
      </c>
    </row>
    <row r="430" spans="4:13" x14ac:dyDescent="0.25">
      <c r="D430" s="25" t="str" cm="1">
        <f t="array" ref="D430:D439">IFERROR(INDEX(Table_Input_ChemicalsCleaning[Product name], _xlfn.SEQUENCE(10)), "")</f>
        <v>Acid kleen</v>
      </c>
      <c r="E430" s="25" t="str" cm="1">
        <f t="array" ref="E430:E439">IFERROR(INDEX(Table_Input_ChemicalsCleaning[Type (select)], _xlfn.SEQUENCE(10)), "")</f>
        <v>Phosphoric acid</v>
      </c>
      <c r="F430" s="25" cm="1">
        <f t="array" ref="F430:F439">IFERROR(INDEX(Table_Input_ChemicalsCleaning[Quantity purchased (kg)], _xlfn.SEQUENCE(10)), "")</f>
        <v>100</v>
      </c>
      <c r="G430" s="25" cm="1">
        <f t="array" ref="G430">Common_InputFunctions.Utility_LookupValueInTableNumber(E430,Table_SourceData_Scope3_ChemicalsCleaning[Product],Table_SourceData_Scope3_ChemicalsCleaning[AusLCI Emissions intensity])</f>
        <v>0.90700000000000003</v>
      </c>
      <c r="H430" s="277" cm="1">
        <f t="array" ref="H430">Scope3_Equations.VEERG_15_10_1_1__1_OtherPurchasedGoodsAndServices(F430,G430*10^-3)</f>
        <v>9.0700000000000003E-2</v>
      </c>
      <c r="I430" s="85">
        <v>1.3</v>
      </c>
      <c r="J430" s="277" cm="1">
        <f t="array" ref="J430">Scope3_Equations.VEERG_15_10_1_1__1_OtherPurchasedGoodsAndServices(F430,IF(I430,I430,G430)*10^-3)</f>
        <v>0.13</v>
      </c>
      <c r="K430" s="43"/>
      <c r="L430" s="23"/>
      <c r="M430" s="43"/>
    </row>
    <row r="431" spans="4:13" x14ac:dyDescent="0.25">
      <c r="D431" s="25" t="str">
        <v>Kleen alk</v>
      </c>
      <c r="E431" s="25" t="str">
        <v>Alkaline cleaner</v>
      </c>
      <c r="F431" s="25">
        <v>100</v>
      </c>
      <c r="G431" s="25" cm="1">
        <f t="array" ref="G431">Common_InputFunctions.Utility_LookupValueInTableNumber(E431,Table_SourceData_Scope3_ChemicalsCleaning[Product],Table_SourceData_Scope3_ChemicalsCleaning[AusLCI Emissions intensity])</f>
        <v>0.72199999999999998</v>
      </c>
      <c r="H431" s="277" cm="1">
        <f t="array" ref="H431">Scope3_Equations.VEERG_15_10_1_1__1_OtherPurchasedGoodsAndServices(F431,G431*10^-3)</f>
        <v>7.22E-2</v>
      </c>
      <c r="I431" s="85">
        <v>8</v>
      </c>
      <c r="J431" s="277" cm="1">
        <f t="array" ref="J431">Scope3_Equations.VEERG_15_10_1_1__1_OtherPurchasedGoodsAndServices(F431,IF(I431,I431,G431)*10^-3)</f>
        <v>0.8</v>
      </c>
      <c r="K431" s="43"/>
      <c r="L431" s="23"/>
      <c r="M431" s="43"/>
    </row>
    <row r="432" spans="4:13" x14ac:dyDescent="0.25">
      <c r="D432" s="25" t="str">
        <v>White king</v>
      </c>
      <c r="E432" s="25" t="str">
        <v>Bleach</v>
      </c>
      <c r="F432" s="25">
        <v>100</v>
      </c>
      <c r="G432" s="25" cm="1">
        <f t="array" ref="G432">Common_InputFunctions.Utility_LookupValueInTableNumber(E432,Table_SourceData_Scope3_ChemicalsCleaning[Product],Table_SourceData_Scope3_ChemicalsCleaning[AusLCI Emissions intensity])</f>
        <v>0.80400000000000005</v>
      </c>
      <c r="H432" s="277" cm="1">
        <f t="array" ref="H432">Scope3_Equations.VEERG_15_10_1_1__1_OtherPurchasedGoodsAndServices(F432,G432*10^-3)</f>
        <v>8.0399999999999999E-2</v>
      </c>
      <c r="I432" s="85">
        <v>4</v>
      </c>
      <c r="J432" s="277" cm="1">
        <f t="array" ref="J432">Scope3_Equations.VEERG_15_10_1_1__1_OtherPurchasedGoodsAndServices(F432,IF(I432,I432,G432)*10^-3)</f>
        <v>0.4</v>
      </c>
      <c r="K432" s="43"/>
      <c r="L432" s="23"/>
      <c r="M432" s="43"/>
    </row>
    <row r="433" spans="4:13" x14ac:dyDescent="0.25">
      <c r="D433" s="25" t="str">
        <v>White king</v>
      </c>
      <c r="E433" s="25" t="str">
        <v>Bleach</v>
      </c>
      <c r="F433" s="25">
        <v>100</v>
      </c>
      <c r="G433" s="25" cm="1">
        <f t="array" ref="G433">Common_InputFunctions.Utility_LookupValueInTableNumber(E433,Table_SourceData_Scope3_ChemicalsCleaning[Product],Table_SourceData_Scope3_ChemicalsCleaning[AusLCI Emissions intensity])</f>
        <v>0.80400000000000005</v>
      </c>
      <c r="H433" s="277" cm="1">
        <f t="array" ref="H433">Scope3_Equations.VEERG_15_10_1_1__1_OtherPurchasedGoodsAndServices(F433,G433*10^-3)</f>
        <v>8.0399999999999999E-2</v>
      </c>
      <c r="I433" s="85">
        <v>3</v>
      </c>
      <c r="J433" s="277" cm="1">
        <f t="array" ref="J433">Scope3_Equations.VEERG_15_10_1_1__1_OtherPurchasedGoodsAndServices(F433,IF(I433,I433,G433)*10^-3)</f>
        <v>0.3</v>
      </c>
      <c r="K433" s="43"/>
      <c r="L433" s="23"/>
      <c r="M433" s="43"/>
    </row>
    <row r="434" spans="4:13" x14ac:dyDescent="0.25">
      <c r="D434" s="25" t="str">
        <v>Acid kleen</v>
      </c>
      <c r="E434" s="25" t="str">
        <v>Phosphoric acid</v>
      </c>
      <c r="F434" s="25">
        <v>100</v>
      </c>
      <c r="G434" s="25" cm="1">
        <f t="array" ref="G434">Common_InputFunctions.Utility_LookupValueInTableNumber(E434,Table_SourceData_Scope3_ChemicalsCleaning[Product],Table_SourceData_Scope3_ChemicalsCleaning[AusLCI Emissions intensity])</f>
        <v>0.90700000000000003</v>
      </c>
      <c r="H434" s="277" cm="1">
        <f t="array" ref="H434">Scope3_Equations.VEERG_15_10_1_1__1_OtherPurchasedGoodsAndServices(F434,G434*10^-3)</f>
        <v>9.0700000000000003E-2</v>
      </c>
      <c r="I434" s="85">
        <v>6</v>
      </c>
      <c r="J434" s="277" cm="1">
        <f t="array" ref="J434">Scope3_Equations.VEERG_15_10_1_1__1_OtherPurchasedGoodsAndServices(F434,IF(I434,I434,G434)*10^-3)</f>
        <v>0.6</v>
      </c>
      <c r="K434" s="43"/>
      <c r="L434" s="23"/>
      <c r="M434" s="43"/>
    </row>
    <row r="435" spans="4:13" x14ac:dyDescent="0.25">
      <c r="D435" s="25" t="str">
        <v>Acid kleen</v>
      </c>
      <c r="E435" s="25" t="str">
        <v>Phosphoric acid</v>
      </c>
      <c r="F435" s="25">
        <v>100</v>
      </c>
      <c r="G435" s="25" cm="1">
        <f t="array" ref="G435">Common_InputFunctions.Utility_LookupValueInTableNumber(E435,Table_SourceData_Scope3_ChemicalsCleaning[Product],Table_SourceData_Scope3_ChemicalsCleaning[AusLCI Emissions intensity])</f>
        <v>0.90700000000000003</v>
      </c>
      <c r="H435" s="277" cm="1">
        <f t="array" ref="H435">Scope3_Equations.VEERG_15_10_1_1__1_OtherPurchasedGoodsAndServices(F435,G435*10^-3)</f>
        <v>9.0700000000000003E-2</v>
      </c>
      <c r="I435" s="85">
        <v>5</v>
      </c>
      <c r="J435" s="277" cm="1">
        <f t="array" ref="J435">Scope3_Equations.VEERG_15_10_1_1__1_OtherPurchasedGoodsAndServices(F435,IF(I435,I435,G435)*10^-3)</f>
        <v>0.5</v>
      </c>
      <c r="K435" s="43"/>
      <c r="L435" s="23"/>
      <c r="M435" s="43"/>
    </row>
    <row r="436" spans="4:13" x14ac:dyDescent="0.25">
      <c r="D436" s="25">
        <v>0</v>
      </c>
      <c r="E436" s="25">
        <v>0</v>
      </c>
      <c r="F436" s="25">
        <v>0</v>
      </c>
      <c r="G436" s="25" cm="1">
        <f t="array" ref="G436">Common_InputFunctions.Utility_LookupValueInTableNumber(E436,Table_SourceData_Scope3_ChemicalsCleaning[Product],Table_SourceData_Scope3_ChemicalsCleaning[AusLCI Emissions intensity])</f>
        <v>0</v>
      </c>
      <c r="H436" s="277" cm="1">
        <f t="array" ref="H436">Scope3_Equations.VEERG_15_10_1_1__1_OtherPurchasedGoodsAndServices(F436,G436*10^-3)</f>
        <v>0</v>
      </c>
      <c r="I436" s="85"/>
      <c r="J436" s="277" cm="1">
        <f t="array" ref="J436">Scope3_Equations.VEERG_15_10_1_1__1_OtherPurchasedGoodsAndServices(F436,IF(I436,I436,G436)*10^-3)</f>
        <v>0</v>
      </c>
      <c r="K436" s="43"/>
      <c r="L436" s="23"/>
      <c r="M436" s="43"/>
    </row>
    <row r="437" spans="4:13" x14ac:dyDescent="0.25">
      <c r="D437" s="25">
        <v>0</v>
      </c>
      <c r="E437" s="25">
        <v>0</v>
      </c>
      <c r="F437" s="25">
        <v>0</v>
      </c>
      <c r="G437" s="25" cm="1">
        <f t="array" ref="G437">Common_InputFunctions.Utility_LookupValueInTableNumber(E437,Table_SourceData_Scope3_ChemicalsCleaning[Product],Table_SourceData_Scope3_ChemicalsCleaning[AusLCI Emissions intensity])</f>
        <v>0</v>
      </c>
      <c r="H437" s="277" cm="1">
        <f t="array" ref="H437">Scope3_Equations.VEERG_15_10_1_1__1_OtherPurchasedGoodsAndServices(F437,G437*10^-3)</f>
        <v>0</v>
      </c>
      <c r="I437" s="85"/>
      <c r="J437" s="277" cm="1">
        <f t="array" ref="J437">Scope3_Equations.VEERG_15_10_1_1__1_OtherPurchasedGoodsAndServices(F437,IF(I437,I437,G437)*10^-3)</f>
        <v>0</v>
      </c>
      <c r="K437" s="43"/>
      <c r="L437" s="23"/>
      <c r="M437" s="43"/>
    </row>
    <row r="438" spans="4:13" x14ac:dyDescent="0.25">
      <c r="D438" s="25">
        <v>0</v>
      </c>
      <c r="E438" s="25">
        <v>0</v>
      </c>
      <c r="F438" s="25">
        <v>0</v>
      </c>
      <c r="G438" s="25" cm="1">
        <f t="array" ref="G438">Common_InputFunctions.Utility_LookupValueInTableNumber(E438,Table_SourceData_Scope3_ChemicalsCleaning[Product],Table_SourceData_Scope3_ChemicalsCleaning[AusLCI Emissions intensity])</f>
        <v>0</v>
      </c>
      <c r="H438" s="277" cm="1">
        <f t="array" ref="H438">Scope3_Equations.VEERG_15_10_1_1__1_OtherPurchasedGoodsAndServices(F438,G438*10^-3)</f>
        <v>0</v>
      </c>
      <c r="I438" s="85"/>
      <c r="J438" s="277" cm="1">
        <f t="array" ref="J438">Scope3_Equations.VEERG_15_10_1_1__1_OtherPurchasedGoodsAndServices(F438,IF(I438,I438,G438)*10^-3)</f>
        <v>0</v>
      </c>
      <c r="K438" s="43"/>
      <c r="L438" s="23"/>
      <c r="M438" s="43"/>
    </row>
    <row r="439" spans="4:13" x14ac:dyDescent="0.25">
      <c r="D439" s="25">
        <v>0</v>
      </c>
      <c r="E439" s="25">
        <v>0</v>
      </c>
      <c r="F439" s="25">
        <v>0</v>
      </c>
      <c r="G439" s="25" cm="1">
        <f t="array" ref="G439">Common_InputFunctions.Utility_LookupValueInTableNumber(E439,Table_SourceData_Scope3_ChemicalsCleaning[Product],Table_SourceData_Scope3_ChemicalsCleaning[AusLCI Emissions intensity])</f>
        <v>0</v>
      </c>
      <c r="H439" s="277" cm="1">
        <f t="array" ref="H439">Scope3_Equations.VEERG_15_10_1_1__1_OtherPurchasedGoodsAndServices(F439,G439*10^-3)</f>
        <v>0</v>
      </c>
      <c r="I439" s="85"/>
      <c r="J439" s="277" cm="1">
        <f t="array" ref="J439">Scope3_Equations.VEERG_15_10_1_1__1_OtherPurchasedGoodsAndServices(F439,IF(I439,I439,G439)*10^-3)</f>
        <v>0</v>
      </c>
      <c r="K439" s="43"/>
      <c r="L439" s="23"/>
      <c r="M439" s="43"/>
    </row>
    <row r="441" spans="4:13" ht="20.25" x14ac:dyDescent="0.25">
      <c r="D441" s="278" t="s">
        <v>1145</v>
      </c>
      <c r="E441" s="136">
        <f>SUM(H430:H439)</f>
        <v>0.50509999999999999</v>
      </c>
      <c r="F441" s="137" t="str">
        <f>$E$155</f>
        <v>t CO2e</v>
      </c>
    </row>
    <row r="442" spans="4:13" ht="20.25" x14ac:dyDescent="0.25">
      <c r="D442" s="278" t="s">
        <v>1148</v>
      </c>
      <c r="E442" s="136">
        <f>SUM(J430:J439)</f>
        <v>2.73</v>
      </c>
      <c r="F442" s="137" t="str">
        <f>$E$155</f>
        <v>t CO2e</v>
      </c>
    </row>
    <row r="445" spans="4:13" ht="18.75" x14ac:dyDescent="0.25">
      <c r="D445" s="261" t="s">
        <v>1239</v>
      </c>
    </row>
    <row r="447" spans="4:13" x14ac:dyDescent="0.25">
      <c r="D447" s="94" t="s">
        <v>1139</v>
      </c>
      <c r="E447" s="276" t="s">
        <v>1237</v>
      </c>
      <c r="F447" s="276" t="s">
        <v>1053</v>
      </c>
      <c r="G447" s="124" t="s">
        <v>1240</v>
      </c>
      <c r="H447" s="124" t="s">
        <v>1145</v>
      </c>
      <c r="I447" s="94" t="s">
        <v>1241</v>
      </c>
      <c r="J447" s="124" t="s">
        <v>1148</v>
      </c>
      <c r="K447" s="94" t="s">
        <v>1149</v>
      </c>
      <c r="L447" s="94" t="s">
        <v>1150</v>
      </c>
      <c r="M447" s="94" t="s">
        <v>1151</v>
      </c>
    </row>
    <row r="448" spans="4:13" x14ac:dyDescent="0.25">
      <c r="D448" s="25" t="str" cm="1">
        <f t="array" ref="D448:D457">IFERROR(INDEX(Table_Input_ChemicalsPharmacy[Product name], _xlfn.SEQUENCE(10)), "")</f>
        <v>Cow bug off</v>
      </c>
      <c r="E448" s="25" t="str" cm="1">
        <f t="array" ref="E448:E457">IFERROR(INDEX(Table_Input_ChemicalsPharmacy[Type (select)], _xlfn.SEQUENCE(10)), "")</f>
        <v>Parasite control for cattle (external), dipping</v>
      </c>
      <c r="F448" s="25" cm="1">
        <f t="array" ref="F448:F457">IFERROR(INDEX(Table_Input_ChemicalsCleaning[Quantity purchased (kg)], _xlfn.SEQUENCE(10)), "")</f>
        <v>100</v>
      </c>
      <c r="G448" s="25" cm="1">
        <f t="array" ref="G448">Common_InputFunctions.Utility_LookupValueInTableNumber(E448,Table_SourceData_Scope3_ChemicalsPharmacy[Product],Table_SourceData_Scope3_ChemicalsPharmacy[AusLCI Emissions intensity])</f>
        <v>5.4699999999999999E-2</v>
      </c>
      <c r="H448" s="277" cm="1">
        <f t="array" ref="H448">Scope3_Equations.VEERG_15_10_1_1__1_OtherPurchasedGoodsAndServices(F448,G448*10^-3)</f>
        <v>5.47E-3</v>
      </c>
      <c r="I448" s="85">
        <v>0.05</v>
      </c>
      <c r="J448" s="277" cm="1">
        <f t="array" ref="J448">Scope3_Equations.VEERG_15_10_1_1__1_OtherPurchasedGoodsAndServices(F448,IF(I448,I448,G448)*10^-3)</f>
        <v>5.0000000000000001E-3</v>
      </c>
      <c r="K448" s="43"/>
      <c r="L448" s="23"/>
      <c r="M448" s="43"/>
    </row>
    <row r="449" spans="4:13" x14ac:dyDescent="0.25">
      <c r="D449" s="25" t="str">
        <v>Cow worm-away</v>
      </c>
      <c r="E449" s="25" t="str">
        <v>Parasite control for cattle (internal)</v>
      </c>
      <c r="F449" s="25">
        <v>100</v>
      </c>
      <c r="G449" s="25" cm="1">
        <f t="array" ref="G449">Common_InputFunctions.Utility_LookupValueInTableNumber(E449,Table_SourceData_Scope3_ChemicalsPharmacy[Product],Table_SourceData_Scope3_ChemicalsPharmacy[AusLCI Emissions intensity])</f>
        <v>1.4200000000000001E-2</v>
      </c>
      <c r="H449" s="277" cm="1">
        <f t="array" ref="H449">Scope3_Equations.VEERG_15_10_1_1__1_OtherPurchasedGoodsAndServices(F449,G449*10^-3)</f>
        <v>1.42E-3</v>
      </c>
      <c r="I449" s="85">
        <v>0.01</v>
      </c>
      <c r="J449" s="277" cm="1">
        <f t="array" ref="J449">Scope3_Equations.VEERG_15_10_1_1__1_OtherPurchasedGoodsAndServices(F449,IF(I449,I449,G449)*10^-3)</f>
        <v>1E-3</v>
      </c>
      <c r="K449" s="43"/>
      <c r="L449" s="23"/>
      <c r="M449" s="43"/>
    </row>
    <row r="450" spans="4:13" x14ac:dyDescent="0.25">
      <c r="D450" s="25" t="str">
        <v>Sheep bug off</v>
      </c>
      <c r="E450" s="25" t="str">
        <v>Parasite control for sheep (external)</v>
      </c>
      <c r="F450" s="25">
        <v>100</v>
      </c>
      <c r="G450" s="25" cm="1">
        <f t="array" ref="G450">Common_InputFunctions.Utility_LookupValueInTableNumber(E450,Table_SourceData_Scope3_ChemicalsPharmacy[Product],Table_SourceData_Scope3_ChemicalsPharmacy[AusLCI Emissions intensity])</f>
        <v>1.43E-2</v>
      </c>
      <c r="H450" s="277" cm="1">
        <f t="array" ref="H450">Scope3_Equations.VEERG_15_10_1_1__1_OtherPurchasedGoodsAndServices(F450,G450*10^-3)</f>
        <v>1.4300000000000001E-3</v>
      </c>
      <c r="I450" s="85">
        <v>0.01</v>
      </c>
      <c r="J450" s="277" cm="1">
        <f t="array" ref="J450">Scope3_Equations.VEERG_15_10_1_1__1_OtherPurchasedGoodsAndServices(F450,IF(I450,I450,G450)*10^-3)</f>
        <v>1E-3</v>
      </c>
      <c r="K450" s="43"/>
      <c r="L450" s="23"/>
      <c r="M450" s="43"/>
    </row>
    <row r="451" spans="4:13" x14ac:dyDescent="0.25">
      <c r="D451" s="25" t="str">
        <v>Sheep worm-away</v>
      </c>
      <c r="E451" s="25" t="str">
        <v>Parasite control for sheep (internal)</v>
      </c>
      <c r="F451" s="25">
        <v>100</v>
      </c>
      <c r="G451" s="25" cm="1">
        <f t="array" ref="G451">Common_InputFunctions.Utility_LookupValueInTableNumber(E451,Table_SourceData_Scope3_ChemicalsPharmacy[Product],Table_SourceData_Scope3_ChemicalsPharmacy[AusLCI Emissions intensity])</f>
        <v>4.2599999999999999E-3</v>
      </c>
      <c r="H451" s="277" cm="1">
        <f t="array" ref="H451">Scope3_Equations.VEERG_15_10_1_1__1_OtherPurchasedGoodsAndServices(F451,G451*10^-3)</f>
        <v>4.26E-4</v>
      </c>
      <c r="I451" s="85">
        <v>4.0000000000000001E-3</v>
      </c>
      <c r="J451" s="277" cm="1">
        <f t="array" ref="J451">Scope3_Equations.VEERG_15_10_1_1__1_OtherPurchasedGoodsAndServices(F451,IF(I451,I451,G451)*10^-3)</f>
        <v>3.9999999999999996E-4</v>
      </c>
      <c r="K451" s="43"/>
      <c r="L451" s="23"/>
      <c r="M451" s="43"/>
    </row>
    <row r="452" spans="4:13" x14ac:dyDescent="0.25">
      <c r="D452" s="25" t="str">
        <v>Cow bug off</v>
      </c>
      <c r="E452" s="25" t="str">
        <v>Parasite control for cattle (external), dipping</v>
      </c>
      <c r="F452" s="25">
        <v>100</v>
      </c>
      <c r="G452" s="25" cm="1">
        <f t="array" ref="G452">Common_InputFunctions.Utility_LookupValueInTableNumber(E452,Table_SourceData_Scope3_ChemicalsPharmacy[Product],Table_SourceData_Scope3_ChemicalsPharmacy[AusLCI Emissions intensity])</f>
        <v>5.4699999999999999E-2</v>
      </c>
      <c r="H452" s="277" cm="1">
        <f t="array" ref="H452">Scope3_Equations.VEERG_15_10_1_1__1_OtherPurchasedGoodsAndServices(F452,G452*10^-3)</f>
        <v>5.47E-3</v>
      </c>
      <c r="I452" s="85">
        <v>0.05</v>
      </c>
      <c r="J452" s="277" cm="1">
        <f t="array" ref="J452">Scope3_Equations.VEERG_15_10_1_1__1_OtherPurchasedGoodsAndServices(F452,IF(I452,I452,G452)*10^-3)</f>
        <v>5.0000000000000001E-3</v>
      </c>
      <c r="K452" s="43"/>
      <c r="L452" s="23"/>
      <c r="M452" s="43"/>
    </row>
    <row r="453" spans="4:13" x14ac:dyDescent="0.25">
      <c r="D453" s="25" t="str">
        <v>Cow worm-away</v>
      </c>
      <c r="E453" s="25" t="str">
        <v>Parasite control for cattle (internal)</v>
      </c>
      <c r="F453" s="25">
        <v>100</v>
      </c>
      <c r="G453" s="25" cm="1">
        <f t="array" ref="G453">Common_InputFunctions.Utility_LookupValueInTableNumber(E453,Table_SourceData_Scope3_ChemicalsPharmacy[Product],Table_SourceData_Scope3_ChemicalsPharmacy[AusLCI Emissions intensity])</f>
        <v>1.4200000000000001E-2</v>
      </c>
      <c r="H453" s="277" cm="1">
        <f t="array" ref="H453">Scope3_Equations.VEERG_15_10_1_1__1_OtherPurchasedGoodsAndServices(F453,G453*10^-3)</f>
        <v>1.42E-3</v>
      </c>
      <c r="I453" s="85">
        <v>0.01</v>
      </c>
      <c r="J453" s="277" cm="1">
        <f t="array" ref="J453">Scope3_Equations.VEERG_15_10_1_1__1_OtherPurchasedGoodsAndServices(F453,IF(I453,I453,G453)*10^-3)</f>
        <v>1E-3</v>
      </c>
      <c r="K453" s="43"/>
      <c r="L453" s="23"/>
      <c r="M453" s="43"/>
    </row>
    <row r="454" spans="4:13" x14ac:dyDescent="0.25">
      <c r="D454" s="25">
        <v>0</v>
      </c>
      <c r="E454" s="25">
        <v>0</v>
      </c>
      <c r="F454" s="25">
        <v>0</v>
      </c>
      <c r="G454" s="25" cm="1">
        <f t="array" ref="G454">Common_InputFunctions.Utility_LookupValueInTableNumber(E454,Table_SourceData_Scope3_ChemicalsPharmacy[Product],Table_SourceData_Scope3_ChemicalsPharmacy[AusLCI Emissions intensity])</f>
        <v>0</v>
      </c>
      <c r="H454" s="277" cm="1">
        <f t="array" ref="H454">Scope3_Equations.VEERG_15_10_1_1__1_OtherPurchasedGoodsAndServices(F454,G454*10^-3)</f>
        <v>0</v>
      </c>
      <c r="I454" s="85"/>
      <c r="J454" s="277" cm="1">
        <f t="array" ref="J454">Scope3_Equations.VEERG_15_10_1_1__1_OtherPurchasedGoodsAndServices(F454,IF(I454,I454,G454)*10^-3)</f>
        <v>0</v>
      </c>
      <c r="K454" s="43"/>
      <c r="L454" s="23"/>
      <c r="M454" s="43"/>
    </row>
    <row r="455" spans="4:13" x14ac:dyDescent="0.25">
      <c r="D455" s="25">
        <v>0</v>
      </c>
      <c r="E455" s="25">
        <v>0</v>
      </c>
      <c r="F455" s="25">
        <v>0</v>
      </c>
      <c r="G455" s="25" cm="1">
        <f t="array" ref="G455">Common_InputFunctions.Utility_LookupValueInTableNumber(E455,Table_SourceData_Scope3_ChemicalsPharmacy[Product],Table_SourceData_Scope3_ChemicalsPharmacy[AusLCI Emissions intensity])</f>
        <v>0</v>
      </c>
      <c r="H455" s="277" cm="1">
        <f t="array" ref="H455">Scope3_Equations.VEERG_15_10_1_1__1_OtherPurchasedGoodsAndServices(F455,G455*10^-3)</f>
        <v>0</v>
      </c>
      <c r="I455" s="85"/>
      <c r="J455" s="277" cm="1">
        <f t="array" ref="J455">Scope3_Equations.VEERG_15_10_1_1__1_OtherPurchasedGoodsAndServices(F455,IF(I455,I455,G455)*10^-3)</f>
        <v>0</v>
      </c>
      <c r="K455" s="43"/>
      <c r="L455" s="23"/>
      <c r="M455" s="43"/>
    </row>
    <row r="456" spans="4:13" x14ac:dyDescent="0.25">
      <c r="D456" s="25">
        <v>0</v>
      </c>
      <c r="E456" s="25">
        <v>0</v>
      </c>
      <c r="F456" s="25">
        <v>0</v>
      </c>
      <c r="G456" s="25" cm="1">
        <f t="array" ref="G456">Common_InputFunctions.Utility_LookupValueInTableNumber(E456,Table_SourceData_Scope3_ChemicalsPharmacy[Product],Table_SourceData_Scope3_ChemicalsPharmacy[AusLCI Emissions intensity])</f>
        <v>0</v>
      </c>
      <c r="H456" s="277" cm="1">
        <f t="array" ref="H456">Scope3_Equations.VEERG_15_10_1_1__1_OtherPurchasedGoodsAndServices(F456,G456*10^-3)</f>
        <v>0</v>
      </c>
      <c r="I456" s="85"/>
      <c r="J456" s="277" cm="1">
        <f t="array" ref="J456">Scope3_Equations.VEERG_15_10_1_1__1_OtherPurchasedGoodsAndServices(F456,IF(I456,I456,G456)*10^-3)</f>
        <v>0</v>
      </c>
      <c r="K456" s="43"/>
      <c r="L456" s="23"/>
      <c r="M456" s="43"/>
    </row>
    <row r="457" spans="4:13" x14ac:dyDescent="0.25">
      <c r="D457" s="25">
        <v>0</v>
      </c>
      <c r="E457" s="25">
        <v>0</v>
      </c>
      <c r="F457" s="25">
        <v>0</v>
      </c>
      <c r="G457" s="25" cm="1">
        <f t="array" ref="G457">Common_InputFunctions.Utility_LookupValueInTableNumber(E457,Table_SourceData_Scope3_ChemicalsPharmacy[Product],Table_SourceData_Scope3_ChemicalsPharmacy[AusLCI Emissions intensity])</f>
        <v>0</v>
      </c>
      <c r="H457" s="277" cm="1">
        <f t="array" ref="H457">Scope3_Equations.VEERG_15_10_1_1__1_OtherPurchasedGoodsAndServices(F457,G457*10^-3)</f>
        <v>0</v>
      </c>
      <c r="I457" s="85"/>
      <c r="J457" s="277" cm="1">
        <f t="array" ref="J457">Scope3_Equations.VEERG_15_10_1_1__1_OtherPurchasedGoodsAndServices(F457,IF(I457,I457,G457)*10^-3)</f>
        <v>0</v>
      </c>
      <c r="K457" s="43"/>
      <c r="L457" s="23"/>
      <c r="M457" s="43"/>
    </row>
    <row r="459" spans="4:13" ht="20.25" x14ac:dyDescent="0.25">
      <c r="D459" s="278" t="s">
        <v>1145</v>
      </c>
      <c r="E459" s="136">
        <f>SUM(H448:H457)</f>
        <v>1.5636000000000001E-2</v>
      </c>
      <c r="F459" s="137" t="str">
        <f>$E$155</f>
        <v>t CO2e</v>
      </c>
    </row>
    <row r="460" spans="4:13" ht="20.25" x14ac:dyDescent="0.25">
      <c r="D460" s="278" t="s">
        <v>1148</v>
      </c>
      <c r="E460" s="136">
        <f>SUM(J448:J457)</f>
        <v>1.3400000000000002E-2</v>
      </c>
      <c r="F460" s="137" t="str">
        <f>$E$155</f>
        <v>t CO2e</v>
      </c>
    </row>
    <row r="463" spans="4:13" ht="18.75" x14ac:dyDescent="0.25">
      <c r="D463" s="261" t="s">
        <v>1110</v>
      </c>
    </row>
    <row r="465" spans="4:12" x14ac:dyDescent="0.25">
      <c r="D465" s="94" t="s">
        <v>722</v>
      </c>
      <c r="E465" s="94" t="s">
        <v>1242</v>
      </c>
      <c r="F465" s="124" t="s">
        <v>1240</v>
      </c>
      <c r="G465" s="124" t="s">
        <v>1145</v>
      </c>
      <c r="H465" s="94" t="s">
        <v>1241</v>
      </c>
      <c r="I465" s="124" t="s">
        <v>1148</v>
      </c>
      <c r="J465" s="94" t="s">
        <v>1149</v>
      </c>
      <c r="K465" s="94" t="s">
        <v>1150</v>
      </c>
      <c r="L465" s="94" t="s">
        <v>1151</v>
      </c>
    </row>
    <row r="466" spans="4:12" x14ac:dyDescent="0.25">
      <c r="D466" s="25" t="str">
        <f>'Input - Farm Inputs'!D121</f>
        <v>Barley grain (for seed)</v>
      </c>
      <c r="E466" s="25">
        <f>X_Cell_FarmInputs_Seed_BarleyGrain</f>
        <v>500</v>
      </c>
      <c r="F466" s="25" cm="1">
        <f t="array" ref="F466">Common_InputFunctions.Utility_LookupValueInTableNumber(D466,Table_SourceData_Scope3_Other[Product],Table_SourceData_Scope3_Other[AusLCI Emissions intensity])</f>
        <v>0.23899999999999999</v>
      </c>
      <c r="G466" s="277" cm="1">
        <f t="array" ref="G466">Scope3_Equations.VEERG_15_10_1_1__1_OtherPurchasedGoodsAndServices(E466,F466*10^-3)</f>
        <v>0.1195</v>
      </c>
      <c r="H466" s="85">
        <v>0.2</v>
      </c>
      <c r="I466" s="277" cm="1">
        <f t="array" ref="I466">Scope3_Equations.VEERG_15_10_1_1__1_OtherPurchasedGoodsAndServices(E466,IF(H466,H466,F466)*10^-3)</f>
        <v>0.1</v>
      </c>
      <c r="J466" s="43"/>
      <c r="K466" s="23"/>
      <c r="L466" s="43"/>
    </row>
    <row r="467" spans="4:12" x14ac:dyDescent="0.25">
      <c r="D467" s="25" t="str">
        <f>'Input - Farm Inputs'!D122</f>
        <v>Maize grain (for seed)</v>
      </c>
      <c r="E467" s="25">
        <f>X_Cell_FarmInputs_Seed_MaizeGrain</f>
        <v>600</v>
      </c>
      <c r="F467" s="25" cm="1">
        <f t="array" ref="F467">Common_InputFunctions.Utility_LookupValueInTableNumber(D467,Table_SourceData_Scope3_Other[Product],Table_SourceData_Scope3_Other[AusLCI Emissions intensity])</f>
        <v>0.18099999999999999</v>
      </c>
      <c r="G467" s="277" cm="1">
        <f t="array" ref="G467">Scope3_Equations.VEERG_15_10_1_1__1_OtherPurchasedGoodsAndServices(E467,F467*10^-3)</f>
        <v>0.1086</v>
      </c>
      <c r="H467" s="85"/>
      <c r="I467" s="277" cm="1">
        <f t="array" ref="I467">Scope3_Equations.VEERG_15_10_1_1__1_OtherPurchasedGoodsAndServices(E467,IF(H467,H467,F467)*10^-3)</f>
        <v>0.1086</v>
      </c>
      <c r="J467" s="43"/>
      <c r="K467" s="23"/>
      <c r="L467" s="43"/>
    </row>
    <row r="468" spans="4:12" x14ac:dyDescent="0.25">
      <c r="D468" s="25" t="str">
        <f>'Input - Farm Inputs'!D123</f>
        <v>Oat grain (for seed)</v>
      </c>
      <c r="E468" s="25">
        <f>X_Cell_FarmInputs_Seed_OatGrain</f>
        <v>700</v>
      </c>
      <c r="F468" s="25" cm="1">
        <f t="array" ref="F468">Common_InputFunctions.Utility_LookupValueInTableNumber(D468,Table_SourceData_Scope3_Other[Product],Table_SourceData_Scope3_Other[AusLCI Emissions intensity])</f>
        <v>0.27</v>
      </c>
      <c r="G468" s="277" cm="1">
        <f t="array" ref="G468">Scope3_Equations.VEERG_15_10_1_1__1_OtherPurchasedGoodsAndServices(E468,F468*10^-3)</f>
        <v>0.189</v>
      </c>
      <c r="H468" s="85">
        <v>0.2</v>
      </c>
      <c r="I468" s="277" cm="1">
        <f t="array" ref="I468">Scope3_Equations.VEERG_15_10_1_1__1_OtherPurchasedGoodsAndServices(E468,IF(H468,H468,F468)*10^-3)</f>
        <v>0.14000000000000001</v>
      </c>
      <c r="J468" s="43"/>
      <c r="K468" s="23"/>
      <c r="L468" s="43"/>
    </row>
    <row r="469" spans="4:12" x14ac:dyDescent="0.25">
      <c r="D469" s="25" t="str">
        <f>'Input - Farm Inputs'!D124</f>
        <v>Sorghum grain (for seed)</v>
      </c>
      <c r="E469" s="25">
        <f>X_Cell_FarmInputs_Seed_SorghumGrain</f>
        <v>800</v>
      </c>
      <c r="F469" s="25" cm="1">
        <f t="array" ref="F469">Common_InputFunctions.Utility_LookupValueInTableNumber(D469,Table_SourceData_Scope3_Other[Product],Table_SourceData_Scope3_Other[AusLCI Emissions intensity])</f>
        <v>0.23200000000000001</v>
      </c>
      <c r="G469" s="277" cm="1">
        <f t="array" ref="G469">Scope3_Equations.VEERG_15_10_1_1__1_OtherPurchasedGoodsAndServices(E469,F469*10^-3)</f>
        <v>0.18560000000000001</v>
      </c>
      <c r="H469" s="85"/>
      <c r="I469" s="277" cm="1">
        <f t="array" ref="I469">Scope3_Equations.VEERG_15_10_1_1__1_OtherPurchasedGoodsAndServices(E469,IF(H469,H469,F469)*10^-3)</f>
        <v>0.18560000000000001</v>
      </c>
      <c r="J469" s="43"/>
      <c r="K469" s="23"/>
      <c r="L469" s="43"/>
    </row>
    <row r="470" spans="4:12" x14ac:dyDescent="0.25">
      <c r="D470" s="25" t="str">
        <f>'Input - Farm Inputs'!D125</f>
        <v>Wheat grain (for seed)</v>
      </c>
      <c r="E470" s="25">
        <f>X_Cell_FarmInputs_Seed_WheatGrain</f>
        <v>900</v>
      </c>
      <c r="F470" s="25" cm="1">
        <f t="array" ref="F470">Common_InputFunctions.Utility_LookupValueInTableNumber(D470,Table_SourceData_Scope3_Other[Product],Table_SourceData_Scope3_Other[AusLCI Emissions intensity])</f>
        <v>0.26800000000000002</v>
      </c>
      <c r="G470" s="277" cm="1">
        <f t="array" ref="G470">Scope3_Equations.VEERG_15_10_1_1__1_OtherPurchasedGoodsAndServices(E470,F470*10^-3)</f>
        <v>0.2412</v>
      </c>
      <c r="H470" s="85">
        <v>0.2</v>
      </c>
      <c r="I470" s="277" cm="1">
        <f t="array" ref="I470">Scope3_Equations.VEERG_15_10_1_1__1_OtherPurchasedGoodsAndServices(E470,IF(H470,H470,F470)*10^-3)</f>
        <v>0.18000000000000002</v>
      </c>
      <c r="J470" s="43"/>
      <c r="K470" s="23"/>
      <c r="L470" s="43"/>
    </row>
    <row r="472" spans="4:12" ht="20.25" x14ac:dyDescent="0.25">
      <c r="D472" s="278" t="s">
        <v>1145</v>
      </c>
      <c r="E472" s="136">
        <f>SUM(G466:G470)</f>
        <v>0.84389999999999998</v>
      </c>
      <c r="F472" s="137" t="str">
        <f>$E$155</f>
        <v>t CO2e</v>
      </c>
    </row>
    <row r="473" spans="4:12" ht="20.25" x14ac:dyDescent="0.25">
      <c r="D473" s="278" t="s">
        <v>1148</v>
      </c>
      <c r="E473" s="136">
        <f>SUM(I466:I470)</f>
        <v>0.71420000000000006</v>
      </c>
      <c r="F473" s="137" t="str">
        <f>$E$155</f>
        <v>t CO2e</v>
      </c>
    </row>
    <row r="476" spans="4:12" ht="18.75" x14ac:dyDescent="0.25">
      <c r="D476" s="261" t="s">
        <v>1243</v>
      </c>
    </row>
    <row r="478" spans="4:12" x14ac:dyDescent="0.25">
      <c r="D478" s="94" t="s">
        <v>722</v>
      </c>
      <c r="E478" s="94" t="s">
        <v>1242</v>
      </c>
      <c r="F478" s="124" t="s">
        <v>1240</v>
      </c>
      <c r="G478" s="124" t="s">
        <v>1145</v>
      </c>
      <c r="H478" s="94" t="s">
        <v>1241</v>
      </c>
      <c r="I478" s="124" t="s">
        <v>1148</v>
      </c>
      <c r="J478" s="94" t="s">
        <v>1149</v>
      </c>
      <c r="K478" s="94" t="s">
        <v>1150</v>
      </c>
      <c r="L478" s="94" t="s">
        <v>1151</v>
      </c>
    </row>
    <row r="479" spans="4:12" x14ac:dyDescent="0.25">
      <c r="D479" s="25" t="str">
        <f>'Input - Farm Inputs'!D128</f>
        <v>Animal ear tags (large)</v>
      </c>
      <c r="E479" s="25">
        <f>X_Cell_FarmInputs_Misc_AnimalEarTagsLarge</f>
        <v>100</v>
      </c>
      <c r="F479" s="25" cm="1">
        <f t="array" ref="F479">Common_InputFunctions.Utility_LookupValueInTableNumber(D479,Table_SourceData_Scope3_Other[Product],Table_SourceData_Scope3_Other[AusLCI Emissions intensity])</f>
        <v>4.24E-2</v>
      </c>
      <c r="G479" s="277" cm="1">
        <f t="array" ref="G479">Scope3_Equations.VEERG_15_10_1_1__1_OtherPurchasedGoodsAndServices(E479,F479*10^-3)</f>
        <v>4.2399999999999998E-3</v>
      </c>
      <c r="H479" s="85">
        <v>0.2</v>
      </c>
      <c r="I479" s="277" cm="1">
        <f t="array" ref="I479">Scope3_Equations.VEERG_15_10_1_1__1_OtherPurchasedGoodsAndServices(E479,IF(H479,H479,F479)*10^-3)</f>
        <v>0.02</v>
      </c>
      <c r="J479" s="43"/>
      <c r="K479" s="23"/>
      <c r="L479" s="43"/>
    </row>
    <row r="480" spans="4:12" x14ac:dyDescent="0.25">
      <c r="D480" s="25" t="str">
        <f>'Input - Farm Inputs'!D129</f>
        <v>Animal ear tags (small)</v>
      </c>
      <c r="E480" s="25">
        <f>X_Cell_FarmInputs_Misc_AnimalEarTagsSmall</f>
        <v>200</v>
      </c>
      <c r="F480" s="25" cm="1">
        <f t="array" ref="F480">Common_InputFunctions.Utility_LookupValueInTableNumber(D480,Table_SourceData_Scope3_Other[Product],Table_SourceData_Scope3_Other[AusLCI Emissions intensity])</f>
        <v>2.93E-2</v>
      </c>
      <c r="G480" s="277" cm="1">
        <f t="array" ref="G480">Scope3_Equations.VEERG_15_10_1_1__1_OtherPurchasedGoodsAndServices(E480,F480*10^-3)</f>
        <v>5.8599999999999998E-3</v>
      </c>
      <c r="H480" s="85"/>
      <c r="I480" s="277" cm="1">
        <f t="array" ref="I480">Scope3_Equations.VEERG_15_10_1_1__1_OtherPurchasedGoodsAndServices(E480,IF(H480,H480,F480)*10^-3)</f>
        <v>5.8599999999999998E-3</v>
      </c>
      <c r="J480" s="43"/>
      <c r="K480" s="23"/>
      <c r="L480" s="43"/>
    </row>
    <row r="481" spans="4:14" x14ac:dyDescent="0.25">
      <c r="D481" s="25" t="str">
        <f>'Input - Farm Inputs'!D130</f>
        <v>Nylon netting</v>
      </c>
      <c r="E481" s="25">
        <f>X_Cell_FarmInputs_Misc_NylonNetting</f>
        <v>300</v>
      </c>
      <c r="F481" s="25" cm="1">
        <f t="array" ref="F481">Common_InputFunctions.Utility_LookupValueInTableNumber(D481,Table_SourceData_Scope3_Other[Product],Table_SourceData_Scope3_Other[AusLCI Emissions intensity])</f>
        <v>9.81</v>
      </c>
      <c r="G481" s="277" cm="1">
        <f t="array" ref="G481">Scope3_Equations.VEERG_15_10_1_1__1_OtherPurchasedGoodsAndServices(E481,F481*10^-3)</f>
        <v>2.9430000000000005</v>
      </c>
      <c r="H481" s="85">
        <v>0.2</v>
      </c>
      <c r="I481" s="277" cm="1">
        <f t="array" ref="I481">Scope3_Equations.VEERG_15_10_1_1__1_OtherPurchasedGoodsAndServices(E481,IF(H481,H481,F481)*10^-3)</f>
        <v>6.0000000000000005E-2</v>
      </c>
      <c r="J481" s="43"/>
      <c r="K481" s="23"/>
      <c r="L481" s="43"/>
    </row>
    <row r="483" spans="4:14" ht="20.25" x14ac:dyDescent="0.25">
      <c r="D483" s="278" t="s">
        <v>1145</v>
      </c>
      <c r="E483" s="136">
        <f>SUM(G479:G481)</f>
        <v>2.9531000000000005</v>
      </c>
      <c r="F483" s="137" t="str">
        <f>$E$155</f>
        <v>t CO2e</v>
      </c>
    </row>
    <row r="484" spans="4:14" ht="20.25" x14ac:dyDescent="0.25">
      <c r="D484" s="278" t="s">
        <v>1148</v>
      </c>
      <c r="E484" s="136">
        <f>SUM(I479:I481)</f>
        <v>8.5860000000000006E-2</v>
      </c>
      <c r="F484" s="137" t="str">
        <f>$E$155</f>
        <v>t CO2e</v>
      </c>
    </row>
    <row r="487" spans="4:14" ht="18.75" x14ac:dyDescent="0.25">
      <c r="D487" s="261" t="s">
        <v>1244</v>
      </c>
    </row>
    <row r="489" spans="4:14" x14ac:dyDescent="0.25">
      <c r="D489" s="94" t="s">
        <v>722</v>
      </c>
      <c r="E489" s="94" t="s">
        <v>881</v>
      </c>
      <c r="F489" s="94" t="s">
        <v>789</v>
      </c>
      <c r="G489" s="124" t="s">
        <v>1226</v>
      </c>
      <c r="H489" s="124" t="s">
        <v>1227</v>
      </c>
      <c r="I489" s="94" t="s">
        <v>1228</v>
      </c>
      <c r="J489" s="94" t="s">
        <v>1245</v>
      </c>
      <c r="K489" s="124" t="s">
        <v>1229</v>
      </c>
      <c r="L489" s="94" t="s">
        <v>1149</v>
      </c>
      <c r="M489" s="94" t="s">
        <v>1150</v>
      </c>
      <c r="N489" s="94" t="s">
        <v>1151</v>
      </c>
    </row>
    <row r="490" spans="4:14" x14ac:dyDescent="0.25">
      <c r="D490" s="25" t="str" cm="1">
        <f t="array" ref="D490:D499">IFERROR(INDEX(Table_Input_UncategorisedProductsServices[Product / service name], _xlfn.SEQUENCE(10)), "")</f>
        <v>Something</v>
      </c>
      <c r="E490" s="25" cm="1">
        <f t="array" ref="E490:E499">IFERROR(INDEX(Table_Input_UncategorisedProductsServices[Amount], _xlfn.SEQUENCE(10)), "")</f>
        <v>1000</v>
      </c>
      <c r="F490" s="25" t="str" cm="1">
        <f t="array" ref="F490:F499">IFERROR(INDEX(Table_Input_UncategorisedProductsServices[Amount unit], _xlfn.SEQUENCE(10)), "")</f>
        <v>kg</v>
      </c>
      <c r="G490" s="25" t="s">
        <v>1231</v>
      </c>
      <c r="H490" s="25" t="s">
        <v>1231</v>
      </c>
      <c r="I490" s="85">
        <v>4</v>
      </c>
      <c r="J490" s="23" t="s">
        <v>1246</v>
      </c>
      <c r="K490" s="277" cm="1">
        <f t="array" ref="K490">Scope3_Equations.VEERG_15_10_1_1__1_OtherPurchasedGoodsAndServices(E490,IF(J490="kg / amount unit", I490*10^-3, I490))</f>
        <v>4000</v>
      </c>
      <c r="L490" s="43"/>
      <c r="M490" s="23"/>
      <c r="N490" s="43"/>
    </row>
    <row r="491" spans="4:14" x14ac:dyDescent="0.25">
      <c r="D491" s="25">
        <v>0</v>
      </c>
      <c r="E491" s="25">
        <v>0</v>
      </c>
      <c r="F491" s="25">
        <v>0</v>
      </c>
      <c r="G491" s="25" t="s">
        <v>1231</v>
      </c>
      <c r="H491" s="25" t="s">
        <v>1231</v>
      </c>
      <c r="I491" s="85">
        <v>2</v>
      </c>
      <c r="J491" s="23" t="s">
        <v>1246</v>
      </c>
      <c r="K491" s="277" cm="1">
        <f t="array" ref="K491">Scope3_Equations.VEERG_15_10_1_1__1_OtherPurchasedGoodsAndServices(E491,IF(J491="kg / amount unit", I491*10^-3, I491))</f>
        <v>0</v>
      </c>
      <c r="L491" s="43"/>
      <c r="M491" s="23"/>
      <c r="N491" s="43"/>
    </row>
    <row r="492" spans="4:14" x14ac:dyDescent="0.25">
      <c r="D492" s="25">
        <v>0</v>
      </c>
      <c r="E492" s="25">
        <v>0</v>
      </c>
      <c r="F492" s="25">
        <v>0</v>
      </c>
      <c r="G492" s="25" t="s">
        <v>1231</v>
      </c>
      <c r="H492" s="25" t="s">
        <v>1231</v>
      </c>
      <c r="I492" s="85"/>
      <c r="J492" s="23"/>
      <c r="K492" s="277" cm="1">
        <f t="array" ref="K492">Scope3_Equations.VEERG_15_10_1_1__1_OtherPurchasedGoodsAndServices(E492,IF(J492="kg / amount unit", I492*10^-3, I492))</f>
        <v>0</v>
      </c>
      <c r="L492" s="43"/>
      <c r="M492" s="23"/>
      <c r="N492" s="43"/>
    </row>
    <row r="493" spans="4:14" x14ac:dyDescent="0.25">
      <c r="D493" s="25">
        <v>0</v>
      </c>
      <c r="E493" s="25">
        <v>0</v>
      </c>
      <c r="F493" s="25">
        <v>0</v>
      </c>
      <c r="G493" s="25" t="s">
        <v>1231</v>
      </c>
      <c r="H493" s="25" t="s">
        <v>1231</v>
      </c>
      <c r="I493" s="85"/>
      <c r="J493" s="23"/>
      <c r="K493" s="277" cm="1">
        <f t="array" ref="K493">Scope3_Equations.VEERG_15_10_1_1__1_OtherPurchasedGoodsAndServices(E493,IF(J493="kg / amount unit", I493*10^-3, I493))</f>
        <v>0</v>
      </c>
      <c r="L493" s="43"/>
      <c r="M493" s="23"/>
      <c r="N493" s="43"/>
    </row>
    <row r="494" spans="4:14" x14ac:dyDescent="0.25">
      <c r="D494" s="25">
        <v>0</v>
      </c>
      <c r="E494" s="25">
        <v>0</v>
      </c>
      <c r="F494" s="25">
        <v>0</v>
      </c>
      <c r="G494" s="25" t="s">
        <v>1231</v>
      </c>
      <c r="H494" s="25" t="s">
        <v>1231</v>
      </c>
      <c r="I494" s="85"/>
      <c r="J494" s="23"/>
      <c r="K494" s="277" cm="1">
        <f t="array" ref="K494">Scope3_Equations.VEERG_15_10_1_1__1_OtherPurchasedGoodsAndServices(E494,IF(J494="kg / amount unit", I494*10^-3, I494))</f>
        <v>0</v>
      </c>
      <c r="L494" s="43"/>
      <c r="M494" s="23"/>
      <c r="N494" s="43"/>
    </row>
    <row r="495" spans="4:14" x14ac:dyDescent="0.25">
      <c r="D495" s="25">
        <v>0</v>
      </c>
      <c r="E495" s="25">
        <v>0</v>
      </c>
      <c r="F495" s="25">
        <v>0</v>
      </c>
      <c r="G495" s="25" t="s">
        <v>1231</v>
      </c>
      <c r="H495" s="25" t="s">
        <v>1231</v>
      </c>
      <c r="I495" s="85"/>
      <c r="J495" s="23"/>
      <c r="K495" s="277" cm="1">
        <f t="array" ref="K495">Scope3_Equations.VEERG_15_10_1_1__1_OtherPurchasedGoodsAndServices(E495,IF(J495="kg / amount unit", I495*10^-3, I495))</f>
        <v>0</v>
      </c>
      <c r="L495" s="43"/>
      <c r="M495" s="23"/>
      <c r="N495" s="43"/>
    </row>
    <row r="496" spans="4:14" x14ac:dyDescent="0.25">
      <c r="D496" s="25">
        <v>0</v>
      </c>
      <c r="E496" s="25">
        <v>0</v>
      </c>
      <c r="F496" s="25">
        <v>0</v>
      </c>
      <c r="G496" s="25" t="s">
        <v>1231</v>
      </c>
      <c r="H496" s="25" t="s">
        <v>1231</v>
      </c>
      <c r="I496" s="85"/>
      <c r="J496" s="23"/>
      <c r="K496" s="277" cm="1">
        <f t="array" ref="K496">Scope3_Equations.VEERG_15_10_1_1__1_OtherPurchasedGoodsAndServices(E496,IF(J496="kg / amount unit", I496*10^-3, I496))</f>
        <v>0</v>
      </c>
      <c r="L496" s="43"/>
      <c r="M496" s="23"/>
      <c r="N496" s="43"/>
    </row>
    <row r="497" spans="3:41" x14ac:dyDescent="0.25">
      <c r="D497" s="25">
        <v>0</v>
      </c>
      <c r="E497" s="25">
        <v>0</v>
      </c>
      <c r="F497" s="25">
        <v>0</v>
      </c>
      <c r="G497" s="25" t="s">
        <v>1231</v>
      </c>
      <c r="H497" s="25" t="s">
        <v>1231</v>
      </c>
      <c r="I497" s="85"/>
      <c r="J497" s="23"/>
      <c r="K497" s="277" cm="1">
        <f t="array" ref="K497">Scope3_Equations.VEERG_15_10_1_1__1_OtherPurchasedGoodsAndServices(E497,IF(J497="kg / amount unit", I497*10^-3, I497))</f>
        <v>0</v>
      </c>
      <c r="L497" s="43"/>
      <c r="M497" s="23"/>
      <c r="N497" s="43"/>
    </row>
    <row r="498" spans="3:41" x14ac:dyDescent="0.25">
      <c r="D498" s="25">
        <v>0</v>
      </c>
      <c r="E498" s="25">
        <v>0</v>
      </c>
      <c r="F498" s="25">
        <v>0</v>
      </c>
      <c r="G498" s="25" t="s">
        <v>1231</v>
      </c>
      <c r="H498" s="25" t="s">
        <v>1231</v>
      </c>
      <c r="I498" s="85"/>
      <c r="J498" s="23"/>
      <c r="K498" s="277" cm="1">
        <f t="array" ref="K498">Scope3_Equations.VEERG_15_10_1_1__1_OtherPurchasedGoodsAndServices(E498,IF(J498="kg / amount unit", I498*10^-3, I498))</f>
        <v>0</v>
      </c>
      <c r="L498" s="43"/>
      <c r="M498" s="23"/>
      <c r="N498" s="43"/>
    </row>
    <row r="499" spans="3:41" x14ac:dyDescent="0.25">
      <c r="D499" s="25">
        <v>0</v>
      </c>
      <c r="E499" s="25">
        <v>0</v>
      </c>
      <c r="F499" s="25">
        <v>0</v>
      </c>
      <c r="G499" s="25" t="s">
        <v>1231</v>
      </c>
      <c r="H499" s="25" t="s">
        <v>1231</v>
      </c>
      <c r="I499" s="85"/>
      <c r="J499" s="23"/>
      <c r="K499" s="277" cm="1">
        <f t="array" ref="K499">Scope3_Equations.VEERG_15_10_1_1__1_OtherPurchasedGoodsAndServices(E499,IF(J499="kg / amount unit", I499*10^-3, I499))</f>
        <v>0</v>
      </c>
      <c r="L499" s="43"/>
      <c r="M499" s="23"/>
      <c r="N499" s="43"/>
    </row>
    <row r="501" spans="3:41" ht="20.25" x14ac:dyDescent="0.25">
      <c r="D501" s="278" t="s">
        <v>1145</v>
      </c>
      <c r="E501" s="136" t="s">
        <v>1231</v>
      </c>
      <c r="F501" s="137" t="str">
        <f>$E$155</f>
        <v>t CO2e</v>
      </c>
    </row>
    <row r="502" spans="3:41" ht="20.25" x14ac:dyDescent="0.25">
      <c r="D502" s="278" t="s">
        <v>1148</v>
      </c>
      <c r="E502" s="136">
        <f>SUM(K490:K499)</f>
        <v>4000</v>
      </c>
      <c r="F502" s="137" t="str">
        <f>$E$155</f>
        <v>t CO2e</v>
      </c>
    </row>
    <row r="505" spans="3:41" x14ac:dyDescent="0.25">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row>
    <row r="506" spans="3:41" ht="23.25" x14ac:dyDescent="0.25">
      <c r="D506" s="2" t="str" cm="1">
        <f t="array" ref="D506">Scope3_Equations.VEERG_15_11_1_1__1_TotalUpstreamEmissionsFromFuel_Title()</f>
        <v>Total upstream emissions from scope 1 fuel consumption</v>
      </c>
    </row>
    <row r="507" spans="3:41" x14ac:dyDescent="0.25">
      <c r="D507" s="27" t="str" cm="1">
        <f t="array" ref="D507">Scope3_Equations.VEERG_15_11_1_1__1_TotalUpstreamEmissionsFromFuel_Source()</f>
        <v>VEERG 2026: 15.11.1.1, Equation (1)</v>
      </c>
    </row>
    <row r="508" spans="3:41" x14ac:dyDescent="0.25">
      <c r="D508" s="118" t="s">
        <v>262</v>
      </c>
      <c r="E508" s="118" t="str">
        <f ca="1">Common_InputFunctions.Utility_DisplayFunctionName(VEERG_15_11_1_1__1_TotalUpstreamEmissionsFromFuel_Result)</f>
        <v>=Scope3_Equations.VEERG_15_11_1_1__1_TotalUpstreamEmissionsFromFuel</v>
      </c>
    </row>
    <row r="512" spans="3:41" x14ac:dyDescent="0.25">
      <c r="D512" s="87" t="s">
        <v>263</v>
      </c>
      <c r="E512" s="1" t="str" cm="1">
        <f t="array" ref="E512">Scope3_Equations.VEERG_15_11_1_1__1_TotalUpstreamEmissionsFromFuel_Variable()</f>
        <v>E</v>
      </c>
    </row>
    <row r="513" spans="3:41" x14ac:dyDescent="0.25">
      <c r="D513" s="87" t="s">
        <v>122</v>
      </c>
      <c r="E513" s="15" t="str" cm="1">
        <f t="array" ref="E513">Scope3_Equations.VEERG_15_11_1_1__1_TotalUpstreamEmissionsFromFuel_Unit()</f>
        <v>t CO2e</v>
      </c>
    </row>
    <row r="515" spans="3:41" x14ac:dyDescent="0.25">
      <c r="D515" s="120" t="str" cm="1">
        <f t="array" ref="D515:E516">_xlfn.CHOOSECOLS(Scope3_Equations.VEERG_15_11_1_1__1_TotalUpstreamEmissionsFromFuel_Arguments(),1,2)</f>
        <v>E_WTTtransq</v>
      </c>
      <c r="E515" s="125" t="str">
        <v>upstream emissions from scope 1 transport fuel use</v>
      </c>
      <c r="F515" s="126"/>
      <c r="G515" s="120" t="str" cm="1">
        <f t="array" ref="G515:H516">_xlfn.CHOOSECOLS(Scope3_Equations.VEERG_15_11_1_1__1_TotalUpstreamEmissionsFromFuel_Arguments(),3,4)</f>
        <v>t CO2e</v>
      </c>
      <c r="H515" s="128" t="str">
        <v>Calculated by 15.11.1.1 (2)</v>
      </c>
      <c r="I515" s="120">
        <f>VEERG_8_1_1_1__1_FuelCombustionTransport_Result</f>
        <v>20.5016</v>
      </c>
    </row>
    <row r="516" spans="3:41" x14ac:dyDescent="0.25">
      <c r="D516" s="120" t="str">
        <v>E_WTTSCq</v>
      </c>
      <c r="E516" s="125" t="str">
        <v>upstream emissions from scope 1 stationary combustion fuel use</v>
      </c>
      <c r="F516" s="126"/>
      <c r="G516" s="120" t="str">
        <v>t CO2e</v>
      </c>
      <c r="H516" s="128" t="str">
        <v>Calculated by 15.11.1.1 (3)</v>
      </c>
      <c r="I516" s="120">
        <f>VEERG_8_2_1_1__1_FuelCombustionStationary_Result</f>
        <v>6.2923999999999998</v>
      </c>
    </row>
    <row r="518" spans="3:41" ht="20.25" x14ac:dyDescent="0.25">
      <c r="D518" s="278" t="s">
        <v>1247</v>
      </c>
      <c r="E518" s="136" cm="1">
        <f t="array" ref="E518">Scope3_Equations.VEERG_15_11_1_1__1_TotalUpstreamEmissionsFromFuel(I515,I516)</f>
        <v>26.794</v>
      </c>
      <c r="F518" s="137" t="str">
        <f>$E$155</f>
        <v>t CO2e</v>
      </c>
    </row>
    <row r="520" spans="3:41" x14ac:dyDescent="0.25">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row>
    <row r="521" spans="3:41" ht="23.25" x14ac:dyDescent="0.25">
      <c r="D521" s="2" t="str" cm="1">
        <f t="array" ref="D521">Scope3_Equations.VEERG_15_12_1_1__1_UpstreamPurchasedElectricityLocationBased_Title()</f>
        <v>Scope 3 emissions from purchased electricity location based</v>
      </c>
    </row>
    <row r="522" spans="3:41" x14ac:dyDescent="0.25">
      <c r="D522" s="27" t="str" cm="1">
        <f t="array" ref="D522">Scope3_Equations.VEERG_15_12_1_1__1_UpstreamPurchasedElectricityLocationBased_Source()</f>
        <v>VEERG 2026: 15.12.1.1, Equation (1)</v>
      </c>
    </row>
    <row r="523" spans="3:41" x14ac:dyDescent="0.25">
      <c r="D523" s="118" t="s">
        <v>262</v>
      </c>
      <c r="E523" s="118" t="str">
        <f ca="1">Common_InputFunctions.Utility_DisplayFunctionName(VEERG_15_12_1_1__1_UpstreamPurchasedElectricityLocationBased_Result)</f>
        <v>=Scope3_Equations.VEERG_15_12_1_1__1_UpstreamPurchasedElectricityLocationBased</v>
      </c>
    </row>
    <row r="526" spans="3:41" x14ac:dyDescent="0.25">
      <c r="D526" s="87" t="s">
        <v>263</v>
      </c>
      <c r="E526" s="1" t="str" cm="1">
        <f t="array" ref="E526">Scope3_Equations.VEERG_15_12_1_1__1_UpstreamPurchasedElectricityLocationBased_Variable()</f>
        <v>E_3elec</v>
      </c>
    </row>
    <row r="527" spans="3:41" x14ac:dyDescent="0.25">
      <c r="D527" s="87" t="s">
        <v>122</v>
      </c>
      <c r="E527" s="1" t="str" cm="1">
        <f t="array" ref="E527">Scope3_Equations.VEERG_15_12_1_1__1_UpstreamPurchasedElectricityLocationBased_Unit()</f>
        <v>t CO2e</v>
      </c>
    </row>
    <row r="529" spans="3:41" x14ac:dyDescent="0.25">
      <c r="D529" s="120" t="str" cm="1">
        <f t="array" ref="D529:E531">_xlfn.CHOOSECOLS(Scope3_Equations.VEERG_15_12_1_1__1_UpstreamPurchasedElectricityLocationBased_Arguments(),1,2)</f>
        <v>Q_elec</v>
      </c>
      <c r="E529" s="120" t="str">
        <v>amount of electricity purchased from the grid</v>
      </c>
      <c r="F529" s="120"/>
      <c r="G529" s="120" t="str" cm="1">
        <f t="array" ref="G529:H531">_xlfn.CHOOSECOLS(Scope3_Equations.VEERG_15_12_1_1__1_UpstreamPurchasedElectricityLocationBased_Arguments(),3,4)</f>
        <v>kWh</v>
      </c>
      <c r="H529" s="275" t="str">
        <v>Input</v>
      </c>
      <c r="I529" s="125">
        <f>X_Cell_Electricity_Location_AmountPurchasedInkWh</f>
        <v>30000</v>
      </c>
      <c r="J529" s="126"/>
    </row>
    <row r="530" spans="3:41" x14ac:dyDescent="0.25">
      <c r="D530" s="120" t="str">
        <v>EF_3elec</v>
      </c>
      <c r="E530" s="120" t="str">
        <v>scope 3 emission factor for purchased electricity</v>
      </c>
      <c r="F530" s="120"/>
      <c r="G530" s="120" t="str">
        <v>kg CO2e/kWh</v>
      </c>
      <c r="H530" s="128" t="str">
        <v>Constant</v>
      </c>
      <c r="I530" s="125" cm="1">
        <f t="array" ref="I530">Common_InputFunctions.Utility_LookupValueInTableNumber(I531,Table_SourceData_ElectricityEFs[State, Territory or grid description],Table_SourceData_ElectricityEFs[Scope 3 Emission Factors (kg CO2-e/kWh)])</f>
        <v>0.09</v>
      </c>
      <c r="J530" s="126"/>
    </row>
    <row r="531" spans="3:41" x14ac:dyDescent="0.25">
      <c r="D531" s="120" t="str">
        <v>g</v>
      </c>
      <c r="E531" s="125" t="str">
        <v>grid electricity was purchased from</v>
      </c>
      <c r="F531" s="126"/>
      <c r="G531" s="120" t="str">
        <v/>
      </c>
      <c r="H531" s="275" t="str">
        <v>Input</v>
      </c>
      <c r="I531" s="125" t="str">
        <f>X_Cell_Electricity_Location_GridElectricityPurchasedFrom</f>
        <v>Western Australia - North Western Interconnected System (NWIS)</v>
      </c>
      <c r="J531" s="126"/>
    </row>
    <row r="533" spans="3:41" ht="20.25" x14ac:dyDescent="0.25">
      <c r="D533" s="278" t="s">
        <v>1248</v>
      </c>
      <c r="E533" s="136" cm="1">
        <f t="array" ref="E533">Scope3_Equations.VEERG_15_12_1_1__1_UpstreamPurchasedElectricityLocationBased(I529,I530)</f>
        <v>2.7</v>
      </c>
      <c r="F533" s="137" t="str">
        <f>$E$155</f>
        <v>t CO2e</v>
      </c>
    </row>
    <row r="536" spans="3:41" x14ac:dyDescent="0.25">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row>
    <row r="537" spans="3:41" ht="23.25" x14ac:dyDescent="0.25">
      <c r="D537" s="2" t="str" cm="1">
        <f t="array" ref="D537">Scope3_Equations.VEERG_15_12_1_2__1_UpstreamPurchasedElectricityMarketBased_Title()</f>
        <v>Scope 3 emissions from purchased electricity market based</v>
      </c>
    </row>
    <row r="538" spans="3:41" x14ac:dyDescent="0.25">
      <c r="D538" s="27" t="str" cm="1">
        <f t="array" ref="D538">Scope3_Equations.VEERG_15_12_1_2__1_UpstreamPurchasedElectricityMarketBased_Source()</f>
        <v>VEERG 2026: 15.12.1.2, Equation (1)</v>
      </c>
    </row>
    <row r="539" spans="3:41" x14ac:dyDescent="0.25">
      <c r="D539" s="35"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18" t="s">
        <v>262</v>
      </c>
      <c r="E540" s="118" t="str">
        <f ca="1">Common_InputFunctions.Utility_DisplayFunctionName(VEERG_15_12_1_2__1_UpstreamPurchasedElectricityMarketBasedVariation_Result)</f>
        <v>=Scope3_Equations.VEERG_15_12_1_2__1_UpstreamPurchasedElectricityMarketBasedVariation</v>
      </c>
    </row>
    <row r="544" spans="3:41" x14ac:dyDescent="0.25">
      <c r="D544" s="87" t="s">
        <v>263</v>
      </c>
      <c r="E544" s="1" t="str" cm="1">
        <f t="array" ref="E544">Scope3_Equations.VEERG_15_12_1_2__1_UpstreamPurchasedElectricityMarketBased_Variable()</f>
        <v>E_3elec</v>
      </c>
    </row>
    <row r="545" spans="3:41" x14ac:dyDescent="0.25">
      <c r="D545" s="87" t="s">
        <v>122</v>
      </c>
      <c r="E545" s="1" t="str" cm="1">
        <f t="array" ref="E545">Scope3_Equations.VEERG_15_12_1_2__1_UpstreamPurchasedElectricityMarketBased_Unit()</f>
        <v>t CO2e</v>
      </c>
    </row>
    <row r="547" spans="3:41" x14ac:dyDescent="0.25">
      <c r="D547" s="120" t="str" cm="1">
        <f t="array" ref="D547:E553">_xlfn.CHOOSECOLS(Scope3_Equations.VEERG_15_12_1_2__1_UpstreamPurchasedElectricityMarketBased_Arguments(),1,2)</f>
        <v>Q_elec</v>
      </c>
      <c r="E547" s="125" t="str">
        <v>amount of electricity purchased from the grid</v>
      </c>
      <c r="F547" s="126"/>
      <c r="G547" s="120" t="str" cm="1">
        <f t="array" ref="G547:H553">_xlfn.CHOOSECOLS(Scope3_Equations.VEERG_15_12_1_2__1_UpstreamPurchasedElectricityMarketBased_Arguments(),3,4)</f>
        <v>kWh</v>
      </c>
      <c r="H547" s="275" t="str">
        <v>Input</v>
      </c>
      <c r="I547" s="279">
        <f>X_Cell_Electricity_Market_AmountPurchasedExcludingGreenPower</f>
        <v>30000</v>
      </c>
    </row>
    <row r="548" spans="3:41" x14ac:dyDescent="0.25">
      <c r="D548" s="120" t="str">
        <v>RPP</v>
      </c>
      <c r="E548" s="125" t="str">
        <v>renewable power percentage under LRET for the applicable period</v>
      </c>
      <c r="F548" s="126"/>
      <c r="G548" s="120" t="str">
        <v>fraction</v>
      </c>
      <c r="H548" s="275" t="str">
        <v>Input</v>
      </c>
      <c r="I548" s="207">
        <f>X_Cell_Electricity_Market_RenewablePowerPercentage</f>
        <v>0.1</v>
      </c>
    </row>
    <row r="549" spans="3:41" x14ac:dyDescent="0.25">
      <c r="D549" s="120" t="str">
        <v>JRPP</v>
      </c>
      <c r="E549" s="125" t="str">
        <v>jurisdictional renewable power percentage for the applicable period</v>
      </c>
      <c r="F549" s="126"/>
      <c r="G549" s="120" t="str">
        <v>fraction</v>
      </c>
      <c r="H549" s="275" t="str">
        <v>Input</v>
      </c>
      <c r="I549" s="207">
        <f>X_Cell_Electricity_Market_JurisdictionalRenewablePowerPercentage</f>
        <v>0.1</v>
      </c>
    </row>
    <row r="550" spans="3:41" x14ac:dyDescent="0.25">
      <c r="D550" s="120" t="str">
        <v>REC_surrendered</v>
      </c>
      <c r="E550" s="125" t="str">
        <v>eligible renewable energy certificates voluntarily surrendered</v>
      </c>
      <c r="F550" s="126"/>
      <c r="G550" s="120" t="str">
        <v>MWh</v>
      </c>
      <c r="H550" s="275" t="str">
        <v>Input</v>
      </c>
      <c r="I550" s="120">
        <f>(X_Cell_Electricity_Market_AmountPurchasedGreenPower*10^-3)+X_Cell_TotalElegibleVoluntarilySurrenderedRECs</f>
        <v>20</v>
      </c>
    </row>
    <row r="551" spans="3:41" x14ac:dyDescent="0.25">
      <c r="D551" s="120" t="str">
        <v>REC_onsite</v>
      </c>
      <c r="E551" s="125" t="str">
        <v>eligible renewable energy certificates issued for onsite generated electricity</v>
      </c>
      <c r="F551" s="126"/>
      <c r="G551" s="120" t="str">
        <v>MWh</v>
      </c>
      <c r="H551" s="275" t="str">
        <v>Input</v>
      </c>
      <c r="I551" s="120">
        <f>X_Cell_TotalElegibleRECsForElectricityProducedOnSite</f>
        <v>11</v>
      </c>
    </row>
    <row r="552" spans="3:41" x14ac:dyDescent="0.25">
      <c r="D552" s="120" t="str">
        <v>EF_RMF3elec</v>
      </c>
      <c r="E552" s="125" t="str">
        <v>scope 3 residual mix emission factor for electricity</v>
      </c>
      <c r="F552" s="126"/>
      <c r="G552" s="120" t="str">
        <v>kg CO2e/kWh</v>
      </c>
      <c r="H552" s="128" t="str">
        <v>Constant</v>
      </c>
      <c r="I552" s="120" cm="1">
        <f t="array" ref="I552">Table_SourceData_ElectricityEFsMarketBased[Scope 3 EF (kg CO2-e/kWh)]</f>
        <v>0.1</v>
      </c>
    </row>
    <row r="553" spans="3:41" x14ac:dyDescent="0.25">
      <c r="D553" s="120" t="str">
        <v>i</v>
      </c>
      <c r="E553" s="125" t="str">
        <v>state</v>
      </c>
      <c r="F553" s="126"/>
      <c r="G553" s="120" t="str">
        <v/>
      </c>
      <c r="H553" s="275" t="str">
        <v>Input</v>
      </c>
      <c r="I553" s="120" t="str">
        <f>X_Cell_Site_State</f>
        <v>Western Australia</v>
      </c>
    </row>
    <row r="555" spans="3:41" ht="20.25" x14ac:dyDescent="0.25">
      <c r="D555" s="278" t="s">
        <v>1248</v>
      </c>
      <c r="E555" s="136" cm="1">
        <f t="array" ref="E555">Scope3_Equations.VEERG_15_12_1_2__1_UpstreamPurchasedElectricityMarketBasedVariation(I547,I548,I549,I550,I551,I552)</f>
        <v>1.5</v>
      </c>
      <c r="F555" s="137" t="str">
        <f>$E$155</f>
        <v>t CO2e</v>
      </c>
    </row>
    <row r="558" spans="3:41" x14ac:dyDescent="0.25">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row>
    <row r="559" spans="3:41" ht="23.25" x14ac:dyDescent="0.25">
      <c r="D559" s="2" t="str" cm="1">
        <f t="array" ref="D559">Scope3_Equations.VEERG_15_13_1_1__1_EmissionsFromManureSentOffSite_Title()</f>
        <v>Emissions from manure sent off site applied to soils in another farming system or enterprise</v>
      </c>
    </row>
    <row r="560" spans="3:41" x14ac:dyDescent="0.25">
      <c r="D560" s="27" t="str" cm="1">
        <f t="array" ref="D560">Scope3_Equations.VEERG_15_13_1_1__1_EmissionsFromManureSentOffSite_Source()</f>
        <v>VEERG 2026: 15.13.1.1, Equation (1)</v>
      </c>
    </row>
    <row r="561" spans="4:18" x14ac:dyDescent="0.25">
      <c r="D561" s="118" t="s">
        <v>262</v>
      </c>
      <c r="E561" s="118" t="str" cm="1">
        <f t="array" aca="1" ref="E561" ca="1">Common_InputFunctions.Utility_DisplayFunctionName(E573)</f>
        <v>=Scope3_Equations.VEERG_15_13_1_1__1_EmissionsFromManureSentOffSite</v>
      </c>
    </row>
    <row r="564" spans="4:18" x14ac:dyDescent="0.25">
      <c r="D564" s="87" t="s">
        <v>263</v>
      </c>
      <c r="E564" s="1" t="str" cm="1">
        <f t="array" ref="E564">Scope3_Equations.VEERG_15_13_1_1__1_EmissionsFromManureSentOffSite_Variable()</f>
        <v>E</v>
      </c>
    </row>
    <row r="565" spans="4:18" x14ac:dyDescent="0.25">
      <c r="D565" s="87" t="s">
        <v>122</v>
      </c>
      <c r="E565" s="15" t="str" cm="1">
        <f t="array" ref="E565">Scope3_Equations.VEERG_15_13_1_1__1_EmissionsFromManureSentOffSite_Unit()</f>
        <v>t N2O</v>
      </c>
    </row>
    <row r="567" spans="4:18" x14ac:dyDescent="0.25">
      <c r="D567" s="34" t="s">
        <v>136</v>
      </c>
      <c r="L567" s="34" t="s">
        <v>137</v>
      </c>
    </row>
    <row r="569" spans="4:18" x14ac:dyDescent="0.25">
      <c r="D569" s="120" t="str" cm="1">
        <f t="array" ref="D569:E571">_xlfn.CHOOSECOLS(Scope3_Equations.VEERG_15_13_1_1__1_EmissionsFromManureSentOffSite_Arguments(),1,2)</f>
        <v>E_N2O</v>
      </c>
      <c r="E569" s="125" t="str">
        <v>direct nitrous oxide emissions from application of manure to soils outside of scope 1 boundary</v>
      </c>
      <c r="F569" s="133"/>
      <c r="G569" s="126"/>
      <c r="H569" s="120" t="str" cm="1">
        <f t="array" ref="H569:I571">_xlfn.CHOOSECOLS(Scope3_Equations.VEERG_15_13_1_1__1_EmissionsFromManureSentOffSite_Arguments(),3,4)</f>
        <v>t N2O</v>
      </c>
      <c r="I569" s="128" t="str">
        <v>Calculated</v>
      </c>
      <c r="J569" s="120">
        <f ca="1">VEERG_5_2_1_1__1_OrganicFertiliserApplicationN2OEmissions_Result_Method1</f>
        <v>3.0361516189239324E-2</v>
      </c>
      <c r="L569" s="120" t="str" cm="1">
        <f t="array" ref="L569:M571">_xlfn.CHOOSECOLS(Scope3_Equations.VEERG_15_13_1_1__1_EmissionsFromManureSentOffSite_Arguments(),1,2)</f>
        <v>E_N2O</v>
      </c>
      <c r="M569" s="125" t="str">
        <v>direct nitrous oxide emissions from application of manure to soils outside of scope 1 boundary</v>
      </c>
      <c r="N569" s="133"/>
      <c r="O569" s="126"/>
      <c r="P569" s="120" t="str" cm="1">
        <f t="array" ref="P569:Q571">_xlfn.CHOOSECOLS(Scope3_Equations.VEERG_15_13_1_1__1_EmissionsFromManureSentOffSite_Arguments(),3,4)</f>
        <v>t N2O</v>
      </c>
      <c r="Q569" s="128" t="str">
        <v>Calculated</v>
      </c>
      <c r="R569" s="120">
        <f ca="1">VEERG_5_2_1_1__1_OrganicFertiliserApplicationN2OEmissions_Result_Method2</f>
        <v>3.0361516189239324E-2</v>
      </c>
    </row>
    <row r="570" spans="4:18" x14ac:dyDescent="0.25">
      <c r="D570" s="120" t="str">
        <v>E_ad</v>
      </c>
      <c r="E570" s="125" t="str">
        <v>nitrous oxide emissions from atmospheric deposition of manure to soils</v>
      </c>
      <c r="F570" s="133"/>
      <c r="G570" s="126"/>
      <c r="H570" s="120" t="str">
        <v>t N2O</v>
      </c>
      <c r="I570" s="128" t="str">
        <v>Calculated</v>
      </c>
      <c r="J570" s="120">
        <f ca="1">VEERG_5_4_1_3__1_OrganicFertiliserAtmosphericDepositionN2OEmissions_Result_Method1</f>
        <v>8.9262857596363616E-3</v>
      </c>
      <c r="L570" s="120" t="str">
        <v>E_ad</v>
      </c>
      <c r="M570" s="125" t="str">
        <v>nitrous oxide emissions from atmospheric deposition of manure to soils</v>
      </c>
      <c r="N570" s="133"/>
      <c r="O570" s="126"/>
      <c r="P570" s="120" t="str">
        <v>t N2O</v>
      </c>
      <c r="Q570" s="128" t="str">
        <v>Calculated</v>
      </c>
      <c r="R570" s="120">
        <f ca="1">VEERG_5_4_1_3__1_OrganicFertiliserAtmosphericDepositionN2OEmissions_Result_Method2</f>
        <v>8.9262857596363616E-3</v>
      </c>
    </row>
    <row r="571" spans="4:18" x14ac:dyDescent="0.25">
      <c r="D571" s="120" t="str">
        <v>E_leach</v>
      </c>
      <c r="E571" s="125" t="str">
        <v>nitrous oxide emissions from nitrogen leaching and runoff of manure to soils</v>
      </c>
      <c r="F571" s="133"/>
      <c r="G571" s="126"/>
      <c r="H571" s="120" t="str">
        <v>t N2O</v>
      </c>
      <c r="I571" s="128" t="str">
        <v>Calculated</v>
      </c>
      <c r="J571" s="120">
        <f ca="1">VEERG_5_5_1_1__1_FertiliserLeachingAndRunoffN2OEmissions_Result_Method1</f>
        <v>1.6030880547918361E-2</v>
      </c>
      <c r="L571" s="120" t="str">
        <v>E_leach</v>
      </c>
      <c r="M571" s="125" t="str">
        <v>nitrous oxide emissions from nitrogen leaching and runoff of manure to soils</v>
      </c>
      <c r="N571" s="133"/>
      <c r="O571" s="126"/>
      <c r="P571" s="120" t="str">
        <v>t N2O</v>
      </c>
      <c r="Q571" s="128" t="str">
        <v>Calculated</v>
      </c>
      <c r="R571" s="120">
        <f ca="1">VEERG_5_5_1_1__1_FertiliserLeachingAndRunoffN2OEmissions_Result_Method2</f>
        <v>1.6030880547918361E-2</v>
      </c>
    </row>
    <row r="573" spans="4:18" ht="20.25" x14ac:dyDescent="0.25">
      <c r="D573" s="278" t="s">
        <v>1248</v>
      </c>
      <c r="E573" s="136" cm="1">
        <f t="array" aca="1" ref="E573" ca="1">Scope3_Equations.VEERG_15_13_1_1__1_EmissionsFromManureSentOffSite(J569,J570,J571)</f>
        <v>5.5318682496794044E-2</v>
      </c>
      <c r="F573" s="137" t="str">
        <f>$E$565</f>
        <v>t N2O</v>
      </c>
      <c r="L573" s="278" t="s">
        <v>1248</v>
      </c>
      <c r="M573" s="136" cm="1">
        <f t="array" aca="1" ref="M573" ca="1">Scope3_Equations.VEERG_15_13_1_1__1_EmissionsFromManureSentOffSite(R569,R570,R571)</f>
        <v>5.5318682496794044E-2</v>
      </c>
      <c r="N573" s="137" t="str">
        <f>$E$565</f>
        <v>t N2O</v>
      </c>
    </row>
    <row r="575" spans="4:18" x14ac:dyDescent="0.25">
      <c r="D575" s="132" t="str" cm="1">
        <f t="array" ref="D575:E576">Common_Equations.Common_ConvertN2OToCO2e_Arguments()</f>
        <v>EN2O</v>
      </c>
      <c r="E575" s="138" t="str">
        <v>Nitrous oxide emissions (t N2O)</v>
      </c>
      <c r="F575" s="139"/>
      <c r="G575" s="25">
        <f ca="1">E573</f>
        <v>5.5318682496794044E-2</v>
      </c>
      <c r="L575" s="132" t="str" cm="1">
        <f t="array" ref="L575:M576">Common_Equations.Common_ConvertN2OToCO2e_Arguments()</f>
        <v>EN2O</v>
      </c>
      <c r="M575" s="138" t="str">
        <v>Nitrous oxide emissions (t N2O)</v>
      </c>
      <c r="N575" s="139"/>
      <c r="O575" s="25">
        <f ca="1">M573</f>
        <v>5.5318682496794044E-2</v>
      </c>
    </row>
    <row r="576" spans="4:18" x14ac:dyDescent="0.25">
      <c r="D576" s="132" t="str">
        <v>GWPN2O</v>
      </c>
      <c r="E576" s="138" t="str">
        <v>Global warming potential for nitrous oxide (t CO2-e / t N2O)</v>
      </c>
      <c r="F576" s="139"/>
      <c r="G576" s="25">
        <f>Common_InputFunctions.Utility_LookupValueInTableNumber("N2O",Table_GWPData[Gas],Table_GWPData[CO2-e factor])</f>
        <v>265</v>
      </c>
      <c r="L576" s="132" t="str">
        <v>GWPN2O</v>
      </c>
      <c r="M576" s="138" t="str">
        <v>Global warming potential for nitrous oxide (t CO2-e / t N2O)</v>
      </c>
      <c r="N576" s="139"/>
      <c r="O576" s="25">
        <f>Common_InputFunctions.Utility_LookupValueInTableNumber("N2O",Table_GWPData[Gas],Table_GWPData[CO2-e factor])</f>
        <v>265</v>
      </c>
    </row>
    <row r="578" spans="3:41" ht="18.75" x14ac:dyDescent="0.25">
      <c r="D578" s="101" t="s">
        <v>412</v>
      </c>
      <c r="E578" s="101" cm="1">
        <f t="array" aca="1" ref="E578" ca="1">Common_Equations.Common_ConvertN2OToCO2e(G575,G576)</f>
        <v>14.659450861650422</v>
      </c>
      <c r="F578" s="140" t="str" cm="1">
        <f t="array" ref="F578">Common_Equations.Common_ConvertN2OToCO2e_Unit()</f>
        <v>t CO2e</v>
      </c>
      <c r="L578" s="101" t="s">
        <v>412</v>
      </c>
      <c r="M578" s="101" cm="1">
        <f t="array" aca="1" ref="M578" ca="1">Common_Equations.Common_ConvertN2OToCO2e(O575,O576)</f>
        <v>14.659450861650422</v>
      </c>
      <c r="N578" s="140" t="str" cm="1">
        <f t="array" ref="N578">Common_Equations.Common_ConvertN2OToCO2e_Unit()</f>
        <v>t CO2e</v>
      </c>
    </row>
    <row r="581" spans="3:41" x14ac:dyDescent="0.25">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row>
    <row r="582" spans="3:41" ht="23.25" x14ac:dyDescent="0.25">
      <c r="D582" s="2" t="str" cm="1">
        <f t="array" ref="D582">Scope3_Equations.VEERG_15_13_1_3__1_EmissionsFromSolidWasteTreatmentFacility_Title()</f>
        <v>Emissions from solid waste sent to a treatment facility</v>
      </c>
    </row>
    <row r="583" spans="3:41" x14ac:dyDescent="0.25">
      <c r="D583" s="27" t="str" cm="1">
        <f t="array" ref="D583">Scope3_Equations.VEERG_15_13_1_3__1_EmissionsFromSolidWasteTreatmentFacility_Source()</f>
        <v>VEERG 2026: 15.13.1.3</v>
      </c>
    </row>
    <row r="585" spans="3:41" x14ac:dyDescent="0.25">
      <c r="D585" s="87" t="s">
        <v>263</v>
      </c>
      <c r="E585" s="1" t="str" cm="1">
        <f t="array" ref="E585">Scope3_Equations.VEERG_15_13_1_3__1_EmissionsFromSolidWasteTreatmentFacility_Variable()</f>
        <v>E</v>
      </c>
    </row>
    <row r="586" spans="3:41" x14ac:dyDescent="0.25">
      <c r="D586" s="87" t="s">
        <v>122</v>
      </c>
      <c r="E586" s="15" t="str" cm="1">
        <f t="array" ref="E586">Scope3_Equations.VEERG_15_13_1_3__1_EmissionsFromSolidWasteTreatmentFacility_Unit()</f>
        <v>t CO2e</v>
      </c>
    </row>
    <row r="588" spans="3:41" ht="20.25" x14ac:dyDescent="0.25">
      <c r="D588" s="278" t="s">
        <v>1248</v>
      </c>
      <c r="E588" s="136">
        <f>VEERG_10_1_1_1__1_EmissionsFromWasteManagement_Scope3_Result_Method1</f>
        <v>441.15000000000003</v>
      </c>
      <c r="F588" s="137" t="str">
        <f>E586</f>
        <v>t CO2e</v>
      </c>
    </row>
    <row r="591" spans="3:41" x14ac:dyDescent="0.25">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row>
    <row r="592" spans="3:41" ht="23.25" x14ac:dyDescent="0.25">
      <c r="D592" s="2" t="str" cm="1">
        <f t="array" ref="D592">Scope3_Equations.VEERG_15_14_1_1__1_EmbeddedEmissionsFromUpstreamFreight_Title()</f>
        <v>Embedded emissions from upstream freight</v>
      </c>
    </row>
    <row r="593" spans="4:13" x14ac:dyDescent="0.25">
      <c r="D593" s="27" t="str" cm="1">
        <f t="array" ref="D593">Scope3_Equations.VEERG_15_14_1_1__1_EmbeddedEmissionsFromUpstreamFreight_Source()</f>
        <v>VEERG 2026: 15.14.1.1, Equation (1)</v>
      </c>
    </row>
    <row r="594" spans="4:13" x14ac:dyDescent="0.25">
      <c r="D594" s="118" t="s">
        <v>262</v>
      </c>
      <c r="E594" s="118" t="str" cm="1">
        <f t="array" aca="1" ref="E594" ca="1">Common_InputFunctions.Utility_DisplayFunctionName(J609)</f>
        <v>=Scope3_Equations.VEERG_15_14_1_1__1_EmbeddedEmissionsFromUpstreamFreight</v>
      </c>
    </row>
    <row r="598" spans="4:13" x14ac:dyDescent="0.25">
      <c r="D598" s="87" t="s">
        <v>263</v>
      </c>
      <c r="E598" s="1" t="str" cm="1">
        <f t="array" ref="E598">Scope3_Equations.VEERG_15_14_1_1__1_EmbeddedEmissionsFromUpstreamFreight_Variable()</f>
        <v>E</v>
      </c>
    </row>
    <row r="599" spans="4:13" x14ac:dyDescent="0.25">
      <c r="D599" s="87" t="s">
        <v>122</v>
      </c>
      <c r="E599" s="15" t="str" cm="1">
        <f t="array" ref="E599">Scope3_Equations.VEERG_15_14_1_1__1_EmbeddedEmissionsFromUpstreamFreight_Unit()</f>
        <v>t CO2e</v>
      </c>
    </row>
    <row r="601" spans="4:13" x14ac:dyDescent="0.25">
      <c r="D601" s="120" t="str" cm="1">
        <f t="array" ref="D601:E604">_xlfn.CHOOSECOLS(Scope3_Equations.VEERG_15_14_1_1__1_EmbeddedEmissionsFromUpstreamFreight_Arguments(),1,2)</f>
        <v>W_f</v>
      </c>
      <c r="E601" s="125" t="str">
        <v>total mass of goods transported per freight type f</v>
      </c>
      <c r="F601" s="126"/>
      <c r="G601" s="120" t="str" cm="1">
        <f t="array" ref="G601:H604">_xlfn.CHOOSECOLS(Scope3_Equations.VEERG_15_14_1_1__1_EmbeddedEmissionsFromUpstreamFreight_Arguments(),3,4)</f>
        <v>t</v>
      </c>
      <c r="H601" s="275" t="str">
        <v>Input</v>
      </c>
    </row>
    <row r="602" spans="4:13" x14ac:dyDescent="0.25">
      <c r="D602" s="120" t="str">
        <v>D_f</v>
      </c>
      <c r="E602" s="125" t="str">
        <v>total distance transported per freight type f</v>
      </c>
      <c r="F602" s="126"/>
      <c r="G602" s="120" t="str">
        <v>km</v>
      </c>
      <c r="H602" s="275" t="str">
        <v>Input</v>
      </c>
    </row>
    <row r="603" spans="4:13" x14ac:dyDescent="0.25">
      <c r="D603" s="120" t="str">
        <v>EF_f</v>
      </c>
      <c r="E603" s="125" t="str">
        <v>emission factor for freight type f</v>
      </c>
      <c r="F603" s="126"/>
      <c r="G603" s="120" t="str">
        <v>t CO2e/(t km)</v>
      </c>
      <c r="H603" s="128" t="str">
        <v>Constant</v>
      </c>
    </row>
    <row r="604" spans="4:13" x14ac:dyDescent="0.25">
      <c r="D604" s="120" t="str">
        <v>f</v>
      </c>
      <c r="E604" s="125" t="str">
        <v>freight type</v>
      </c>
      <c r="F604" s="126"/>
      <c r="G604" s="120" t="str">
        <v/>
      </c>
      <c r="H604" s="275" t="str">
        <v>Input</v>
      </c>
    </row>
    <row r="606" spans="4:13" ht="18.75" x14ac:dyDescent="0.25">
      <c r="D606" s="261" t="s">
        <v>1117</v>
      </c>
    </row>
    <row r="608" spans="4:13" ht="17.25" x14ac:dyDescent="0.25">
      <c r="D608" s="94" t="s">
        <v>1249</v>
      </c>
      <c r="E608" s="94" t="s">
        <v>1250</v>
      </c>
      <c r="F608" s="94" t="s">
        <v>1251</v>
      </c>
      <c r="G608" s="124" t="s">
        <v>1252</v>
      </c>
      <c r="H608" s="124" t="s">
        <v>1145</v>
      </c>
      <c r="I608" s="94" t="s">
        <v>1192</v>
      </c>
      <c r="J608" s="124" t="s">
        <v>1148</v>
      </c>
      <c r="K608" s="94" t="s">
        <v>1149</v>
      </c>
      <c r="L608" s="94" t="s">
        <v>1150</v>
      </c>
      <c r="M608" s="94" t="s">
        <v>1151</v>
      </c>
    </row>
    <row r="609" spans="4:13" x14ac:dyDescent="0.25">
      <c r="D609" s="25" t="str" cm="1">
        <f t="array" ref="D609:D618">IFERROR(INDEX(Table_Input_FreightIncoming[Route name], _xlfn.SEQUENCE(10)), "")</f>
        <v>Melbourne depot to farm depot weekly</v>
      </c>
      <c r="E609" s="25" cm="1">
        <f t="array" ref="E609:E618">IFERROR(INDEX(Table_Input_FreightIncoming[Average weight of freight per trip (t)], _xlfn.SEQUENCE(10)), "")</f>
        <v>10</v>
      </c>
      <c r="F609" s="25" cm="1">
        <f t="array" ref="F609:F618">IFERROR(INDEX(Table_Input_FreightIncoming[Route distance (km)], _xlfn.SEQUENCE(10))*INDEX(Table_Input_FreightIncoming[Number of trips taken], _xlfn.SEQUENCE(10)), "")</f>
        <v>51272</v>
      </c>
      <c r="G609" s="25" t="s">
        <v>1231</v>
      </c>
      <c r="H609" s="25" t="s">
        <v>1231</v>
      </c>
      <c r="I609" s="85">
        <v>10</v>
      </c>
      <c r="J609" s="25" cm="1">
        <f t="array" ref="J609">Scope3_Equations.VEERG_15_14_1_1__1_EmbeddedEmissionsFromUpstreamFreight(E609,F609,I609)</f>
        <v>5127200</v>
      </c>
      <c r="K609" s="43"/>
      <c r="L609" s="23"/>
      <c r="M609" s="43"/>
    </row>
    <row r="610" spans="4:13" x14ac:dyDescent="0.25">
      <c r="D610" s="25" t="str">
        <v>Fertiliser supplier to farm</v>
      </c>
      <c r="E610" s="25">
        <v>10</v>
      </c>
      <c r="F610" s="25">
        <v>390</v>
      </c>
      <c r="G610" s="25" t="s">
        <v>1231</v>
      </c>
      <c r="H610" s="25" t="s">
        <v>1231</v>
      </c>
      <c r="I610" s="85">
        <v>5</v>
      </c>
      <c r="J610" s="25" cm="1">
        <f t="array" ref="J610">Scope3_Equations.VEERG_15_14_1_1__1_EmbeddedEmissionsFromUpstreamFreight(E610,F610,I610)</f>
        <v>19500</v>
      </c>
      <c r="K610" s="43"/>
      <c r="L610" s="23"/>
      <c r="M610" s="43"/>
    </row>
    <row r="611" spans="4:13" x14ac:dyDescent="0.25">
      <c r="D611" s="25">
        <v>0</v>
      </c>
      <c r="E611" s="25">
        <v>0</v>
      </c>
      <c r="F611" s="25">
        <v>0</v>
      </c>
      <c r="G611" s="25" t="s">
        <v>1231</v>
      </c>
      <c r="H611" s="25" t="s">
        <v>1231</v>
      </c>
      <c r="I611" s="85"/>
      <c r="J611" s="25" cm="1">
        <f t="array" ref="J611">Scope3_Equations.VEERG_15_14_1_1__1_EmbeddedEmissionsFromUpstreamFreight(E611,F611,I611)</f>
        <v>0</v>
      </c>
      <c r="K611" s="43"/>
      <c r="L611" s="23"/>
      <c r="M611" s="43"/>
    </row>
    <row r="612" spans="4:13" x14ac:dyDescent="0.25">
      <c r="D612" s="25">
        <v>0</v>
      </c>
      <c r="E612" s="25">
        <v>0</v>
      </c>
      <c r="F612" s="25">
        <v>0</v>
      </c>
      <c r="G612" s="25" t="s">
        <v>1231</v>
      </c>
      <c r="H612" s="25" t="s">
        <v>1231</v>
      </c>
      <c r="I612" s="85"/>
      <c r="J612" s="25" cm="1">
        <f t="array" ref="J612">Scope3_Equations.VEERG_15_14_1_1__1_EmbeddedEmissionsFromUpstreamFreight(E612,F612,I612)</f>
        <v>0</v>
      </c>
      <c r="K612" s="43"/>
      <c r="L612" s="23"/>
      <c r="M612" s="43"/>
    </row>
    <row r="613" spans="4:13" x14ac:dyDescent="0.25">
      <c r="D613" s="25">
        <v>0</v>
      </c>
      <c r="E613" s="25">
        <v>0</v>
      </c>
      <c r="F613" s="25">
        <v>0</v>
      </c>
      <c r="G613" s="25" t="s">
        <v>1231</v>
      </c>
      <c r="H613" s="25" t="s">
        <v>1231</v>
      </c>
      <c r="I613" s="85"/>
      <c r="J613" s="25" cm="1">
        <f t="array" ref="J613">Scope3_Equations.VEERG_15_14_1_1__1_EmbeddedEmissionsFromUpstreamFreight(E613,F613,I613)</f>
        <v>0</v>
      </c>
      <c r="K613" s="43"/>
      <c r="L613" s="23"/>
      <c r="M613" s="43"/>
    </row>
    <row r="614" spans="4:13" x14ac:dyDescent="0.25">
      <c r="D614" s="25">
        <v>0</v>
      </c>
      <c r="E614" s="25">
        <v>0</v>
      </c>
      <c r="F614" s="25">
        <v>0</v>
      </c>
      <c r="G614" s="25" t="s">
        <v>1231</v>
      </c>
      <c r="H614" s="25" t="s">
        <v>1231</v>
      </c>
      <c r="I614" s="85"/>
      <c r="J614" s="25" cm="1">
        <f t="array" ref="J614">Scope3_Equations.VEERG_15_14_1_1__1_EmbeddedEmissionsFromUpstreamFreight(E614,F614,I614)</f>
        <v>0</v>
      </c>
      <c r="K614" s="43"/>
      <c r="L614" s="23"/>
      <c r="M614" s="43"/>
    </row>
    <row r="615" spans="4:13" x14ac:dyDescent="0.25">
      <c r="D615" s="25">
        <v>0</v>
      </c>
      <c r="E615" s="25">
        <v>0</v>
      </c>
      <c r="F615" s="25">
        <v>0</v>
      </c>
      <c r="G615" s="25" t="s">
        <v>1231</v>
      </c>
      <c r="H615" s="25" t="s">
        <v>1231</v>
      </c>
      <c r="I615" s="85"/>
      <c r="J615" s="25" cm="1">
        <f t="array" ref="J615">Scope3_Equations.VEERG_15_14_1_1__1_EmbeddedEmissionsFromUpstreamFreight(E615,F615,I615)</f>
        <v>0</v>
      </c>
      <c r="K615" s="43"/>
      <c r="L615" s="23"/>
      <c r="M615" s="43"/>
    </row>
    <row r="616" spans="4:13" x14ac:dyDescent="0.25">
      <c r="D616" s="25">
        <v>0</v>
      </c>
      <c r="E616" s="25">
        <v>0</v>
      </c>
      <c r="F616" s="25">
        <v>0</v>
      </c>
      <c r="G616" s="25" t="s">
        <v>1231</v>
      </c>
      <c r="H616" s="25" t="s">
        <v>1231</v>
      </c>
      <c r="I616" s="85"/>
      <c r="J616" s="25" cm="1">
        <f t="array" ref="J616">Scope3_Equations.VEERG_15_14_1_1__1_EmbeddedEmissionsFromUpstreamFreight(E616,F616,I616)</f>
        <v>0</v>
      </c>
      <c r="K616" s="43"/>
      <c r="L616" s="23"/>
      <c r="M616" s="43"/>
    </row>
    <row r="617" spans="4:13" x14ac:dyDescent="0.25">
      <c r="D617" s="25">
        <v>0</v>
      </c>
      <c r="E617" s="25">
        <v>0</v>
      </c>
      <c r="F617" s="25">
        <v>0</v>
      </c>
      <c r="G617" s="25" t="s">
        <v>1231</v>
      </c>
      <c r="H617" s="25" t="s">
        <v>1231</v>
      </c>
      <c r="I617" s="85"/>
      <c r="J617" s="25" cm="1">
        <f t="array" ref="J617">Scope3_Equations.VEERG_15_14_1_1__1_EmbeddedEmissionsFromUpstreamFreight(E617,F617,I617)</f>
        <v>0</v>
      </c>
      <c r="K617" s="43"/>
      <c r="L617" s="23"/>
      <c r="M617" s="43"/>
    </row>
    <row r="618" spans="4:13" x14ac:dyDescent="0.25">
      <c r="D618" s="25">
        <v>0</v>
      </c>
      <c r="E618" s="25">
        <v>0</v>
      </c>
      <c r="F618" s="25">
        <v>0</v>
      </c>
      <c r="G618" s="25" t="s">
        <v>1231</v>
      </c>
      <c r="H618" s="25" t="s">
        <v>1231</v>
      </c>
      <c r="I618" s="85"/>
      <c r="J618" s="25" cm="1">
        <f t="array" ref="J618">Scope3_Equations.VEERG_15_14_1_1__1_EmbeddedEmissionsFromUpstreamFreight(E618,F618,I618)</f>
        <v>0</v>
      </c>
      <c r="K618" s="43"/>
      <c r="L618" s="23"/>
      <c r="M618" s="43"/>
    </row>
    <row r="620" spans="4:13" x14ac:dyDescent="0.25">
      <c r="D620" s="142" t="s">
        <v>1253</v>
      </c>
      <c r="E620" s="101" t="s">
        <v>1231</v>
      </c>
      <c r="F620" s="140" t="str">
        <f>$E$104</f>
        <v>t CO2e</v>
      </c>
    </row>
    <row r="621" spans="4:13" x14ac:dyDescent="0.25">
      <c r="D621" s="142" t="s">
        <v>1254</v>
      </c>
      <c r="E621" s="101">
        <f>SUM(J609:J618)</f>
        <v>5146700</v>
      </c>
      <c r="F621" s="140" t="str">
        <f>$E$104</f>
        <v>t CO2e</v>
      </c>
    </row>
    <row r="624" spans="4:13" ht="18.75" x14ac:dyDescent="0.25">
      <c r="D624" s="261" t="s">
        <v>1127</v>
      </c>
    </row>
    <row r="626" spans="4:13" ht="17.25" x14ac:dyDescent="0.25">
      <c r="D626" s="94" t="s">
        <v>1249</v>
      </c>
      <c r="E626" s="94" t="s">
        <v>1250</v>
      </c>
      <c r="F626" s="94" t="s">
        <v>1251</v>
      </c>
      <c r="G626" s="124" t="s">
        <v>1252</v>
      </c>
      <c r="H626" s="124" t="s">
        <v>1145</v>
      </c>
      <c r="I626" s="94" t="s">
        <v>1192</v>
      </c>
      <c r="J626" s="124" t="s">
        <v>1148</v>
      </c>
      <c r="K626" s="94" t="s">
        <v>1149</v>
      </c>
      <c r="L626" s="94" t="s">
        <v>1150</v>
      </c>
      <c r="M626" s="94" t="s">
        <v>1151</v>
      </c>
    </row>
    <row r="627" spans="4:13" x14ac:dyDescent="0.25">
      <c r="D627" s="25" t="str" cm="1">
        <f t="array" ref="D627:D636">IFERROR(INDEX(Table_Input_FreightOutgoing[Route name], _xlfn.SEQUENCE(10)), "")</f>
        <v>Farm to bulk handler</v>
      </c>
      <c r="E627" s="25" cm="1">
        <f t="array" ref="E627:E636">IFERROR(INDEX(Table_Input_FreightOutgoing[Average weight of freight per trip (t)], _xlfn.SEQUENCE(10)), "")</f>
        <v>20</v>
      </c>
      <c r="F627" s="25" cm="1">
        <f t="array" ref="F627:F636">IFERROR(INDEX(Table_Input_FreightOutgoing[Route distance (km)], _xlfn.SEQUENCE(10))*INDEX(Table_Input_FreightOutgoing[Number of trips taken], _xlfn.SEQUENCE(10)), "")</f>
        <v>3380</v>
      </c>
      <c r="G627" s="25" t="s">
        <v>1231</v>
      </c>
      <c r="H627" s="25" t="s">
        <v>1231</v>
      </c>
      <c r="I627" s="85">
        <v>6.4</v>
      </c>
      <c r="J627" s="25" cm="1">
        <f t="array" ref="J627">Scope3_Equations.VEERG_15_14_1_1__1_EmbeddedEmissionsFromUpstreamFreight(E627,F627,I627)</f>
        <v>432640</v>
      </c>
      <c r="K627" s="43"/>
      <c r="L627" s="23"/>
      <c r="M627" s="43"/>
    </row>
    <row r="628" spans="4:13" x14ac:dyDescent="0.25">
      <c r="D628" s="25">
        <v>0</v>
      </c>
      <c r="E628" s="25">
        <v>0</v>
      </c>
      <c r="F628" s="25">
        <v>0</v>
      </c>
      <c r="G628" s="25" t="s">
        <v>1231</v>
      </c>
      <c r="H628" s="25" t="s">
        <v>1231</v>
      </c>
      <c r="I628" s="85"/>
      <c r="J628" s="25" cm="1">
        <f t="array" ref="J628">Scope3_Equations.VEERG_15_14_1_1__1_EmbeddedEmissionsFromUpstreamFreight(E628,F628,I628)</f>
        <v>0</v>
      </c>
      <c r="K628" s="43"/>
      <c r="L628" s="23"/>
      <c r="M628" s="43"/>
    </row>
    <row r="629" spans="4:13" x14ac:dyDescent="0.25">
      <c r="D629" s="25">
        <v>0</v>
      </c>
      <c r="E629" s="25">
        <v>0</v>
      </c>
      <c r="F629" s="25">
        <v>0</v>
      </c>
      <c r="G629" s="25" t="s">
        <v>1231</v>
      </c>
      <c r="H629" s="25" t="s">
        <v>1231</v>
      </c>
      <c r="I629" s="85"/>
      <c r="J629" s="25" cm="1">
        <f t="array" ref="J629">Scope3_Equations.VEERG_15_14_1_1__1_EmbeddedEmissionsFromUpstreamFreight(E629,F629,I629)</f>
        <v>0</v>
      </c>
      <c r="K629" s="43"/>
      <c r="L629" s="23"/>
      <c r="M629" s="43"/>
    </row>
    <row r="630" spans="4:13" x14ac:dyDescent="0.25">
      <c r="D630" s="25">
        <v>0</v>
      </c>
      <c r="E630" s="25">
        <v>0</v>
      </c>
      <c r="F630" s="25">
        <v>0</v>
      </c>
      <c r="G630" s="25" t="s">
        <v>1231</v>
      </c>
      <c r="H630" s="25" t="s">
        <v>1231</v>
      </c>
      <c r="I630" s="85"/>
      <c r="J630" s="25" cm="1">
        <f t="array" ref="J630">Scope3_Equations.VEERG_15_14_1_1__1_EmbeddedEmissionsFromUpstreamFreight(E630,F630,I630)</f>
        <v>0</v>
      </c>
      <c r="K630" s="43"/>
      <c r="L630" s="23"/>
      <c r="M630" s="43"/>
    </row>
    <row r="631" spans="4:13" x14ac:dyDescent="0.25">
      <c r="D631" s="25">
        <v>0</v>
      </c>
      <c r="E631" s="25">
        <v>0</v>
      </c>
      <c r="F631" s="25">
        <v>0</v>
      </c>
      <c r="G631" s="25" t="s">
        <v>1231</v>
      </c>
      <c r="H631" s="25" t="s">
        <v>1231</v>
      </c>
      <c r="I631" s="85"/>
      <c r="J631" s="25" cm="1">
        <f t="array" ref="J631">Scope3_Equations.VEERG_15_14_1_1__1_EmbeddedEmissionsFromUpstreamFreight(E631,F631,I631)</f>
        <v>0</v>
      </c>
      <c r="K631" s="43"/>
      <c r="L631" s="23"/>
      <c r="M631" s="43"/>
    </row>
    <row r="632" spans="4:13" x14ac:dyDescent="0.25">
      <c r="D632" s="25">
        <v>0</v>
      </c>
      <c r="E632" s="25">
        <v>0</v>
      </c>
      <c r="F632" s="25">
        <v>0</v>
      </c>
      <c r="G632" s="25" t="s">
        <v>1231</v>
      </c>
      <c r="H632" s="25" t="s">
        <v>1231</v>
      </c>
      <c r="I632" s="85"/>
      <c r="J632" s="25" cm="1">
        <f t="array" ref="J632">Scope3_Equations.VEERG_15_14_1_1__1_EmbeddedEmissionsFromUpstreamFreight(E632,F632,I632)</f>
        <v>0</v>
      </c>
      <c r="K632" s="43"/>
      <c r="L632" s="23"/>
      <c r="M632" s="43"/>
    </row>
    <row r="633" spans="4:13" x14ac:dyDescent="0.25">
      <c r="D633" s="25">
        <v>0</v>
      </c>
      <c r="E633" s="25">
        <v>0</v>
      </c>
      <c r="F633" s="25">
        <v>0</v>
      </c>
      <c r="G633" s="25" t="s">
        <v>1231</v>
      </c>
      <c r="H633" s="25" t="s">
        <v>1231</v>
      </c>
      <c r="I633" s="85"/>
      <c r="J633" s="25" cm="1">
        <f t="array" ref="J633">Scope3_Equations.VEERG_15_14_1_1__1_EmbeddedEmissionsFromUpstreamFreight(E633,F633,I633)</f>
        <v>0</v>
      </c>
      <c r="K633" s="43"/>
      <c r="L633" s="23"/>
      <c r="M633" s="43"/>
    </row>
    <row r="634" spans="4:13" x14ac:dyDescent="0.25">
      <c r="D634" s="25">
        <v>0</v>
      </c>
      <c r="E634" s="25">
        <v>0</v>
      </c>
      <c r="F634" s="25">
        <v>0</v>
      </c>
      <c r="G634" s="25" t="s">
        <v>1231</v>
      </c>
      <c r="H634" s="25" t="s">
        <v>1231</v>
      </c>
      <c r="I634" s="85"/>
      <c r="J634" s="25" cm="1">
        <f t="array" ref="J634">Scope3_Equations.VEERG_15_14_1_1__1_EmbeddedEmissionsFromUpstreamFreight(E634,F634,I634)</f>
        <v>0</v>
      </c>
      <c r="K634" s="43"/>
      <c r="L634" s="23"/>
      <c r="M634" s="43"/>
    </row>
    <row r="635" spans="4:13" x14ac:dyDescent="0.25">
      <c r="D635" s="25">
        <v>0</v>
      </c>
      <c r="E635" s="25">
        <v>0</v>
      </c>
      <c r="F635" s="25">
        <v>0</v>
      </c>
      <c r="G635" s="25" t="s">
        <v>1231</v>
      </c>
      <c r="H635" s="25" t="s">
        <v>1231</v>
      </c>
      <c r="I635" s="85"/>
      <c r="J635" s="25" cm="1">
        <f t="array" ref="J635">Scope3_Equations.VEERG_15_14_1_1__1_EmbeddedEmissionsFromUpstreamFreight(E635,F635,I635)</f>
        <v>0</v>
      </c>
      <c r="K635" s="43"/>
      <c r="L635" s="23"/>
      <c r="M635" s="43"/>
    </row>
    <row r="636" spans="4:13" x14ac:dyDescent="0.25">
      <c r="D636" s="25">
        <v>0</v>
      </c>
      <c r="E636" s="25">
        <v>0</v>
      </c>
      <c r="F636" s="25">
        <v>0</v>
      </c>
      <c r="G636" s="25" t="s">
        <v>1231</v>
      </c>
      <c r="H636" s="25" t="s">
        <v>1231</v>
      </c>
      <c r="I636" s="85"/>
      <c r="J636" s="25" cm="1">
        <f t="array" ref="J636">Scope3_Equations.VEERG_15_14_1_1__1_EmbeddedEmissionsFromUpstreamFreight(E636,F636,I636)</f>
        <v>0</v>
      </c>
      <c r="K636" s="43"/>
      <c r="L636" s="23"/>
      <c r="M636" s="43"/>
    </row>
    <row r="638" spans="4:13" x14ac:dyDescent="0.25">
      <c r="D638" s="142" t="s">
        <v>1255</v>
      </c>
      <c r="E638" s="101" t="s">
        <v>1231</v>
      </c>
      <c r="F638" s="140" t="str">
        <f>$E$104</f>
        <v>t CO2e</v>
      </c>
    </row>
    <row r="639" spans="4:13" x14ac:dyDescent="0.25">
      <c r="D639" s="142" t="s">
        <v>1256</v>
      </c>
      <c r="E639" s="101">
        <f>SUM(J627:J636)</f>
        <v>432640</v>
      </c>
      <c r="F639" s="140" t="str">
        <f>$E$104</f>
        <v>t CO2e</v>
      </c>
    </row>
    <row r="641" spans="4:6" ht="20.25" x14ac:dyDescent="0.25">
      <c r="D641" s="135" t="s">
        <v>1145</v>
      </c>
      <c r="E641" s="136" t="s">
        <v>1231</v>
      </c>
      <c r="F641" s="137" t="str">
        <f>$E$104</f>
        <v>t CO2e</v>
      </c>
    </row>
    <row r="642" spans="4:6" ht="20.25" x14ac:dyDescent="0.25">
      <c r="D642" s="135" t="s">
        <v>1148</v>
      </c>
      <c r="E642" s="136">
        <f>VEERG_15_14_1_1__1_EmbeddedEmissionsFromUpstreamFreight_Incoming_Result_Method2+VEERG_15_14_1_1__1_EmbeddedEmissionsFromUpstreamFreight_Outgoing_Result_Method2</f>
        <v>5579340</v>
      </c>
      <c r="F642" s="137" t="str">
        <f>$E$104</f>
        <v>t CO2e</v>
      </c>
    </row>
  </sheetData>
  <dataValidations count="2">
    <dataValidation type="list" allowBlank="1" showInputMessage="1" showErrorMessage="1" sqref="J490:J499" xr:uid="{947E4B68-E203-4278-B196-63EA903A9055}">
      <formula1>"kg / amount unit, t / amount unit"</formula1>
    </dataValidation>
    <dataValidation type="list" allowBlank="1" showInputMessage="1" showErrorMessage="1" sqref="L42:L51 L61:L70 L79:L88 L430:L439 L448:L457 K119:K128 L367:L376 K136:K139 K162:K164 O23:O32 M221:M231 L305:L314 K273:K282 N336:N345 M490:M499 M237:M251 M399:M408 K466:K470 K479:K483 L609:L618 L627:L636" xr:uid="{6717071D-6A3D-41D3-AFA8-725AE53A9BA3}">
      <formula1>INDIRECT("Table_SourceData_DataScores_Scope3[Data source]")</formula1>
    </dataValidation>
  </dataValidation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9FC9A-561F-4A68-82CC-E74C3FB03686}">
  <sheetPr>
    <tabColor theme="9" tint="-0.249977111117893"/>
  </sheetPr>
  <dimension ref="A1:U160"/>
  <sheetViews>
    <sheetView showGridLines="0" topLeftCell="C61" zoomScaleNormal="100" workbookViewId="0">
      <selection activeCell="A63" sqref="A63"/>
    </sheetView>
  </sheetViews>
  <sheetFormatPr defaultRowHeight="15.75" x14ac:dyDescent="0.25"/>
  <cols>
    <col min="1" max="1" width="35" style="260" customWidth="1"/>
    <col min="2" max="2" width="5.28515625" style="260" customWidth="1"/>
    <col min="3" max="3" width="5.28515625" style="1" customWidth="1"/>
    <col min="4" max="10" width="35" style="1" customWidth="1"/>
    <col min="11" max="11" width="5.28515625" style="1" customWidth="1"/>
    <col min="12" max="12" width="5.28515625" style="260" customWidth="1"/>
    <col min="13" max="13" width="5.28515625" style="1" customWidth="1"/>
    <col min="14" max="20" width="35" style="1" customWidth="1"/>
    <col min="21" max="21" width="5.28515625" style="1" customWidth="1"/>
    <col min="22" max="16384" width="9.140625" style="260"/>
  </cols>
  <sheetData>
    <row r="1" spans="1:21" ht="30" customHeight="1" x14ac:dyDescent="0.35">
      <c r="A1" s="16" t="e" vm="1">
        <v>#VALUE!</v>
      </c>
      <c r="C1" s="30" t="s">
        <v>1257</v>
      </c>
      <c r="D1" s="30"/>
      <c r="E1" s="30"/>
      <c r="F1" s="30"/>
      <c r="G1" s="30"/>
      <c r="H1" s="30"/>
      <c r="I1" s="30"/>
      <c r="J1" s="30"/>
      <c r="K1" s="30"/>
      <c r="M1" s="30"/>
      <c r="N1" s="30"/>
      <c r="O1" s="30"/>
      <c r="P1" s="30"/>
      <c r="Q1" s="30"/>
      <c r="R1" s="30"/>
      <c r="S1" s="30"/>
      <c r="T1" s="30"/>
      <c r="U1" s="30"/>
    </row>
    <row r="2" spans="1:21" ht="20.100000000000001" customHeight="1" x14ac:dyDescent="0.25">
      <c r="A2"/>
      <c r="C2" s="3"/>
      <c r="D2" s="3"/>
      <c r="E2" s="3"/>
      <c r="F2" s="3"/>
      <c r="G2" s="3"/>
      <c r="H2" s="3"/>
      <c r="I2" s="3"/>
      <c r="J2" s="3"/>
      <c r="K2" s="3"/>
      <c r="M2" s="3"/>
      <c r="N2" s="3"/>
      <c r="O2" s="3"/>
      <c r="P2" s="3"/>
      <c r="Q2" s="3"/>
      <c r="R2" s="3"/>
      <c r="S2" s="3"/>
      <c r="T2" s="3"/>
      <c r="U2" s="3"/>
    </row>
    <row r="3" spans="1:21" ht="20.100000000000001" customHeight="1" x14ac:dyDescent="0.25">
      <c r="A3" s="5" t="str">
        <f>HYPERLINK("#'Home'!A1", "Home")</f>
        <v>Home</v>
      </c>
      <c r="C3" s="32"/>
      <c r="D3" s="32" t="s">
        <v>136</v>
      </c>
      <c r="E3" s="32"/>
      <c r="F3" s="32"/>
      <c r="G3" s="32"/>
      <c r="H3" s="32"/>
      <c r="I3" s="32"/>
      <c r="J3" s="32"/>
      <c r="K3" s="32"/>
      <c r="M3" s="32"/>
      <c r="N3" s="32" t="s">
        <v>137</v>
      </c>
      <c r="O3" s="32"/>
      <c r="P3" s="32"/>
      <c r="Q3" s="32"/>
      <c r="R3" s="32"/>
      <c r="S3" s="32"/>
      <c r="T3" s="32"/>
      <c r="U3" s="32"/>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A6"/>
      <c r="D6" s="27" t="str" cm="1">
        <f t="array" ref="D6">Fertiliser_Equations_OrganicN2O.VEERG_5_2_1_1__1_OrganicFertiliserApplicationN2OEmissions_Source()</f>
        <v>VEERG 2026: 5.2.1.1, Equation (1)</v>
      </c>
      <c r="N6" s="27" t="str" cm="1">
        <f t="array" ref="N6">Fertiliser_Equations_OrganicN2O.VEERG_5_2_1_1__1_OrganicFertiliserApplicationN2OEmissions_Source()</f>
        <v>VEERG 2026: 5.2.1.1, Equation (1)</v>
      </c>
    </row>
    <row r="7" spans="1:21" ht="20.100000000000001" customHeight="1" x14ac:dyDescent="0.25">
      <c r="A7"/>
      <c r="D7" s="118" t="s">
        <v>262</v>
      </c>
      <c r="E7" s="118" t="str">
        <f ca="1">Common_InputFunctions.Utility_DisplayFunctionName(VEERG_5_2_1_1__1_OrganicFertiliserApplicationN2OEmissions_Result_Method1)</f>
        <v>=Fertiliser_Equations_OrganicN2O.VEERG_5_2_1_1__1_OrganicFertiliserApplicationN2OEmissions</v>
      </c>
      <c r="N7" s="118" t="s">
        <v>262</v>
      </c>
      <c r="O7" s="118"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7" t="s">
        <v>263</v>
      </c>
      <c r="E10" s="1" t="str" cm="1">
        <f t="array" ref="E10">Fertiliser_Equations_OrganicN2O.VEERG_5_2_1_1__1_OrganicFertiliserApplicationN2OEmissions_Variable()</f>
        <v>E_N2O</v>
      </c>
      <c r="N10" s="87" t="s">
        <v>263</v>
      </c>
      <c r="O10" s="1" t="str" cm="1">
        <f t="array" ref="O10">Fertiliser_Equations_OrganicN2O.VEERG_5_2_1_1__1_OrganicFertiliserApplicationN2OEmissions_Variable()</f>
        <v>E_N2O</v>
      </c>
    </row>
    <row r="11" spans="1:21" ht="20.100000000000001" customHeight="1" x14ac:dyDescent="0.25">
      <c r="A11" s="5" t="str">
        <f>HYPERLINK("#'Input - Dairy'!A1", "Dairy")</f>
        <v>Dairy</v>
      </c>
      <c r="D11" s="87" t="s">
        <v>122</v>
      </c>
      <c r="E11" s="15" t="str" cm="1">
        <f t="array" ref="E11">Fertiliser_Equations_OrganicN2O.VEERG_5_2_1_1__1_OrganicFertiliserApplicationN2OEmissions_Unit()</f>
        <v>t N2O</v>
      </c>
      <c r="N11" s="87" t="s">
        <v>122</v>
      </c>
      <c r="O11" s="15" t="str" cm="1">
        <f t="array" ref="O11">Fertiliser_Equations_OrganicN2O.VEERG_5_2_1_1__1_OrganicFertiliserApplicationN2OEmissions_Unit()</f>
        <v>t N2O</v>
      </c>
    </row>
    <row r="12" spans="1:21" ht="20.100000000000001" customHeight="1" x14ac:dyDescent="0.25">
      <c r="A12" s="5" t="str">
        <f>HYPERLINK("#'Input - Dairy (Enteric)'!A1", "Dairy (Enteric)")</f>
        <v>Dairy (Enteric)</v>
      </c>
    </row>
    <row r="13" spans="1:21" ht="20.100000000000001" customHeight="1" x14ac:dyDescent="0.25">
      <c r="A13" s="5" t="str">
        <f>HYPERLINK("#'Input - Livestock sales'!A1", "Livestock sales")</f>
        <v>Livestock sales</v>
      </c>
      <c r="D13" s="120" t="str" cm="1">
        <f t="array" ref="D13:E17">_xlfn.CHOOSECOLS(Fertiliser_Equations_OrganicN2O.VEERG_5_2_1_1__1_OrganicFertiliserApplicationN2OEmissions_Arguments(), 1, 2)</f>
        <v>MNSoil_jf</v>
      </c>
      <c r="E13" s="125" t="str">
        <v>mass of nitrogen in organic fertiliser type f applied to production system j</v>
      </c>
      <c r="F13" s="133"/>
      <c r="G13" s="126"/>
      <c r="H13" s="120" t="str" cm="1">
        <f t="array" ref="H13:I17">_xlfn.CHOOSECOLS(Fertiliser_Equations_OrganicN2O.VEERG_5_2_1_1__1_OrganicFertiliserApplicationN2OEmissions_Arguments(), 3,4)</f>
        <v>kg N</v>
      </c>
      <c r="I13" s="128" t="str">
        <v>Calculated from 5.2.1.1 (2)</v>
      </c>
      <c r="J13" s="120">
        <f ca="1">X_Cell_ManureSentOffsite_MassNitrogenManure_Method1</f>
        <v>3864.1929695395502</v>
      </c>
      <c r="N13" s="120" t="str" cm="1">
        <f t="array" ref="N13:O17">_xlfn.CHOOSECOLS(Fertiliser_Equations_OrganicN2O.VEERG_5_2_1_1__1_OrganicFertiliserApplicationN2OEmissions_Arguments(), 1, 2)</f>
        <v>MNSoil_jf</v>
      </c>
      <c r="O13" s="125" t="str">
        <v>mass of nitrogen in organic fertiliser type f applied to production system j</v>
      </c>
      <c r="P13" s="133"/>
      <c r="Q13" s="126"/>
      <c r="R13" s="120" t="str" cm="1">
        <f t="array" ref="R13:S17">_xlfn.CHOOSECOLS(Fertiliser_Equations_OrganicN2O.VEERG_5_2_1_1__1_OrganicFertiliserApplicationN2OEmissions_Arguments(), 3,4)</f>
        <v>kg N</v>
      </c>
      <c r="S13" s="128" t="str">
        <v>Calculated from 5.2.1.1 (2)</v>
      </c>
      <c r="T13" s="120">
        <f ca="1">X_Cell_ManureSentOffsite_MassNitrogenManure_Method2</f>
        <v>3864.1929695395502</v>
      </c>
    </row>
    <row r="14" spans="1:21" ht="20.100000000000001" customHeight="1" x14ac:dyDescent="0.25">
      <c r="A14" s="5" t="str">
        <f>HYPERLINK("#'Input - Dairy cattle purchases'!A1", "Dairy cattle purchases")</f>
        <v>Dairy cattle purchases</v>
      </c>
      <c r="D14" s="120" t="str">
        <v>EF_N2Oi</v>
      </c>
      <c r="E14" s="125" t="str">
        <v>emission factor for direct nitrous oxide emissions from organic fertiliser applied to soils and aquatic systems in climate zone i</v>
      </c>
      <c r="F14" s="133"/>
      <c r="G14" s="126"/>
      <c r="H14" s="120" t="str">
        <v>kg N2O-N/kg N</v>
      </c>
      <c r="I14" s="128" t="str">
        <v>Lookup</v>
      </c>
      <c r="J14" s="120">
        <f>Common_InputFunctions.Utility_LookupValueInTableNumber(J17, Table_SourceData_Common_EFOrganicFertCropResidues[Climate Zone],Table_SourceData_Common_EFOrganicFertCropResidues[EFNi &amp; EFN2Oi])</f>
        <v>5.0000000000000001E-3</v>
      </c>
      <c r="N14" s="120" t="str">
        <v>EF_N2Oi</v>
      </c>
      <c r="O14" s="125" t="str">
        <v>emission factor for direct nitrous oxide emissions from organic fertiliser applied to soils and aquatic systems in climate zone i</v>
      </c>
      <c r="P14" s="133"/>
      <c r="Q14" s="126"/>
      <c r="R14" s="120" t="str">
        <v>kg N2O-N/kg N</v>
      </c>
      <c r="S14" s="128" t="str">
        <v>Lookup</v>
      </c>
      <c r="T14" s="120"/>
    </row>
    <row r="15" spans="1:21" ht="20.100000000000001" customHeight="1" x14ac:dyDescent="0.25">
      <c r="A15" s="5" t="str">
        <f>HYPERLINK("#'Input - Pasture'!A1", "Pasture")</f>
        <v>Pasture</v>
      </c>
      <c r="D15" s="120" t="str">
        <v>C_N2O</v>
      </c>
      <c r="E15" s="125" t="str">
        <v>factor to convert elemental mass of nitrous oxide to molecular mass</v>
      </c>
      <c r="F15" s="133"/>
      <c r="G15" s="126"/>
      <c r="H15" s="120" t="str">
        <v/>
      </c>
      <c r="I15" s="128" t="str">
        <v>Constant</v>
      </c>
      <c r="J15" s="120">
        <f>Common_InputFunctions.Utility_LookupValueInTableNumber("N2O",Table_GasToMolecularConversionFactor[Gas],Table_GasToMolecularConversionFactor[Conversion factor combined])</f>
        <v>1.5714285714285714</v>
      </c>
      <c r="N15" s="120" t="str">
        <v>C_N2O</v>
      </c>
      <c r="O15" s="125" t="str">
        <v>factor to convert elemental mass of nitrous oxide to molecular mass</v>
      </c>
      <c r="P15" s="133"/>
      <c r="Q15" s="126"/>
      <c r="R15" s="120" t="str">
        <v/>
      </c>
      <c r="S15" s="128" t="str">
        <v>Constant</v>
      </c>
      <c r="T15" s="120"/>
    </row>
    <row r="16" spans="1:21" ht="20.100000000000001" customHeight="1" x14ac:dyDescent="0.25">
      <c r="A16" s="5" t="str">
        <f>HYPERLINK("#'Input - Fert Prod System'!A1", "Fert Prod System")</f>
        <v>Fert Prod System</v>
      </c>
      <c r="D16" s="120" t="str">
        <v>j</v>
      </c>
      <c r="E16" s="125" t="str">
        <v>Production system</v>
      </c>
      <c r="F16" s="133"/>
      <c r="G16" s="126"/>
      <c r="H16" s="120" t="str">
        <v/>
      </c>
      <c r="I16" s="275" t="str">
        <v>Input</v>
      </c>
      <c r="J16" s="120" t="str">
        <f>X_Cell_ManureSentOffsite_ManureProductionSystem</f>
        <v>Crop</v>
      </c>
      <c r="N16" s="120" t="str">
        <v>j</v>
      </c>
      <c r="O16" s="125" t="str">
        <v>Production system</v>
      </c>
      <c r="P16" s="133"/>
      <c r="Q16" s="126"/>
      <c r="R16" s="120" t="str">
        <v/>
      </c>
      <c r="S16" s="275" t="str">
        <v>Input</v>
      </c>
      <c r="T16" s="120"/>
    </row>
    <row r="17" spans="1:20" ht="20.100000000000001" customHeight="1" x14ac:dyDescent="0.25">
      <c r="A17" s="5" t="str">
        <f>HYPERLINK("#'Input - Fertiliser'!A1", "Fertiliser")</f>
        <v>Fertiliser</v>
      </c>
      <c r="D17" s="120" t="str">
        <v>i</v>
      </c>
      <c r="E17" s="125" t="str">
        <v>Wet or dry climate zone</v>
      </c>
      <c r="F17" s="133"/>
      <c r="G17" s="126"/>
      <c r="H17" s="120" t="str">
        <v/>
      </c>
      <c r="I17" s="275" t="str">
        <v>Input</v>
      </c>
      <c r="J17" s="120" t="str">
        <f>X_Cell_Site_WetOrDryClimateZone</f>
        <v>Dry climate zone</v>
      </c>
      <c r="N17" s="120" t="str">
        <v>i</v>
      </c>
      <c r="O17" s="125" t="str">
        <v>Wet or dry climate zone</v>
      </c>
      <c r="P17" s="133"/>
      <c r="Q17" s="126"/>
      <c r="R17" s="120" t="str">
        <v/>
      </c>
      <c r="S17" s="275" t="str">
        <v>Input</v>
      </c>
      <c r="T17" s="120"/>
    </row>
    <row r="18" spans="1:20" ht="20.100000000000001" customHeight="1" x14ac:dyDescent="0.25">
      <c r="A18" s="5" t="str">
        <f>HYPERLINK("#'Input - Fuel'!A1", "Fuel")</f>
        <v>Fuel</v>
      </c>
    </row>
    <row r="19" spans="1:20" ht="20.100000000000001" customHeight="1" x14ac:dyDescent="0.25">
      <c r="A19" s="5" t="str">
        <f>HYPERLINK("#'Input - Electricity'!A1", "Electricity")</f>
        <v>Electricity</v>
      </c>
      <c r="D19" s="135" t="s">
        <v>645</v>
      </c>
      <c r="E19" s="136" cm="1">
        <f t="array" aca="1" ref="E19" ca="1">Fertiliser_Equations_OrganicN2O.VEERG_5_2_1_1__1_OrganicFertiliserApplicationN2OEmissions(J13,J14,J15)</f>
        <v>3.0361516189239324E-2</v>
      </c>
      <c r="F19" s="137" t="str">
        <f>$E$11</f>
        <v>t N2O</v>
      </c>
      <c r="N19" s="135" t="s">
        <v>645</v>
      </c>
      <c r="O19" s="136" cm="1">
        <f t="array" aca="1" ref="O19" ca="1">Fertiliser_Equations_OrganicN2O.VEERG_5_2_1_1__1_OrganicFertiliserApplicationN2OEmissions(T13,J14,J15)</f>
        <v>3.0361516189239324E-2</v>
      </c>
      <c r="P19" s="137" t="str">
        <f>$E$11</f>
        <v>t N2O</v>
      </c>
    </row>
    <row r="20" spans="1:20" ht="20.100000000000001" customHeight="1" x14ac:dyDescent="0.25">
      <c r="A20" s="5" t="str">
        <f>HYPERLINK("#'Input - Farm Inputs'!A1", "Farm Inputs")</f>
        <v>Farm Inputs</v>
      </c>
    </row>
    <row r="21" spans="1:20" ht="20.100000000000001" customHeight="1" x14ac:dyDescent="0.25">
      <c r="A21" s="5" t="str">
        <f>HYPERLINK("#'Input - Freight'!A1", "Freight")</f>
        <v>Freight</v>
      </c>
    </row>
    <row r="22" spans="1:20" ht="20.100000000000001" customHeight="1" x14ac:dyDescent="0.25">
      <c r="A22" s="5" t="str">
        <f>HYPERLINK("#'Input - Manure sent off-site'!A1", "Manure sent off-site")</f>
        <v>Manure sent off-site</v>
      </c>
    </row>
    <row r="23" spans="1:20" ht="20.100000000000001" customHeight="1" x14ac:dyDescent="0.25">
      <c r="A23" s="5" t="str">
        <f>HYPERLINK("#'Input - Solid waste'!A1", "Solid waste")</f>
        <v>Solid waste</v>
      </c>
    </row>
    <row r="24" spans="1:20" ht="20.100000000000001" customHeight="1" x14ac:dyDescent="0.25">
      <c r="A24" s="5" t="str">
        <f>HYPERLINK("#'Input - Data quality'!A1", "Data quality")</f>
        <v>Data quality</v>
      </c>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A25"/>
      <c r="D25" s="27" t="str" cm="1">
        <f t="array" ref="D25">Fertiliser_Equations_AtmosphericDeposition.VEERG_5_4_1_3__2_MassOfNitrogenVolatilisedFromOrganicFertiliser_Source()</f>
        <v>VEERG 2026: 5.4.1.3, Equation (2)</v>
      </c>
      <c r="N25" s="27" t="str" cm="1">
        <f t="array" ref="N25">Fertiliser_Equations_AtmosphericDeposition.VEERG_5_4_1_3__2_MassOfNitrogenVolatilisedFromOrganicFertiliser_Source()</f>
        <v>VEERG 2026: 5.4.1.3, Equation (2)</v>
      </c>
    </row>
    <row r="26" spans="1:20" ht="20.100000000000001" customHeight="1" x14ac:dyDescent="0.25">
      <c r="A26"/>
      <c r="D26" s="118" t="s">
        <v>262</v>
      </c>
      <c r="E26" s="118" t="str" cm="1">
        <f t="array" aca="1" ref="E26" ca="1">Common_InputFunctions.Utility_DisplayFunctionName(E35)</f>
        <v>=Fertiliser_Equations_AtmosphericDeposition.VEERG_5_4_1_3__2_MassOfNitrogenVolatilisedFromOrganicFertiliser</v>
      </c>
      <c r="N26" s="118" t="s">
        <v>262</v>
      </c>
      <c r="O26" s="118" t="str" cm="1">
        <f t="array" aca="1" ref="O26" ca="1">Common_InputFunctions.Utility_DisplayFunctionName(O35)</f>
        <v>=Fertiliser_Equations_AtmosphericDeposition.VEERG_5_4_1_3__2_MassOfNitrogenVolatilisedFromOrganicFertiliser</v>
      </c>
    </row>
    <row r="27" spans="1:20" ht="20.100000000000001" customHeight="1" x14ac:dyDescent="0.25">
      <c r="A27" s="6" t="s">
        <v>2</v>
      </c>
    </row>
    <row r="28" spans="1:20" ht="20.100000000000001" customHeight="1" x14ac:dyDescent="0.25">
      <c r="A28" s="5" t="str">
        <f>HYPERLINK("#'5.1.1.1-2 Inorganic fert N2O'!A1", "5.1.1.1-2 Inorganic fert N2O")</f>
        <v>5.1.1.1-2 Inorganic fert N2O</v>
      </c>
    </row>
    <row r="29" spans="1:20" ht="20.100000000000001" customHeight="1" x14ac:dyDescent="0.25">
      <c r="A29" s="5" t="str">
        <f>HYPERLINK("#'5.1.1.3-4 Inorganic fert CO2'!A1", "5.1.1.3-4 Inorganic fert CO2")</f>
        <v>5.1.1.3-4 Inorganic fert CO2</v>
      </c>
      <c r="D29" s="87" t="s">
        <v>263</v>
      </c>
      <c r="E29" s="1" t="str" cm="1">
        <f t="array" ref="E29">Fertiliser_Equations_AtmosphericDeposition.VEERG_5_4_1_3__2_MassOfNitrogenVolatilisedFromOrganicFertiliser_Variable()</f>
        <v>M_volorganicjf</v>
      </c>
      <c r="N29" s="87" t="s">
        <v>263</v>
      </c>
      <c r="O29" s="1" t="str" cm="1">
        <f t="array" ref="O29">Fertiliser_Equations_AtmosphericDeposition.VEERG_5_4_1_3__2_MassOfNitrogenVolatilisedFromOrganicFertiliser_Variable()</f>
        <v>M_volorganicjf</v>
      </c>
    </row>
    <row r="30" spans="1:20" ht="20.100000000000001" customHeight="1" x14ac:dyDescent="0.25">
      <c r="A30" s="5" t="str">
        <f>HYPERLINK("#'5.2.1.1-2 Organic Fert N2O'!A1", "5.2.1.1-2 Organic fert N2O")</f>
        <v>5.2.1.1-2 Organic fert N2O</v>
      </c>
      <c r="D30" s="87" t="s">
        <v>122</v>
      </c>
      <c r="E30" s="15" t="str" cm="1">
        <f t="array" ref="E30">Fertiliser_Equations_AtmosphericDeposition.VEERG_5_4_1_3__2_MassOfNitrogenVolatilisedFromOrganicFertiliser_Unit()</f>
        <v>kg N</v>
      </c>
      <c r="N30" s="87" t="s">
        <v>122</v>
      </c>
      <c r="O30" s="15" t="str" cm="1">
        <f t="array" ref="O30">Fertiliser_Equations_AtmosphericDeposition.VEERG_5_4_1_3__2_MassOfNitrogenVolatilisedFromOrganicFertiliser_Unit()</f>
        <v>kg N</v>
      </c>
    </row>
    <row r="31" spans="1:20" ht="20.100000000000001" customHeight="1" x14ac:dyDescent="0.25">
      <c r="A31" s="5" t="str">
        <f>HYPERLINK("#'5.3.1.1-2 Lime CO2'!A1", "5.3.1.1-2 Lime CO2")</f>
        <v>5.3.1.1-2 Lime CO2</v>
      </c>
    </row>
    <row r="32" spans="1:20" ht="20.100000000000001" customHeight="1" x14ac:dyDescent="0.25">
      <c r="A32" s="5" t="str">
        <f>HYPERLINK("#'5.4.1.1-4 Atmos deposition'!A1", "5.4.1.1-4 Atmos. deposition")</f>
        <v>5.4.1.1-4 Atmos. deposition</v>
      </c>
      <c r="D32" s="120" t="str" cm="1">
        <f t="array" ref="D32:E33">_xlfn.CHOOSECOLS(Fertiliser_Equations_AtmosphericDeposition.VEERG_5_4_1_3__2_MassOfNitrogenVolatilisedFromOrganicFertiliser_Arguments(), 1, 2)</f>
        <v>MNSoil_jf</v>
      </c>
      <c r="E32" s="120" t="str">
        <v>mass of nitrogen in organic fertiliser type f applied to production system j</v>
      </c>
      <c r="F32" s="120"/>
      <c r="G32" s="120" t="str" cm="1">
        <f t="array" ref="G32:H33">_xlfn.CHOOSECOLS(Fertiliser_Equations_AtmosphericDeposition.VEERG_5_4_1_3__2_MassOfNitrogenVolatilisedFromOrganicFertiliser_Arguments(), 3,4)</f>
        <v>kg N</v>
      </c>
      <c r="H32" s="128" t="str">
        <v>Calculated from 5.2.1.1 (2)</v>
      </c>
      <c r="I32" s="120">
        <f ca="1">X_Cell_ManureSentOffsite_MassNitrogenManure_Method1</f>
        <v>3864.1929695395502</v>
      </c>
      <c r="N32" s="120" t="str" cm="1">
        <f t="array" ref="N32:O33">_xlfn.CHOOSECOLS(Fertiliser_Equations_AtmosphericDeposition.VEERG_5_4_1_3__2_MassOfNitrogenVolatilisedFromOrganicFertiliser_Arguments(), 1, 2)</f>
        <v>MNSoil_jf</v>
      </c>
      <c r="O32" s="120" t="str">
        <v>mass of nitrogen in organic fertiliser type f applied to production system j</v>
      </c>
      <c r="P32" s="120"/>
      <c r="Q32" s="120" t="str" cm="1">
        <f t="array" ref="Q32:R33">_xlfn.CHOOSECOLS(Fertiliser_Equations_AtmosphericDeposition.VEERG_5_4_1_3__2_MassOfNitrogenVolatilisedFromOrganicFertiliser_Arguments(), 3,4)</f>
        <v>kg N</v>
      </c>
      <c r="R32" s="128" t="str">
        <v>Calculated from 5.2.1.1 (2)</v>
      </c>
      <c r="S32" s="120">
        <f ca="1">X_Cell_ManureSentOffsite_MassNitrogenManure_Method2</f>
        <v>3864.1929695395502</v>
      </c>
    </row>
    <row r="33" spans="1:19" ht="20.100000000000001" customHeight="1" x14ac:dyDescent="0.25">
      <c r="A33" s="5" t="str">
        <f>HYPERLINK("#'5.5.1.1-2 Leaching and runoff'!A1", "5.5.1.1-2 Leaching &amp; runoff")</f>
        <v>5.5.1.1-2 Leaching &amp; runoff</v>
      </c>
      <c r="D33" s="120" t="str">
        <v>FracGASM_soil</v>
      </c>
      <c r="E33" s="120" t="str">
        <v>fraction of organic fertiliser N that volatilises</v>
      </c>
      <c r="F33" s="120"/>
      <c r="G33" s="120" t="str">
        <v>(kg NH3-N + NOx-N)/kg N</v>
      </c>
      <c r="H33" s="128" t="str">
        <v>Constant</v>
      </c>
      <c r="I33" s="120">
        <f>Fertiliser_FracGASMSoil_Data</f>
        <v>0.21</v>
      </c>
      <c r="N33" s="120" t="str">
        <v>FracGASM_soil</v>
      </c>
      <c r="O33" s="120" t="str">
        <v>fraction of organic fertiliser N that volatilises</v>
      </c>
      <c r="P33" s="120"/>
      <c r="Q33" s="120" t="str">
        <v>(kg NH3-N + NOx-N)/kg N</v>
      </c>
      <c r="R33" s="128" t="str">
        <v>Constant</v>
      </c>
      <c r="S33" s="120"/>
    </row>
    <row r="34" spans="1:19" ht="20.100000000000001" customHeight="1" x14ac:dyDescent="0.25">
      <c r="A34" s="5" t="str">
        <f>HYPERLINK("#'6.2.1.1-2 Pasture residue N2O'!A1", "6.2.1.1-2 Pasture residue N2O")</f>
        <v>6.2.1.1-2 Pasture residue N2O</v>
      </c>
    </row>
    <row r="35" spans="1:19" ht="20.100000000000001" customHeight="1" x14ac:dyDescent="0.25">
      <c r="A35" s="5" t="str">
        <f>HYPERLINK("#'6.3.1.1-2 Leach runoff pasture'!A1", "6.3.1.1-2 Leach &amp; runoff (pasture)")</f>
        <v>6.3.1.1-2 Leach &amp; runoff (pasture)</v>
      </c>
      <c r="D35" s="142" t="s">
        <v>1258</v>
      </c>
      <c r="E35" s="101" cm="1">
        <f t="array" aca="1" ref="E35" ca="1">Fertiliser_Equations_AtmosphericDeposition.VEERG_5_4_1_3__2_MassOfNitrogenVolatilisedFromOrganicFertiliser(I32,I33)</f>
        <v>811.48052360330553</v>
      </c>
      <c r="F35" s="140" t="str">
        <f>E30</f>
        <v>kg N</v>
      </c>
      <c r="N35" s="142" t="s">
        <v>1258</v>
      </c>
      <c r="O35" s="101" cm="1">
        <f t="array" aca="1" ref="O35" ca="1">Fertiliser_Equations_AtmosphericDeposition.VEERG_5_4_1_3__2_MassOfNitrogenVolatilisedFromOrganicFertiliser(S32,I33)</f>
        <v>811.48052360330553</v>
      </c>
      <c r="P35" s="140" t="str">
        <f>O30</f>
        <v>kg N</v>
      </c>
    </row>
    <row r="36" spans="1:19" ht="20.100000000000001" customHeight="1" x14ac:dyDescent="0.25">
      <c r="A36" s="5" t="str">
        <f>HYPERLINK("#'8.1.1.1-2 Transport fuel'!A1", "8.1.1.1-2 Transport fuel")</f>
        <v>8.1.1.1-2 Transport fuel</v>
      </c>
    </row>
    <row r="37" spans="1:19" ht="20.100000000000001" customHeight="1" x14ac:dyDescent="0.25">
      <c r="A37" s="5" t="str">
        <f>HYPERLINK("#'8.2.1.1-2 Stationary fuel'!A1", "8.2.1.1-2 Stationary fuel")</f>
        <v>8.2.1.1-2 Stationary fuel</v>
      </c>
    </row>
    <row r="38" spans="1:19" ht="20.100000000000001" customHeight="1" x14ac:dyDescent="0.25">
      <c r="A38" s="5" t="str">
        <f>HYPERLINK("#'14.1.1-2 Purchased electricity'!A1", "14.1.1-2 Purchased electricity")</f>
        <v>14.1.1-2 Purchased electricity</v>
      </c>
    </row>
    <row r="39" spans="1:19" ht="20.100000000000001" customHeight="1" x14ac:dyDescent="0.25">
      <c r="A39" s="5" t="str">
        <f>HYPERLINK("#'15 Scope 3'!A1", "15 Scope 3")</f>
        <v>15 Scope 3</v>
      </c>
    </row>
    <row r="40" spans="1:19" ht="20.100000000000001" customHeight="1" x14ac:dyDescent="0.25">
      <c r="A40" s="119" t="str">
        <f>HYPERLINK("#'Calcs - Manure sent off-site'!A1", "Calcs - Manure sent off-site")</f>
        <v>Calcs - Manure sent off-site</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5" t="str">
        <f>HYPERLINK("#'4.3.1.1-2 Methane'!A1", "4.3.1.1-2 Methane")</f>
        <v>4.3.1.1-2 Methane</v>
      </c>
      <c r="D41" s="27" t="str" cm="1">
        <f t="array" ref="D41">Fertiliser_Equations_AtmosphericDeposition.VEERG_5_4_1_3__1_OrganicFertiliserAtmosphericDepositionN2OEmissions_Source()</f>
        <v>VEERG 2026: 5.4.1.3, Equation (1)</v>
      </c>
      <c r="N41" s="27" t="str" cm="1">
        <f t="array" ref="N41">Fertiliser_Equations_AtmosphericDeposition.VEERG_5_4_1_3__1_OrganicFertiliserAtmosphericDepositionN2OEmissions_Source()</f>
        <v>VEERG 2026: 5.4.1.3, Equation (1)</v>
      </c>
    </row>
    <row r="42" spans="1:19" ht="20.100000000000001" customHeight="1" x14ac:dyDescent="0.25">
      <c r="A42" s="5" t="str">
        <f>HYPERLINK("#'4.3.1.3-4 Direct N20'!A1", "4.3.1.3-4 Direct N20")</f>
        <v>4.3.1.3-4 Direct N20</v>
      </c>
      <c r="D42" s="118" t="s">
        <v>262</v>
      </c>
      <c r="E42" s="118" t="str">
        <f ca="1">Common_InputFunctions.Utility_DisplayFunctionName(VEERG_5_4_1_3__1_OrganicFertiliserAtmosphericDepositionN2OEmissions_Result_Method1)</f>
        <v>=Fertiliser_Equations_AtmosphericDeposition.VEERG_5_4_1_3__1_OrganicFertiliserAtmosphericDepositionN2OEmissions</v>
      </c>
      <c r="N42" s="118" t="s">
        <v>262</v>
      </c>
      <c r="O42" s="118"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c r="A43" s="5" t="str">
        <f>HYPERLINK("#'4.3.1.5 Atmos deposition'!A1", "4.3.1.5 Atmos deposition")</f>
        <v>4.3.1.5 Atmos deposition</v>
      </c>
    </row>
    <row r="44" spans="1:19" ht="20.100000000000001" customHeight="1" x14ac:dyDescent="0.25">
      <c r="A44" s="5" t="str">
        <f>HYPERLINK("#'4.3.1.6-7 Leaching and runoff'!A1", "4.3.1.6-7 Leaching and runoff")</f>
        <v>4.3.1.6-7 Leaching and runoff</v>
      </c>
    </row>
    <row r="45" spans="1:19" ht="20.100000000000001" customHeight="1" x14ac:dyDescent="0.25">
      <c r="A45" s="5" t="str">
        <f>HYPERLINK("#'4.3.1.8 Manure applied to soils'!A1", "4.3.1.8 Manure applied to soils")</f>
        <v>4.3.1.8 Manure applied to soils</v>
      </c>
      <c r="D45" s="87" t="s">
        <v>263</v>
      </c>
      <c r="E45" s="1" t="str" cm="1">
        <f t="array" ref="E45">Fertiliser_Equations_AtmosphericDeposition.VEERG_5_4_1_3__1_OrganicFertiliserAtmosphericDepositionN2OEmissions_Variable()</f>
        <v>E_adorganic</v>
      </c>
      <c r="N45" s="87" t="s">
        <v>263</v>
      </c>
      <c r="O45" s="1" t="str" cm="1">
        <f t="array" ref="O45">Fertiliser_Equations_AtmosphericDeposition.VEERG_5_4_1_3__1_OrganicFertiliserAtmosphericDepositionN2OEmissions_Variable()</f>
        <v>E_adorganic</v>
      </c>
    </row>
    <row r="46" spans="1:19" ht="20.100000000000001" customHeight="1" x14ac:dyDescent="0.25">
      <c r="A46" s="5" t="str">
        <f>HYPERLINK("#'4.3.1.9 Soil direct N2O'!A1", "4.3.1.9 Soil direct N2O")</f>
        <v>4.3.1.9 Soil direct N2O</v>
      </c>
      <c r="D46" s="87" t="s">
        <v>122</v>
      </c>
      <c r="E46" s="15" t="str" cm="1">
        <f t="array" ref="E46">Fertiliser_Equations_AtmosphericDeposition.VEERG_5_4_1_3__1_OrganicFertiliserAtmosphericDepositionN2OEmissions_Unit()</f>
        <v>t N2O</v>
      </c>
      <c r="N46" s="87" t="s">
        <v>122</v>
      </c>
      <c r="O46" s="15" t="str" cm="1">
        <f t="array" ref="O46">Fertiliser_Equations_AtmosphericDeposition.VEERG_5_4_1_3__1_OrganicFertiliserAtmosphericDepositionN2OEmissions_Unit()</f>
        <v>t N2O</v>
      </c>
    </row>
    <row r="47" spans="1:19" ht="20.100000000000001" customHeight="1" x14ac:dyDescent="0.25">
      <c r="A47" s="5" t="str">
        <f>HYPERLINK("#'4.3.1.10-11 Soil Atmos Dep'!A1", "4.3.1.10-11 Soil Atmos Dep")</f>
        <v>4.3.1.10-11 Soil Atmos Dep</v>
      </c>
    </row>
    <row r="48" spans="1:19" ht="20.100000000000001" customHeight="1" x14ac:dyDescent="0.25">
      <c r="A48" s="5" t="str">
        <f>HYPERLINK("#'4.3.1.12-13 Soil leach runoff'!A1", "4.3.1.12-13 Soil leach runoff")</f>
        <v>4.3.1.12-13 Soil leach runoff</v>
      </c>
      <c r="D48" s="120" t="str" cm="1">
        <f t="array" ref="D48:E53">_xlfn.CHOOSECOLS(Fertiliser_Equations_AtmosphericDeposition.VEERG_5_4_1_3__1_OrganicFertiliserAtmosphericDepositionN2OEmissions_Arguments(), 1, 2)</f>
        <v>M_volorganicjf</v>
      </c>
      <c r="E48" s="125" t="str">
        <v>mass of nitrogen volatilised from organic fertiliser applied to production system</v>
      </c>
      <c r="F48" s="126"/>
      <c r="G48" s="120" t="str" cm="1">
        <f t="array" ref="G48:H53">_xlfn.CHOOSECOLS(Fertiliser_Equations_AtmosphericDeposition.VEERG_5_4_1_3__1_OrganicFertiliserAtmosphericDepositionN2OEmissions_Arguments(), 3,4)</f>
        <v>kg N</v>
      </c>
      <c r="H48" s="128" t="str">
        <v>Calculated from 5.4.1.3 (2)</v>
      </c>
      <c r="I48" s="120">
        <f ca="1">E35</f>
        <v>811.48052360330553</v>
      </c>
      <c r="N48" s="120" t="str" cm="1">
        <f t="array" ref="N48:O53">_xlfn.CHOOSECOLS(Fertiliser_Equations_AtmosphericDeposition.VEERG_5_4_1_3__1_OrganicFertiliserAtmosphericDepositionN2OEmissions_Arguments(), 1, 2)</f>
        <v>M_volorganicjf</v>
      </c>
      <c r="O48" s="125" t="str">
        <v>mass of nitrogen volatilised from organic fertiliser applied to production system</v>
      </c>
      <c r="P48" s="126"/>
      <c r="Q48" s="120" t="str" cm="1">
        <f t="array" ref="Q48:R53">_xlfn.CHOOSECOLS(Fertiliser_Equations_AtmosphericDeposition.VEERG_5_4_1_3__1_OrganicFertiliserAtmosphericDepositionN2OEmissions_Arguments(), 3,4)</f>
        <v>kg N</v>
      </c>
      <c r="R48" s="128" t="str">
        <v>Calculated from 5.4.1.3 (2)</v>
      </c>
      <c r="S48" s="120">
        <f ca="1">O35</f>
        <v>811.48052360330553</v>
      </c>
    </row>
    <row r="49" spans="1:19" ht="20.100000000000001" customHeight="1" x14ac:dyDescent="0.25">
      <c r="A49" s="5" t="str">
        <f>HYPERLINK("#'3.3.1.1-2 Enteric Methane'!A1", "3.3.1.1-2 Enteric Methane")</f>
        <v>3.3.1.1-2 Enteric Methane</v>
      </c>
      <c r="D49" s="120" t="str">
        <v>EF_N2Oj</v>
      </c>
      <c r="E49" s="125" t="str">
        <v>emission factor for atmospheric deposition in production system j</v>
      </c>
      <c r="F49" s="126"/>
      <c r="G49" s="120" t="str">
        <v>kg N2O-N/kg N</v>
      </c>
      <c r="H49" s="128" t="str">
        <v>Constant</v>
      </c>
      <c r="I49" s="120">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20" t="str">
        <v>EF_N2Oj</v>
      </c>
      <c r="O49" s="125" t="str">
        <v>emission factor for atmospheric deposition in production system j</v>
      </c>
      <c r="P49" s="126"/>
      <c r="Q49" s="120" t="str">
        <v>kg N2O-N/kg N</v>
      </c>
      <c r="R49" s="128" t="str">
        <v>Constant</v>
      </c>
      <c r="S49" s="120"/>
    </row>
    <row r="50" spans="1:19" ht="20.100000000000001" customHeight="1" x14ac:dyDescent="0.25">
      <c r="A50" s="5" t="str">
        <f>HYPERLINK("#'10.1.1-2 Solid waste treatment'!A1", "10.1.1-2 Solid waste treatment")</f>
        <v>10.1.1-2 Solid waste treatment</v>
      </c>
      <c r="D50" s="120" t="str">
        <v>C_N2O</v>
      </c>
      <c r="E50" s="125" t="str">
        <v>factor to convert elemental mass of nitrous oxide to molecular mass</v>
      </c>
      <c r="F50" s="126"/>
      <c r="G50" s="120" t="str">
        <v/>
      </c>
      <c r="H50" s="128" t="str">
        <v>Constant</v>
      </c>
      <c r="I50" s="132">
        <f>Common_InputFunctions.Utility_LookupValueInTableNumber("N2O",Table_GasToMolecularConversionFactor[Gas],Table_GasToMolecularConversionFactor[Conversion factor combined])</f>
        <v>1.5714285714285714</v>
      </c>
      <c r="N50" s="120" t="str">
        <v>C_N2O</v>
      </c>
      <c r="O50" s="125" t="str">
        <v>factor to convert elemental mass of nitrous oxide to molecular mass</v>
      </c>
      <c r="P50" s="126"/>
      <c r="Q50" s="120" t="str">
        <v/>
      </c>
      <c r="R50" s="128" t="str">
        <v>Constant</v>
      </c>
      <c r="S50" s="132"/>
    </row>
    <row r="51" spans="1:19" ht="20.100000000000001" customHeight="1" x14ac:dyDescent="0.25">
      <c r="A51"/>
      <c r="D51" s="120" t="str">
        <v>j</v>
      </c>
      <c r="E51" s="125" t="str">
        <v>Production system</v>
      </c>
      <c r="F51" s="126"/>
      <c r="G51" s="120" t="str">
        <v/>
      </c>
      <c r="H51" s="275" t="str">
        <v>Input</v>
      </c>
      <c r="I51" s="120" t="str">
        <f>X_Cell_ManureSentOffsite_ManureProductionSystem</f>
        <v>Crop</v>
      </c>
      <c r="N51" s="120" t="str">
        <v>j</v>
      </c>
      <c r="O51" s="125" t="str">
        <v>Production system</v>
      </c>
      <c r="P51" s="126"/>
      <c r="Q51" s="120" t="str">
        <v/>
      </c>
      <c r="R51" s="275" t="str">
        <v>Input</v>
      </c>
      <c r="S51" s="120"/>
    </row>
    <row r="52" spans="1:19" ht="20.100000000000001" customHeight="1" x14ac:dyDescent="0.25">
      <c r="A52"/>
      <c r="D52" s="120" t="str">
        <v>ir</v>
      </c>
      <c r="E52" s="125" t="str">
        <v>irrigation method</v>
      </c>
      <c r="F52" s="126"/>
      <c r="G52" s="120" t="str">
        <v/>
      </c>
      <c r="H52" s="275" t="str">
        <v>Input</v>
      </c>
      <c r="I52" s="120" t="str">
        <f>X_Cell_ManureSentOffsite_ManureIrrigationMethod</f>
        <v>Sprinkler irrigation</v>
      </c>
      <c r="N52" s="120" t="str">
        <v>ir</v>
      </c>
      <c r="O52" s="125" t="str">
        <v>irrigation method</v>
      </c>
      <c r="P52" s="126"/>
      <c r="Q52" s="120" t="str">
        <v/>
      </c>
      <c r="R52" s="275" t="str">
        <v>Input</v>
      </c>
      <c r="S52" s="120"/>
    </row>
    <row r="53" spans="1:19" ht="20.100000000000001" customHeight="1" x14ac:dyDescent="0.25">
      <c r="A53" s="100" t="s">
        <v>1</v>
      </c>
      <c r="D53" s="120" t="str">
        <v>r</v>
      </c>
      <c r="E53" s="125" t="str">
        <v>rainfall region</v>
      </c>
      <c r="F53" s="126"/>
      <c r="G53" s="120" t="str">
        <v/>
      </c>
      <c r="H53" s="275" t="str">
        <v>Input</v>
      </c>
      <c r="I53" s="120" t="str">
        <f>X_Cell_Site_RainfallZone</f>
        <v>High rainfall</v>
      </c>
      <c r="N53" s="120" t="str">
        <v>r</v>
      </c>
      <c r="O53" s="125" t="str">
        <v>rainfall region</v>
      </c>
      <c r="P53" s="126"/>
      <c r="Q53" s="120" t="str">
        <v/>
      </c>
      <c r="R53" s="275" t="str">
        <v>Input</v>
      </c>
      <c r="S53" s="120"/>
    </row>
    <row r="54" spans="1:19" ht="20.100000000000001" customHeight="1" x14ac:dyDescent="0.25">
      <c r="A54" s="5" t="str">
        <f>HYPERLINK("#'Constants - Dairy'!A1", "Constants - Dairy")</f>
        <v>Constants - Dairy</v>
      </c>
    </row>
    <row r="55" spans="1:19" ht="20.100000000000001" customHeight="1" x14ac:dyDescent="0.25">
      <c r="A55" s="5" t="str">
        <f>HYPERLINK("#'Constants - Ag Residue'!A1", "Constants - Ag residue")</f>
        <v>Constants - Ag residue</v>
      </c>
      <c r="D55" s="135" t="s">
        <v>683</v>
      </c>
      <c r="E55" s="136" cm="1">
        <f t="array" aca="1" ref="E55" ca="1">Fertiliser_Equations_AtmosphericDeposition.VEERG_5_4_1_3__1_OrganicFertiliserAtmosphericDepositionN2OEmissions(I48,I49,I50)</f>
        <v>8.9262857596363616E-3</v>
      </c>
      <c r="F55" s="137" t="str">
        <f>$E$46</f>
        <v>t N2O</v>
      </c>
      <c r="N55" s="135" t="s">
        <v>683</v>
      </c>
      <c r="O55" s="136" cm="1">
        <f t="array" aca="1" ref="O55" ca="1">Fertiliser_Equations_AtmosphericDeposition.VEERG_5_4_1_3__1_OrganicFertiliserAtmosphericDepositionN2OEmissions(S48,I49,I50)</f>
        <v>8.9262857596363616E-3</v>
      </c>
      <c r="P55" s="137" t="str">
        <f>$E$46</f>
        <v>t N2O</v>
      </c>
    </row>
    <row r="56" spans="1:19" ht="20.100000000000001" customHeight="1" x14ac:dyDescent="0.25">
      <c r="A56" s="5" t="str">
        <f>HYPERLINK("#'Constants - Common Livestock'!A1", "Constants - Common Livestock")</f>
        <v>Constants - Common Livestock</v>
      </c>
    </row>
    <row r="57" spans="1:19" ht="20.100000000000001" customHeight="1" x14ac:dyDescent="0.25">
      <c r="A57" s="5" t="str">
        <f>HYPERLINK("#'Constants - Electricity'!A1", "Constants - Electricity")</f>
        <v>Constants - Electricity</v>
      </c>
    </row>
    <row r="58" spans="1:19" ht="20.100000000000001" customHeight="1" x14ac:dyDescent="0.25">
      <c r="A58" s="5" t="str">
        <f>HYPERLINK("#'Constants - Fertiliser'!A1", "Constants - Fertiliser")</f>
        <v>Constants - Fertiliser</v>
      </c>
    </row>
    <row r="59" spans="1:19" ht="20.100000000000001" customHeight="1" x14ac:dyDescent="0.25">
      <c r="A59" s="5" t="str">
        <f>HYPERLINK("#'Constants - Fuel'!A1", "Constants - Fuel")</f>
        <v>Constants - Fuel</v>
      </c>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5">
      <c r="A60" s="5" t="str">
        <f>HYPERLINK("#'Constants - Scope 3'!A1", "Constants - Scope 3")</f>
        <v>Constants - Scope 3</v>
      </c>
      <c r="D60" s="27" t="str" cm="1">
        <f t="array" ref="D60">Fertiliser_Equations_LeachingAndRunoff.VEERG_5_5_1_1__3_MassOfNitrogenLeachedFromOrganicFertiliser_Source()</f>
        <v>VEERG 2026: 5.5, Equation (3)</v>
      </c>
      <c r="N60" s="27" t="str" cm="1">
        <f t="array" ref="N60">Fertiliser_Equations_LeachingAndRunoff.VEERG_5_5_1_1__3_MassOfNitrogenLeachedFromOrganicFertiliser_Source()</f>
        <v>VEERG 2026: 5.5, Equation (3)</v>
      </c>
    </row>
    <row r="61" spans="1:19" ht="20.100000000000001" customHeight="1" x14ac:dyDescent="0.25">
      <c r="A61" s="5" t="str">
        <f>HYPERLINK("#'Constants - Common'!A1", "Constants - Common")</f>
        <v>Constants - Common</v>
      </c>
      <c r="D61" s="118" t="s">
        <v>262</v>
      </c>
      <c r="E61" s="118" t="str" cm="1">
        <f t="array" aca="1" ref="E61" ca="1">Common_InputFunctions.Utility_DisplayFunctionName(E74)</f>
        <v>=Fertiliser_Equations_LeachingAndRunoff.VEERG_5_5_1_1__3_MassOfNitrogenLeachedFromOrganicFertiliser</v>
      </c>
      <c r="N61" s="118" t="s">
        <v>262</v>
      </c>
      <c r="O61" s="118" t="str" cm="1">
        <f t="array" aca="1" ref="O61" ca="1">Common_InputFunctions.Utility_DisplayFunctionName(O74)</f>
        <v>=Fertiliser_Equations_LeachingAndRunoff.VEERG_5_5_1_1__3_MassOfNitrogenLeachedFromOrganicFertiliser</v>
      </c>
    </row>
    <row r="62" spans="1:19" ht="20.100000000000001" customHeight="1" x14ac:dyDescent="0.25">
      <c r="A62" s="5" t="str">
        <f>HYPERLINK("#'Acknowledgements'!A1", "Acknowledgements")</f>
        <v>Acknowledgements</v>
      </c>
    </row>
    <row r="63" spans="1:19" ht="20.100000000000001" customHeight="1" x14ac:dyDescent="0.25">
      <c r="A63" s="5" t="str">
        <f>HYPERLINK("#'Constants - Solid Waste'!A1", "Constants - Solid Waste")</f>
        <v>Constants - Solid Waste</v>
      </c>
    </row>
    <row r="64" spans="1:19" ht="20.100000000000001" customHeight="1" x14ac:dyDescent="0.25">
      <c r="A64"/>
      <c r="D64" s="87" t="s">
        <v>263</v>
      </c>
      <c r="E64" s="1" t="str" cm="1">
        <f t="array" ref="E64">Fertiliser_Equations_LeachingAndRunoff.VEERG_5_5_1_1__3_MassOfNitrogenLeachedFromOrganicFertiliser_Variable()</f>
        <v>M_leachorganicj</v>
      </c>
      <c r="N64" s="87" t="s">
        <v>263</v>
      </c>
      <c r="O64" s="1" t="str" cm="1">
        <f t="array" ref="O64">Fertiliser_Equations_LeachingAndRunoff.VEERG_5_5_1_1__3_MassOfNitrogenLeachedFromOrganicFertiliser_Variable()</f>
        <v>M_leachorganicj</v>
      </c>
    </row>
    <row r="65" spans="1:19" ht="20.100000000000001" customHeight="1" x14ac:dyDescent="0.25">
      <c r="A65"/>
      <c r="D65" s="87" t="s">
        <v>122</v>
      </c>
      <c r="E65" s="15" t="str" cm="1">
        <f t="array" ref="E65">Fertiliser_Equations_LeachingAndRunoff.VEERG_5_5_1_1__3_MassOfNitrogenLeachedFromOrganicFertiliser_Unit()</f>
        <v>kg N</v>
      </c>
      <c r="N65" s="87" t="s">
        <v>122</v>
      </c>
      <c r="O65" s="15" t="str" cm="1">
        <f t="array" ref="O65">Fertiliser_Equations_LeachingAndRunoff.VEERG_5_5_1_1__3_MassOfNitrogenLeachedFromOrganicFertiliser_Unit()</f>
        <v>kg N</v>
      </c>
    </row>
    <row r="66" spans="1:19" ht="20.100000000000001" customHeight="1" x14ac:dyDescent="0.25">
      <c r="A66"/>
    </row>
    <row r="67" spans="1:19" ht="20.100000000000001" customHeight="1" x14ac:dyDescent="0.25">
      <c r="A67"/>
      <c r="D67" s="120" t="str" cm="1">
        <f t="array" ref="D67:E72">_xlfn.CHOOSECOLS(Fertiliser_Equations_LeachingAndRunoff.VEERG_5_5_1_1__3_MassOfNitrogenLeachedFromOrganicFertiliser_Arguments(), 1, 2)</f>
        <v>MNSoil_jf</v>
      </c>
      <c r="E67" s="125" t="str">
        <v>mass of nitrogen in organic fertiliser</v>
      </c>
      <c r="F67" s="126"/>
      <c r="G67" s="120" t="str" cm="1">
        <f t="array" ref="G67:H72">_xlfn.CHOOSECOLS(Fertiliser_Equations_LeachingAndRunoff.VEERG_5_5_1_1__3_MassOfNitrogenLeachedFromOrganicFertiliser_Arguments(), 3,4)</f>
        <v>kg N</v>
      </c>
      <c r="H67" s="128" t="str">
        <v>Calculated from 5.2.1.1 (2)</v>
      </c>
      <c r="I67" s="120">
        <f ca="1">X_Cell_ManureSentOffsite_MassNitrogenManure_Method1</f>
        <v>3864.1929695395502</v>
      </c>
      <c r="N67" s="120" t="str" cm="1">
        <f t="array" ref="N67:O72">_xlfn.CHOOSECOLS(Fertiliser_Equations_LeachingAndRunoff.VEERG_5_5_1_1__3_MassOfNitrogenLeachedFromOrganicFertiliser_Arguments(), 1, 2)</f>
        <v>MNSoil_jf</v>
      </c>
      <c r="O67" s="125" t="str">
        <v>mass of nitrogen in organic fertiliser</v>
      </c>
      <c r="P67" s="126"/>
      <c r="Q67" s="120" t="str" cm="1">
        <f t="array" ref="Q67:R72">_xlfn.CHOOSECOLS(Fertiliser_Equations_LeachingAndRunoff.VEERG_5_5_1_1__3_MassOfNitrogenLeachedFromOrganicFertiliser_Arguments(), 3,4)</f>
        <v>kg N</v>
      </c>
      <c r="R67" s="128" t="str">
        <v>Calculated from 5.2.1.1 (2)</v>
      </c>
      <c r="S67" s="120">
        <f ca="1">X_Cell_ManureSentOffsite_MassNitrogenManure_Method2</f>
        <v>3864.1929695395502</v>
      </c>
    </row>
    <row r="68" spans="1:19" ht="20.100000000000001" customHeight="1" x14ac:dyDescent="0.25">
      <c r="A68"/>
      <c r="D68" s="120" t="str">
        <v>FracWETj</v>
      </c>
      <c r="E68" s="125" t="str">
        <v>fraction of N available for leaching and runoff</v>
      </c>
      <c r="F68" s="126"/>
      <c r="G68" s="120" t="str">
        <v>fraction</v>
      </c>
      <c r="H68" s="128" t="str">
        <v>Constant</v>
      </c>
      <c r="I68" s="120">
        <f>Common_InputFunctions.CommonCropping_GetFracWET(I70,I72,Table_SourceData_FracWET[Is in leaching zone],Table_SourceData_FracWET[FracWET],Table_SourceData_FracWETIrrigation[Irrigation type i],Table_SourceData_FracWETIrrigation[FracWET])</f>
        <v>1</v>
      </c>
      <c r="N68" s="120" t="str">
        <v>FracWETj</v>
      </c>
      <c r="O68" s="125" t="str">
        <v>fraction of N available for leaching and runoff</v>
      </c>
      <c r="P68" s="126"/>
      <c r="Q68" s="120" t="str">
        <v>fraction</v>
      </c>
      <c r="R68" s="128" t="str">
        <v>Constant</v>
      </c>
      <c r="S68" s="120"/>
    </row>
    <row r="69" spans="1:19" ht="20.100000000000001" customHeight="1" x14ac:dyDescent="0.25">
      <c r="A69"/>
      <c r="D69" s="120" t="str">
        <v>FracLEACH</v>
      </c>
      <c r="E69" s="125" t="str">
        <v>fraction of N that is lost through leaching and runoff</v>
      </c>
      <c r="F69" s="126"/>
      <c r="G69" s="120" t="str">
        <v>fraction</v>
      </c>
      <c r="H69" s="128" t="str">
        <v>Constant</v>
      </c>
      <c r="I69" s="120">
        <f>Fertiliser_FracLEACH_Data</f>
        <v>0.24</v>
      </c>
      <c r="N69" s="120" t="str">
        <v>FracLEACH</v>
      </c>
      <c r="O69" s="125" t="str">
        <v>fraction of N that is lost through leaching and runoff</v>
      </c>
      <c r="P69" s="126"/>
      <c r="Q69" s="120" t="str">
        <v>fraction</v>
      </c>
      <c r="R69" s="128" t="str">
        <v>Constant</v>
      </c>
      <c r="S69" s="120"/>
    </row>
    <row r="70" spans="1:19" ht="20.100000000000001" customHeight="1" x14ac:dyDescent="0.25">
      <c r="A70"/>
      <c r="D70" s="120" t="str">
        <v>z</v>
      </c>
      <c r="E70" s="125" t="str">
        <v>location in leaching zone</v>
      </c>
      <c r="F70" s="126"/>
      <c r="G70" s="120" t="str">
        <v/>
      </c>
      <c r="H70" s="275" t="str">
        <v>Input</v>
      </c>
      <c r="I70" s="120" t="str">
        <f>X_Cell_Site_LeachingZone</f>
        <v>NO - Not in leaching zone</v>
      </c>
      <c r="N70" s="120" t="str">
        <v>z</v>
      </c>
      <c r="O70" s="125" t="str">
        <v>location in leaching zone</v>
      </c>
      <c r="P70" s="126"/>
      <c r="Q70" s="120" t="str">
        <v/>
      </c>
      <c r="R70" s="275" t="str">
        <v>Input</v>
      </c>
      <c r="S70" s="120"/>
    </row>
    <row r="71" spans="1:19" ht="20.100000000000001" customHeight="1" x14ac:dyDescent="0.25">
      <c r="A71"/>
      <c r="D71" s="120" t="str">
        <v>j</v>
      </c>
      <c r="E71" s="125" t="str">
        <v>production system</v>
      </c>
      <c r="F71" s="126"/>
      <c r="G71" s="120" t="str">
        <v/>
      </c>
      <c r="H71" s="275" t="str">
        <v>Input</v>
      </c>
      <c r="I71" s="120" t="str">
        <f>X_Cell_ManureSentOffsite_ManureProductionSystem</f>
        <v>Crop</v>
      </c>
      <c r="N71" s="120" t="str">
        <v>j</v>
      </c>
      <c r="O71" s="125" t="str">
        <v>production system</v>
      </c>
      <c r="P71" s="126"/>
      <c r="Q71" s="120" t="str">
        <v/>
      </c>
      <c r="R71" s="275" t="str">
        <v>Input</v>
      </c>
      <c r="S71" s="120"/>
    </row>
    <row r="72" spans="1:19" ht="20.100000000000001" customHeight="1" x14ac:dyDescent="0.25">
      <c r="A72"/>
      <c r="D72" s="120" t="str">
        <v>ir</v>
      </c>
      <c r="E72" s="125" t="str">
        <v>irrigation method</v>
      </c>
      <c r="F72" s="126"/>
      <c r="G72" s="120" t="str">
        <v/>
      </c>
      <c r="H72" s="275" t="str">
        <v>Input</v>
      </c>
      <c r="I72" s="120" t="str">
        <f>X_Cell_ManureSentOffsite_ManureIrrigationMethod</f>
        <v>Sprinkler irrigation</v>
      </c>
      <c r="N72" s="120" t="str">
        <v>ir</v>
      </c>
      <c r="O72" s="125" t="str">
        <v>irrigation method</v>
      </c>
      <c r="P72" s="126"/>
      <c r="Q72" s="120" t="str">
        <v/>
      </c>
      <c r="R72" s="275" t="str">
        <v>Input</v>
      </c>
      <c r="S72" s="120"/>
    </row>
    <row r="73" spans="1:19" ht="20.100000000000001" customHeight="1" x14ac:dyDescent="0.25">
      <c r="A73"/>
    </row>
    <row r="74" spans="1:19" ht="20.100000000000001" customHeight="1" x14ac:dyDescent="0.25">
      <c r="A74"/>
      <c r="D74" s="142" t="s">
        <v>1259</v>
      </c>
      <c r="E74" s="101" cm="1">
        <f t="array" aca="1" ref="E74" ca="1">Fertiliser_Equations_LeachingAndRunoff.VEERG_5_5_1_1__3_MassOfNitrogenLeachedFromOrganicFertiliser(I67,I68,I69)</f>
        <v>927.40631268949198</v>
      </c>
      <c r="F74" s="140" t="str">
        <f>$E$65</f>
        <v>kg N</v>
      </c>
      <c r="N74" s="142" t="s">
        <v>1259</v>
      </c>
      <c r="O74" s="101" cm="1">
        <f t="array" aca="1" ref="O74" ca="1">Fertiliser_Equations_LeachingAndRunoff.VEERG_5_5_1_1__3_MassOfNitrogenLeachedFromOrganicFertiliser(S67,I68,I69)</f>
        <v>927.40631268949198</v>
      </c>
      <c r="P74" s="140" t="str">
        <f>$E$65</f>
        <v>kg N</v>
      </c>
    </row>
    <row r="75" spans="1:19" ht="20.100000000000001" customHeight="1" x14ac:dyDescent="0.25">
      <c r="A75"/>
    </row>
    <row r="76" spans="1:19" ht="20.100000000000001" customHeight="1" x14ac:dyDescent="0.25">
      <c r="A76"/>
    </row>
    <row r="77" spans="1:19" ht="20.100000000000001" customHeight="1" x14ac:dyDescent="0.25">
      <c r="A77"/>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5">
      <c r="A78"/>
      <c r="D78" s="27" t="str" cm="1">
        <f t="array" ref="D78">Fertiliser_Equations_LeachingAndRunoff.VEERG_5_5_1_1__1_FertiliserLeachingAndRunoffN2OEmissions_Source()</f>
        <v>VEERG 2026: 5.5, Equation (1)</v>
      </c>
      <c r="N78" s="27" t="str" cm="1">
        <f t="array" ref="N78">Fertiliser_Equations_LeachingAndRunoff.VEERG_5_5_1_1__1_FertiliserLeachingAndRunoffN2OEmissions_Source()</f>
        <v>VEERG 2026: 5.5, Equation (1)</v>
      </c>
    </row>
    <row r="79" spans="1:19" ht="20.100000000000001" customHeight="1" x14ac:dyDescent="0.25">
      <c r="A79"/>
      <c r="D79" s="118" t="s">
        <v>262</v>
      </c>
      <c r="E79" s="118" t="str">
        <f ca="1">Common_InputFunctions.Utility_DisplayFunctionName(VEERG_5_5_1_1__1_FertiliserLeachingAndRunoffN2OEmissions_Result_Method1)</f>
        <v>=Fertiliser_Equations_LeachingAndRunoff.VEERG_5_5_1_1__1_FertiliserLeachingAndRunoffN2OEmissions</v>
      </c>
      <c r="N79" s="118" t="s">
        <v>262</v>
      </c>
      <c r="O79" s="118" t="str">
        <f ca="1">Common_InputFunctions.Utility_DisplayFunctionName(VEERG_5_5_1_1__1_FertiliserLeachingAndRunoffN2OEmissions_Result_Method2)</f>
        <v>=Fertiliser_Equations_LeachingAndRunoff.VEERG_5_5_1_1__1_FertiliserLeachingAndRunoffN2OEmissions</v>
      </c>
    </row>
    <row r="80" spans="1:19" ht="20.100000000000001" customHeight="1" x14ac:dyDescent="0.25">
      <c r="A80"/>
    </row>
    <row r="81" spans="1:20" ht="20.100000000000001" customHeight="1" x14ac:dyDescent="0.25">
      <c r="A81"/>
    </row>
    <row r="82" spans="1:20" ht="20.100000000000001" customHeight="1" x14ac:dyDescent="0.25">
      <c r="A82"/>
      <c r="D82" s="87" t="s">
        <v>263</v>
      </c>
      <c r="E82" s="1" t="str" cm="1">
        <f t="array" ref="E82">Fertiliser_Equations_LeachingAndRunoff.VEERG_5_5_1_1__1_FertiliserLeachingAndRunoffN2OEmissions_Variable()</f>
        <v>E_fertleach</v>
      </c>
      <c r="N82" s="87" t="s">
        <v>263</v>
      </c>
      <c r="O82" s="1" t="str" cm="1">
        <f t="array" ref="O82">Fertiliser_Equations_LeachingAndRunoff.VEERG_5_5_1_1__1_FertiliserLeachingAndRunoffN2OEmissions_Variable()</f>
        <v>E_fertleach</v>
      </c>
    </row>
    <row r="83" spans="1:20" x14ac:dyDescent="0.25">
      <c r="A83"/>
      <c r="D83" s="87" t="s">
        <v>122</v>
      </c>
      <c r="E83" s="15" t="str" cm="1">
        <f t="array" ref="E83">Fertiliser_Equations_LeachingAndRunoff.VEERG_5_5_1_1__1_FertiliserLeachingAndRunoffN2OEmissions_Unit()</f>
        <v>t N2O</v>
      </c>
      <c r="N83" s="87" t="s">
        <v>122</v>
      </c>
      <c r="O83" s="15" t="str" cm="1">
        <f t="array" ref="O83">Fertiliser_Equations_LeachingAndRunoff.VEERG_5_5_1_1__1_FertiliserLeachingAndRunoffN2OEmissions_Unit()</f>
        <v>t N2O</v>
      </c>
    </row>
    <row r="84" spans="1:20" x14ac:dyDescent="0.25">
      <c r="A84"/>
    </row>
    <row r="85" spans="1:20" x14ac:dyDescent="0.25">
      <c r="A85"/>
      <c r="D85" s="120" t="str" cm="1">
        <f t="array" ref="D85:E88">_xlfn.CHOOSECOLS(Fertiliser_Equations_LeachingAndRunoff.VEERG_5_5_1_1__1_FertiliserLeachingAndRunoffN2OEmissions_Arguments(), 1, 2)</f>
        <v>M_leachinorganicj</v>
      </c>
      <c r="E85" s="125" t="str">
        <v>mass of nitrogen lost through leaching and runoff from inorganic fertiliser application in production system j</v>
      </c>
      <c r="F85" s="133"/>
      <c r="G85" s="126"/>
      <c r="H85" s="120" t="str" cm="1">
        <f t="array" ref="H85:I88">_xlfn.CHOOSECOLS(Fertiliser_Equations_LeachingAndRunoff.VEERG_5_5_1_1__1_FertiliserLeachingAndRunoffN2OEmissions_Arguments(), 3,4)</f>
        <v>kg N</v>
      </c>
      <c r="I85" s="128" t="str">
        <v>Calculated from 5.5.1.1 (2)</v>
      </c>
      <c r="J85" s="120">
        <v>0</v>
      </c>
      <c r="N85" s="120" t="str" cm="1">
        <f t="array" ref="N85:O88">_xlfn.CHOOSECOLS(Fertiliser_Equations_LeachingAndRunoff.VEERG_5_5_1_1__1_FertiliserLeachingAndRunoffN2OEmissions_Arguments(), 1, 2)</f>
        <v>M_leachinorganicj</v>
      </c>
      <c r="O85" s="125" t="str">
        <v>mass of nitrogen lost through leaching and runoff from inorganic fertiliser application in production system j</v>
      </c>
      <c r="P85" s="133"/>
      <c r="Q85" s="126"/>
      <c r="R85" s="120" t="str" cm="1">
        <f t="array" ref="R85:S88">_xlfn.CHOOSECOLS(Fertiliser_Equations_LeachingAndRunoff.VEERG_5_5_1_1__1_FertiliserLeachingAndRunoffN2OEmissions_Arguments(), 3,4)</f>
        <v>kg N</v>
      </c>
      <c r="S85" s="128" t="str">
        <v>Calculated from 5.5.1.1 (2)</v>
      </c>
      <c r="T85" s="120"/>
    </row>
    <row r="86" spans="1:20" x14ac:dyDescent="0.25">
      <c r="A86"/>
      <c r="D86" s="120" t="str">
        <v>M_leachorganicj</v>
      </c>
      <c r="E86" s="125" t="str">
        <v>mass of nitrogen lost through leaching and runoff from organic fertiliser application</v>
      </c>
      <c r="F86" s="133"/>
      <c r="G86" s="126"/>
      <c r="H86" s="120" t="str">
        <v>kg N</v>
      </c>
      <c r="I86" s="128" t="str">
        <v>Calculated from 5.5.1.1 (3)</v>
      </c>
      <c r="J86" s="120">
        <f ca="1">E74</f>
        <v>927.40631268949198</v>
      </c>
      <c r="N86" s="120" t="str">
        <v>M_leachorganicj</v>
      </c>
      <c r="O86" s="125" t="str">
        <v>mass of nitrogen lost through leaching and runoff from organic fertiliser application</v>
      </c>
      <c r="P86" s="133"/>
      <c r="Q86" s="126"/>
      <c r="R86" s="120" t="str">
        <v>kg N</v>
      </c>
      <c r="S86" s="128" t="str">
        <v>Calculated from 5.5.1.1 (3)</v>
      </c>
      <c r="T86" s="120">
        <f ca="1">O74</f>
        <v>927.40631268949198</v>
      </c>
    </row>
    <row r="87" spans="1:20" x14ac:dyDescent="0.25">
      <c r="A87"/>
      <c r="D87" s="120" t="str">
        <v>EF_leach</v>
      </c>
      <c r="E87" s="125" t="str">
        <v>emission factor for nitrogen leaching and runoff</v>
      </c>
      <c r="F87" s="133"/>
      <c r="G87" s="126"/>
      <c r="H87" s="120" t="str">
        <v>kg N2O-N/kg N</v>
      </c>
      <c r="I87" s="128" t="str">
        <v>Constant</v>
      </c>
      <c r="J87" s="120">
        <f>Fertiliser_EFLeach_Data</f>
        <v>1.0999999999999999E-2</v>
      </c>
      <c r="N87" s="120" t="str">
        <v>EF_leach</v>
      </c>
      <c r="O87" s="125" t="str">
        <v>emission factor for nitrogen leaching and runoff</v>
      </c>
      <c r="P87" s="133"/>
      <c r="Q87" s="126"/>
      <c r="R87" s="120" t="str">
        <v>kg N2O-N/kg N</v>
      </c>
      <c r="S87" s="128" t="str">
        <v>Constant</v>
      </c>
      <c r="T87" s="120"/>
    </row>
    <row r="88" spans="1:20" x14ac:dyDescent="0.25">
      <c r="A88"/>
      <c r="D88" s="120" t="str">
        <v>C_N2O</v>
      </c>
      <c r="E88" s="125" t="str">
        <v>factor to convert elemental mass of nitrous oxide to molecular mass</v>
      </c>
      <c r="F88" s="133"/>
      <c r="G88" s="126"/>
      <c r="H88" s="120" t="str">
        <v/>
      </c>
      <c r="I88" s="128" t="str">
        <v>Constant</v>
      </c>
      <c r="J88" s="132">
        <f>Common_InputFunctions.Utility_LookupValueInTableNumber("N2O",Table_GasToMolecularConversionFactor[Gas],Table_GasToMolecularConversionFactor[Conversion factor combined])</f>
        <v>1.5714285714285714</v>
      </c>
      <c r="N88" s="120" t="str">
        <v>C_N2O</v>
      </c>
      <c r="O88" s="125" t="str">
        <v>factor to convert elemental mass of nitrous oxide to molecular mass</v>
      </c>
      <c r="P88" s="133"/>
      <c r="Q88" s="126"/>
      <c r="R88" s="120" t="str">
        <v/>
      </c>
      <c r="S88" s="128" t="str">
        <v>Constant</v>
      </c>
      <c r="T88" s="132"/>
    </row>
    <row r="89" spans="1:20" x14ac:dyDescent="0.25">
      <c r="A89"/>
    </row>
    <row r="90" spans="1:20" ht="23.25" x14ac:dyDescent="0.25">
      <c r="A90"/>
      <c r="D90" s="135" t="s">
        <v>700</v>
      </c>
      <c r="E90" s="136" cm="1">
        <f t="array" aca="1" ref="E90" ca="1">Fertiliser_Equations_LeachingAndRunoff.VEERG_5_5_1_1__1_FertiliserLeachingAndRunoffN2OEmissions(J85,J86,J87,J88)</f>
        <v>1.6030880547918361E-2</v>
      </c>
      <c r="F90" s="137" t="str">
        <f>$E$83</f>
        <v>t N2O</v>
      </c>
      <c r="N90" s="135" t="s">
        <v>700</v>
      </c>
      <c r="O90" s="136" cm="1">
        <f t="array" aca="1" ref="O90" ca="1">Fertiliser_Equations_LeachingAndRunoff.VEERG_5_5_1_1__1_FertiliserLeachingAndRunoffN2OEmissions(J85,T86,J87,J88)</f>
        <v>1.6030880547918361E-2</v>
      </c>
      <c r="P90" s="137" t="str">
        <f>$E$83</f>
        <v>t N2O</v>
      </c>
    </row>
    <row r="91" spans="1:20" x14ac:dyDescent="0.25">
      <c r="A91"/>
    </row>
    <row r="92" spans="1:20" x14ac:dyDescent="0.25">
      <c r="A92"/>
    </row>
    <row r="93" spans="1:20" x14ac:dyDescent="0.25">
      <c r="A93"/>
    </row>
    <row r="94" spans="1:20" x14ac:dyDescent="0.25">
      <c r="A94"/>
    </row>
    <row r="95" spans="1:20" x14ac:dyDescent="0.25">
      <c r="A95"/>
    </row>
    <row r="96" spans="1:20"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E2D38-A05B-4E39-A06E-82E19494EF64}">
  <dimension ref="A1:V288"/>
  <sheetViews>
    <sheetView showGridLines="0" topLeftCell="H1"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30" customFormat="1" ht="30" customHeight="1" x14ac:dyDescent="0.35">
      <c r="A1" s="16" t="e" vm="1">
        <v>#VALUE!</v>
      </c>
      <c r="C1" s="30" t="s">
        <v>494</v>
      </c>
    </row>
    <row r="2" spans="1:21" s="3" customFormat="1" ht="20.100000000000001" customHeight="1" x14ac:dyDescent="0.25">
      <c r="A2"/>
    </row>
    <row r="3" spans="1:21" ht="20.100000000000001" customHeight="1" x14ac:dyDescent="0.25">
      <c r="A3" s="5" t="str">
        <f>HYPERLINK("#'Home'!A1", "Home")</f>
        <v>Home</v>
      </c>
      <c r="C3" s="32"/>
      <c r="D3" s="32"/>
      <c r="E3" s="32"/>
      <c r="F3" s="32"/>
      <c r="G3" s="32"/>
      <c r="H3" s="32"/>
      <c r="I3" s="32"/>
      <c r="J3" s="32"/>
      <c r="K3" s="32"/>
      <c r="L3" s="32"/>
      <c r="M3" s="32"/>
      <c r="N3" s="32"/>
      <c r="O3" s="32"/>
      <c r="P3" s="32"/>
      <c r="Q3" s="32"/>
      <c r="R3" s="32"/>
      <c r="S3" s="32"/>
      <c r="T3" s="32"/>
      <c r="U3" s="32"/>
    </row>
    <row r="4" spans="1:21" ht="20.100000000000001" customHeight="1" x14ac:dyDescent="0.25">
      <c r="A4" s="5" t="str">
        <f>HYPERLINK("#'Overview'!A1", "Overview")</f>
        <v>Overview</v>
      </c>
      <c r="M4" s="8"/>
    </row>
    <row r="5" spans="1:21" ht="20.100000000000001" customHeight="1" x14ac:dyDescent="0.25">
      <c r="A5" s="5" t="str">
        <f>HYPERLINK("#'Results'!A1", "Results")</f>
        <v>Results</v>
      </c>
      <c r="D5" s="2" t="s">
        <v>495</v>
      </c>
      <c r="G5" s="2" t="s">
        <v>496</v>
      </c>
      <c r="J5" s="2" t="s">
        <v>497</v>
      </c>
      <c r="L5" s="2" t="s">
        <v>498</v>
      </c>
      <c r="M5" s="1"/>
    </row>
    <row r="6" spans="1:21" ht="20.100000000000001" customHeight="1" x14ac:dyDescent="0.25">
      <c r="L6" s="1" t="s">
        <v>499</v>
      </c>
      <c r="M6" s="1"/>
    </row>
    <row r="7" spans="1:21" ht="20.100000000000001" customHeight="1" x14ac:dyDescent="0.25">
      <c r="D7" s="147" t="s">
        <v>307</v>
      </c>
      <c r="E7" s="29" t="s">
        <v>500</v>
      </c>
      <c r="G7" s="29" t="s">
        <v>168</v>
      </c>
      <c r="J7" s="29" t="s">
        <v>64</v>
      </c>
      <c r="L7" s="29" t="s">
        <v>501</v>
      </c>
      <c r="M7" s="1"/>
    </row>
    <row r="8" spans="1:21" ht="20.100000000000001" customHeight="1" x14ac:dyDescent="0.25">
      <c r="A8" s="7" t="s">
        <v>0</v>
      </c>
      <c r="D8" s="29" t="str">
        <f>'Constants - Common Livestock'!$E$10</f>
        <v>Anaerobic lagoon</v>
      </c>
      <c r="E8" s="29" t="str">
        <f>'Constants - Common Livestock'!$F$10</f>
        <v>Anaerobic lagoon (m=1)</v>
      </c>
      <c r="G8" s="29" t="str">
        <f>'Constants - Common'!$F$187</f>
        <v>Pasture</v>
      </c>
      <c r="J8" s="29" t="s">
        <v>502</v>
      </c>
      <c r="L8" s="29" t="s">
        <v>213</v>
      </c>
      <c r="M8" s="1"/>
    </row>
    <row r="9" spans="1:21" ht="20.100000000000001" customHeight="1" x14ac:dyDescent="0.25">
      <c r="A9" s="5" t="str">
        <f>HYPERLINK("#'Input - Enterprise'!A1", "Enterprise")</f>
        <v>Enterprise</v>
      </c>
      <c r="D9" s="29" t="str">
        <f>'Constants - Common Livestock'!$E$13</f>
        <v>Sump and dispersal system</v>
      </c>
      <c r="E9" s="29" t="str">
        <f>'Constants - Common Livestock'!$F$13</f>
        <v>Sump and dispersal system (m=3a)</v>
      </c>
      <c r="G9" s="1" t="str">
        <f>'Constants - Common'!$F$188</f>
        <v>Crop</v>
      </c>
      <c r="J9" s="29" t="s">
        <v>503</v>
      </c>
      <c r="L9" s="29" t="s">
        <v>214</v>
      </c>
      <c r="M9" s="1"/>
    </row>
    <row r="10" spans="1:21" ht="20.100000000000001" customHeight="1" x14ac:dyDescent="0.25">
      <c r="A10" s="5" t="str">
        <f>HYPERLINK("#'Input - Site'!A1", "Site")</f>
        <v>Site</v>
      </c>
      <c r="D10" s="29" t="str">
        <f>'Constants - Common Livestock'!$E$14</f>
        <v>Drains to paddock</v>
      </c>
      <c r="E10" s="29" t="str">
        <f>'Constants - Common Livestock'!$F$14</f>
        <v>Drains to paddock (m=3b)</v>
      </c>
      <c r="J10" s="1" t="s">
        <v>260</v>
      </c>
      <c r="L10" s="29" t="s">
        <v>215</v>
      </c>
      <c r="M10" s="1"/>
    </row>
    <row r="11" spans="1:21" ht="20.100000000000001" customHeight="1" x14ac:dyDescent="0.25">
      <c r="A11" s="5" t="str">
        <f>HYPERLINK("#'Input - Dairy'!A1", "Dairy")</f>
        <v>Dairy</v>
      </c>
      <c r="D11" s="29" t="str">
        <f>'Constants - Common Livestock'!$E$15</f>
        <v>Solid storage</v>
      </c>
      <c r="E11" s="29" t="str">
        <f>'Constants - Common Livestock'!$F$15</f>
        <v>Solid storage (m=4)</v>
      </c>
      <c r="J11" s="1" t="s">
        <v>504</v>
      </c>
      <c r="L11" s="29" t="s">
        <v>216</v>
      </c>
      <c r="M11" s="1"/>
    </row>
    <row r="12" spans="1:21" ht="20.100000000000001" customHeight="1" x14ac:dyDescent="0.25">
      <c r="A12" s="5" t="str">
        <f>HYPERLINK("#'Input - Dairy (Enteric)'!A1", "Dairy (Enteric)")</f>
        <v>Dairy (Enteric)</v>
      </c>
      <c r="J12" s="1" t="s">
        <v>505</v>
      </c>
      <c r="L12" s="29" t="s">
        <v>217</v>
      </c>
      <c r="M12" s="1"/>
    </row>
    <row r="13" spans="1:21" ht="20.100000000000001" customHeight="1" x14ac:dyDescent="0.25">
      <c r="A13" s="5" t="str">
        <f>HYPERLINK("#'Input - Livestock sales'!A1", "Livestock sales")</f>
        <v>Livestock sales</v>
      </c>
      <c r="M13" s="1"/>
    </row>
    <row r="14" spans="1:21" ht="20.100000000000001" customHeight="1" x14ac:dyDescent="0.25">
      <c r="A14" s="5" t="str">
        <f>HYPERLINK("#'Input - Dairy cattle purchases'!A1", "Dairy cattle purchases")</f>
        <v>Dairy cattle purchases</v>
      </c>
      <c r="M14" s="1"/>
    </row>
    <row r="15" spans="1:21" ht="20.100000000000001" customHeight="1" x14ac:dyDescent="0.25">
      <c r="A15" s="5" t="str">
        <f>HYPERLINK("#'Input - Pasture'!A1", "Pasture")</f>
        <v>Pasture</v>
      </c>
      <c r="M15" s="1"/>
    </row>
    <row r="16" spans="1:21" ht="20.100000000000001" customHeight="1" x14ac:dyDescent="0.25">
      <c r="A16" s="5" t="str">
        <f>HYPERLINK("#'Input - Fert Prod System'!A1", "Fert Prod System")</f>
        <v>Fert Prod System</v>
      </c>
      <c r="D16" s="2" t="str" cm="1">
        <f t="array" ref="D16">SourceData_Dairy.SourceData_Dairy_LiveweightCowsAndHeifers_Title()</f>
        <v>Table A.1.3.1: Dairy cattle - Liveweight (kg) - Cows and Heifers (Wj)</v>
      </c>
      <c r="M16" s="1"/>
    </row>
    <row r="17" spans="1:13" ht="20.100000000000001" customHeight="1" x14ac:dyDescent="0.25">
      <c r="A17" s="5" t="str">
        <f>HYPERLINK("#'Input - Fertiliser'!A1", "Fertiliser")</f>
        <v>Fertiliser</v>
      </c>
      <c r="D17" s="27" t="str" cm="1">
        <f t="array" ref="D17">SourceData_Dairy.SourceData_Dairy_LiveweightCowsAndHeifers_Source()</f>
        <v>VEERG 2026: Table A.1.3.1</v>
      </c>
      <c r="M17" s="1"/>
    </row>
    <row r="18" spans="1:13" ht="20.100000000000001" customHeight="1" x14ac:dyDescent="0.25">
      <c r="A18" s="5" t="str">
        <f>HYPERLINK("#'Input - Fuel'!A1", "Fuel")</f>
        <v>Fuel</v>
      </c>
      <c r="D18" s="1" t="str" cm="1">
        <f t="array" ref="D18">SourceData_Dairy.SourceData_Dairy_LiveweightCowsAndHeifers_Variable()</f>
        <v>Wj</v>
      </c>
      <c r="M18" s="1"/>
    </row>
    <row r="19" spans="1:13" ht="20.100000000000001" customHeight="1" x14ac:dyDescent="0.25">
      <c r="A19" s="5" t="str">
        <f>HYPERLINK("#'Input - Electricity'!A1", "Electricity")</f>
        <v>Electricity</v>
      </c>
      <c r="D19" s="15" t="str" cm="1">
        <f t="array" ref="D19">SourceData_Dairy.SourceData_Dairy_LiveweightCowsAndHeifers_Unit()</f>
        <v>kg</v>
      </c>
      <c r="M19" s="1"/>
    </row>
    <row r="20" spans="1:13" ht="20.100000000000001" customHeight="1" x14ac:dyDescent="0.25">
      <c r="A20" s="5" t="str">
        <f>HYPERLINK("#'Input - Farm Inputs'!A1", "Farm Inputs")</f>
        <v>Farm Inputs</v>
      </c>
      <c r="D20" s="35"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5" t="str">
        <f>HYPERLINK("#'Input - Freight'!A1", "Freight")</f>
        <v>Freight</v>
      </c>
      <c r="D21" s="29" t="s">
        <v>211</v>
      </c>
      <c r="E21" s="29" t="s">
        <v>213</v>
      </c>
      <c r="F21" s="29" t="s">
        <v>506</v>
      </c>
      <c r="G21" s="29" t="s">
        <v>507</v>
      </c>
      <c r="M21" s="1"/>
    </row>
    <row r="22" spans="1:13" ht="20.100000000000001" customHeight="1" x14ac:dyDescent="0.25">
      <c r="A22" s="5" t="str">
        <f>HYPERLINK("#'Input - Manure sent off-site'!A1", "Manure sent off-site")</f>
        <v>Manure sent off-site</v>
      </c>
      <c r="D22" s="29" t="str" cm="1">
        <f t="array" ref="D22">Common_InputFunctions.Utility_DisplayArrayInTable(SourceData_Dairy.SourceData_Dairy_LiveweightCowsAndHeifers_Data(), Table_SourceData_Dairy_WjCowsHeifers[[#Headers],[Breed]], 0)</f>
        <v>Medium Friesian</v>
      </c>
      <c r="E22" s="29" cm="1">
        <f t="array" ref="E22">Common_InputFunctions.Utility_DisplayArrayInTable(SourceData_Dairy.SourceData_Dairy_LiveweightCowsAndHeifers_Data(), Table_SourceData_Dairy_WjCowsHeifers[[#Headers],[Breed]], 0)</f>
        <v>550</v>
      </c>
      <c r="F22" s="29" cm="1">
        <f t="array" ref="F22">Common_InputFunctions.Utility_DisplayArrayInTable(SourceData_Dairy.SourceData_Dairy_LiveweightCowsAndHeifers_Data(), Table_SourceData_Dairy_WjCowsHeifers[[#Headers],[Breed]], 0)</f>
        <v>380</v>
      </c>
      <c r="G22" s="2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5" t="str">
        <f>HYPERLINK("#'Input - Solid waste'!A1", "Solid waste")</f>
        <v>Solid waste</v>
      </c>
      <c r="D23" s="29" t="str" cm="1">
        <f t="array" ref="D23">Common_InputFunctions.Utility_DisplayArrayInTable(SourceData_Dairy.SourceData_Dairy_LiveweightCowsAndHeifers_Data(), Table_SourceData_Dairy_WjCowsHeifers[[#Headers],[Breed]], 0)</f>
        <v>Large Friesian</v>
      </c>
      <c r="E23" s="29" cm="1">
        <f t="array" ref="E23">Common_InputFunctions.Utility_DisplayArrayInTable(SourceData_Dairy.SourceData_Dairy_LiveweightCowsAndHeifers_Data(), Table_SourceData_Dairy_WjCowsHeifers[[#Headers],[Breed]], 0)</f>
        <v>600</v>
      </c>
      <c r="F23" s="29" cm="1">
        <f t="array" ref="F23">Common_InputFunctions.Utility_DisplayArrayInTable(SourceData_Dairy.SourceData_Dairy_LiveweightCowsAndHeifers_Data(), Table_SourceData_Dairy_WjCowsHeifers[[#Headers],[Breed]], 0)</f>
        <v>415</v>
      </c>
      <c r="G23" s="2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5" t="str">
        <f>HYPERLINK("#'Input - Data quality'!A1", "Data quality")</f>
        <v>Data quality</v>
      </c>
      <c r="D24" s="29" t="str" cm="1">
        <f t="array" ref="D24">Common_InputFunctions.Utility_DisplayArrayInTable(SourceData_Dairy.SourceData_Dairy_LiveweightCowsAndHeifers_Data(), Table_SourceData_Dairy_WjCowsHeifers[[#Headers],[Breed]], 0)</f>
        <v>Holstein-Friesian</v>
      </c>
      <c r="E24" s="29" cm="1">
        <f t="array" ref="E24">Common_InputFunctions.Utility_DisplayArrayInTable(SourceData_Dairy.SourceData_Dairy_LiveweightCowsAndHeifers_Data(), Table_SourceData_Dairy_WjCowsHeifers[[#Headers],[Breed]], 0)</f>
        <v>650</v>
      </c>
      <c r="F24" s="29" cm="1">
        <f t="array" ref="F24">Common_InputFunctions.Utility_DisplayArrayInTable(SourceData_Dairy.SourceData_Dairy_LiveweightCowsAndHeifers_Data(), Table_SourceData_Dairy_WjCowsHeifers[[#Headers],[Breed]], 0)</f>
        <v>450</v>
      </c>
      <c r="G24" s="2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29" t="str" cm="1">
        <f t="array" ref="D25">Common_InputFunctions.Utility_DisplayArrayInTable(SourceData_Dairy.SourceData_Dairy_LiveweightCowsAndHeifers_Data(), Table_SourceData_Dairy_WjCowsHeifers[[#Headers],[Breed]], 0)</f>
        <v>Friesian crossbred</v>
      </c>
      <c r="E25" s="29" cm="1">
        <f t="array" ref="E25">Common_InputFunctions.Utility_DisplayArrayInTable(SourceData_Dairy.SourceData_Dairy_LiveweightCowsAndHeifers_Data(), Table_SourceData_Dairy_WjCowsHeifers[[#Headers],[Breed]], 0)</f>
        <v>500</v>
      </c>
      <c r="F25" s="29" cm="1">
        <f t="array" ref="F25">Common_InputFunctions.Utility_DisplayArrayInTable(SourceData_Dairy.SourceData_Dairy_LiveweightCowsAndHeifers_Data(), Table_SourceData_Dairy_WjCowsHeifers[[#Headers],[Breed]], 0)</f>
        <v>350</v>
      </c>
      <c r="G25" s="2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29" t="str" cm="1">
        <f t="array" ref="D26">Common_InputFunctions.Utility_DisplayArrayInTable(SourceData_Dairy.SourceData_Dairy_LiveweightCowsAndHeifers_Data(), Table_SourceData_Dairy_WjCowsHeifers[[#Headers],[Breed]], 0)</f>
        <v>Jersey</v>
      </c>
      <c r="E26" s="29" cm="1">
        <f t="array" ref="E26">Common_InputFunctions.Utility_DisplayArrayInTable(SourceData_Dairy.SourceData_Dairy_LiveweightCowsAndHeifers_Data(), Table_SourceData_Dairy_WjCowsHeifers[[#Headers],[Breed]], 0)</f>
        <v>400</v>
      </c>
      <c r="F26" s="29" cm="1">
        <f t="array" ref="F26">Common_InputFunctions.Utility_DisplayArrayInTable(SourceData_Dairy.SourceData_Dairy_LiveweightCowsAndHeifers_Data(), Table_SourceData_Dairy_WjCowsHeifers[[#Headers],[Breed]], 0)</f>
        <v>275</v>
      </c>
      <c r="G26" s="29" cm="1">
        <f t="array" ref="G26">Common_InputFunctions.Utility_DisplayArrayInTable(SourceData_Dairy.SourceData_Dairy_LiveweightCowsAndHeifers_Data(), Table_SourceData_Dairy_WjCowsHeifers[[#Headers],[Breed]], 0)</f>
        <v>115</v>
      </c>
      <c r="M26" s="1"/>
    </row>
    <row r="27" spans="1:13" ht="20.100000000000001" customHeight="1" x14ac:dyDescent="0.25">
      <c r="A27" s="6" t="s">
        <v>2</v>
      </c>
      <c r="D27" s="29" t="str" cm="1">
        <f t="array" ref="D27">Common_InputFunctions.Utility_DisplayArrayInTable(SourceData_Dairy.SourceData_Dairy_LiveweightCowsAndHeifers_Data(), Table_SourceData_Dairy_WjCowsHeifers[[#Headers],[Breed]], 0)</f>
        <v>Jersey crossbred</v>
      </c>
      <c r="E27" s="29" cm="1">
        <f t="array" ref="E27">Common_InputFunctions.Utility_DisplayArrayInTable(SourceData_Dairy.SourceData_Dairy_LiveweightCowsAndHeifers_Data(), Table_SourceData_Dairy_WjCowsHeifers[[#Headers],[Breed]], 0)</f>
        <v>450</v>
      </c>
      <c r="F27" s="29" cm="1">
        <f t="array" ref="F27">Common_InputFunctions.Utility_DisplayArrayInTable(SourceData_Dairy.SourceData_Dairy_LiveweightCowsAndHeifers_Data(), Table_SourceData_Dairy_WjCowsHeifers[[#Headers],[Breed]], 0)</f>
        <v>315</v>
      </c>
      <c r="G27" s="29" cm="1">
        <f t="array" ref="G27">Common_InputFunctions.Utility_DisplayArrayInTable(SourceData_Dairy.SourceData_Dairy_LiveweightCowsAndHeifers_Data(), Table_SourceData_Dairy_WjCowsHeifers[[#Headers],[Breed]], 0)</f>
        <v>130</v>
      </c>
      <c r="M27" s="1"/>
    </row>
    <row r="28" spans="1:13" ht="20.100000000000001" customHeight="1" x14ac:dyDescent="0.25">
      <c r="A28" s="5" t="str">
        <f>HYPERLINK("#'5.1.1.1-2 Inorganic fert N2O'!A1", "5.1.1.1-2 Inorganic fert N2O")</f>
        <v>5.1.1.1-2 Inorganic fert N2O</v>
      </c>
      <c r="D28" s="29" t="str" cm="1">
        <f t="array" ref="D28">Common_InputFunctions.Utility_DisplayArrayInTable(SourceData_Dairy.SourceData_Dairy_LiveweightCowsAndHeifers_Data(), Table_SourceData_Dairy_WjCowsHeifers[[#Headers],[Breed]], 0)</f>
        <v>Ayrshire</v>
      </c>
      <c r="E28" s="29" cm="1">
        <f t="array" ref="E28">Common_InputFunctions.Utility_DisplayArrayInTable(SourceData_Dairy.SourceData_Dairy_LiveweightCowsAndHeifers_Data(), Table_SourceData_Dairy_WjCowsHeifers[[#Headers],[Breed]], 0)</f>
        <v>540</v>
      </c>
      <c r="F28" s="29" cm="1">
        <f t="array" ref="F28">Common_InputFunctions.Utility_DisplayArrayInTable(SourceData_Dairy.SourceData_Dairy_LiveweightCowsAndHeifers_Data(), Table_SourceData_Dairy_WjCowsHeifers[[#Headers],[Breed]], 0)</f>
        <v>375</v>
      </c>
      <c r="G28" s="29" cm="1">
        <f t="array" ref="G28">Common_InputFunctions.Utility_DisplayArrayInTable(SourceData_Dairy.SourceData_Dairy_LiveweightCowsAndHeifers_Data(), Table_SourceData_Dairy_WjCowsHeifers[[#Headers],[Breed]], 0)</f>
        <v>150</v>
      </c>
      <c r="M28" s="1"/>
    </row>
    <row r="29" spans="1:13" ht="20.100000000000001" customHeight="1" x14ac:dyDescent="0.25">
      <c r="A29" s="5" t="str">
        <f>HYPERLINK("#'5.1.1.3-4 Inorganic fert CO2'!A1", "5.1.1.3-4 Inorganic fert CO2")</f>
        <v>5.1.1.3-4 Inorganic fert CO2</v>
      </c>
      <c r="D29" s="29" t="str" cm="1">
        <f t="array" ref="D29">Common_InputFunctions.Utility_DisplayArrayInTable(SourceData_Dairy.SourceData_Dairy_LiveweightCowsAndHeifers_Data(), Table_SourceData_Dairy_WjCowsHeifers[[#Headers],[Breed]], 0)</f>
        <v>Guernsey</v>
      </c>
      <c r="E29" s="29" cm="1">
        <f t="array" ref="E29">Common_InputFunctions.Utility_DisplayArrayInTable(SourceData_Dairy.SourceData_Dairy_LiveweightCowsAndHeifers_Data(), Table_SourceData_Dairy_WjCowsHeifers[[#Headers],[Breed]], 0)</f>
        <v>480</v>
      </c>
      <c r="F29" s="29" cm="1">
        <f t="array" ref="F29">Common_InputFunctions.Utility_DisplayArrayInTable(SourceData_Dairy.SourceData_Dairy_LiveweightCowsAndHeifers_Data(), Table_SourceData_Dairy_WjCowsHeifers[[#Headers],[Breed]], 0)</f>
        <v>335</v>
      </c>
      <c r="G29" s="29" cm="1">
        <f t="array" ref="G29">Common_InputFunctions.Utility_DisplayArrayInTable(SourceData_Dairy.SourceData_Dairy_LiveweightCowsAndHeifers_Data(), Table_SourceData_Dairy_WjCowsHeifers[[#Headers],[Breed]], 0)</f>
        <v>140</v>
      </c>
      <c r="M29" s="1"/>
    </row>
    <row r="30" spans="1:13" ht="20.100000000000001" customHeight="1" x14ac:dyDescent="0.25">
      <c r="A30" s="5" t="str">
        <f>HYPERLINK("#'5.2.1.1-2 Organic Fert N2O'!A1", "5.2.1.1-2 Organic fert N2O")</f>
        <v>5.2.1.1-2 Organic fert N2O</v>
      </c>
      <c r="D30" s="29" t="str" cm="1">
        <f t="array" ref="D30">Common_InputFunctions.Utility_DisplayArrayInTable(SourceData_Dairy.SourceData_Dairy_LiveweightCowsAndHeifers_Data(), Table_SourceData_Dairy_WjCowsHeifers[[#Headers],[Breed]], 0)</f>
        <v>Brown Swiss</v>
      </c>
      <c r="E30" s="29" cm="1">
        <f t="array" ref="E30">Common_InputFunctions.Utility_DisplayArrayInTable(SourceData_Dairy.SourceData_Dairy_LiveweightCowsAndHeifers_Data(), Table_SourceData_Dairy_WjCowsHeifers[[#Headers],[Breed]], 0)</f>
        <v>600</v>
      </c>
      <c r="F30" s="29" cm="1">
        <f t="array" ref="F30">Common_InputFunctions.Utility_DisplayArrayInTable(SourceData_Dairy.SourceData_Dairy_LiveweightCowsAndHeifers_Data(), Table_SourceData_Dairy_WjCowsHeifers[[#Headers],[Breed]], 0)</f>
        <v>415</v>
      </c>
      <c r="G30" s="29" cm="1">
        <f t="array" ref="G30">Common_InputFunctions.Utility_DisplayArrayInTable(SourceData_Dairy.SourceData_Dairy_LiveweightCowsAndHeifers_Data(), Table_SourceData_Dairy_WjCowsHeifers[[#Headers],[Breed]], 0)</f>
        <v>170</v>
      </c>
      <c r="M30" s="1"/>
    </row>
    <row r="31" spans="1:13" ht="20.100000000000001" customHeight="1" x14ac:dyDescent="0.25">
      <c r="A31" s="5" t="str">
        <f>HYPERLINK("#'5.3.1.1-2 Lime CO2'!A1", "5.3.1.1-2 Lime CO2")</f>
        <v>5.3.1.1-2 Lime CO2</v>
      </c>
      <c r="D31" s="29" t="str" cm="1">
        <f t="array" ref="D31">Common_InputFunctions.Utility_DisplayArrayInTable(SourceData_Dairy.SourceData_Dairy_LiveweightCowsAndHeifers_Data(), Table_SourceData_Dairy_WjCowsHeifers[[#Headers],[Breed]], 0)</f>
        <v>Illawarra/Aussie Red</v>
      </c>
      <c r="E31" s="29" cm="1">
        <f t="array" ref="E31">Common_InputFunctions.Utility_DisplayArrayInTable(SourceData_Dairy.SourceData_Dairy_LiveweightCowsAndHeifers_Data(), Table_SourceData_Dairy_WjCowsHeifers[[#Headers],[Breed]], 0)</f>
        <v>550</v>
      </c>
      <c r="F31" s="29" cm="1">
        <f t="array" ref="F31">Common_InputFunctions.Utility_DisplayArrayInTable(SourceData_Dairy.SourceData_Dairy_LiveweightCowsAndHeifers_Data(), Table_SourceData_Dairy_WjCowsHeifers[[#Headers],[Breed]], 0)</f>
        <v>375</v>
      </c>
      <c r="G31" s="29" cm="1">
        <f t="array" ref="G31">Common_InputFunctions.Utility_DisplayArrayInTable(SourceData_Dairy.SourceData_Dairy_LiveweightCowsAndHeifers_Data(), Table_SourceData_Dairy_WjCowsHeifers[[#Headers],[Breed]], 0)</f>
        <v>150</v>
      </c>
      <c r="M31" s="1"/>
    </row>
    <row r="32" spans="1:13" ht="20.100000000000001" customHeight="1" x14ac:dyDescent="0.25">
      <c r="A32" s="5" t="str">
        <f>HYPERLINK("#'5.4.1.1-4 Atmos deposition'!A1", "5.4.1.1-4 Atmos. deposition")</f>
        <v>5.4.1.1-4 Atmos. deposition</v>
      </c>
      <c r="M32" s="1"/>
    </row>
    <row r="33" spans="1:13" ht="20.100000000000001" customHeight="1" x14ac:dyDescent="0.25">
      <c r="A33" s="5" t="str">
        <f>HYPERLINK("#'5.5.1.1-2 Leaching and runoff'!A1", "5.5.1.1-2 Leaching &amp; runoff")</f>
        <v>5.5.1.1-2 Leaching &amp; runoff</v>
      </c>
      <c r="M33" s="1"/>
    </row>
    <row r="34" spans="1:13" ht="20.100000000000001" customHeight="1" x14ac:dyDescent="0.25">
      <c r="A34" s="5" t="str">
        <f>HYPERLINK("#'6.2.1.1-2 Pasture residue N2O'!A1", "6.2.1.1-2 Pasture residue N2O")</f>
        <v>6.2.1.1-2 Pasture residue N2O</v>
      </c>
      <c r="D34" s="2" t="str" cm="1">
        <f t="array" ref="D34">SourceData_Dairy.SourceData_Dairy_LiveweightBulls_Title()</f>
        <v>Table A.1.3.2: Dairy cattle - Liveweight (kg) - Bulls (Wj)</v>
      </c>
      <c r="M34" s="1"/>
    </row>
    <row r="35" spans="1:13" ht="20.100000000000001" customHeight="1" x14ac:dyDescent="0.25">
      <c r="A35" s="5" t="str">
        <f>HYPERLINK("#'6.3.1.1-2 Leach runoff pasture'!A1", "6.3.1.1-2 Leach &amp; runoff (pasture)")</f>
        <v>6.3.1.1-2 Leach &amp; runoff (pasture)</v>
      </c>
      <c r="D35" s="27" t="str" cm="1">
        <f t="array" ref="D35">SourceData_Dairy.SourceData_Dairy_LiveweightBulls_Source()</f>
        <v>VEERG 2026: Table A.1.3.2</v>
      </c>
      <c r="M35" s="1"/>
    </row>
    <row r="36" spans="1:13" ht="20.100000000000001" customHeight="1" x14ac:dyDescent="0.25">
      <c r="A36" s="5" t="str">
        <f>HYPERLINK("#'8.1.1.1-2 Transport fuel'!A1", "8.1.1.1-2 Transport fuel")</f>
        <v>8.1.1.1-2 Transport fuel</v>
      </c>
      <c r="D36" s="1" t="str" cm="1">
        <f t="array" ref="D36">SourceData_Dairy.SourceData_Dairy_LiveweightBulls_Variable()</f>
        <v>Wj</v>
      </c>
      <c r="M36" s="1"/>
    </row>
    <row r="37" spans="1:13" ht="20.100000000000001" customHeight="1" x14ac:dyDescent="0.25">
      <c r="A37" s="5" t="str">
        <f>HYPERLINK("#'8.2.1.1-2 Stationary fuel'!A1", "8.2.1.1-2 Stationary fuel")</f>
        <v>8.2.1.1-2 Stationary fuel</v>
      </c>
      <c r="D37" s="15" t="str" cm="1">
        <f t="array" ref="D37">SourceData_Dairy.SourceData_Dairy_LiveweightBulls_Unit()</f>
        <v>kg</v>
      </c>
      <c r="M37" s="1"/>
    </row>
    <row r="38" spans="1:13" ht="20.100000000000001" customHeight="1" x14ac:dyDescent="0.25">
      <c r="A38" s="5" t="str">
        <f>HYPERLINK("#'14.1.1-2 Purchased electricity'!A1", "14.1.1-2 Purchased electricity")</f>
        <v>14.1.1-2 Purchased electricity</v>
      </c>
      <c r="D38" s="29" t="s">
        <v>211</v>
      </c>
      <c r="E38" s="29" t="s">
        <v>508</v>
      </c>
      <c r="F38" s="29" t="s">
        <v>509</v>
      </c>
      <c r="M38" s="1"/>
    </row>
    <row r="39" spans="1:13" ht="20.100000000000001" customHeight="1" x14ac:dyDescent="0.25">
      <c r="A39" s="5" t="str">
        <f>HYPERLINK("#'15 Scope 3'!A1", "15 Scope 3")</f>
        <v>15 Scope 3</v>
      </c>
      <c r="D39" s="29" t="str" cm="1">
        <f t="array" ref="D39">Common_InputFunctions.Utility_DisplayArrayInTable(SourceData_Dairy.SourceData_Dairy_LiveweightBulls_Data(), Table_SourceData_Dairy_WjBulls[[#Headers],[Breed]], 0)</f>
        <v>All breeds</v>
      </c>
      <c r="E39" s="29" cm="1">
        <f t="array" ref="E39">Common_InputFunctions.Utility_DisplayArrayInTable(SourceData_Dairy.SourceData_Dairy_LiveweightBulls_Data(), Table_SourceData_Dairy_WjBulls[[#Headers],[Breed]], 0)</f>
        <v>600</v>
      </c>
      <c r="F39" s="29" cm="1">
        <f t="array" ref="F39">Common_InputFunctions.Utility_DisplayArrayInTable(SourceData_Dairy.SourceData_Dairy_LiveweightBulls_Data(), Table_SourceData_Dairy_WjBulls[[#Headers],[Breed]], 0)</f>
        <v>225</v>
      </c>
      <c r="M39" s="1"/>
    </row>
    <row r="40" spans="1:13" ht="20.100000000000001" customHeight="1" x14ac:dyDescent="0.25">
      <c r="A40" s="5" t="str">
        <f>HYPERLINK("#'Calcs - Manure sent off-site'!A1", "Calcs - Manure sent off-site")</f>
        <v>Calcs - Manure sent off-site</v>
      </c>
      <c r="M40" s="1"/>
    </row>
    <row r="41" spans="1:13" ht="20.100000000000001" customHeight="1" x14ac:dyDescent="0.25">
      <c r="A41" s="5" t="str">
        <f>HYPERLINK("#'4.3.1.1-2 Methane'!A1", "4.3.1.1-2 Methane")</f>
        <v>4.3.1.1-2 Methane</v>
      </c>
      <c r="M41" s="1"/>
    </row>
    <row r="42" spans="1:13" ht="20.100000000000001" customHeight="1" x14ac:dyDescent="0.25">
      <c r="A42" s="5" t="str">
        <f>HYPERLINK("#'4.3.1.3-4 Direct N20'!A1", "4.3.1.3-4 Direct N20")</f>
        <v>4.3.1.3-4 Direct N20</v>
      </c>
      <c r="D42" s="2" t="str" cm="1">
        <f t="array" ref="D42">SourceData_Dairy.SourceData_Dairy_LiveweightGain_Title()</f>
        <v>Table A.1.3.3: Dairy cattle - Liveweight gain (kg) (LWGj)</v>
      </c>
      <c r="M42" s="1"/>
    </row>
    <row r="43" spans="1:13" ht="20.100000000000001" customHeight="1" x14ac:dyDescent="0.25">
      <c r="A43" s="5" t="str">
        <f>HYPERLINK("#'4.3.1.5 Atmos deposition'!A1", "4.3.1.5 Atmos deposition")</f>
        <v>4.3.1.5 Atmos deposition</v>
      </c>
      <c r="D43" s="27" t="str" cm="1">
        <f t="array" ref="D43">SourceData_Dairy.SourceData_Dairy_LiveweightGain_Source()</f>
        <v>VEERG 2026: Table A.1.3.3</v>
      </c>
      <c r="M43" s="1"/>
    </row>
    <row r="44" spans="1:13" ht="20.100000000000001" customHeight="1" x14ac:dyDescent="0.25">
      <c r="A44" s="5" t="str">
        <f>HYPERLINK("#'4.3.1.6-7 Leaching and runoff'!A1", "4.3.1.6-7 Leaching and runoff")</f>
        <v>4.3.1.6-7 Leaching and runoff</v>
      </c>
      <c r="D44" s="1" t="str" cm="1">
        <f t="array" ref="D44">SourceData_Dairy.SourceData_Dairy_LiveweightGain_Variable()</f>
        <v>LWGj</v>
      </c>
      <c r="M44" s="1"/>
    </row>
    <row r="45" spans="1:13" ht="20.100000000000001" customHeight="1" x14ac:dyDescent="0.25">
      <c r="A45" s="5" t="str">
        <f>HYPERLINK("#'4.3.1.8 Manure applied to soils'!A1", "4.3.1.8 Manure applied to soils")</f>
        <v>4.3.1.8 Manure applied to soils</v>
      </c>
      <c r="D45" s="15" t="str" cm="1">
        <f t="array" ref="D45">SourceData_Dairy.SourceData_Dairy_LiveweightGain_Unit()</f>
        <v>kg</v>
      </c>
      <c r="M45" s="1"/>
    </row>
    <row r="46" spans="1:13" ht="20.100000000000001" customHeight="1" x14ac:dyDescent="0.25">
      <c r="A46" s="5" t="str">
        <f>HYPERLINK("#'4.3.1.9 Soil direct N2O'!A1", "4.3.1.9 Soil direct N2O")</f>
        <v>4.3.1.9 Soil direct N2O</v>
      </c>
      <c r="D46" s="29" t="s">
        <v>213</v>
      </c>
      <c r="E46" s="29" t="s">
        <v>506</v>
      </c>
      <c r="F46" s="29" t="s">
        <v>507</v>
      </c>
      <c r="G46" s="29" t="s">
        <v>508</v>
      </c>
      <c r="H46" s="29" t="s">
        <v>509</v>
      </c>
      <c r="M46" s="1"/>
    </row>
    <row r="47" spans="1:13" ht="20.100000000000001" customHeight="1" x14ac:dyDescent="0.25">
      <c r="A47" s="5" t="str">
        <f>HYPERLINK("#'4.3.1.10-11 Soil Atmos Dep'!A1", "4.3.1.10-11 Soil Atmos Dep")</f>
        <v>4.3.1.10-11 Soil Atmos Dep</v>
      </c>
      <c r="D47" s="29" cm="1">
        <f t="array" ref="D47">Common_InputFunctions.Utility_DisplayArrayInTable(SourceData_Dairy.SourceData_Dairy_LiveweightGain_Data(), Table_SourceData_Dairy_LWGj[[#Headers],[Milking cows]], 0)</f>
        <v>1.6E-2</v>
      </c>
      <c r="E47" s="29" cm="1">
        <f t="array" ref="E47">Common_InputFunctions.Utility_DisplayArrayInTable(SourceData_Dairy.SourceData_Dairy_LiveweightGain_Data(), Table_SourceData_Dairy_LWGj[[#Headers],[Milking cows]], 0)</f>
        <v>0.6</v>
      </c>
      <c r="F47" s="29" cm="1">
        <f t="array" ref="F47">Common_InputFunctions.Utility_DisplayArrayInTable(SourceData_Dairy.SourceData_Dairy_LiveweightGain_Data(), Table_SourceData_Dairy_LWGj[[#Headers],[Milking cows]], 0)</f>
        <v>0.56999999999999995</v>
      </c>
      <c r="G47" s="29" cm="1">
        <f t="array" ref="G47">Common_InputFunctions.Utility_DisplayArrayInTable(SourceData_Dairy.SourceData_Dairy_LiveweightGain_Data(), Table_SourceData_Dairy_LWGj[[#Headers],[Milking cows]], 0)</f>
        <v>0.1</v>
      </c>
      <c r="H47" s="29" cm="1">
        <f t="array" ref="H47">Common_InputFunctions.Utility_DisplayArrayInTable(SourceData_Dairy.SourceData_Dairy_LiveweightGain_Data(), Table_SourceData_Dairy_LWGj[[#Headers],[Milking cows]], 0)</f>
        <v>0.8</v>
      </c>
      <c r="M47" s="1"/>
    </row>
    <row r="48" spans="1:13" ht="20.100000000000001" customHeight="1" x14ac:dyDescent="0.25">
      <c r="A48" s="5" t="str">
        <f>HYPERLINK("#'4.3.1.12-13 Soil leach runoff'!A1", "4.3.1.12-13 Soil leach runoff")</f>
        <v>4.3.1.12-13 Soil leach runoff</v>
      </c>
      <c r="M48" s="1"/>
    </row>
    <row r="49" spans="1:13" ht="20.100000000000001" customHeight="1" x14ac:dyDescent="0.25">
      <c r="A49" s="5" t="str">
        <f>HYPERLINK("#'3.3.1.1-2 Enteric Methane'!A1", "3.3.1.1-2 Enteric Methane")</f>
        <v>3.3.1.1-2 Enteric Methane</v>
      </c>
      <c r="M49" s="1"/>
    </row>
    <row r="50" spans="1:13" ht="20.100000000000001" customHeight="1" x14ac:dyDescent="0.25">
      <c r="A50" s="5" t="str">
        <f>HYPERLINK("#'10.1.1-2 Solid waste treatment'!A1", "10.1.1-2 Solid waste treatment")</f>
        <v>10.1.1-2 Solid waste treatment</v>
      </c>
      <c r="D50" s="2" t="str" cm="1">
        <f t="array" ref="D50">SourceData_Dairy.SourceData_Dairy_ReferenceWeights_Title()</f>
        <v>Table A.1.3.4: Dairy cattle - Reference weights (kg) (WRj)</v>
      </c>
      <c r="M50" s="1"/>
    </row>
    <row r="51" spans="1:13" ht="20.100000000000001" customHeight="1" x14ac:dyDescent="0.25">
      <c r="D51" s="27"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A53" s="100" t="s">
        <v>1</v>
      </c>
      <c r="D53" s="15" t="str" cm="1">
        <f t="array" ref="D53">SourceData_Dairy.SourceData_Dairy_ReferenceWeights_Unit()</f>
        <v>kg</v>
      </c>
      <c r="M53" s="1"/>
    </row>
    <row r="54" spans="1:13" ht="20.100000000000001" customHeight="1" x14ac:dyDescent="0.25">
      <c r="A54" s="148" t="str">
        <f>HYPERLINK("#'Constants - Dairy'!A1", "Constants - Dairy")</f>
        <v>Constants - Dairy</v>
      </c>
      <c r="D54" s="149" t="s">
        <v>213</v>
      </c>
      <c r="E54" s="149" t="s">
        <v>506</v>
      </c>
      <c r="F54" s="149" t="s">
        <v>507</v>
      </c>
      <c r="G54" s="149" t="s">
        <v>508</v>
      </c>
      <c r="H54" s="149" t="s">
        <v>509</v>
      </c>
      <c r="M54" s="1"/>
    </row>
    <row r="55" spans="1:13" ht="20.100000000000001" customHeight="1" x14ac:dyDescent="0.25">
      <c r="A55" s="5" t="str">
        <f>HYPERLINK("#'Constants - Ag Residue'!A1", "Constants - Ag residue")</f>
        <v>Constants - Ag residue</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A56" s="5" t="str">
        <f>HYPERLINK("#'Constants - Common Livestock'!A1", "Constants - Common Livestock")</f>
        <v>Constants - Common Livestock</v>
      </c>
      <c r="M56" s="1"/>
    </row>
    <row r="57" spans="1:13" ht="20.100000000000001" customHeight="1" x14ac:dyDescent="0.25">
      <c r="A57" s="5" t="str">
        <f>HYPERLINK("#'Constants - Electricity'!A1", "Constants - Electricity")</f>
        <v>Constants - Electricity</v>
      </c>
      <c r="M57" s="1"/>
    </row>
    <row r="58" spans="1:13" ht="20.100000000000001" customHeight="1" x14ac:dyDescent="0.25">
      <c r="A58" s="5" t="str">
        <f>HYPERLINK("#'Constants - Fertiliser'!A1", "Constants - Fertiliser")</f>
        <v>Constants - Fertiliser</v>
      </c>
      <c r="D58" s="2" t="str" cm="1">
        <f t="array" ref="D58">SourceData_Dairy.SourceData_Dairy_PreWeanedCalves_Title()</f>
        <v>Table A.1.3.5: Dairy cattle - Data for pre - weaned calves</v>
      </c>
      <c r="M58" s="1"/>
    </row>
    <row r="59" spans="1:13" ht="20.100000000000001" customHeight="1" x14ac:dyDescent="0.25">
      <c r="A59" s="5" t="str">
        <f>HYPERLINK("#'Constants - Fuel'!A1", "Constants - Fuel")</f>
        <v>Constants - Fuel</v>
      </c>
      <c r="D59" s="27" t="str" cm="1">
        <f t="array" ref="D59">SourceData_Dairy.SourceData_Dairy_PreWeanedCalves_Source()</f>
        <v>VEERG 2026: Table A.1.3.5</v>
      </c>
      <c r="M59" s="1"/>
    </row>
    <row r="60" spans="1:13" ht="20.100000000000001" customHeight="1" x14ac:dyDescent="0.25">
      <c r="A60" s="5" t="str">
        <f>HYPERLINK("#'Constants - Scope 3'!A1", "Constants - Scope 3")</f>
        <v>Constants - Scope 3</v>
      </c>
      <c r="D60" s="1" t="str" cm="1">
        <f t="array" ref="D60">SourceData_Dairy.SourceData_Dairy_PreWeanedCalves_Variable()</f>
        <v>VSj=3,5; NPWj=3,5</v>
      </c>
      <c r="M60" s="1"/>
    </row>
    <row r="61" spans="1:13" ht="20.100000000000001" customHeight="1" x14ac:dyDescent="0.25">
      <c r="A61" s="5" t="str">
        <f>HYPERLINK("#'Constants - Common'!A1", "Constants - Common")</f>
        <v>Constants - Common</v>
      </c>
      <c r="D61" s="15" t="str" cm="1">
        <f t="array" ref="D61">SourceData_Dairy.SourceData_Dairy_PreWeanedCalves_Unit()</f>
        <v>kg/day</v>
      </c>
      <c r="M61" s="1"/>
    </row>
    <row r="62" spans="1:13" ht="20.100000000000001" customHeight="1" x14ac:dyDescent="0.25">
      <c r="A62" s="5" t="str">
        <f>HYPERLINK("#'Acknowledgements'!A1", "Acknowledgements")</f>
        <v>Acknowledgements</v>
      </c>
      <c r="D62" s="29" t="s">
        <v>510</v>
      </c>
      <c r="E62" s="29" t="s">
        <v>511</v>
      </c>
      <c r="F62" s="29" t="s">
        <v>512</v>
      </c>
      <c r="G62" s="29" t="s">
        <v>513</v>
      </c>
      <c r="M62" s="1"/>
    </row>
    <row r="63" spans="1:13" ht="20.100000000000001" customHeight="1" x14ac:dyDescent="0.25">
      <c r="A63" s="5" t="str">
        <f>HYPERLINK("#'Constants - Solid Waste'!A1", "Constants - Solid Waste")</f>
        <v>Constants - Solid Waste</v>
      </c>
      <c r="D63" s="29" t="str" cm="1">
        <f t="array" ref="D63">Common_InputFunctions.Utility_DisplayArrayInTable(SourceData_Dairy.SourceData_Dairy_PreWeanedCalves_Data(), Table_SourceData_Dairy_DataPreWeaned[[#Headers],[Animal class j]], -1)</f>
        <v>Heifers&lt;1</v>
      </c>
      <c r="E63" s="29" cm="1">
        <f t="array" ref="E63">Common_InputFunctions.Utility_DisplayArrayInTable(SourceData_Dairy.SourceData_Dairy_PreWeanedCalves_Data(), Table_SourceData_Dairy_DataPreWeaned[[#Headers],[Animal class j]], -1)</f>
        <v>1.7600000000000001E-2</v>
      </c>
      <c r="F63" s="29" cm="1">
        <f t="array" ref="F63">Common_InputFunctions.Utility_DisplayArrayInTable(SourceData_Dairy.SourceData_Dairy_PreWeanedCalves_Data(), Table_SourceData_Dairy_DataPreWeaned[[#Headers],[Animal class j]], -1)</f>
        <v>0.26850000000000002</v>
      </c>
      <c r="G63" s="2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29" t="str" cm="1">
        <f t="array" ref="D64">Common_InputFunctions.Utility_DisplayArrayInTable(SourceData_Dairy.SourceData_Dairy_PreWeanedCalves_Data(), Table_SourceData_Dairy_DataPreWeaned[[#Headers],[Animal class j]], -1)</f>
        <v>Bulls&lt;1</v>
      </c>
      <c r="E64" s="29" cm="1">
        <f t="array" ref="E64">Common_InputFunctions.Utility_DisplayArrayInTable(SourceData_Dairy.SourceData_Dairy_PreWeanedCalves_Data(), Table_SourceData_Dairy_DataPreWeaned[[#Headers],[Animal class j]], -1)</f>
        <v>2.0400000000000001E-2</v>
      </c>
      <c r="F64" s="29" cm="1">
        <f t="array" ref="F64">Common_InputFunctions.Utility_DisplayArrayInTable(SourceData_Dairy.SourceData_Dairy_PreWeanedCalves_Data(), Table_SourceData_Dairy_DataPreWeaned[[#Headers],[Animal class j]], -1)</f>
        <v>0.30030000000000001</v>
      </c>
      <c r="G64" s="29"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2" t="str" cm="1">
        <f t="array" ref="D67">SourceData_Dairy.SourceData_Dairy_MCF_Title()</f>
        <v>Table A.1.3.6: Dairy cattle - Dairy cattle - MCFs (fraction) (MCFjm)</v>
      </c>
      <c r="M67" s="1"/>
    </row>
    <row r="68" spans="4:22" ht="20.100000000000001" customHeight="1" x14ac:dyDescent="0.25">
      <c r="D68" s="27"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15" t="str" cm="1">
        <f t="array" ref="D70">SourceData_Dairy.SourceData_Dairy_MCF_Unit()</f>
        <v>fraction</v>
      </c>
      <c r="M70" s="1"/>
    </row>
    <row r="71" spans="4:22" ht="20.100000000000001" customHeight="1" x14ac:dyDescent="0.25">
      <c r="D71" s="35" t="str" cm="1">
        <f t="array" ref="D71">SourceData_Dairy.SourceData_Dairy_MCF_Variation()</f>
        <v>VARIATION OF SOURCE: Added 'NIR reference' column to aid lookup</v>
      </c>
      <c r="M71" s="1"/>
      <c r="V71" s="1"/>
    </row>
    <row r="72" spans="4:22" ht="20.100000000000001" customHeight="1" x14ac:dyDescent="0.25">
      <c r="D72" s="29" t="s">
        <v>514</v>
      </c>
      <c r="E72" s="29" t="s">
        <v>515</v>
      </c>
      <c r="F72" s="29" t="s">
        <v>516</v>
      </c>
      <c r="G72" s="29" t="s">
        <v>517</v>
      </c>
      <c r="H72" s="29" t="s">
        <v>518</v>
      </c>
      <c r="I72" s="29" t="s">
        <v>519</v>
      </c>
      <c r="J72" s="29" t="s">
        <v>520</v>
      </c>
      <c r="K72" s="29" t="s">
        <v>521</v>
      </c>
      <c r="L72" s="29" t="s">
        <v>522</v>
      </c>
      <c r="M72" s="29" t="s">
        <v>523</v>
      </c>
      <c r="V72" s="1"/>
    </row>
    <row r="73" spans="4:22" ht="20.100000000000001" customHeight="1" x14ac:dyDescent="0.25">
      <c r="D73" s="29" t="str" cm="1">
        <f t="array" ref="D73">Common_InputFunctions.Utility_DisplayArrayInTable(SourceData_Dairy.SourceData_Dairy_MCF_Data(), Table_SourceData_Dairy_MCFjm[[#Headers],[MMS m]], 0)</f>
        <v>Pasture</v>
      </c>
      <c r="E73" s="29" cm="1">
        <f t="array" ref="E73">Common_InputFunctions.Utility_DisplayArrayInTable(SourceData_Dairy.SourceData_Dairy_MCF_Data(), Table_SourceData_Dairy_MCFjm[[#Headers],[MMS m]], 0)</f>
        <v>0.01</v>
      </c>
      <c r="F73" s="29" cm="1">
        <f t="array" ref="F73">Common_InputFunctions.Utility_DisplayArrayInTable(SourceData_Dairy.SourceData_Dairy_MCF_Data(), Table_SourceData_Dairy_MCFjm[[#Headers],[MMS m]], 0)</f>
        <v>0.01</v>
      </c>
      <c r="G73" s="29" cm="1">
        <f t="array" ref="G73">Common_InputFunctions.Utility_DisplayArrayInTable(SourceData_Dairy.SourceData_Dairy_MCF_Data(), Table_SourceData_Dairy_MCFjm[[#Headers],[MMS m]], 0)</f>
        <v>0.02</v>
      </c>
      <c r="H73" s="29" cm="1">
        <f t="array" ref="H73">Common_InputFunctions.Utility_DisplayArrayInTable(SourceData_Dairy.SourceData_Dairy_MCF_Data(), Table_SourceData_Dairy_MCFjm[[#Headers],[MMS m]], 0)</f>
        <v>0.01</v>
      </c>
      <c r="I73" s="29" cm="1">
        <f t="array" ref="I73">Common_InputFunctions.Utility_DisplayArrayInTable(SourceData_Dairy.SourceData_Dairy_MCF_Data(), Table_SourceData_Dairy_MCFjm[[#Headers],[MMS m]], 0)</f>
        <v>0.01</v>
      </c>
      <c r="J73" s="29" cm="1">
        <f t="array" ref="J73">Common_InputFunctions.Utility_DisplayArrayInTable(SourceData_Dairy.SourceData_Dairy_MCF_Data(), Table_SourceData_Dairy_MCFjm[[#Headers],[MMS m]], 0)</f>
        <v>0.01</v>
      </c>
      <c r="K73" s="29" cm="1">
        <f t="array" ref="K73">Common_InputFunctions.Utility_DisplayArrayInTable(SourceData_Dairy.SourceData_Dairy_MCF_Data(), Table_SourceData_Dairy_MCFjm[[#Headers],[MMS m]], 0)</f>
        <v>0.01</v>
      </c>
      <c r="L73" s="29" cm="1">
        <f t="array" ref="L73">Common_InputFunctions.Utility_DisplayArrayInTable(SourceData_Dairy.SourceData_Dairy_MCF_Data(), Table_SourceData_Dairy_MCFjm[[#Headers],[MMS m]], 0)</f>
        <v>0.01</v>
      </c>
      <c r="M73" s="29"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29" cm="1">
        <f t="array" ref="E74">Common_InputFunctions.Utility_DisplayArrayInTable(SourceData_Dairy.SourceData_Dairy_MCF_Data(), Table_SourceData_Dairy_MCFjm[[#Headers],[MMS m]], 0)</f>
        <v>0.72</v>
      </c>
      <c r="F74" s="29" cm="1">
        <f t="array" ref="F74">Common_InputFunctions.Utility_DisplayArrayInTable(SourceData_Dairy.SourceData_Dairy_MCF_Data(), Table_SourceData_Dairy_MCFjm[[#Headers],[MMS m]], 0)</f>
        <v>0.76</v>
      </c>
      <c r="G74" s="29" cm="1">
        <f t="array" ref="G74">Common_InputFunctions.Utility_DisplayArrayInTable(SourceData_Dairy.SourceData_Dairy_MCF_Data(), Table_SourceData_Dairy_MCFjm[[#Headers],[MMS m]], 0)</f>
        <v>0.8</v>
      </c>
      <c r="H74" s="29" cm="1">
        <f t="array" ref="H74">Common_InputFunctions.Utility_DisplayArrayInTable(SourceData_Dairy.SourceData_Dairy_MCF_Data(), Table_SourceData_Dairy_MCFjm[[#Headers],[MMS m]], 0)</f>
        <v>0.78</v>
      </c>
      <c r="I74" s="29" cm="1">
        <f t="array" ref="I74">Common_InputFunctions.Utility_DisplayArrayInTable(SourceData_Dairy.SourceData_Dairy_MCF_Data(), Table_SourceData_Dairy_MCFjm[[#Headers],[MMS m]], 0)</f>
        <v>0.74</v>
      </c>
      <c r="J74" s="29" cm="1">
        <f t="array" ref="J74">Common_InputFunctions.Utility_DisplayArrayInTable(SourceData_Dairy.SourceData_Dairy_MCF_Data(), Table_SourceData_Dairy_MCFjm[[#Headers],[MMS m]], 0)</f>
        <v>0.69</v>
      </c>
      <c r="K74" s="29" cm="1">
        <f t="array" ref="K74">Common_InputFunctions.Utility_DisplayArrayInTable(SourceData_Dairy.SourceData_Dairy_MCF_Data(), Table_SourceData_Dairy_MCFjm[[#Headers],[MMS m]], 0)</f>
        <v>0.73</v>
      </c>
      <c r="L74" s="29" cm="1">
        <f t="array" ref="L74">Common_InputFunctions.Utility_DisplayArrayInTable(SourceData_Dairy.SourceData_Dairy_MCF_Data(), Table_SourceData_Dairy_MCFjm[[#Headers],[MMS m]], 0)</f>
        <v>0.76</v>
      </c>
      <c r="M74" s="29"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29" cm="1">
        <f t="array" ref="E75">Common_InputFunctions.Utility_DisplayArrayInTable(SourceData_Dairy.SourceData_Dairy_MCF_Data(), Table_SourceData_Dairy_MCFjm[[#Headers],[MMS m]], 0)</f>
        <v>5.0000000000000001E-3</v>
      </c>
      <c r="F75" s="29" cm="1">
        <f t="array" ref="F75">Common_InputFunctions.Utility_DisplayArrayInTable(SourceData_Dairy.SourceData_Dairy_MCF_Data(), Table_SourceData_Dairy_MCFjm[[#Headers],[MMS m]], 0)</f>
        <v>5.0000000000000001E-3</v>
      </c>
      <c r="G75" s="29" cm="1">
        <f t="array" ref="G75">Common_InputFunctions.Utility_DisplayArrayInTable(SourceData_Dairy.SourceData_Dairy_MCF_Data(), Table_SourceData_Dairy_MCFjm[[#Headers],[MMS m]], 0)</f>
        <v>0.01</v>
      </c>
      <c r="H75" s="29" cm="1">
        <f t="array" ref="H75">Common_InputFunctions.Utility_DisplayArrayInTable(SourceData_Dairy.SourceData_Dairy_MCF_Data(), Table_SourceData_Dairy_MCFjm[[#Headers],[MMS m]], 0)</f>
        <v>5.0000000000000001E-3</v>
      </c>
      <c r="I75" s="29" cm="1">
        <f t="array" ref="I75">Common_InputFunctions.Utility_DisplayArrayInTable(SourceData_Dairy.SourceData_Dairy_MCF_Data(), Table_SourceData_Dairy_MCFjm[[#Headers],[MMS m]], 0)</f>
        <v>5.0000000000000001E-3</v>
      </c>
      <c r="J75" s="29" cm="1">
        <f t="array" ref="J75">Common_InputFunctions.Utility_DisplayArrayInTable(SourceData_Dairy.SourceData_Dairy_MCF_Data(), Table_SourceData_Dairy_MCFjm[[#Headers],[MMS m]], 0)</f>
        <v>1E-3</v>
      </c>
      <c r="K75" s="29" cm="1">
        <f t="array" ref="K75">Common_InputFunctions.Utility_DisplayArrayInTable(SourceData_Dairy.SourceData_Dairy_MCF_Data(), Table_SourceData_Dairy_MCFjm[[#Headers],[MMS m]], 0)</f>
        <v>5.0000000000000001E-3</v>
      </c>
      <c r="L75" s="29" cm="1">
        <f t="array" ref="L75">Common_InputFunctions.Utility_DisplayArrayInTable(SourceData_Dairy.SourceData_Dairy_MCF_Data(), Table_SourceData_Dairy_MCFjm[[#Headers],[MMS m]], 0)</f>
        <v>5.0000000000000001E-3</v>
      </c>
      <c r="M75" s="29"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29" cm="1">
        <f t="array" ref="E76">Common_InputFunctions.Utility_DisplayArrayInTable(SourceData_Dairy.SourceData_Dairy_MCF_Data(), Table_SourceData_Dairy_MCFjm[[#Headers],[MMS m]], 0)</f>
        <v>0.15</v>
      </c>
      <c r="F76" s="29" cm="1">
        <f t="array" ref="F76">Common_InputFunctions.Utility_DisplayArrayInTable(SourceData_Dairy.SourceData_Dairy_MCF_Data(), Table_SourceData_Dairy_MCFjm[[#Headers],[MMS m]], 0)</f>
        <v>0.18</v>
      </c>
      <c r="G76" s="29" cm="1">
        <f t="array" ref="G76">Common_InputFunctions.Utility_DisplayArrayInTable(SourceData_Dairy.SourceData_Dairy_MCF_Data(), Table_SourceData_Dairy_MCFjm[[#Headers],[MMS m]], 0)</f>
        <v>0.5</v>
      </c>
      <c r="H76" s="29" cm="1">
        <f t="array" ref="H76">Common_InputFunctions.Utility_DisplayArrayInTable(SourceData_Dairy.SourceData_Dairy_MCF_Data(), Table_SourceData_Dairy_MCFjm[[#Headers],[MMS m]], 0)</f>
        <v>0.24</v>
      </c>
      <c r="I76" s="29" cm="1">
        <f t="array" ref="I76">Common_InputFunctions.Utility_DisplayArrayInTable(SourceData_Dairy.SourceData_Dairy_MCF_Data(), Table_SourceData_Dairy_MCFjm[[#Headers],[MMS m]], 0)</f>
        <v>0.17</v>
      </c>
      <c r="J76" s="29" cm="1">
        <f t="array" ref="J76">Common_InputFunctions.Utility_DisplayArrayInTable(SourceData_Dairy.SourceData_Dairy_MCF_Data(), Table_SourceData_Dairy_MCFjm[[#Headers],[MMS m]], 0)</f>
        <v>0.13</v>
      </c>
      <c r="K76" s="29" cm="1">
        <f t="array" ref="K76">Common_InputFunctions.Utility_DisplayArrayInTable(SourceData_Dairy.SourceData_Dairy_MCF_Data(), Table_SourceData_Dairy_MCFjm[[#Headers],[MMS m]], 0)</f>
        <v>0.17</v>
      </c>
      <c r="L76" s="29" cm="1">
        <f t="array" ref="L76">Common_InputFunctions.Utility_DisplayArrayInTable(SourceData_Dairy.SourceData_Dairy_MCF_Data(), Table_SourceData_Dairy_MCFjm[[#Headers],[MMS m]], 0)</f>
        <v>0.18</v>
      </c>
      <c r="M76" s="29"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29" cm="1">
        <f t="array" ref="E77">Common_InputFunctions.Utility_DisplayArrayInTable(SourceData_Dairy.SourceData_Dairy_MCF_Data(), Table_SourceData_Dairy_MCFjm[[#Headers],[MMS m]], 0)</f>
        <v>0.02</v>
      </c>
      <c r="F77" s="29" cm="1">
        <f t="array" ref="F77">Common_InputFunctions.Utility_DisplayArrayInTable(SourceData_Dairy.SourceData_Dairy_MCF_Data(), Table_SourceData_Dairy_MCFjm[[#Headers],[MMS m]], 0)</f>
        <v>0.02</v>
      </c>
      <c r="G77" s="29" cm="1">
        <f t="array" ref="G77">Common_InputFunctions.Utility_DisplayArrayInTable(SourceData_Dairy.SourceData_Dairy_MCF_Data(), Table_SourceData_Dairy_MCFjm[[#Headers],[MMS m]], 0)</f>
        <v>0.02</v>
      </c>
      <c r="H77" s="29" cm="1">
        <f t="array" ref="H77">Common_InputFunctions.Utility_DisplayArrayInTable(SourceData_Dairy.SourceData_Dairy_MCF_Data(), Table_SourceData_Dairy_MCFjm[[#Headers],[MMS m]], 0)</f>
        <v>0.02</v>
      </c>
      <c r="I77" s="29" cm="1">
        <f t="array" ref="I77">Common_InputFunctions.Utility_DisplayArrayInTable(SourceData_Dairy.SourceData_Dairy_MCF_Data(), Table_SourceData_Dairy_MCFjm[[#Headers],[MMS m]], 0)</f>
        <v>0.02</v>
      </c>
      <c r="J77" s="29" cm="1">
        <f t="array" ref="J77">Common_InputFunctions.Utility_DisplayArrayInTable(SourceData_Dairy.SourceData_Dairy_MCF_Data(), Table_SourceData_Dairy_MCFjm[[#Headers],[MMS m]], 0)</f>
        <v>0.02</v>
      </c>
      <c r="K77" s="29" cm="1">
        <f t="array" ref="K77">Common_InputFunctions.Utility_DisplayArrayInTable(SourceData_Dairy.SourceData_Dairy_MCF_Data(), Table_SourceData_Dairy_MCFjm[[#Headers],[MMS m]], 0)</f>
        <v>0.02</v>
      </c>
      <c r="L77" s="29" cm="1">
        <f t="array" ref="L77">Common_InputFunctions.Utility_DisplayArrayInTable(SourceData_Dairy.SourceData_Dairy_MCF_Data(), Table_SourceData_Dairy_MCFjm[[#Headers],[MMS m]], 0)</f>
        <v>0.02</v>
      </c>
      <c r="M77" s="29"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29" cm="1">
        <f t="array" ref="E78">Common_InputFunctions.Utility_DisplayArrayInTable(SourceData_Dairy.SourceData_Dairy_MCF_Data(), Table_SourceData_Dairy_MCFjm[[#Headers],[MMS m]], 0)</f>
        <v>0</v>
      </c>
      <c r="F78" s="29" cm="1">
        <f t="array" ref="F78">Common_InputFunctions.Utility_DisplayArrayInTable(SourceData_Dairy.SourceData_Dairy_MCF_Data(), Table_SourceData_Dairy_MCFjm[[#Headers],[MMS m]], 0)</f>
        <v>0</v>
      </c>
      <c r="G78" s="29" cm="1">
        <f t="array" ref="G78">Common_InputFunctions.Utility_DisplayArrayInTable(SourceData_Dairy.SourceData_Dairy_MCF_Data(), Table_SourceData_Dairy_MCFjm[[#Headers],[MMS m]], 0)</f>
        <v>0</v>
      </c>
      <c r="H78" s="29" cm="1">
        <f t="array" ref="H78">Common_InputFunctions.Utility_DisplayArrayInTable(SourceData_Dairy.SourceData_Dairy_MCF_Data(), Table_SourceData_Dairy_MCFjm[[#Headers],[MMS m]], 0)</f>
        <v>0</v>
      </c>
      <c r="I78" s="29" cm="1">
        <f t="array" ref="I78">Common_InputFunctions.Utility_DisplayArrayInTable(SourceData_Dairy.SourceData_Dairy_MCF_Data(), Table_SourceData_Dairy_MCFjm[[#Headers],[MMS m]], 0)</f>
        <v>0</v>
      </c>
      <c r="J78" s="29" cm="1">
        <f t="array" ref="J78">Common_InputFunctions.Utility_DisplayArrayInTable(SourceData_Dairy.SourceData_Dairy_MCF_Data(), Table_SourceData_Dairy_MCFjm[[#Headers],[MMS m]], 0)</f>
        <v>0</v>
      </c>
      <c r="K78" s="29" cm="1">
        <f t="array" ref="K78">Common_InputFunctions.Utility_DisplayArrayInTable(SourceData_Dairy.SourceData_Dairy_MCF_Data(), Table_SourceData_Dairy_MCFjm[[#Headers],[MMS m]], 0)</f>
        <v>0</v>
      </c>
      <c r="L78" s="29" cm="1">
        <f t="array" ref="L78">Common_InputFunctions.Utility_DisplayArrayInTable(SourceData_Dairy.SourceData_Dairy_MCF_Data(), Table_SourceData_Dairy_MCFjm[[#Headers],[MMS m]], 0)</f>
        <v>0</v>
      </c>
      <c r="M78" s="29"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2" t="str" cm="1">
        <f t="array" ref="D81">SourceData_Dairy.SourceData_Dairy_NitrousOxideEFsAndFracGASM_Title()</f>
        <v>Table A.1.3.7: Dairy cattle - Nitrous oxide EFs and fraction of N volatilised by MMS</v>
      </c>
      <c r="M81" s="1"/>
    </row>
    <row r="82" spans="4:22" ht="20.100000000000001" customHeight="1" x14ac:dyDescent="0.25">
      <c r="D82" s="27"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15" t="str" cm="1">
        <f t="array" ref="D84">SourceData_Dairy.SourceData_Dairy_NitrousOxideEFsAndFracGASM_Unit()</f>
        <v>kg N2O-N/kg N excreted</v>
      </c>
      <c r="M84" s="1"/>
    </row>
    <row r="85" spans="4:22" ht="20.100000000000001" customHeight="1" x14ac:dyDescent="0.25">
      <c r="D85" s="35" t="str" cm="1">
        <f t="array" ref="D85">SourceData_Dairy.SourceData_Dairy_NitrousOxideEFsAndFracGASM_Variation()</f>
        <v>VARIATION OF SOURCE: Added 'NIR reference' column to aid lookup</v>
      </c>
      <c r="M85" s="1"/>
      <c r="V85" s="1"/>
    </row>
    <row r="86" spans="4:22" ht="20.100000000000001" customHeight="1" x14ac:dyDescent="0.25">
      <c r="D86" s="29" t="s">
        <v>514</v>
      </c>
      <c r="E86" s="29" t="s">
        <v>524</v>
      </c>
      <c r="F86" s="29" t="s">
        <v>525</v>
      </c>
      <c r="G86" s="29" t="s">
        <v>523</v>
      </c>
      <c r="M86" s="1"/>
      <c r="V86" s="1"/>
    </row>
    <row r="87" spans="4:22" ht="20.100000000000001" customHeight="1" x14ac:dyDescent="0.25">
      <c r="D87" s="29" t="str" cm="1">
        <f t="array" ref="D87">Common_InputFunctions.Utility_DisplayArrayInTable(SourceData_Dairy.SourceData_Dairy_NitrousOxideEFsAndFracGASM_Data(), Table_SourceData_Dairy_EFmFracGASM[[#Headers],[MMS m]], 0)</f>
        <v>M=14 Pasture</v>
      </c>
      <c r="E87" s="29" cm="1">
        <f t="array" ref="E87">Common_InputFunctions.Utility_DisplayArrayInTable(SourceData_Dairy.SourceData_Dairy_NitrousOxideEFsAndFracGASM_Data(), Table_SourceData_Dairy_EFmFracGASM[[#Headers],[MMS m]], 0)</f>
        <v>0</v>
      </c>
      <c r="F87" s="29" cm="1">
        <f t="array" ref="F87">Common_InputFunctions.Utility_DisplayArrayInTable(SourceData_Dairy.SourceData_Dairy_NitrousOxideEFsAndFracGASM_Data(), Table_SourceData_Dairy_EFmFracGASM[[#Headers],[MMS m]], 0)</f>
        <v>0</v>
      </c>
      <c r="G87" s="2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29" cm="1">
        <f t="array" ref="E88">Common_InputFunctions.Utility_DisplayArrayInTable(SourceData_Dairy.SourceData_Dairy_NitrousOxideEFsAndFracGASM_Data(), Table_SourceData_Dairy_EFmFracGASM[[#Headers],[MMS m]], 0)</f>
        <v>0</v>
      </c>
      <c r="F88" s="29" cm="1">
        <f t="array" ref="F88">Common_InputFunctions.Utility_DisplayArrayInTable(SourceData_Dairy.SourceData_Dairy_NitrousOxideEFsAndFracGASM_Data(), Table_SourceData_Dairy_EFmFracGASM[[#Headers],[MMS m]], 0)</f>
        <v>0.35</v>
      </c>
      <c r="G88" s="2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29" cm="1">
        <f t="array" ref="E89">Common_InputFunctions.Utility_DisplayArrayInTable(SourceData_Dairy.SourceData_Dairy_NitrousOxideEFsAndFracGASM_Data(), Table_SourceData_Dairy_EFmFracGASM[[#Headers],[MMS m]], 0)</f>
        <v>0</v>
      </c>
      <c r="F89" s="29" cm="1">
        <f t="array" ref="F89">Common_InputFunctions.Utility_DisplayArrayInTable(SourceData_Dairy.SourceData_Dairy_NitrousOxideEFsAndFracGASM_Data(), Table_SourceData_Dairy_EFmFracGASM[[#Headers],[MMS m]], 0)</f>
        <v>7.0000000000000007E-2</v>
      </c>
      <c r="G89" s="2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29" cm="1">
        <f t="array" ref="E90">Common_InputFunctions.Utility_DisplayArrayInTable(SourceData_Dairy.SourceData_Dairy_NitrousOxideEFsAndFracGASM_Data(), Table_SourceData_Dairy_EFmFracGASM[[#Headers],[MMS m]], 0)</f>
        <v>0</v>
      </c>
      <c r="F90" s="29" cm="1">
        <f t="array" ref="F90">Common_InputFunctions.Utility_DisplayArrayInTable(SourceData_Dairy.SourceData_Dairy_NitrousOxideEFsAndFracGASM_Data(), Table_SourceData_Dairy_EFmFracGASM[[#Headers],[MMS m]], 0)</f>
        <v>0.2</v>
      </c>
      <c r="G90" s="2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29" cm="1">
        <f t="array" ref="E91">Common_InputFunctions.Utility_DisplayArrayInTable(SourceData_Dairy.SourceData_Dairy_NitrousOxideEFsAndFracGASM_Data(), Table_SourceData_Dairy_EFmFracGASM[[#Headers],[MMS m]], 0)</f>
        <v>5.0000000000000001E-3</v>
      </c>
      <c r="F91" s="29" cm="1">
        <f t="array" ref="F91">Common_InputFunctions.Utility_DisplayArrayInTable(SourceData_Dairy.SourceData_Dairy_NitrousOxideEFsAndFracGASM_Data(), Table_SourceData_Dairy_EFmFracGASM[[#Headers],[MMS m]], 0)</f>
        <v>0.3</v>
      </c>
      <c r="G91" s="2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2"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27"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15" t="str" cm="1">
        <f t="array" ref="D97">SourceData_Dairy.SourceData_Dairy_MethaneProductionPreWeanedCalves_Unit()</f>
        <v>kg CH4/head/day</v>
      </c>
      <c r="M97" s="1"/>
    </row>
    <row r="98" spans="4:13" ht="20.100000000000001" customHeight="1" x14ac:dyDescent="0.25">
      <c r="D98" s="29" t="s">
        <v>510</v>
      </c>
      <c r="E98" s="29" t="s">
        <v>526</v>
      </c>
      <c r="M98" s="1"/>
    </row>
    <row r="99" spans="4:13" ht="20.100000000000001" customHeight="1" x14ac:dyDescent="0.25">
      <c r="D99" s="29" t="str" cm="1">
        <f t="array" ref="D99">Common_InputFunctions.Utility_DisplayArrayInTable(SourceData_Dairy.SourceData_Dairy_MethaneProductionPreWeanedCalves_Data(), Table_SourceData_Dairy_MPWENTERIC[[#Headers],[Animal class j]], 0)</f>
        <v>Heifers &lt; 1 year</v>
      </c>
      <c r="E99" s="29"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29"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2" t="str" cm="1">
        <f t="array" ref="D103">SourceData_Dairy.SourceData_Dairy_IncreasedMetabolicRateMilk_Title()</f>
        <v>Table A.1.3.9: Dairy cattle - Increased metabolic rate when producing milk (MRj)</v>
      </c>
      <c r="M103" s="1"/>
    </row>
    <row r="104" spans="4:13" ht="20.100000000000001" customHeight="1" x14ac:dyDescent="0.25">
      <c r="D104" s="27"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15" t="str" cm="1">
        <f t="array" ref="D106">SourceData_Dairy.SourceData_Dairy_IncreasedMetabolicRateMilk_Unit()</f>
        <v/>
      </c>
      <c r="M106" s="1"/>
    </row>
    <row r="107" spans="4:13" ht="20.100000000000001" customHeight="1" x14ac:dyDescent="0.25">
      <c r="D107" s="29" t="s">
        <v>510</v>
      </c>
      <c r="E107" s="29" t="s">
        <v>527</v>
      </c>
      <c r="M107" s="1"/>
    </row>
    <row r="108" spans="4:13" ht="20.100000000000001" customHeight="1" x14ac:dyDescent="0.25">
      <c r="D108" s="29" t="str" cm="1">
        <f t="array" ref="D108">Common_InputFunctions.Utility_DisplayArrayInTable(SourceData_Dairy.SourceData_Dairy_IncreasedMetabolicRateMilk_Data(), Table_SourceData_Dairy_MRj[[#Headers],[Animal class j]], 0)</f>
        <v>Milking cows, and house cows</v>
      </c>
      <c r="E108" s="29"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29"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2"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27"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15" t="str" cm="1">
        <f t="array" ref="D115">SourceData_Dairy.SourceData_Dairy_FractionVolatileSolidsVoidedMMS_Unit()</f>
        <v>fraction</v>
      </c>
      <c r="M115" s="1"/>
      <c r="V115" s="1"/>
    </row>
    <row r="116" spans="4:22" ht="20.100000000000001" customHeight="1" x14ac:dyDescent="0.25">
      <c r="D116" s="29" t="s">
        <v>528</v>
      </c>
      <c r="E116" s="29" t="s">
        <v>171</v>
      </c>
      <c r="F116" s="29" t="s">
        <v>246</v>
      </c>
      <c r="G116" s="29" t="s">
        <v>529</v>
      </c>
      <c r="M116" s="1"/>
      <c r="V116" s="1"/>
    </row>
    <row r="117" spans="4:22" ht="20.100000000000001" customHeight="1" x14ac:dyDescent="0.25">
      <c r="D117" s="29" t="str" cm="1">
        <f t="array" ref="D117">Common_InputFunctions.Utility_DisplayArrayInTable(SourceData_Dairy.SourceData_Dairy_FractionVolatileSolidsVoidedMMS_Data(), Table_SourceData_Dairy_ProductionSystemTemplates[[#Headers],[Area]], 0)</f>
        <v>System 1: Grazed Only</v>
      </c>
      <c r="E117" s="29" cm="1">
        <f t="array" ref="E117">Common_InputFunctions.Utility_DisplayArrayInTable(SourceData_Dairy.SourceData_Dairy_FractionVolatileSolidsVoidedMMS_Data(), Table_SourceData_Dairy_ProductionSystemTemplates[[#Headers],[Area]], 0)</f>
        <v>0.89</v>
      </c>
      <c r="F117" s="29" cm="1">
        <f t="array" ref="F117">Common_InputFunctions.Utility_DisplayArrayInTable(SourceData_Dairy.SourceData_Dairy_FractionVolatileSolidsVoidedMMS_Data(), Table_SourceData_Dairy_ProductionSystemTemplates[[#Headers],[Area]], 0)</f>
        <v>0.11</v>
      </c>
      <c r="G117" s="2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29" cm="1">
        <f t="array" ref="E118">Common_InputFunctions.Utility_DisplayArrayInTable(SourceData_Dairy.SourceData_Dairy_FractionVolatileSolidsVoidedMMS_Data(), Table_SourceData_Dairy_ProductionSystemTemplates[[#Headers],[Area]], 0)</f>
        <v>0.79</v>
      </c>
      <c r="F118" s="29" cm="1">
        <f t="array" ref="F118">Common_InputFunctions.Utility_DisplayArrayInTable(SourceData_Dairy.SourceData_Dairy_FractionVolatileSolidsVoidedMMS_Data(), Table_SourceData_Dairy_ProductionSystemTemplates[[#Headers],[Area]], 0)</f>
        <v>0.11</v>
      </c>
      <c r="G118" s="2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29" cm="1">
        <f t="array" ref="E119">Common_InputFunctions.Utility_DisplayArrayInTable(SourceData_Dairy.SourceData_Dairy_FractionVolatileSolidsVoidedMMS_Data(), Table_SourceData_Dairy_ProductionSystemTemplates[[#Headers],[Area]], 0)</f>
        <v>0.53400000000000003</v>
      </c>
      <c r="F119" s="29" cm="1">
        <f t="array" ref="F119">Common_InputFunctions.Utility_DisplayArrayInTable(SourceData_Dairy.SourceData_Dairy_FractionVolatileSolidsVoidedMMS_Data(), Table_SourceData_Dairy_ProductionSystemTemplates[[#Headers],[Area]], 0)</f>
        <v>0.11</v>
      </c>
      <c r="G119" s="2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29" cm="1">
        <f t="array" ref="E120">Common_InputFunctions.Utility_DisplayArrayInTable(SourceData_Dairy.SourceData_Dairy_FractionVolatileSolidsVoidedMMS_Data(), Table_SourceData_Dairy_ProductionSystemTemplates[[#Headers],[Area]], 0)</f>
        <v>0</v>
      </c>
      <c r="F120" s="29" cm="1">
        <f t="array" ref="F120">Common_InputFunctions.Utility_DisplayArrayInTable(SourceData_Dairy.SourceData_Dairy_FractionVolatileSolidsVoidedMMS_Data(), Table_SourceData_Dairy_ProductionSystemTemplates[[#Headers],[Area]], 0)</f>
        <v>0.11</v>
      </c>
      <c r="G120" s="2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2" t="str" cm="1">
        <f t="array" ref="D123">SourceData_Dairy.SourceData_Dairy_EFNitrousOxidePerMMS_Title()</f>
        <v>Table A.1.3.11: Dairy cattle - EF for nitrous oxide per MMS (kg N2O-N/kg N) (EFm)</v>
      </c>
      <c r="M123" s="1"/>
    </row>
    <row r="124" spans="4:22" ht="20.100000000000001" customHeight="1" x14ac:dyDescent="0.25">
      <c r="D124" s="27"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15" t="str" cm="1">
        <f t="array" ref="D126">SourceData_Dairy.SourceData_Dairy_EFNitrousOxidePerMMS_Unit()</f>
        <v>kg N2O-N/kg N</v>
      </c>
      <c r="M126" s="1"/>
      <c r="V126" s="1"/>
    </row>
    <row r="127" spans="4:22" ht="20.100000000000001" customHeight="1" x14ac:dyDescent="0.25">
      <c r="D127" s="35" t="str" cm="1">
        <f t="array" ref="D127">SourceData_Dairy.SourceData_Dairy_EFNitrousOxidePerMMS_Variation()</f>
        <v>VARIATION OF SOURCE: Added 'NIR reference' column to aid lookup</v>
      </c>
      <c r="M127" s="1"/>
      <c r="V127" s="1"/>
    </row>
    <row r="128" spans="4:22" ht="20.100000000000001" customHeight="1" x14ac:dyDescent="0.25">
      <c r="D128" s="29" t="s">
        <v>514</v>
      </c>
      <c r="E128" s="29" t="s">
        <v>524</v>
      </c>
      <c r="F128" s="29" t="s">
        <v>523</v>
      </c>
      <c r="G128" s="150" t="s">
        <v>530</v>
      </c>
      <c r="M128" s="1"/>
      <c r="N128" s="8"/>
      <c r="V128" s="1"/>
    </row>
    <row r="129" spans="4:22" ht="20.100000000000001" customHeight="1" x14ac:dyDescent="0.25">
      <c r="D129" s="29" t="str" cm="1">
        <f t="array" ref="D129">Common_InputFunctions.Utility_DisplayArrayInTable(SourceData_Dairy.SourceData_Dairy_EFNitrousOxidePerMMS_Data(), Table_SourceData_Dairy_EFm[[#Headers],[MMS m]], 0)</f>
        <v>m=14 Pasture</v>
      </c>
      <c r="E129" s="29" cm="1">
        <f t="array" ref="E129">Common_InputFunctions.Utility_DisplayArrayInTable(SourceData_Dairy.SourceData_Dairy_EFNitrousOxidePerMMS_Data(), Table_SourceData_Dairy_EFm[[#Headers],[MMS m]], 0)</f>
        <v>0</v>
      </c>
      <c r="F129" s="29" t="str" cm="1">
        <f t="array" ref="F129">Common_InputFunctions.Utility_DisplayArrayInTable(SourceData_Dairy.SourceData_Dairy_EFNitrousOxidePerMMS_Data(), Table_SourceData_Dairy_EFm[[#Headers],[MMS m]], 0)</f>
        <v>Pasture range and paddock</v>
      </c>
      <c r="M129" s="1"/>
      <c r="N129" s="8"/>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29" cm="1">
        <f t="array" ref="E130">Common_InputFunctions.Utility_DisplayArrayInTable(SourceData_Dairy.SourceData_Dairy_EFNitrousOxidePerMMS_Data(), Table_SourceData_Dairy_EFm[[#Headers],[MMS m]], 0)</f>
        <v>0</v>
      </c>
      <c r="F130" s="29" t="str" cm="1">
        <f t="array" ref="F130">Common_InputFunctions.Utility_DisplayArrayInTable(SourceData_Dairy.SourceData_Dairy_EFNitrousOxidePerMMS_Data(), Table_SourceData_Dairy_EFm[[#Headers],[MMS m]], 0)</f>
        <v>Anaerobic lagoon</v>
      </c>
      <c r="M130" s="1"/>
      <c r="N130" s="8"/>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29" cm="1">
        <f t="array" ref="E131">Common_InputFunctions.Utility_DisplayArrayInTable(SourceData_Dairy.SourceData_Dairy_EFNitrousOxidePerMMS_Data(), Table_SourceData_Dairy_EFm[[#Headers],[MMS m]], 0)</f>
        <v>0</v>
      </c>
      <c r="F131" s="29" t="str" cm="1">
        <f t="array" ref="F131">Common_InputFunctions.Utility_DisplayArrayInTable(SourceData_Dairy.SourceData_Dairy_EFNitrousOxidePerMMS_Data(), Table_SourceData_Dairy_EFm[[#Headers],[MMS m]], 0)</f>
        <v>Sump and dispersal system</v>
      </c>
      <c r="M131" s="1"/>
      <c r="N131" s="8"/>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29" cm="1">
        <f t="array" ref="E132">Common_InputFunctions.Utility_DisplayArrayInTable(SourceData_Dairy.SourceData_Dairy_EFNitrousOxidePerMMS_Data(), Table_SourceData_Dairy_EFm[[#Headers],[MMS m]], 0)</f>
        <v>0</v>
      </c>
      <c r="F132" s="29" t="str" cm="1">
        <f t="array" ref="F132">Common_InputFunctions.Utility_DisplayArrayInTable(SourceData_Dairy.SourceData_Dairy_EFNitrousOxidePerMMS_Data(), Table_SourceData_Dairy_EFm[[#Headers],[MMS m]], 0)</f>
        <v>Drains to paddock</v>
      </c>
      <c r="M132" s="8"/>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29" cm="1">
        <f t="array" ref="E133">Common_InputFunctions.Utility_DisplayArrayInTable(SourceData_Dairy.SourceData_Dairy_EFNitrousOxidePerMMS_Data(), Table_SourceData_Dairy_EFm[[#Headers],[MMS m]], 0)</f>
        <v>5.0000000000000001E-3</v>
      </c>
      <c r="F133" s="29" t="str" cm="1">
        <f t="array" ref="F133">Common_InputFunctions.Utility_DisplayArrayInTable(SourceData_Dairy.SourceData_Dairy_EFNitrousOxidePerMMS_Data(), Table_SourceData_Dairy_EFm[[#Headers],[MMS m]], 0)</f>
        <v>Solid storage</v>
      </c>
      <c r="M133" s="8"/>
    </row>
    <row r="134" spans="4:22" ht="20.100000000000001" customHeight="1" x14ac:dyDescent="0.25">
      <c r="M134" s="8"/>
    </row>
    <row r="135" spans="4:22" ht="20.100000000000001" customHeight="1" x14ac:dyDescent="0.25">
      <c r="M135" s="8"/>
    </row>
    <row r="136" spans="4:22" ht="20.100000000000001" customHeight="1" x14ac:dyDescent="0.25">
      <c r="D136" s="2" t="str" cm="1">
        <f t="array" ref="D136">SourceData_Dairy.SourceData_Dairy_DurationOfStay_Title()</f>
        <v>Duration of stay for each dairy cattle input class</v>
      </c>
      <c r="M136" s="8"/>
    </row>
    <row r="137" spans="4:22" ht="20.100000000000001" customHeight="1" x14ac:dyDescent="0.25">
      <c r="D137" s="27" t="str" cm="1">
        <f t="array" ref="D137">SourceData_Dairy.SourceData_Dairy_DurationOfStay_Source()</f>
        <v>VEERG 2026: 4.3.2.2	DATA (METHOD 1 AND 2 OPTIONS)</v>
      </c>
      <c r="M137" s="8"/>
    </row>
    <row r="138" spans="4:22" ht="20.100000000000001" customHeight="1" x14ac:dyDescent="0.25">
      <c r="D138" s="1" t="str" cm="1">
        <f t="array" ref="D138">SourceData_Dairy.SourceData_Dairy_DurationOfStay_Variable()</f>
        <v>D</v>
      </c>
      <c r="M138" s="8"/>
    </row>
    <row r="139" spans="4:22" ht="20.100000000000001" customHeight="1" x14ac:dyDescent="0.25">
      <c r="D139" s="15" t="str" cm="1">
        <f t="array" ref="D139">SourceData_Dairy.SourceData_Dairy_DurationOfStay_Unit()</f>
        <v>days</v>
      </c>
      <c r="M139" s="8"/>
    </row>
    <row r="140" spans="4:22" ht="20.100000000000001" customHeight="1" x14ac:dyDescent="0.25">
      <c r="D140" s="35" t="str" cm="1">
        <f t="array" ref="D140">SourceData_Dairy.SourceData_Dairy_DurationOfStay_Variation()</f>
        <v>VARIATION OF SOURCE: Converted free text in document to table, matching livestock class names.</v>
      </c>
      <c r="M140" s="8"/>
    </row>
    <row r="141" spans="4:22" ht="20.100000000000001" customHeight="1" x14ac:dyDescent="0.25">
      <c r="D141" s="29" t="s">
        <v>510</v>
      </c>
      <c r="E141" s="29" t="s">
        <v>531</v>
      </c>
      <c r="F141" s="29" t="s">
        <v>532</v>
      </c>
      <c r="M141" s="8"/>
    </row>
    <row r="142" spans="4:22" ht="20.100000000000001" customHeight="1" x14ac:dyDescent="0.25">
      <c r="D142" s="29" t="str" cm="1">
        <f t="array" ref="D142">Common_InputFunctions.Utility_DisplayArrayInTable(SourceData_Dairy.SourceData_Dairy_DurationOfStay_Data(), Table_SourceData_Dairy_Duration[[#Headers],[Animal class j]], 0)</f>
        <v>Milking cows</v>
      </c>
      <c r="E142" s="29" cm="1">
        <f t="array" ref="E142">Common_InputFunctions.Utility_DisplayArrayInTable(SourceData_Dairy.SourceData_Dairy_DurationOfStay_Data(), Table_SourceData_Dairy_Duration[[#Headers],[Animal class j]], 0)</f>
        <v>365</v>
      </c>
      <c r="F142" s="29" cm="1">
        <f t="array" ref="F142">Common_InputFunctions.Utility_DisplayArrayInTable(SourceData_Dairy.SourceData_Dairy_DurationOfStay_Data(), Table_SourceData_Dairy_Duration[[#Headers],[Animal class j]], 0)</f>
        <v>0</v>
      </c>
      <c r="M142" s="8"/>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29" cm="1">
        <f t="array" ref="E143">Common_InputFunctions.Utility_DisplayArrayInTable(SourceData_Dairy.SourceData_Dairy_DurationOfStay_Data(), Table_SourceData_Dairy_Duration[[#Headers],[Animal class j]], 0)</f>
        <v>365</v>
      </c>
      <c r="F143" s="29" cm="1">
        <f t="array" ref="F143">Common_InputFunctions.Utility_DisplayArrayInTable(SourceData_Dairy.SourceData_Dairy_DurationOfStay_Data(), Table_SourceData_Dairy_Duration[[#Headers],[Animal class j]], 0)</f>
        <v>0</v>
      </c>
      <c r="M143" s="8"/>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29" cm="1">
        <f t="array" ref="E144">Common_InputFunctions.Utility_DisplayArrayInTable(SourceData_Dairy.SourceData_Dairy_DurationOfStay_Data(), Table_SourceData_Dairy_Duration[[#Headers],[Animal class j]], 0)</f>
        <v>281</v>
      </c>
      <c r="F144" s="29" cm="1">
        <f t="array" ref="F144">Common_InputFunctions.Utility_DisplayArrayInTable(SourceData_Dairy.SourceData_Dairy_DurationOfStay_Data(), Table_SourceData_Dairy_Duration[[#Headers],[Animal class j]], 0)</f>
        <v>84</v>
      </c>
      <c r="M144" s="8"/>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29" cm="1">
        <f t="array" ref="E145">Common_InputFunctions.Utility_DisplayArrayInTable(SourceData_Dairy.SourceData_Dairy_DurationOfStay_Data(), Table_SourceData_Dairy_Duration[[#Headers],[Animal class j]], 0)</f>
        <v>365</v>
      </c>
      <c r="F145" s="29" cm="1">
        <f t="array" ref="F145">Common_InputFunctions.Utility_DisplayArrayInTable(SourceData_Dairy.SourceData_Dairy_DurationOfStay_Data(), Table_SourceData_Dairy_Duration[[#Headers],[Animal class j]], 0)</f>
        <v>0</v>
      </c>
      <c r="M145" s="8"/>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29" cm="1">
        <f t="array" ref="E146">Common_InputFunctions.Utility_DisplayArrayInTable(SourceData_Dairy.SourceData_Dairy_DurationOfStay_Data(), Table_SourceData_Dairy_Duration[[#Headers],[Animal class j]], 0)</f>
        <v>281</v>
      </c>
      <c r="F146" s="29" cm="1">
        <f t="array" ref="F146">Common_InputFunctions.Utility_DisplayArrayInTable(SourceData_Dairy.SourceData_Dairy_DurationOfStay_Data(), Table_SourceData_Dairy_Duration[[#Headers],[Animal class j]], 0)</f>
        <v>84</v>
      </c>
      <c r="M146" s="8"/>
    </row>
    <row r="147" spans="4:13" ht="20.100000000000001" customHeight="1" x14ac:dyDescent="0.25">
      <c r="M147" s="8"/>
    </row>
    <row r="148" spans="4:13" ht="20.100000000000001" customHeight="1" x14ac:dyDescent="0.25">
      <c r="M148" s="8"/>
    </row>
    <row r="149" spans="4:13" ht="20.100000000000001" customHeight="1" x14ac:dyDescent="0.25">
      <c r="D149" s="2" t="str" cm="1">
        <f t="array" ref="D149">SourceData_Dairy.SourceData_Dairy_CrudeProtein_Title()</f>
        <v>Crude protein content of feed intake</v>
      </c>
      <c r="M149" s="8"/>
    </row>
    <row r="150" spans="4:13" ht="20.100000000000001" customHeight="1" x14ac:dyDescent="0.25">
      <c r="D150" s="27" t="str" cm="1">
        <f t="array" ref="D150">SourceData_Dairy.SourceData_Dairy_CrudeProtein_Source()</f>
        <v>VEERG 2026: 4.3.2.2	DATA (METHOD 1 AND 2 OPTIONS)</v>
      </c>
      <c r="M150" s="8"/>
    </row>
    <row r="151" spans="4:13" ht="20.100000000000001" customHeight="1" x14ac:dyDescent="0.25">
      <c r="D151" s="1" t="str" cm="1">
        <f t="array" ref="D151">SourceData_Dairy.SourceData_Dairy_CrudeProtein_Variable()</f>
        <v>CP</v>
      </c>
      <c r="M151" s="8"/>
    </row>
    <row r="152" spans="4:13" ht="20.100000000000001" customHeight="1" x14ac:dyDescent="0.25">
      <c r="D152" s="15" t="str" cm="1">
        <f t="array" ref="D152">SourceData_Dairy.SourceData_Dairy_CrudeProtein_Unit()</f>
        <v>fraction</v>
      </c>
      <c r="M152" s="8"/>
    </row>
    <row r="153" spans="4:13" ht="20.100000000000001" customHeight="1" x14ac:dyDescent="0.25">
      <c r="D153" s="87" cm="1">
        <f t="array" ref="D153">SourceData_Dairy.SourceData_Dairy_CrudeProtein_Data()</f>
        <v>0.2</v>
      </c>
      <c r="M153" s="8"/>
    </row>
    <row r="154" spans="4:13" ht="20.100000000000001" customHeight="1" x14ac:dyDescent="0.25">
      <c r="M154" s="8"/>
    </row>
    <row r="155" spans="4:13" ht="20.100000000000001" customHeight="1" x14ac:dyDescent="0.25">
      <c r="M155" s="8"/>
    </row>
    <row r="156" spans="4:13" ht="20.100000000000001" customHeight="1" x14ac:dyDescent="0.25">
      <c r="D156" s="2" t="str" cm="1">
        <f t="array" ref="D156">SourceData_Dairy.SourceData_Dairy_DryMatterDigestibility_Title()</f>
        <v>Dry matter digestibility</v>
      </c>
      <c r="M156" s="8"/>
    </row>
    <row r="157" spans="4:13" ht="20.100000000000001" customHeight="1" x14ac:dyDescent="0.25">
      <c r="D157" s="27" t="str" cm="1">
        <f t="array" ref="D157">SourceData_Dairy.SourceData_Dairy_DryMatterDigestibility_Source()</f>
        <v>VEERG 2026: 3.3.2.2	DATA (METHOD 1 AND 2 OPTIONS)</v>
      </c>
      <c r="M157" s="8"/>
    </row>
    <row r="158" spans="4:13" ht="20.100000000000001" customHeight="1" x14ac:dyDescent="0.25">
      <c r="D158" s="1" t="str" cm="1">
        <f t="array" ref="D158">SourceData_Dairy.SourceData_Dairy_DryMatterDigestibility_Variable()</f>
        <v>DMD</v>
      </c>
      <c r="M158" s="8"/>
    </row>
    <row r="159" spans="4:13" ht="20.100000000000001" customHeight="1" x14ac:dyDescent="0.25">
      <c r="D159" s="15" t="str" cm="1">
        <f t="array" ref="D159">SourceData_Dairy.SourceData_Dairy_DryMatterDigestibility_Unit()</f>
        <v>fraction</v>
      </c>
      <c r="M159" s="8"/>
    </row>
    <row r="160" spans="4:13" ht="20.100000000000001" customHeight="1" x14ac:dyDescent="0.25">
      <c r="D160" s="87" cm="1">
        <f t="array" ref="D160">SourceData_Dairy.SourceData_Dairy_DryMatterDigestibility_Data()</f>
        <v>0.75</v>
      </c>
      <c r="M160" s="8"/>
    </row>
    <row r="161" spans="1:13" ht="20.100000000000001" customHeight="1" x14ac:dyDescent="0.25">
      <c r="M161" s="8"/>
    </row>
    <row r="162" spans="1:13" ht="20.100000000000001" customHeight="1" x14ac:dyDescent="0.25">
      <c r="M162" s="8"/>
    </row>
    <row r="163" spans="1:13" ht="20.100000000000001" customHeight="1" x14ac:dyDescent="0.25">
      <c r="D163" s="2" t="str" cm="1">
        <f t="array" ref="D163">SourceData_Dairy.SourceData_Dairy_NetEnergy_Title()</f>
        <v>Net energy required for milk production</v>
      </c>
      <c r="M163" s="8"/>
    </row>
    <row r="164" spans="1:13" ht="20.100000000000001" customHeight="1" x14ac:dyDescent="0.25">
      <c r="D164" s="27" t="str" cm="1">
        <f t="array" ref="D164">SourceData_Dairy.SourceData_Dairy_NetEnergy_Source()</f>
        <v>VEERG 2026: 3.3.2.3 CONSTANTS</v>
      </c>
      <c r="M164" s="8"/>
    </row>
    <row r="165" spans="1:13" ht="20.100000000000001" customHeight="1" x14ac:dyDescent="0.25">
      <c r="D165" s="1" t="str" cm="1">
        <f t="array" ref="D165">SourceData_Dairy.SourceData_Dairy_NetEnergy_Variable()</f>
        <v>NE</v>
      </c>
      <c r="M165" s="8"/>
    </row>
    <row r="166" spans="1:13" x14ac:dyDescent="0.25">
      <c r="D166" s="15" t="str" cm="1">
        <f t="array" ref="D166">SourceData_Dairy.SourceData_Dairy_NetEnergy_Unit()</f>
        <v>MJ net energy / kg milk</v>
      </c>
      <c r="M166" s="8"/>
    </row>
    <row r="167" spans="1:13" x14ac:dyDescent="0.25">
      <c r="D167" s="87" cm="1">
        <f t="array" ref="D167">SourceData_Dairy.SourceData_Dairy_NetEnergy_Data()</f>
        <v>3.0539999999999998</v>
      </c>
      <c r="M167" s="8"/>
    </row>
    <row r="168" spans="1:13" x14ac:dyDescent="0.25">
      <c r="M168" s="8"/>
    </row>
    <row r="169" spans="1:13" x14ac:dyDescent="0.25">
      <c r="M169" s="8"/>
    </row>
    <row r="170" spans="1:13" ht="23.25" x14ac:dyDescent="0.25">
      <c r="D170" s="2" t="str" cm="1">
        <f t="array" ref="D170">SourceData_Dairy.SourceData_Dairy_GrossEnergyContent_Title()</f>
        <v>Gross energy content of feed dry matter</v>
      </c>
      <c r="M170" s="8"/>
    </row>
    <row r="171" spans="1:13" x14ac:dyDescent="0.25">
      <c r="D171" s="27" t="str" cm="1">
        <f t="array" ref="D171">SourceData_Dairy.SourceData_Dairy_GrossEnergyContent_Source()</f>
        <v>VEERG 2026: 3.3.2.3 CONSTANTS</v>
      </c>
      <c r="M171" s="8"/>
    </row>
    <row r="172" spans="1:13" x14ac:dyDescent="0.25">
      <c r="D172" s="1" t="str" cm="1">
        <f t="array" ref="D172">SourceData_Dairy.SourceData_Dairy_GrossEnergyContent_Variable()</f>
        <v>GEC</v>
      </c>
      <c r="M172" s="8"/>
    </row>
    <row r="173" spans="1:13" x14ac:dyDescent="0.25">
      <c r="D173" s="15" t="str" cm="1">
        <f t="array" ref="D173">SourceData_Dairy.SourceData_Dairy_GrossEnergyContent_Unit()</f>
        <v>MJ / kgDM</v>
      </c>
      <c r="M173" s="8"/>
    </row>
    <row r="174" spans="1:13" x14ac:dyDescent="0.25">
      <c r="A174" s="129" t="str">
        <f>HYPERLINK("#A1", "▲ Back to top")</f>
        <v>▲ Back to top</v>
      </c>
      <c r="D174" s="87" cm="1">
        <f t="array" ref="D174">SourceData_Dairy.SourceData_Dairy_GrossEnergyContent_Data()</f>
        <v>18.399999999999999</v>
      </c>
      <c r="M174" s="8"/>
    </row>
    <row r="175" spans="1:13" x14ac:dyDescent="0.25">
      <c r="M175" s="8"/>
    </row>
    <row r="176" spans="1:13" x14ac:dyDescent="0.25">
      <c r="M176" s="8"/>
    </row>
    <row r="177" spans="4:13" ht="23.25" x14ac:dyDescent="0.25">
      <c r="D177" s="2" t="str" cm="1">
        <f t="array" ref="D177">SourceData_Dairy.SourceData_Dairy_EfficiencyOfUseOfMetabolizableEnergy_Title()</f>
        <v>Efficiency of use of metabolizable energy for milk production</v>
      </c>
      <c r="M177" s="8"/>
    </row>
    <row r="178" spans="4:13" x14ac:dyDescent="0.25">
      <c r="D178" s="27" t="str" cm="1">
        <f t="array" ref="D178">SourceData_Dairy.SourceData_Dairy_EfficiencyOfUseOfMetabolizableEnergy_Source()</f>
        <v>VEERG 2026: 3.3.2.3 CONSTANTS</v>
      </c>
      <c r="M178" s="8"/>
    </row>
    <row r="179" spans="4:13" x14ac:dyDescent="0.25">
      <c r="D179" s="1" t="str" cm="1">
        <f t="array" ref="D179">SourceData_Dairy.SourceData_Dairy_EfficiencyOfUseOfMetabolizableEnergy_Variable()</f>
        <v>k</v>
      </c>
      <c r="M179" s="8"/>
    </row>
    <row r="180" spans="4:13" x14ac:dyDescent="0.25">
      <c r="D180" s="15" t="str" cm="1">
        <f t="array" ref="D180">SourceData_Dairy.SourceData_Dairy_EfficiencyOfUseOfMetabolizableEnergy_Unit()</f>
        <v>fraction</v>
      </c>
      <c r="M180" s="8"/>
    </row>
    <row r="181" spans="4:13" x14ac:dyDescent="0.25">
      <c r="D181" s="87" cm="1">
        <f t="array" ref="D181">SourceData_Dairy.SourceData_Dairy_EfficiencyOfUseOfMetabolizableEnergy_Data()</f>
        <v>0.6</v>
      </c>
      <c r="M181" s="8"/>
    </row>
    <row r="182" spans="4:13" x14ac:dyDescent="0.25">
      <c r="M182" s="8"/>
    </row>
    <row r="183" spans="4:13" x14ac:dyDescent="0.25">
      <c r="M183" s="8"/>
    </row>
    <row r="184" spans="4:13" ht="23.25" x14ac:dyDescent="0.25">
      <c r="D184" s="2" t="str" cm="1">
        <f t="array" ref="D184">SourceData_Dairy.SourceData_Dairy_AshContent_Title()</f>
        <v>Ash content of manure</v>
      </c>
      <c r="M184" s="8"/>
    </row>
    <row r="185" spans="4:13" x14ac:dyDescent="0.25">
      <c r="D185" s="27" t="str" cm="1">
        <f t="array" ref="D185">SourceData_Dairy.SourceData_Dairy_AshContent_Source()</f>
        <v>VEERG 2026: 4.3.2.3 CONSTANTS</v>
      </c>
      <c r="M185" s="8"/>
    </row>
    <row r="186" spans="4:13" x14ac:dyDescent="0.25">
      <c r="D186" s="1" t="str" cm="1">
        <f t="array" ref="D186">SourceData_Dairy.SourceData_Dairy_AshContent_Variable()</f>
        <v>A</v>
      </c>
      <c r="M186" s="8"/>
    </row>
    <row r="187" spans="4:13" x14ac:dyDescent="0.25">
      <c r="D187" s="15" t="str" cm="1">
        <f t="array" ref="D187">SourceData_Dairy.SourceData_Dairy_AshContent_Unit()</f>
        <v>fraction</v>
      </c>
      <c r="M187" s="8"/>
    </row>
    <row r="188" spans="4:13" x14ac:dyDescent="0.25">
      <c r="D188" s="87" cm="1">
        <f t="array" ref="D188">SourceData_Dairy.SourceData_Dairy_AshContent_Data()</f>
        <v>0.08</v>
      </c>
      <c r="M188" s="8"/>
    </row>
    <row r="189" spans="4:13" x14ac:dyDescent="0.25">
      <c r="M189" s="8"/>
    </row>
    <row r="190" spans="4:13" x14ac:dyDescent="0.25">
      <c r="M190" s="8"/>
    </row>
    <row r="191" spans="4:13" ht="23.25" x14ac:dyDescent="0.25">
      <c r="D191" s="2" t="str" cm="1">
        <f t="array" ref="D191">SourceData_Dairy.SourceData_Dairy_MethaneEmissionsPotential_Title()</f>
        <v>Methane emissions potential</v>
      </c>
      <c r="M191" s="8"/>
    </row>
    <row r="192" spans="4:13" x14ac:dyDescent="0.25">
      <c r="D192" s="27" t="str" cm="1">
        <f t="array" ref="D192">SourceData_Dairy.SourceData_Dairy_MethaneEmissionsPotential_Source()</f>
        <v>VEERG 2026: 4.3.2.3 CONSTANTS</v>
      </c>
      <c r="M192" s="8"/>
    </row>
    <row r="193" spans="4:13" x14ac:dyDescent="0.25">
      <c r="D193" s="1" t="str" cm="1">
        <f t="array" ref="D193">SourceData_Dairy.SourceData_Dairy_MethaneEmissionsPotential_Variable()</f>
        <v>B_o</v>
      </c>
      <c r="M193" s="8"/>
    </row>
    <row r="194" spans="4:13" x14ac:dyDescent="0.25">
      <c r="D194" s="15" t="str" cm="1">
        <f t="array" ref="D194">SourceData_Dairy.SourceData_Dairy_MethaneEmissionsPotential_Unit()</f>
        <v>m3 CH4/kgVS</v>
      </c>
      <c r="M194" s="8"/>
    </row>
    <row r="195" spans="4:13" x14ac:dyDescent="0.25">
      <c r="D195" s="87" cm="1">
        <f t="array" ref="D195">SourceData_Dairy.SourceData_Dairy_MethaneEmissionsPotential_Data()</f>
        <v>0.24</v>
      </c>
      <c r="M195" s="8"/>
    </row>
    <row r="196" spans="4:13" x14ac:dyDescent="0.25">
      <c r="M196" s="8"/>
    </row>
    <row r="197" spans="4:13" x14ac:dyDescent="0.25">
      <c r="M197" s="8"/>
    </row>
    <row r="198" spans="4:13" ht="23.25" x14ac:dyDescent="0.25">
      <c r="D198" s="2" t="str" cm="1">
        <f t="array" ref="D198">SourceData_Dairy.SourceData_Dairy_EmissionFactorForLeachingAndRunoff_Title()</f>
        <v>Emission factor for leaching and runoff</v>
      </c>
      <c r="M198" s="8"/>
    </row>
    <row r="199" spans="4:13" x14ac:dyDescent="0.25">
      <c r="D199" s="27" t="str" cm="1">
        <f t="array" ref="D199">SourceData_Dairy.SourceData_Dairy_EmissionFactorForLeachingAndRunoff_Source()</f>
        <v>VEERG 2026: 4.3.2.3 CONSTANTS</v>
      </c>
      <c r="M199" s="8"/>
    </row>
    <row r="200" spans="4:13" x14ac:dyDescent="0.25">
      <c r="D200" s="1" t="str" cm="1">
        <f t="array" ref="D200">SourceData_Dairy.SourceData_Dairy_EmissionFactorForLeachingAndRunoff_Variable()</f>
        <v>EF_leach</v>
      </c>
      <c r="M200" s="8"/>
    </row>
    <row r="201" spans="4:13" x14ac:dyDescent="0.25">
      <c r="D201" s="15" t="str" cm="1">
        <f t="array" ref="D201">SourceData_Dairy.SourceData_Dairy_EmissionFactorForLeachingAndRunoff_Unit()</f>
        <v>kg N2O-N/kg N</v>
      </c>
      <c r="M201" s="8"/>
    </row>
    <row r="202" spans="4:13" x14ac:dyDescent="0.25">
      <c r="D202" s="87" cm="1">
        <f t="array" ref="D202">SourceData_Dairy.SourceData_Dairy_EmissionFactorForLeachingAndRunoff_Data()</f>
        <v>1.0999999999999999E-2</v>
      </c>
      <c r="M202" s="8"/>
    </row>
    <row r="203" spans="4:13" x14ac:dyDescent="0.25">
      <c r="M203" s="8"/>
    </row>
    <row r="204" spans="4:13" x14ac:dyDescent="0.25">
      <c r="M204" s="8"/>
    </row>
    <row r="205" spans="4:13" ht="23.25" x14ac:dyDescent="0.25">
      <c r="D205" s="2" t="str" cm="1">
        <f t="array" ref="D205">SourceData_Dairy.SourceData_Dairy_FractionOfNitrogenLostThroughLeachingAndRunoff_Title()</f>
        <v>Default fraction of N that is lost through leaching and runoff when manure is excreted to pasture, range and paddock (m=14).</v>
      </c>
      <c r="M205" s="8"/>
    </row>
    <row r="206" spans="4:13" x14ac:dyDescent="0.25">
      <c r="D206" s="27" t="str" cm="1">
        <f t="array" ref="D206">SourceData_Dairy.SourceData_Dairy_FractionOfNitrogenLostThroughLeachingAndRunoff_Source()</f>
        <v>VEERG 2026: 4.3.2.3 CONSTANTS</v>
      </c>
      <c r="M206" s="8"/>
    </row>
    <row r="207" spans="4:13" x14ac:dyDescent="0.25">
      <c r="D207" s="1" t="str" cm="1">
        <f t="array" ref="D207">SourceData_Dairy.SourceData_Dairy_FractionOfNitrogenLostThroughLeachingAndRunoff_Variable()</f>
        <v>Frac_LEACH_MS</v>
      </c>
      <c r="M207" s="8"/>
    </row>
    <row r="208" spans="4:13" x14ac:dyDescent="0.25">
      <c r="D208" s="15" t="str" cm="1">
        <f t="array" ref="D208">SourceData_Dairy.SourceData_Dairy_FractionOfNitrogenLostThroughLeachingAndRunoff_Unit()</f>
        <v>Fraction</v>
      </c>
      <c r="M208" s="8"/>
    </row>
    <row r="209" spans="1:13" x14ac:dyDescent="0.25">
      <c r="D209" s="87" cm="1">
        <f t="array" ref="D209">SourceData_Dairy.SourceData_Dairy_FractionOfNitrogenLostThroughLeachingAndRunoff_Data()</f>
        <v>0.24</v>
      </c>
      <c r="M209" s="8"/>
    </row>
    <row r="210" spans="1:13" x14ac:dyDescent="0.25">
      <c r="M210" s="8"/>
    </row>
    <row r="211" spans="1:13" ht="23.25" x14ac:dyDescent="0.25">
      <c r="D211" s="2" t="str" cm="1">
        <f t="array" ref="D211">SourceData_Dairy.SourceData_Dairy_FractionOfNitrogenLostThroughLeachingAndRunoffSolidStorage_Title()</f>
        <v>Fraction of nitrogen lost through leaching and runoff for solid storage MMS only</v>
      </c>
      <c r="M211" s="8"/>
    </row>
    <row r="212" spans="1:13" x14ac:dyDescent="0.25">
      <c r="D212" s="27" t="str" cm="1">
        <f t="array" ref="D212">SourceData_Dairy.SourceData_Dairy_FractionOfNitrogenLostThroughLeachingAndRunoffSolidStorage_Source()</f>
        <v>VEERG 2026: 4.3.2.3 CONSTANTS</v>
      </c>
      <c r="M212" s="8"/>
    </row>
    <row r="213" spans="1:13" x14ac:dyDescent="0.25">
      <c r="D213" s="1" t="str" cm="1">
        <f t="array" ref="D213">SourceData_Dairy.SourceData_Dairy_FractionOfNitrogenLostThroughLeachingAndRunoffSolidStorage_Variable()</f>
        <v>Frac_LEACH_MS</v>
      </c>
      <c r="M213" s="8"/>
    </row>
    <row r="214" spans="1:13" x14ac:dyDescent="0.25">
      <c r="D214" s="15" t="str" cm="1">
        <f t="array" ref="D214">SourceData_Dairy.SourceData_Dairy_FractionOfNitrogenLostThroughLeachingAndRunoffSolidStorage_Unit()</f>
        <v>Fraction</v>
      </c>
      <c r="M214" s="8"/>
    </row>
    <row r="215" spans="1:13" x14ac:dyDescent="0.25">
      <c r="A215" s="129" t="str">
        <f>HYPERLINK("#A1", "▲ Back to top")</f>
        <v>▲ Back to top</v>
      </c>
      <c r="D215" s="87" cm="1">
        <f t="array" ref="D215">SourceData_Dairy.SourceData_Dairy_FractionOfNitrogenLostThroughLeachingAndRunoffSolidStorage_Data()</f>
        <v>0.02</v>
      </c>
      <c r="M215" s="8"/>
    </row>
    <row r="216" spans="1:13" x14ac:dyDescent="0.25">
      <c r="M216" s="8"/>
    </row>
    <row r="217" spans="1:13" ht="23.25" x14ac:dyDescent="0.25">
      <c r="D217" s="2" t="str" cm="1">
        <f t="array" ref="D217">SourceData_Dairy.SourceData_Dairy_FracGASMSoil_Title()</f>
        <v>Fraction of nitrogen volatilized from urine and faeces deposited on pasture</v>
      </c>
      <c r="M217" s="8"/>
    </row>
    <row r="218" spans="1:13" x14ac:dyDescent="0.25">
      <c r="D218" s="27" t="str" cm="1">
        <f t="array" ref="D218">SourceData_Dairy.SourceData_Dairy_FracGASMSoil_Source()</f>
        <v>VEERG 2026: 4.3.2.3 CONSTANTS</v>
      </c>
      <c r="M218" s="8"/>
    </row>
    <row r="219" spans="1:13" x14ac:dyDescent="0.25">
      <c r="D219" s="1" t="str" cm="1">
        <f t="array" ref="D219">SourceData_Dairy.SourceData_Dairy_FracGASMSoil_Variable()</f>
        <v>FracGASMsoil</v>
      </c>
      <c r="M219" s="8"/>
    </row>
    <row r="220" spans="1:13" x14ac:dyDescent="0.25">
      <c r="D220" s="15" t="str" cm="1">
        <f t="array" ref="D220">SourceData_Dairy.SourceData_Dairy_FracGASMSoil_Unit()</f>
        <v>(kg NH3-N + NOx-N)/kg N</v>
      </c>
      <c r="M220" s="8"/>
    </row>
    <row r="221" spans="1:13" x14ac:dyDescent="0.25">
      <c r="D221" s="87" cm="1">
        <f t="array" ref="D221">SourceData_Dairy.SourceData_Dairy_FracGASMSoil_Data()</f>
        <v>0.21</v>
      </c>
      <c r="M221" s="8"/>
    </row>
    <row r="222" spans="1:13" x14ac:dyDescent="0.25">
      <c r="M222" s="8"/>
    </row>
    <row r="223" spans="1:13" ht="23.25" x14ac:dyDescent="0.25">
      <c r="D223" s="2" t="str" cm="1">
        <f t="array" ref="D223">SourceData_Dairy.SourceData_Dairy_FatContentInMilk_Title()</f>
        <v>Fat content in fat and protein corrected milk</v>
      </c>
      <c r="M223" s="8"/>
    </row>
    <row r="224" spans="1:13" x14ac:dyDescent="0.25">
      <c r="D224" s="27" t="str" cm="1">
        <f t="array" ref="D224">SourceData_Dairy.SourceData_Dairy_FatContentInMilk_Source()</f>
        <v>VEERG 2026: 3.3.2.2 DATA (METHOD 1 AND 2 OPTIONS)</v>
      </c>
      <c r="M224" s="8"/>
    </row>
    <row r="225" spans="4:13" x14ac:dyDescent="0.25">
      <c r="D225" s="1" t="str" cm="1">
        <f t="array" ref="D225">SourceData_Dairy.SourceData_Dairy_FatContentInMilk_Variable()</f>
        <v>FC_j</v>
      </c>
      <c r="M225" s="8"/>
    </row>
    <row r="226" spans="4:13" x14ac:dyDescent="0.25">
      <c r="D226" s="15" t="str" cm="1">
        <f t="array" ref="D226">SourceData_Dairy.SourceData_Dairy_FatContentInMilk_Unit()</f>
        <v>percent</v>
      </c>
      <c r="M226" s="8"/>
    </row>
    <row r="227" spans="4:13" x14ac:dyDescent="0.25">
      <c r="D227" s="87" cm="1">
        <f t="array" ref="D227">SourceData_Dairy.SourceData_Dairy_FatContentInMilk_Data()</f>
        <v>4</v>
      </c>
      <c r="M227" s="8"/>
    </row>
    <row r="228" spans="4:13" x14ac:dyDescent="0.25">
      <c r="M228" s="8"/>
    </row>
    <row r="229" spans="4:13" ht="23.25" x14ac:dyDescent="0.25">
      <c r="D229" s="2" t="str" cm="1">
        <f t="array" ref="D229">SourceData_Dairy.SourceData_Dairy_ProteinContentInMilk_Title()</f>
        <v>Protein content in fat and protein corrected milk</v>
      </c>
      <c r="M229" s="8"/>
    </row>
    <row r="230" spans="4:13" x14ac:dyDescent="0.25">
      <c r="D230" s="27" t="str" cm="1">
        <f t="array" ref="D230">SourceData_Dairy.SourceData_Dairy_ProteinContentInMilk_Source()</f>
        <v>VEERG 2026: 3.3.2.2 DATA (METHOD 1 AND 2 OPTIONS)</v>
      </c>
      <c r="M230" s="8"/>
    </row>
    <row r="231" spans="4:13" x14ac:dyDescent="0.25">
      <c r="D231" s="1" t="str" cm="1">
        <f t="array" ref="D231">SourceData_Dairy.SourceData_Dairy_ProteinContentInMilk_Variable()</f>
        <v>PC_j</v>
      </c>
      <c r="M231" s="8"/>
    </row>
    <row r="232" spans="4:13" x14ac:dyDescent="0.25">
      <c r="D232" s="15" t="str" cm="1">
        <f t="array" ref="D232">SourceData_Dairy.SourceData_Dairy_ProteinContentInMilk_Unit()</f>
        <v>percent</v>
      </c>
      <c r="M232" s="8"/>
    </row>
    <row r="233" spans="4:13" x14ac:dyDescent="0.25">
      <c r="D233" s="87" cm="1">
        <f t="array" ref="D233">SourceData_Dairy.SourceData_Dairy_ProteinContentInMilk_Data()</f>
        <v>3.3</v>
      </c>
      <c r="M233" s="8"/>
    </row>
    <row r="234" spans="4:13" x14ac:dyDescent="0.25">
      <c r="M234" s="8"/>
    </row>
    <row r="235" spans="4:13" x14ac:dyDescent="0.25">
      <c r="M235" s="8"/>
    </row>
    <row r="236" spans="4:13" x14ac:dyDescent="0.25">
      <c r="M236" s="8"/>
    </row>
    <row r="237" spans="4:13" x14ac:dyDescent="0.25">
      <c r="M237" s="8"/>
    </row>
    <row r="238" spans="4:13" x14ac:dyDescent="0.25">
      <c r="M238" s="8"/>
    </row>
    <row r="239" spans="4:13" x14ac:dyDescent="0.25">
      <c r="M239" s="8"/>
    </row>
    <row r="240" spans="4: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B2319-AD94-4DBF-AC3A-B3E90AB764B5}">
  <dimension ref="A1:AI235"/>
  <sheetViews>
    <sheetView showGridLines="0" topLeftCell="B16"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0" customFormat="1" ht="30" customHeight="1" x14ac:dyDescent="0.35">
      <c r="A1" s="16" t="e" vm="1">
        <v>#VALUE!</v>
      </c>
      <c r="C1" s="30" t="s">
        <v>977</v>
      </c>
      <c r="AG1"/>
      <c r="AH1"/>
      <c r="AI1"/>
    </row>
    <row r="2" spans="1:35" s="3" customFormat="1" ht="20.100000000000001" customHeight="1" x14ac:dyDescent="0.25">
      <c r="A2"/>
      <c r="AG2"/>
      <c r="AH2"/>
      <c r="AI2"/>
    </row>
    <row r="3" spans="1:35" ht="20.100000000000001" customHeight="1" x14ac:dyDescent="0.25">
      <c r="A3" s="5" t="str">
        <f>HYPERLINK("#'Home'!A1", "Home")</f>
        <v>Home</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Agresidue_SourceData.CropPurposeAndYield_Title()</f>
        <v>Crop purpose and yield</v>
      </c>
    </row>
    <row r="6" spans="1:35" ht="20.100000000000001" customHeight="1" x14ac:dyDescent="0.25"/>
    <row r="7" spans="1:35" ht="20.100000000000001" customHeight="1" x14ac:dyDescent="0.25">
      <c r="D7" s="259" t="s">
        <v>978</v>
      </c>
      <c r="E7" s="259" t="s">
        <v>979</v>
      </c>
      <c r="F7" s="259" t="s">
        <v>980</v>
      </c>
      <c r="G7" s="259" t="s">
        <v>981</v>
      </c>
      <c r="H7" s="259" t="s">
        <v>982</v>
      </c>
      <c r="I7" s="259" t="s">
        <v>983</v>
      </c>
      <c r="J7" s="259" t="s">
        <v>984</v>
      </c>
      <c r="K7" s="259" t="s">
        <v>985</v>
      </c>
      <c r="AG7" s="1"/>
      <c r="AH7" s="1"/>
      <c r="AI7" s="1"/>
    </row>
    <row r="8" spans="1:35" ht="20.100000000000001" customHeight="1" x14ac:dyDescent="0.25">
      <c r="A8" s="7"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5" t="str">
        <f>HYPERLINK("#'Input - Enterprise'!A1", "Enterprise")</f>
        <v>Enterprise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Site'!A1", "Site")</f>
        <v>Site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Dairy'!A1", "Dairy")</f>
        <v>Dairy</v>
      </c>
    </row>
    <row r="12" spans="1:35" ht="20.100000000000001" customHeight="1" x14ac:dyDescent="0.25">
      <c r="A12" s="5" t="str">
        <f>HYPERLINK("#'Input - Dairy (Enteric)'!A1", "Dairy (Enteric)")</f>
        <v>Dairy (Enteric)</v>
      </c>
    </row>
    <row r="13" spans="1:35" ht="20.100000000000001" customHeight="1" x14ac:dyDescent="0.25">
      <c r="A13" s="5" t="str">
        <f>HYPERLINK("#'Input - Livestock sales'!A1", "Livestock sales")</f>
        <v>Livestock sales</v>
      </c>
    </row>
    <row r="14" spans="1:35" ht="20.100000000000001" customHeight="1" x14ac:dyDescent="0.25">
      <c r="A14" s="5" t="str">
        <f>HYPERLINK("#'Input - Dairy cattle purchases'!A1", "Dairy cattle purchases")</f>
        <v>Dairy cattle purchases</v>
      </c>
    </row>
    <row r="15" spans="1:35" ht="20.100000000000001" customHeight="1" x14ac:dyDescent="0.25">
      <c r="A15" s="5" t="str">
        <f>HYPERLINK("#'Input - Pasture'!A1", "Pasture")</f>
        <v>Pasture</v>
      </c>
      <c r="D15" s="2" t="str" cm="1">
        <f t="array" ref="D15">Agresidue_SourceData.CropAttributes_Title()</f>
        <v>Table A.2.1.1: Crop attributes</v>
      </c>
      <c r="E15" s="8"/>
      <c r="F15" s="8"/>
      <c r="G15" s="8"/>
      <c r="H15" s="8"/>
      <c r="I15" s="8"/>
      <c r="J15" s="8"/>
      <c r="K15" s="8"/>
      <c r="L15" s="8"/>
    </row>
    <row r="16" spans="1:35" ht="20.100000000000001" customHeight="1" x14ac:dyDescent="0.25">
      <c r="A16" s="5" t="str">
        <f>HYPERLINK("#'Input - Fert Prod System'!A1", "Fert Prod System")</f>
        <v>Fert Prod System</v>
      </c>
      <c r="D16" s="27" t="str" cm="1">
        <f t="array" ref="D16">Agresidue_SourceData.CropAttributes_Source()</f>
        <v>VEERG 2026: Table A.2.1.1: Crop attributes</v>
      </c>
      <c r="E16" s="8"/>
      <c r="F16" s="8"/>
      <c r="G16" s="8"/>
      <c r="H16" s="8"/>
      <c r="I16" s="8"/>
      <c r="J16" s="8"/>
      <c r="K16" s="8"/>
      <c r="L16" s="8"/>
    </row>
    <row r="17" spans="1:14" ht="20.100000000000001" customHeight="1" x14ac:dyDescent="0.25">
      <c r="A17" s="5" t="str">
        <f>HYPERLINK("#'Input - Fertiliser'!A1", "Fertiliser")</f>
        <v>Fertiliser</v>
      </c>
      <c r="D17" s="35"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5" t="str">
        <f>HYPERLINK("#'Input - Fuel'!A1", "Fuel")</f>
        <v>Fuel</v>
      </c>
      <c r="D18" s="8"/>
      <c r="E18" s="8"/>
      <c r="F18" s="8"/>
      <c r="G18" s="8"/>
      <c r="H18" s="8"/>
      <c r="I18" s="8"/>
      <c r="J18" s="8"/>
      <c r="K18" s="8"/>
      <c r="L18" s="8"/>
    </row>
    <row r="19" spans="1:14" ht="20.100000000000001" customHeight="1" x14ac:dyDescent="0.25">
      <c r="A19" s="5" t="str">
        <f>HYPERLINK("#'Input - Electricity'!A1", "Electricity")</f>
        <v>Electricity</v>
      </c>
      <c r="D19" t="s">
        <v>169</v>
      </c>
      <c r="E19" t="s">
        <v>986</v>
      </c>
      <c r="F19" t="s">
        <v>987</v>
      </c>
      <c r="G19" t="s">
        <v>988</v>
      </c>
      <c r="H19" t="s">
        <v>989</v>
      </c>
      <c r="I19" t="s">
        <v>990</v>
      </c>
      <c r="J19" t="s">
        <v>991</v>
      </c>
      <c r="K19" t="s">
        <v>992</v>
      </c>
      <c r="L19" t="s">
        <v>993</v>
      </c>
      <c r="N19" s="2" t="s">
        <v>497</v>
      </c>
    </row>
    <row r="20" spans="1:14" ht="20.100000000000001" customHeight="1" x14ac:dyDescent="0.25">
      <c r="A20" s="5" t="str">
        <f>HYPERLINK("#'Input - Farm Inputs'!A1", "Farm Inputs")</f>
        <v>Farm Inputs</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A21" s="5" t="str">
        <f>HYPERLINK("#'Input - Freight'!A1", "Freight")</f>
        <v>Freight</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29" t="s">
        <v>64</v>
      </c>
    </row>
    <row r="22" spans="1:14" ht="20.100000000000001" customHeight="1" x14ac:dyDescent="0.25">
      <c r="A22" s="5" t="str">
        <f>HYPERLINK("#'Input - Manure sent off-site'!A1", "Manure sent off-site")</f>
        <v>Manure sent off-site</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29" t="s">
        <v>502</v>
      </c>
    </row>
    <row r="23" spans="1:14" ht="20.100000000000001" customHeight="1" x14ac:dyDescent="0.25">
      <c r="A23" s="5" t="str">
        <f>HYPERLINK("#'Input - Solid waste'!A1", "Solid waste")</f>
        <v>Solid waste</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29" t="s">
        <v>503</v>
      </c>
    </row>
    <row r="24" spans="1:14" ht="20.100000000000001" customHeight="1" x14ac:dyDescent="0.25">
      <c r="A24" s="5" t="str">
        <f>HYPERLINK("#'Input - Data quality'!A1", "Data quality")</f>
        <v>Data quality</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260</v>
      </c>
    </row>
    <row r="25" spans="1:14" ht="20.100000000000001" customHeight="1" x14ac:dyDescent="0.25">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504</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505</v>
      </c>
    </row>
    <row r="27" spans="1:14" ht="20.100000000000001" customHeight="1" x14ac:dyDescent="0.25">
      <c r="A27" s="6" t="s">
        <v>2</v>
      </c>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A28" s="5" t="str">
        <f>HYPERLINK("#'5.1.1.1-2 Inorganic fert N2O'!A1", "5.1.1.1-2 Inorganic fert N2O")</f>
        <v>5.1.1.1-2 Inorganic fert N2O</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5" t="str">
        <f>HYPERLINK("#'5.1.1.3-4 Inorganic fert CO2'!A1", "5.1.1.3-4 Inorganic fert CO2")</f>
        <v>5.1.1.3-4 Inorganic fert CO2</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HYPERLINK("#'5.2.1.1-2 Organic Fert N2O'!A1", "5.2.1.1-2 Organic fert N2O")</f>
        <v>5.2.1.1-2 Organic fert N2O</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HYPERLINK("#'5.3.1.1-2 Lime CO2'!A1", "5.3.1.1-2 Lime CO2")</f>
        <v>5.3.1.1-2 Lime CO2</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HYPERLINK("#'5.4.1.1-4 Atmos deposition'!A1", "5.4.1.1-4 Atmos. deposition")</f>
        <v>5.4.1.1-4 Atmos. deposition</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HYPERLINK("#'5.5.1.1-2 Leaching and runoff'!A1", "5.5.1.1-2 Leaching &amp; runoff")</f>
        <v>5.5.1.1-2 Leaching &amp; runoff</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HYPERLINK("#'6.2.1.1-2 Pasture residue N2O'!A1", "6.2.1.1-2 Pasture residue N2O")</f>
        <v>6.2.1.1-2 Pasture residue N2O</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A35" s="5" t="str">
        <f>HYPERLINK("#'6.3.1.1-2 Leach runoff pasture'!A1", "6.3.1.1-2 Leach &amp; runoff (pasture)")</f>
        <v>6.3.1.1-2 Leach &amp; runoff (pasture)</v>
      </c>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A36" s="5" t="str">
        <f>HYPERLINK("#'8.1.1.1-2 Transport fuel'!A1", "8.1.1.1-2 Transport fuel")</f>
        <v>8.1.1.1-2 Transport fuel</v>
      </c>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5" t="str">
        <f>HYPERLINK("#'8.2.1.1-2 Stationary fuel'!A1", "8.2.1.1-2 Stationary fuel")</f>
        <v>8.2.1.1-2 Stationary fuel</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HYPERLINK("#'14.1.1-2 Purchased electricity'!A1", "14.1.1-2 Purchased electricity")</f>
        <v>14.1.1-2 Purchased electricity</v>
      </c>
      <c r="D38" s="8"/>
      <c r="E38" s="8"/>
      <c r="F38" s="8"/>
      <c r="G38" s="8"/>
      <c r="H38" s="8"/>
      <c r="I38" s="8"/>
      <c r="J38" s="8"/>
      <c r="K38" s="8"/>
      <c r="L38" s="8"/>
    </row>
    <row r="39" spans="1:13" ht="20.100000000000001" customHeight="1" x14ac:dyDescent="0.25">
      <c r="A39" s="5" t="str">
        <f>HYPERLINK("#'15 Scope 3'!A1", "15 Scope 3")</f>
        <v>15 Scope 3</v>
      </c>
      <c r="D39" s="8"/>
      <c r="E39" s="8"/>
      <c r="F39" s="8"/>
      <c r="G39" s="8"/>
      <c r="H39" s="8"/>
      <c r="I39" s="8"/>
      <c r="J39" s="8"/>
      <c r="K39" s="8"/>
      <c r="L39" s="8"/>
    </row>
    <row r="40" spans="1:13" ht="20.100000000000001" customHeight="1" x14ac:dyDescent="0.25">
      <c r="A40" s="5" t="str">
        <f>HYPERLINK("#'Calcs - Manure sent off-site'!A1", "Calcs - Manure sent off-site")</f>
        <v>Calcs - Manure sent off-site</v>
      </c>
      <c r="D40" s="2" t="str" cm="1">
        <f t="array" ref="D40">Agresidue_SourceData.N2OEFOrganicFertiliser_Title()</f>
        <v>Emission factor for organic fertiliser and crop residues returned to the soil</v>
      </c>
      <c r="E40" s="34"/>
      <c r="F40" s="34"/>
      <c r="G40" s="8"/>
      <c r="H40" s="8"/>
      <c r="I40" s="8"/>
      <c r="J40" s="8"/>
      <c r="K40" s="8"/>
      <c r="L40" s="8"/>
    </row>
    <row r="41" spans="1:13" ht="20.100000000000001" customHeight="1" x14ac:dyDescent="0.25">
      <c r="A41" s="5" t="str">
        <f>HYPERLINK("#'4.3.1.1-2 Methane'!A1", "4.3.1.1-2 Methane")</f>
        <v>4.3.1.1-2 Methane</v>
      </c>
      <c r="D41" s="27" t="str" cm="1">
        <f t="array" ref="D41">Agresidue_SourceData.N2OEFOrganicFertiliser_Source()</f>
        <v>VEERG 2026: Table A.2.1.4</v>
      </c>
      <c r="E41" s="34"/>
      <c r="F41" s="34"/>
      <c r="G41" s="8"/>
      <c r="H41" s="8"/>
      <c r="I41" s="8"/>
      <c r="J41" s="8"/>
      <c r="K41" s="8"/>
      <c r="L41" s="8"/>
    </row>
    <row r="42" spans="1:13" ht="20.100000000000001" customHeight="1" x14ac:dyDescent="0.25">
      <c r="A42" s="5" t="str">
        <f>HYPERLINK("#'4.3.1.3-4 Direct N20'!A1", "4.3.1.3-4 Direct N20")</f>
        <v>4.3.1.3-4 Direct N20</v>
      </c>
      <c r="D42" s="27"/>
      <c r="E42" s="34"/>
      <c r="F42" s="34"/>
      <c r="H42" s="8"/>
      <c r="I42" s="8"/>
      <c r="M42" s="34"/>
    </row>
    <row r="43" spans="1:13" ht="20.100000000000001" customHeight="1" x14ac:dyDescent="0.25">
      <c r="A43" s="5" t="str">
        <f>HYPERLINK("#'4.3.1.5 Atmos deposition'!A1", "4.3.1.5 Atmos deposition")</f>
        <v>4.3.1.5 Atmos deposition</v>
      </c>
      <c r="D43" s="199" t="s">
        <v>994</v>
      </c>
      <c r="E43" s="199" t="s">
        <v>995</v>
      </c>
      <c r="F43" s="34"/>
      <c r="H43" s="8"/>
      <c r="I43" s="8"/>
      <c r="M43" s="34"/>
    </row>
    <row r="44" spans="1:13" ht="20.100000000000001" customHeight="1" x14ac:dyDescent="0.25">
      <c r="A44" s="5" t="str">
        <f>HYPERLINK("#'4.3.1.6-7 Leaching and runoff'!A1", "4.3.1.6-7 Leaching and runoff")</f>
        <v>4.3.1.6-7 Leaching and runoff</v>
      </c>
      <c r="D44" s="36" t="str" cm="1">
        <f t="array" ref="D44">Common_InputFunctions.Utility_DisplayArrayInTable(Agresidue_SourceData.N2OEFOrganicFertiliser_Data(), Table_SourceData_N2OEFOrganicFert[[#Headers],[Climate zone type i]], 0)</f>
        <v>Wet climate zone</v>
      </c>
      <c r="E44" s="36" cm="1">
        <f t="array" ref="E44">Common_InputFunctions.Utility_DisplayArrayInTable(Agresidue_SourceData.N2OEFOrganicFertiliser_Data(), Table_SourceData_N2OEFOrganicFert[[#Headers],[Climate zone type i]], 0)</f>
        <v>6.0000000000000001E-3</v>
      </c>
      <c r="F44" s="34"/>
      <c r="H44" s="8"/>
      <c r="I44" s="8"/>
      <c r="M44" s="34"/>
    </row>
    <row r="45" spans="1:13" ht="20.100000000000001" customHeight="1" x14ac:dyDescent="0.25">
      <c r="A45" s="5" t="str">
        <f>HYPERLINK("#'4.3.1.8 Manure applied to soils'!A1", "4.3.1.8 Manure applied to soils")</f>
        <v>4.3.1.8 Manure applied to soils</v>
      </c>
      <c r="D45" s="36" t="str" cm="1">
        <f t="array" ref="D45">Common_InputFunctions.Utility_DisplayArrayInTable(Agresidue_SourceData.N2OEFOrganicFertiliser_Data(), Table_SourceData_N2OEFOrganicFert[[#Headers],[Climate zone type i]], 0)</f>
        <v>Dry climate zone</v>
      </c>
      <c r="E45" s="36" cm="1">
        <f t="array" ref="E45">Common_InputFunctions.Utility_DisplayArrayInTable(Agresidue_SourceData.N2OEFOrganicFertiliser_Data(), Table_SourceData_N2OEFOrganicFert[[#Headers],[Climate zone type i]], 0)</f>
        <v>5.0000000000000001E-3</v>
      </c>
      <c r="F45" s="34"/>
      <c r="H45" s="8"/>
      <c r="I45" s="8"/>
      <c r="M45" s="34"/>
    </row>
    <row r="46" spans="1:13" ht="20.100000000000001" customHeight="1" x14ac:dyDescent="0.25">
      <c r="A46" s="5" t="str">
        <f>HYPERLINK("#'4.3.1.9 Soil direct N2O'!A1", "4.3.1.9 Soil direct N2O")</f>
        <v>4.3.1.9 Soil direct N2O</v>
      </c>
      <c r="H46" s="8"/>
      <c r="I46" s="8"/>
      <c r="M46" s="34"/>
    </row>
    <row r="47" spans="1:13" ht="20.100000000000001" customHeight="1" x14ac:dyDescent="0.25">
      <c r="A47" s="5" t="str">
        <f>HYPERLINK("#'4.3.1.10-11 Soil Atmos Dep'!A1", "4.3.1.10-11 Soil Atmos Dep")</f>
        <v>4.3.1.10-11 Soil Atmos Dep</v>
      </c>
      <c r="M47" s="34"/>
    </row>
    <row r="48" spans="1:13" ht="20.100000000000001" customHeight="1" x14ac:dyDescent="0.25">
      <c r="A48" s="5" t="str">
        <f>HYPERLINK("#'4.3.1.12-13 Soil leach runoff'!A1", "4.3.1.12-13 Soil leach runoff")</f>
        <v>4.3.1.12-13 Soil leach runoff</v>
      </c>
      <c r="D48" s="2" t="str" cm="1">
        <f t="array" ref="D48">Agresidue_SourceData.PastureAttributes_Title()</f>
        <v>Table A.2.1.3 Pasture attributes</v>
      </c>
      <c r="K48" s="8"/>
      <c r="L48" s="8"/>
    </row>
    <row r="49" spans="1:12" ht="20.100000000000001" customHeight="1" x14ac:dyDescent="0.25">
      <c r="A49" s="5" t="str">
        <f>HYPERLINK("#'3.3.1.1-2 Enteric Methane'!A1", "3.3.1.1-2 Enteric Methane")</f>
        <v>3.3.1.1-2 Enteric Methane</v>
      </c>
      <c r="D49" s="27" t="str" cm="1">
        <f t="array" ref="D49">Agresidue_SourceData.PastureAttributes_Source()</f>
        <v>VEERG 2026: Table A.2.1.3: Pasture attributes</v>
      </c>
      <c r="K49" s="8"/>
      <c r="L49" s="8"/>
    </row>
    <row r="50" spans="1:12" ht="20.100000000000001" customHeight="1" x14ac:dyDescent="0.25">
      <c r="A50" s="5" t="str">
        <f>HYPERLINK("#'10.1.1-2 Solid waste treatment'!A1", "10.1.1-2 Solid waste treatment")</f>
        <v>10.1.1-2 Solid waste treatment</v>
      </c>
      <c r="K50" s="8"/>
      <c r="L50" s="8"/>
    </row>
    <row r="51" spans="1:12" ht="20.100000000000001" customHeight="1" x14ac:dyDescent="0.25">
      <c r="D51" s="29" t="s">
        <v>946</v>
      </c>
      <c r="E51" s="29" t="s">
        <v>996</v>
      </c>
      <c r="F51" s="29" t="s">
        <v>997</v>
      </c>
      <c r="G51" s="29" t="s">
        <v>998</v>
      </c>
      <c r="H51" s="29" t="s">
        <v>999</v>
      </c>
      <c r="I51" s="29" t="s">
        <v>1000</v>
      </c>
      <c r="K51" s="8"/>
      <c r="L51" s="8"/>
    </row>
    <row r="52" spans="1:12" ht="20.100000000000001" customHeight="1" x14ac:dyDescent="0.25">
      <c r="D52" s="29" t="str" cm="1">
        <f t="array" ref="D52">Common_InputFunctions.Utility_DisplayArrayInTable(Agresidue_SourceData.PastureAttributes_Data(), Table_SourceData_PastureAttributes[[#Headers],[Pasture type]], 0)</f>
        <v>Annual grass</v>
      </c>
      <c r="E52" s="29" cm="1">
        <f t="array" ref="E52">Common_InputFunctions.Utility_DisplayArrayInTable(Agresidue_SourceData.PastureAttributes_Data(), Table_SourceData_PastureAttributes[[#Headers],[Pasture type]], 0)</f>
        <v>4.41</v>
      </c>
      <c r="F52" s="29" cm="1">
        <f t="array" ref="F52">Common_InputFunctions.Utility_DisplayArrayInTable(Agresidue_SourceData.PastureAttributes_Data(), Table_SourceData_PastureAttributes[[#Headers],[Pasture type]], 0)</f>
        <v>0.4</v>
      </c>
      <c r="G52" s="29" cm="1">
        <f t="array" ref="G52">Common_InputFunctions.Utility_DisplayArrayInTable(Agresidue_SourceData.PastureAttributes_Data(), Table_SourceData_PastureAttributes[[#Headers],[Pasture type]], 0)</f>
        <v>1.4999999999999999E-2</v>
      </c>
      <c r="H52" s="29" cm="1">
        <f t="array" ref="H52">Common_InputFunctions.Utility_DisplayArrayInTable(Agresidue_SourceData.PastureAttributes_Data(), Table_SourceData_PastureAttributes[[#Headers],[Pasture type]], 0)</f>
        <v>1.2E-2</v>
      </c>
      <c r="I52" s="29" cm="1">
        <f t="array" ref="I52">Common_InputFunctions.Utility_DisplayArrayInTable(Agresidue_SourceData.PastureAttributes_Data(), Table_SourceData_PastureAttributes[[#Headers],[Pasture type]], 0)</f>
        <v>0.8</v>
      </c>
      <c r="L52" s="8"/>
    </row>
    <row r="53" spans="1:12" ht="20.100000000000001" customHeight="1" x14ac:dyDescent="0.25">
      <c r="A53" s="100" t="s">
        <v>1</v>
      </c>
      <c r="D53" s="29" t="str" cm="1">
        <f t="array" ref="D53">Common_InputFunctions.Utility_DisplayArrayInTable(Agresidue_SourceData.PastureAttributes_Data(), Table_SourceData_PastureAttributes[[#Headers],[Pasture type]], 0)</f>
        <v>Grass clover mixture</v>
      </c>
      <c r="E53" s="29" cm="1">
        <f t="array" ref="E53">Common_InputFunctions.Utility_DisplayArrayInTable(Agresidue_SourceData.PastureAttributes_Data(), Table_SourceData_PastureAttributes[[#Headers],[Pasture type]], 0)</f>
        <v>8.34</v>
      </c>
      <c r="F53" s="29" cm="1">
        <f t="array" ref="F53">Common_InputFunctions.Utility_DisplayArrayInTable(Agresidue_SourceData.PastureAttributes_Data(), Table_SourceData_PastureAttributes[[#Headers],[Pasture type]], 0)</f>
        <v>0.8</v>
      </c>
      <c r="G53" s="29" cm="1">
        <f t="array" ref="G53">Common_InputFunctions.Utility_DisplayArrayInTable(Agresidue_SourceData.PastureAttributes_Data(), Table_SourceData_PastureAttributes[[#Headers],[Pasture type]], 0)</f>
        <v>2.5000000000000001E-2</v>
      </c>
      <c r="H53" s="29" cm="1">
        <f t="array" ref="H53">Common_InputFunctions.Utility_DisplayArrayInTable(Agresidue_SourceData.PastureAttributes_Data(), Table_SourceData_PastureAttributes[[#Headers],[Pasture type]], 0)</f>
        <v>1.6E-2</v>
      </c>
      <c r="I53" s="29" cm="1">
        <f t="array" ref="I53">Common_InputFunctions.Utility_DisplayArrayInTable(Agresidue_SourceData.PastureAttributes_Data(), Table_SourceData_PastureAttributes[[#Headers],[Pasture type]], 0)</f>
        <v>0.8</v>
      </c>
      <c r="L53" s="8"/>
    </row>
    <row r="54" spans="1:12" ht="20.100000000000001" customHeight="1" x14ac:dyDescent="0.25">
      <c r="A54" s="5" t="str">
        <f>HYPERLINK("#'Constants - Dairy'!A1", "Constants - Dairy")</f>
        <v>Constants - Dairy</v>
      </c>
      <c r="D54" s="29" t="str" cm="1">
        <f t="array" ref="D54">Common_InputFunctions.Utility_DisplayArrayInTable(Agresidue_SourceData.PastureAttributes_Data(), Table_SourceData_PastureAttributes[[#Headers],[Pasture type]], 0)</f>
        <v>Lucerne</v>
      </c>
      <c r="E54" s="29" cm="1">
        <f t="array" ref="E54">Common_InputFunctions.Utility_DisplayArrayInTable(Agresidue_SourceData.PastureAttributes_Data(), Table_SourceData_PastureAttributes[[#Headers],[Pasture type]], 0)</f>
        <v>8.6199999999999992</v>
      </c>
      <c r="F54" s="29" cm="1">
        <f t="array" ref="F54">Common_InputFunctions.Utility_DisplayArrayInTable(Agresidue_SourceData.PastureAttributes_Data(), Table_SourceData_PastureAttributes[[#Headers],[Pasture type]], 0)</f>
        <v>0.4</v>
      </c>
      <c r="G54" s="29" cm="1">
        <f t="array" ref="G54">Common_InputFunctions.Utility_DisplayArrayInTable(Agresidue_SourceData.PastureAttributes_Data(), Table_SourceData_PastureAttributes[[#Headers],[Pasture type]], 0)</f>
        <v>2.7E-2</v>
      </c>
      <c r="H54" s="29" cm="1">
        <f t="array" ref="H54">Common_InputFunctions.Utility_DisplayArrayInTable(Agresidue_SourceData.PastureAttributes_Data(), Table_SourceData_PastureAttributes[[#Headers],[Pasture type]], 0)</f>
        <v>1.9E-2</v>
      </c>
      <c r="I54" s="29" cm="1">
        <f t="array" ref="I54">Common_InputFunctions.Utility_DisplayArrayInTable(Agresidue_SourceData.PastureAttributes_Data(), Table_SourceData_PastureAttributes[[#Headers],[Pasture type]], 0)</f>
        <v>0.8</v>
      </c>
    </row>
    <row r="55" spans="1:12" ht="20.100000000000001" customHeight="1" x14ac:dyDescent="0.25">
      <c r="A55" s="148" t="str">
        <f>HYPERLINK("#'Constants - Ag Residue'!A1", "Constants - Ag residue")</f>
        <v>Constants - Ag residue</v>
      </c>
      <c r="D55" s="29" t="str" cm="1">
        <f t="array" ref="D55">Common_InputFunctions.Utility_DisplayArrayInTable(Agresidue_SourceData.PastureAttributes_Data(), Table_SourceData_PastureAttributes[[#Headers],[Pasture type]], 0)</f>
        <v>Other legume</v>
      </c>
      <c r="E55" s="29" cm="1">
        <f t="array" ref="E55">Common_InputFunctions.Utility_DisplayArrayInTable(Agresidue_SourceData.PastureAttributes_Data(), Table_SourceData_PastureAttributes[[#Headers],[Pasture type]], 0)</f>
        <v>5.62</v>
      </c>
      <c r="F55" s="29" cm="1">
        <f t="array" ref="F55">Common_InputFunctions.Utility_DisplayArrayInTable(Agresidue_SourceData.PastureAttributes_Data(), Table_SourceData_PastureAttributes[[#Headers],[Pasture type]], 0)</f>
        <v>0.4</v>
      </c>
      <c r="G55" s="29" cm="1">
        <f t="array" ref="G55">Common_InputFunctions.Utility_DisplayArrayInTable(Agresidue_SourceData.PastureAttributes_Data(), Table_SourceData_PastureAttributes[[#Headers],[Pasture type]], 0)</f>
        <v>2.7E-2</v>
      </c>
      <c r="H55" s="29" cm="1">
        <f t="array" ref="H55">Common_InputFunctions.Utility_DisplayArrayInTable(Agresidue_SourceData.PastureAttributes_Data(), Table_SourceData_PastureAttributes[[#Headers],[Pasture type]], 0)</f>
        <v>2.1999999999999999E-2</v>
      </c>
      <c r="I55" s="29" cm="1">
        <f t="array" ref="I55">Common_InputFunctions.Utility_DisplayArrayInTable(Agresidue_SourceData.PastureAttributes_Data(), Table_SourceData_PastureAttributes[[#Headers],[Pasture type]], 0)</f>
        <v>0.8</v>
      </c>
    </row>
    <row r="56" spans="1:12" ht="20.100000000000001" customHeight="1" x14ac:dyDescent="0.25">
      <c r="A56" s="5" t="str">
        <f>HYPERLINK("#'Constants - Common Livestock'!A1", "Constants - Common Livestock")</f>
        <v>Constants - Common Livestock</v>
      </c>
      <c r="D56" s="29" t="str" cm="1">
        <f t="array" ref="D56">Common_InputFunctions.Utility_DisplayArrayInTable(Agresidue_SourceData.PastureAttributes_Data(), Table_SourceData_PastureAttributes[[#Headers],[Pasture type]], 0)</f>
        <v>Perennial pasture</v>
      </c>
      <c r="E56" s="29" cm="1">
        <f t="array" ref="E56">Common_InputFunctions.Utility_DisplayArrayInTable(Agresidue_SourceData.PastureAttributes_Data(), Table_SourceData_PastureAttributes[[#Headers],[Pasture type]], 0)</f>
        <v>8.35</v>
      </c>
      <c r="F56" s="29" cm="1">
        <f t="array" ref="F56">Common_InputFunctions.Utility_DisplayArrayInTable(Agresidue_SourceData.PastureAttributes_Data(), Table_SourceData_PastureAttributes[[#Headers],[Pasture type]], 0)</f>
        <v>0.8</v>
      </c>
      <c r="G56" s="29" cm="1">
        <f t="array" ref="G56">Common_InputFunctions.Utility_DisplayArrayInTable(Agresidue_SourceData.PastureAttributes_Data(), Table_SourceData_PastureAttributes[[#Headers],[Pasture type]], 0)</f>
        <v>1.4999999999999999E-2</v>
      </c>
      <c r="H56" s="29" cm="1">
        <f t="array" ref="H56">Common_InputFunctions.Utility_DisplayArrayInTable(Agresidue_SourceData.PastureAttributes_Data(), Table_SourceData_PastureAttributes[[#Headers],[Pasture type]], 0)</f>
        <v>1.2E-2</v>
      </c>
      <c r="I56" s="29" cm="1">
        <f t="array" ref="I56">Common_InputFunctions.Utility_DisplayArrayInTable(Agresidue_SourceData.PastureAttributes_Data(), Table_SourceData_PastureAttributes[[#Headers],[Pasture type]], 0)</f>
        <v>0.8</v>
      </c>
    </row>
    <row r="57" spans="1:12" ht="20.100000000000001" customHeight="1" x14ac:dyDescent="0.25">
      <c r="A57" s="5" t="str">
        <f>HYPERLINK("#'Constants - Electricity'!A1", "Constants - Electricity")</f>
        <v>Constants - Electricity</v>
      </c>
      <c r="H57" s="8"/>
    </row>
    <row r="58" spans="1:12" ht="20.100000000000001" customHeight="1" x14ac:dyDescent="0.25">
      <c r="A58" s="5" t="str">
        <f>HYPERLINK("#'Constants - Fertiliser'!A1", "Constants - Fertiliser")</f>
        <v>Constants - Fertiliser</v>
      </c>
    </row>
    <row r="59" spans="1:12" ht="20.100000000000001" customHeight="1" x14ac:dyDescent="0.25">
      <c r="A59" s="5" t="str">
        <f>HYPERLINK("#'Constants - Fuel'!A1", "Constants - Fuel")</f>
        <v>Constants - Fuel</v>
      </c>
      <c r="D59" s="2" t="str" cm="1">
        <f t="array" ref="D59">AgResidues_SourceData.BurningOfAgriculturalResiduesEFs_Title()</f>
        <v>Table 5.31 Burning of agricultural residues - EFs</v>
      </c>
    </row>
    <row r="60" spans="1:12" ht="20.100000000000001" customHeight="1" x14ac:dyDescent="0.25">
      <c r="A60" s="5" t="str">
        <f>HYPERLINK("#'Constants - Scope 3'!A1", "Constants - Scope 3")</f>
        <v>Constants - Scope 3</v>
      </c>
      <c r="D60" s="27" t="str" cm="1">
        <f t="array" ref="D60">AgResidues_SourceData.BurningOfAgriculturalResiduesEFs_Source()</f>
        <v>National Inventory Report 2023 volume 2: Table 5.31: Burning of agricultural residues - EFs</v>
      </c>
    </row>
    <row r="61" spans="1:12" ht="20.100000000000001" customHeight="1" x14ac:dyDescent="0.25">
      <c r="A61" s="5" t="str">
        <f>HYPERLINK("#'Constants - Common'!A1", "Constants - Common")</f>
        <v>Constants - Common</v>
      </c>
    </row>
    <row r="62" spans="1:12" ht="20.100000000000001" customHeight="1" x14ac:dyDescent="0.25">
      <c r="A62" s="5" t="str">
        <f>HYPERLINK("#'Acknowledgements'!A1", "Acknowledgements")</f>
        <v>Acknowledgements</v>
      </c>
      <c r="D62" s="29" t="s">
        <v>1001</v>
      </c>
      <c r="E62" s="29" t="s">
        <v>1002</v>
      </c>
      <c r="F62" s="29" t="s">
        <v>1003</v>
      </c>
    </row>
    <row r="63" spans="1:12" ht="20.100000000000001" customHeight="1" x14ac:dyDescent="0.25">
      <c r="A63" s="5" t="str">
        <f>HYPERLINK("#'Constants - Solid Waste'!A1", "Constants - Solid Waste")</f>
        <v>Constants - Solid Waste</v>
      </c>
      <c r="D63" s="29" t="str" cm="1">
        <f t="array" ref="D63">Common_InputFunctions.Utility_DisplayArrayInTable(AgResidues_SourceData.BurningOfAgriculturalResiduesEFs_Data(), Table_SourceData_BurningResidueEFs[[#Headers],[Gas species]], 0)</f>
        <v>CH4</v>
      </c>
      <c r="E63" s="29" cm="1">
        <f t="array" ref="E63">Common_InputFunctions.Utility_DisplayArrayInTable(AgResidues_SourceData.BurningOfAgriculturalResiduesEFs_Data(), Table_SourceData_BurningResidueEFs[[#Headers],[Gas species]], 0)</f>
        <v>3.5000000000000001E-3</v>
      </c>
      <c r="F63" s="29" t="str" cm="1">
        <f t="array" ref="F63">Common_InputFunctions.Utility_DisplayArrayInTable(AgResidues_SourceData.BurningOfAgriculturalResiduesEFs_Data(), Table_SourceData_BurningResidueEFs[[#Headers],[Gas species]], 0)</f>
        <v>16/12</v>
      </c>
      <c r="K63" s="8"/>
      <c r="L63" s="8"/>
    </row>
    <row r="64" spans="1:12" ht="20.100000000000001" customHeight="1" x14ac:dyDescent="0.25">
      <c r="D64" s="1" t="str" cm="1">
        <f t="array" ref="D64">Common_InputFunctions.Utility_DisplayArrayInTable(AgResidues_SourceData.BurningOfAgriculturalResiduesEFs_Data(), Table_SourceData_BurningResidueEFs[[#Headers],[Gas species]], 0)</f>
        <v>N2O</v>
      </c>
      <c r="E64" s="29" cm="1">
        <f t="array" ref="E64">Common_InputFunctions.Utility_DisplayArrayInTable(AgResidues_SourceData.BurningOfAgriculturalResiduesEFs_Data(), Table_SourceData_BurningResidueEFs[[#Headers],[Gas species]], 0)</f>
        <v>7.6E-3</v>
      </c>
      <c r="F64" s="29"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29" cm="1">
        <f t="array" ref="E65">Common_InputFunctions.Utility_DisplayArrayInTable(AgResidues_SourceData.BurningOfAgriculturalResiduesEFs_Data(), Table_SourceData_BurningResidueEFs[[#Headers],[Gas species]], 0)</f>
        <v>0.21</v>
      </c>
      <c r="F65" s="29"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29" cm="1">
        <f t="array" ref="E66">Common_InputFunctions.Utility_DisplayArrayInTable(AgResidues_SourceData.BurningOfAgriculturalResiduesEFs_Data(), Table_SourceData_BurningResidueEFs[[#Headers],[Gas species]], 0)</f>
        <v>7.8E-2</v>
      </c>
      <c r="F66" s="29"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29" cm="1">
        <f t="array" ref="E67">Common_InputFunctions.Utility_DisplayArrayInTable(AgResidues_SourceData.BurningOfAgriculturalResiduesEFs_Data(), Table_SourceData_BurningResidueEFs[[#Headers],[Gas species]], 0)</f>
        <v>9.1000000000000004E-3</v>
      </c>
      <c r="F67" s="29"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5">
      <c r="K68" s="8"/>
      <c r="L68" s="8"/>
    </row>
    <row r="69" spans="4:12" ht="20.100000000000001" customHeight="1" x14ac:dyDescent="0.25">
      <c r="K69" s="8"/>
      <c r="L69" s="8"/>
    </row>
    <row r="70" spans="4:12" ht="20.100000000000001" customHeight="1" x14ac:dyDescent="0.25">
      <c r="D70" s="2" t="str" cm="1">
        <f t="array" ref="D70">Agresidue_SourceData.CropFractionRemoved_Title()</f>
        <v>Table A.2.1.2: Crop attributes - Fraction removed (FFODc)</v>
      </c>
      <c r="E70" s="8"/>
      <c r="F70" s="8"/>
      <c r="G70" s="8"/>
      <c r="K70" s="8"/>
      <c r="L70" s="8"/>
    </row>
    <row r="71" spans="4:12" ht="20.100000000000001" customHeight="1" x14ac:dyDescent="0.25">
      <c r="D71" s="27" t="str" cm="1">
        <f t="array" ref="D71">Agresidue_SourceData.CropFractionRemoved_Source()</f>
        <v>VEERG 2026: Table A.2.1.2: Crop attributes - Fraction removed (FFODc)</v>
      </c>
      <c r="E71" s="8"/>
      <c r="F71" s="8"/>
      <c r="G71" s="8"/>
      <c r="K71" s="8"/>
      <c r="L71" s="8"/>
    </row>
    <row r="72" spans="4:12" ht="20.100000000000001" customHeight="1" x14ac:dyDescent="0.25">
      <c r="D72" s="8"/>
      <c r="E72" s="8"/>
      <c r="F72" s="8"/>
      <c r="G72" s="8"/>
      <c r="K72" s="8"/>
      <c r="L72" s="8"/>
    </row>
    <row r="73" spans="4:12" ht="20.100000000000001" customHeight="1" x14ac:dyDescent="0.25">
      <c r="D73" t="s">
        <v>1004</v>
      </c>
      <c r="E73" t="s">
        <v>99</v>
      </c>
      <c r="F73" t="s">
        <v>1005</v>
      </c>
      <c r="G73" s="8"/>
      <c r="K73" s="8"/>
      <c r="L73" s="8"/>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35"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1004</v>
      </c>
      <c r="E92" t="s">
        <v>99</v>
      </c>
      <c r="F92" t="s">
        <v>1005</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5EB2C-08AC-47FE-97B8-9E93BF9E9DE9}">
  <dimension ref="A1:M63"/>
  <sheetViews>
    <sheetView showGridLines="0" topLeftCell="A2"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6" t="e" vm="1">
        <v>#VALUE!</v>
      </c>
      <c r="C1" s="30" t="s">
        <v>1283</v>
      </c>
      <c r="D1" s="30"/>
      <c r="E1" s="30"/>
      <c r="F1" s="30"/>
      <c r="G1" s="30"/>
      <c r="H1" s="30"/>
      <c r="I1" s="30"/>
      <c r="J1" s="30"/>
      <c r="K1" s="30"/>
      <c r="L1" s="30"/>
      <c r="M1" s="30"/>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32"/>
      <c r="D3" s="32"/>
      <c r="E3" s="32"/>
      <c r="F3" s="32"/>
      <c r="G3" s="32"/>
      <c r="H3" s="32"/>
      <c r="I3" s="32"/>
      <c r="J3" s="32"/>
      <c r="K3" s="32"/>
      <c r="L3" s="32"/>
      <c r="M3" s="32"/>
    </row>
    <row r="4" spans="1:13" ht="20.100000000000001" customHeight="1" x14ac:dyDescent="0.25">
      <c r="A4" s="5" t="str">
        <f>HYPERLINK("#'Overview'!A1", "Overview")</f>
        <v>Overview</v>
      </c>
    </row>
    <row r="5" spans="1:13" ht="20.100000000000001" customHeight="1" x14ac:dyDescent="0.25">
      <c r="A5" s="5" t="str">
        <f>HYPERLINK("#'Results'!A1", "Results")</f>
        <v>Results</v>
      </c>
    </row>
    <row r="6" spans="1:13" ht="20.100000000000001" customHeight="1" x14ac:dyDescent="0.25">
      <c r="D6" s="2" t="str" cm="1">
        <f t="array" ref="D6">CommonLivestock_SourceData.SourceData_Livestock_Common_SymbolsMMS_Title()</f>
        <v>Table 5.12 Additional symbols used in algorithms for manure related emissions</v>
      </c>
      <c r="E6" s="34"/>
      <c r="F6" s="34"/>
      <c r="G6" s="34"/>
      <c r="H6" s="34"/>
    </row>
    <row r="7" spans="1:13" ht="20.100000000000001" customHeight="1" x14ac:dyDescent="0.25">
      <c r="D7" s="34" t="str" cm="1">
        <f t="array" ref="D7">CommonLivestock_SourceData.SourceData_Livestock_Common_SymbolsMMS_Vairable()</f>
        <v>MMS</v>
      </c>
      <c r="E7" s="34"/>
      <c r="F7" s="34"/>
      <c r="G7" s="34"/>
      <c r="H7" s="34"/>
    </row>
    <row r="8" spans="1:13" ht="20.100000000000001" customHeight="1" x14ac:dyDescent="0.25">
      <c r="A8" s="7" t="s">
        <v>0</v>
      </c>
      <c r="D8" s="27" t="str" cm="1">
        <f t="array" ref="D8">CommonLivestock_SourceData.SourceData_Livestock_Common_SymbolsMMS_Source()</f>
        <v>National Inventory Report 2023 Volume 1: Table 5.12</v>
      </c>
      <c r="E8" s="34"/>
      <c r="F8" s="34"/>
      <c r="G8" s="34"/>
      <c r="H8" s="34"/>
    </row>
    <row r="9" spans="1:13" ht="20.100000000000001" customHeight="1" x14ac:dyDescent="0.25">
      <c r="A9" s="5" t="str">
        <f>HYPERLINK("#'Input - Enterprise'!A1", "Enterprise")</f>
        <v>Enterprise</v>
      </c>
      <c r="D9" s="36" t="s">
        <v>1284</v>
      </c>
      <c r="E9" s="29" t="s">
        <v>1285</v>
      </c>
      <c r="F9" s="29" t="s">
        <v>500</v>
      </c>
      <c r="G9" s="34"/>
    </row>
    <row r="10" spans="1:13" ht="20.100000000000001" customHeight="1" x14ac:dyDescent="0.25">
      <c r="A10" s="5" t="str">
        <f>HYPERLINK("#'Input - Site'!A1", "Site")</f>
        <v>Site</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4"/>
    </row>
    <row r="11" spans="1:13" ht="20.100000000000001" customHeight="1" x14ac:dyDescent="0.25">
      <c r="A11" s="5" t="str">
        <f>HYPERLINK("#'Input - Dairy'!A1", "Dairy")</f>
        <v>Dairy</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4"/>
    </row>
    <row r="12" spans="1:13" ht="20.100000000000001" customHeight="1" x14ac:dyDescent="0.25">
      <c r="A12" s="5" t="str">
        <f>HYPERLINK("#'Input - Dairy (Enteric)'!A1", "Dairy (Enteric)")</f>
        <v>Dairy (Enteric)</v>
      </c>
      <c r="D12" s="29" t="str" cm="1">
        <f t="array" ref="D12">Common_InputFunctions.Utility_DisplayArrayInTable(CommonLivestock_SourceData.SourceData_Livestock_Common_SymbolsMMS_Data(), Table_Data_MMSSymbols[[#Headers],[Symbol]], 0)</f>
        <v>3</v>
      </c>
      <c r="E12" s="29" t="str" cm="1">
        <f t="array" ref="E12">Common_InputFunctions.Utility_DisplayArrayInTable(CommonLivestock_SourceData.SourceData_Livestock_Common_SymbolsMMS_Data(), Table_Data_MMSSymbols[[#Headers],[Symbol]], 0)</f>
        <v>Daily spread</v>
      </c>
      <c r="F12" s="29" t="str" cm="1">
        <f t="array" ref="F12">Common_InputFunctions.Utility_DisplayArrayInTable(CommonLivestock_SourceData.SourceData_Livestock_Common_SymbolsMMS_Data(), Table_Data_MMSSymbols[[#Headers],[Symbol]], 0)</f>
        <v>Daily spread (m=3)</v>
      </c>
      <c r="G12" s="34"/>
    </row>
    <row r="13" spans="1:13" ht="20.100000000000001" customHeight="1" x14ac:dyDescent="0.25">
      <c r="A13" s="5" t="str">
        <f>HYPERLINK("#'Input - Livestock sales'!A1", "Livestock sales")</f>
        <v>Livestock sales</v>
      </c>
      <c r="D13" s="29" t="str" cm="1">
        <f t="array" ref="D13">Common_InputFunctions.Utility_DisplayArrayInTable(CommonLivestock_SourceData.SourceData_Livestock_Common_SymbolsMMS_Data(), Table_Data_MMSSymbols[[#Headers],[Symbol]], 0)</f>
        <v>3a</v>
      </c>
      <c r="E13" s="29" t="str" cm="1">
        <f t="array" ref="E13">Common_InputFunctions.Utility_DisplayArrayInTable(CommonLivestock_SourceData.SourceData_Livestock_Common_SymbolsMMS_Data(), Table_Data_MMSSymbols[[#Headers],[Symbol]], 0)</f>
        <v>Sump and dispersal system</v>
      </c>
      <c r="F13" s="29" t="str" cm="1">
        <f t="array" ref="F13">Common_InputFunctions.Utility_DisplayArrayInTable(CommonLivestock_SourceData.SourceData_Livestock_Common_SymbolsMMS_Data(), Table_Data_MMSSymbols[[#Headers],[Symbol]], 0)</f>
        <v>Sump and dispersal system (m=3a)</v>
      </c>
      <c r="G13" s="34"/>
    </row>
    <row r="14" spans="1:13" ht="20.100000000000001" customHeight="1" x14ac:dyDescent="0.25">
      <c r="A14" s="5" t="str">
        <f>HYPERLINK("#'Input - Dairy cattle purchases'!A1", "Dairy cattle purchases")</f>
        <v>Dairy cattle purchases</v>
      </c>
      <c r="D14" s="29" t="str" cm="1">
        <f t="array" ref="D14">Common_InputFunctions.Utility_DisplayArrayInTable(CommonLivestock_SourceData.SourceData_Livestock_Common_SymbolsMMS_Data(), Table_Data_MMSSymbols[[#Headers],[Symbol]], 0)</f>
        <v>3b</v>
      </c>
      <c r="E14" s="29" t="str" cm="1">
        <f t="array" ref="E14">Common_InputFunctions.Utility_DisplayArrayInTable(CommonLivestock_SourceData.SourceData_Livestock_Common_SymbolsMMS_Data(), Table_Data_MMSSymbols[[#Headers],[Symbol]], 0)</f>
        <v>Drains to paddock</v>
      </c>
      <c r="F14" s="29" t="str" cm="1">
        <f t="array" ref="F14">Common_InputFunctions.Utility_DisplayArrayInTable(CommonLivestock_SourceData.SourceData_Livestock_Common_SymbolsMMS_Data(), Table_Data_MMSSymbols[[#Headers],[Symbol]], 0)</f>
        <v>Drains to paddock (m=3b)</v>
      </c>
      <c r="G14" s="34"/>
    </row>
    <row r="15" spans="1:13" ht="20.100000000000001" customHeight="1" x14ac:dyDescent="0.25">
      <c r="A15" s="5" t="str">
        <f>HYPERLINK("#'Input - Pasture'!A1", "Pasture")</f>
        <v>Pasture</v>
      </c>
      <c r="D15" s="29" t="str" cm="1">
        <f t="array" ref="D15">Common_InputFunctions.Utility_DisplayArrayInTable(CommonLivestock_SourceData.SourceData_Livestock_Common_SymbolsMMS_Data(), Table_Data_MMSSymbols[[#Headers],[Symbol]], 0)</f>
        <v>4</v>
      </c>
      <c r="E15" s="29" t="str" cm="1">
        <f t="array" ref="E15">Common_InputFunctions.Utility_DisplayArrayInTable(CommonLivestock_SourceData.SourceData_Livestock_Common_SymbolsMMS_Data(), Table_Data_MMSSymbols[[#Headers],[Symbol]], 0)</f>
        <v>Solid storage</v>
      </c>
      <c r="F15" s="29" t="str" cm="1">
        <f t="array" ref="F15">Common_InputFunctions.Utility_DisplayArrayInTable(CommonLivestock_SourceData.SourceData_Livestock_Common_SymbolsMMS_Data(), Table_Data_MMSSymbols[[#Headers],[Symbol]], 0)</f>
        <v>Solid storage (m=4)</v>
      </c>
      <c r="G15" s="34"/>
    </row>
    <row r="16" spans="1:13" ht="20.100000000000001" customHeight="1" x14ac:dyDescent="0.25">
      <c r="A16" s="5" t="str">
        <f>HYPERLINK("#'Input - Fert Prod System'!A1", "Fert Prod System")</f>
        <v>Fert Prod System</v>
      </c>
      <c r="D16" s="29" t="str" cm="1">
        <f t="array" ref="D16">Common_InputFunctions.Utility_DisplayArrayInTable(CommonLivestock_SourceData.SourceData_Livestock_Common_SymbolsMMS_Data(), Table_Data_MMSSymbols[[#Headers],[Symbol]], 0)</f>
        <v>5</v>
      </c>
      <c r="E16" s="29" t="str" cm="1">
        <f t="array" ref="E16">Common_InputFunctions.Utility_DisplayArrayInTable(CommonLivestock_SourceData.SourceData_Livestock_Common_SymbolsMMS_Data(), Table_Data_MMSSymbols[[#Headers],[Symbol]], 0)</f>
        <v>Drylot (feed pad)</v>
      </c>
      <c r="F16" s="29" t="str" cm="1">
        <f t="array" ref="F16">Common_InputFunctions.Utility_DisplayArrayInTable(CommonLivestock_SourceData.SourceData_Livestock_Common_SymbolsMMS_Data(), Table_Data_MMSSymbols[[#Headers],[Symbol]], 0)</f>
        <v>Drylot (feed pad) (m=5)</v>
      </c>
      <c r="G16" s="34"/>
    </row>
    <row r="17" spans="1:8" ht="20.100000000000001" customHeight="1" x14ac:dyDescent="0.25">
      <c r="A17" s="5" t="str">
        <f>HYPERLINK("#'Input - Fertiliser'!A1", "Fertiliser")</f>
        <v>Fertiliser</v>
      </c>
      <c r="D17" s="29" t="str" cm="1">
        <f t="array" ref="D17">Common_InputFunctions.Utility_DisplayArrayInTable(CommonLivestock_SourceData.SourceData_Livestock_Common_SymbolsMMS_Data(), Table_Data_MMSSymbols[[#Headers],[Symbol]], 0)</f>
        <v>6</v>
      </c>
      <c r="E17" s="29" t="str" cm="1">
        <f t="array" ref="E17">Common_InputFunctions.Utility_DisplayArrayInTable(CommonLivestock_SourceData.SourceData_Livestock_Common_SymbolsMMS_Data(), Table_Data_MMSSymbols[[#Headers],[Symbol]], 0)</f>
        <v>Composting (passive windrow)</v>
      </c>
      <c r="F17" s="29" t="str" cm="1">
        <f t="array" ref="F17">Common_InputFunctions.Utility_DisplayArrayInTable(CommonLivestock_SourceData.SourceData_Livestock_Common_SymbolsMMS_Data(), Table_Data_MMSSymbols[[#Headers],[Symbol]], 0)</f>
        <v>Composting (passive windrow) (m=6)</v>
      </c>
      <c r="G17" s="34"/>
    </row>
    <row r="18" spans="1:8" ht="20.100000000000001" customHeight="1" x14ac:dyDescent="0.25">
      <c r="A18" s="5" t="str">
        <f>HYPERLINK("#'Input - Fuel'!A1", "Fuel")</f>
        <v>Fuel</v>
      </c>
      <c r="D18" s="29" t="str" cm="1">
        <f t="array" ref="D18">Common_InputFunctions.Utility_DisplayArrayInTable(CommonLivestock_SourceData.SourceData_Livestock_Common_SymbolsMMS_Data(), Table_Data_MMSSymbols[[#Headers],[Symbol]], 0)</f>
        <v>7</v>
      </c>
      <c r="E18" s="29" t="str" cm="1">
        <f t="array" ref="E18">Common_InputFunctions.Utility_DisplayArrayInTable(CommonLivestock_SourceData.SourceData_Livestock_Common_SymbolsMMS_Data(), Table_Data_MMSSymbols[[#Headers],[Symbol]], 0)</f>
        <v>Digester / covered lagoons</v>
      </c>
      <c r="F18" s="29" t="str" cm="1">
        <f t="array" ref="F18">Common_InputFunctions.Utility_DisplayArrayInTable(CommonLivestock_SourceData.SourceData_Livestock_Common_SymbolsMMS_Data(), Table_Data_MMSSymbols[[#Headers],[Symbol]], 0)</f>
        <v>Digester / covered lagoons (m=7)</v>
      </c>
      <c r="G18" s="34"/>
    </row>
    <row r="19" spans="1:8" ht="20.100000000000001" customHeight="1" x14ac:dyDescent="0.25">
      <c r="A19" s="5" t="str">
        <f>HYPERLINK("#'Input - Electricity'!A1", "Electricity")</f>
        <v>Electricity</v>
      </c>
      <c r="D19" s="29" t="str" cm="1">
        <f t="array" ref="D19">Common_InputFunctions.Utility_DisplayArrayInTable(CommonLivestock_SourceData.SourceData_Livestock_Common_SymbolsMMS_Data(), Table_Data_MMSSymbols[[#Headers],[Symbol]], 0)</f>
        <v>8</v>
      </c>
      <c r="E19" s="29" t="str" cm="1">
        <f t="array" ref="E19">Common_InputFunctions.Utility_DisplayArrayInTable(CommonLivestock_SourceData.SourceData_Livestock_Common_SymbolsMMS_Data(), Table_Data_MMSSymbols[[#Headers],[Symbol]], 0)</f>
        <v>Deep litter</v>
      </c>
      <c r="F19" s="29" t="str" cm="1">
        <f t="array" ref="F19">Common_InputFunctions.Utility_DisplayArrayInTable(CommonLivestock_SourceData.SourceData_Livestock_Common_SymbolsMMS_Data(), Table_Data_MMSSymbols[[#Headers],[Symbol]], 0)</f>
        <v>Deep litter (m=8)</v>
      </c>
      <c r="G19" s="34"/>
    </row>
    <row r="20" spans="1:8" ht="20.100000000000001" customHeight="1" x14ac:dyDescent="0.25">
      <c r="A20" s="5" t="str">
        <f>HYPERLINK("#'Input - Farm Inputs'!A1", "Farm Inputs")</f>
        <v>Farm Inputs</v>
      </c>
      <c r="D20" s="29" t="str" cm="1">
        <f t="array" ref="D20">Common_InputFunctions.Utility_DisplayArrayInTable(CommonLivestock_SourceData.SourceData_Livestock_Common_SymbolsMMS_Data(), Table_Data_MMSSymbols[[#Headers],[Symbol]], 0)</f>
        <v>9</v>
      </c>
      <c r="E20" s="29" t="str" cm="1">
        <f t="array" ref="E20">Common_InputFunctions.Utility_DisplayArrayInTable(CommonLivestock_SourceData.SourceData_Livestock_Common_SymbolsMMS_Data(), Table_Data_MMSSymbols[[#Headers],[Symbol]], 0)</f>
        <v>Pit storage</v>
      </c>
      <c r="F20" s="29" t="str" cm="1">
        <f t="array" ref="F20">Common_InputFunctions.Utility_DisplayArrayInTable(CommonLivestock_SourceData.SourceData_Livestock_Common_SymbolsMMS_Data(), Table_Data_MMSSymbols[[#Headers],[Symbol]], 0)</f>
        <v>Pit storage (m=9)</v>
      </c>
      <c r="G20" s="34"/>
    </row>
    <row r="21" spans="1:8" ht="20.100000000000001" customHeight="1" x14ac:dyDescent="0.25">
      <c r="A21" s="5" t="str">
        <f>HYPERLINK("#'Input - Freight'!A1", "Freight")</f>
        <v>Freight</v>
      </c>
      <c r="D21" s="29" t="str" cm="1">
        <f t="array" ref="D21">Common_InputFunctions.Utility_DisplayArrayInTable(CommonLivestock_SourceData.SourceData_Livestock_Common_SymbolsMMS_Data(), Table_Data_MMSSymbols[[#Headers],[Symbol]], 0)</f>
        <v>10</v>
      </c>
      <c r="E21" s="29" t="str" cm="1">
        <f t="array" ref="E21">Common_InputFunctions.Utility_DisplayArrayInTable(CommonLivestock_SourceData.SourceData_Livestock_Common_SymbolsMMS_Data(), Table_Data_MMSSymbols[[#Headers],[Symbol]], 0)</f>
        <v>Poultry manure with bedding</v>
      </c>
      <c r="F21" s="29" t="str" cm="1">
        <f t="array" ref="F21">Common_InputFunctions.Utility_DisplayArrayInTable(CommonLivestock_SourceData.SourceData_Livestock_Common_SymbolsMMS_Data(), Table_Data_MMSSymbols[[#Headers],[Symbol]], 0)</f>
        <v>Poultry manure with bedding (m=10)</v>
      </c>
      <c r="G21" s="34"/>
    </row>
    <row r="22" spans="1:8" ht="20.100000000000001" customHeight="1" x14ac:dyDescent="0.25">
      <c r="A22" s="5" t="str">
        <f>HYPERLINK("#'Input - Manure sent off-site'!A1", "Manure sent off-site")</f>
        <v>Manure sent off-site</v>
      </c>
      <c r="D22" s="29" t="str" cm="1">
        <f t="array" ref="D22">Common_InputFunctions.Utility_DisplayArrayInTable(CommonLivestock_SourceData.SourceData_Livestock_Common_SymbolsMMS_Data(), Table_Data_MMSSymbols[[#Headers],[Symbol]], 0)</f>
        <v>11</v>
      </c>
      <c r="E22" s="29" t="str" cm="1">
        <f t="array" ref="E22">Common_InputFunctions.Utility_DisplayArrayInTable(CommonLivestock_SourceData.SourceData_Livestock_Common_SymbolsMMS_Data(), Table_Data_MMSSymbols[[#Headers],[Symbol]], 0)</f>
        <v>Poultry manure without bedding</v>
      </c>
      <c r="F22" s="29" t="str" cm="1">
        <f t="array" ref="F22">Common_InputFunctions.Utility_DisplayArrayInTable(CommonLivestock_SourceData.SourceData_Livestock_Common_SymbolsMMS_Data(), Table_Data_MMSSymbols[[#Headers],[Symbol]], 0)</f>
        <v>Poultry manure without bedding (m=11)</v>
      </c>
      <c r="G22" s="34"/>
    </row>
    <row r="23" spans="1:8" ht="20.100000000000001" customHeight="1" x14ac:dyDescent="0.25">
      <c r="A23" s="5" t="str">
        <f>HYPERLINK("#'Input - Solid waste'!A1", "Solid waste")</f>
        <v>Solid waste</v>
      </c>
      <c r="D23" s="29" t="str" cm="1">
        <f t="array" ref="D23">Common_InputFunctions.Utility_DisplayArrayInTable(CommonLivestock_SourceData.SourceData_Livestock_Common_SymbolsMMS_Data(), Table_Data_MMSSymbols[[#Headers],[Symbol]], 0)</f>
        <v>11a</v>
      </c>
      <c r="E23" s="29" t="str" cm="1">
        <f t="array" ref="E23">Common_InputFunctions.Utility_DisplayArrayInTable(CommonLivestock_SourceData.SourceData_Livestock_Common_SymbolsMMS_Data(), Table_Data_MMSSymbols[[#Headers],[Symbol]], 0)</f>
        <v>Belt manure removal</v>
      </c>
      <c r="F23" s="29" t="str" cm="1">
        <f t="array" ref="F23">Common_InputFunctions.Utility_DisplayArrayInTable(CommonLivestock_SourceData.SourceData_Livestock_Common_SymbolsMMS_Data(), Table_Data_MMSSymbols[[#Headers],[Symbol]], 0)</f>
        <v>Belt manure removal (m=11a)</v>
      </c>
      <c r="G23" s="34"/>
    </row>
    <row r="24" spans="1:8" ht="20.100000000000001" customHeight="1" x14ac:dyDescent="0.25">
      <c r="A24" s="5" t="str">
        <f>HYPERLINK("#'Input - Data quality'!A1", "Data quality")</f>
        <v>Data quality</v>
      </c>
      <c r="D24" s="29" t="str" cm="1">
        <f t="array" ref="D24">Common_InputFunctions.Utility_DisplayArrayInTable(CommonLivestock_SourceData.SourceData_Livestock_Common_SymbolsMMS_Data(), Table_Data_MMSSymbols[[#Headers],[Symbol]], 0)</f>
        <v>11b</v>
      </c>
      <c r="E24" s="29" t="str" cm="1">
        <f t="array" ref="E24">Common_InputFunctions.Utility_DisplayArrayInTable(CommonLivestock_SourceData.SourceData_Livestock_Common_SymbolsMMS_Data(), Table_Data_MMSSymbols[[#Headers],[Symbol]], 0)</f>
        <v>Manure stored in house</v>
      </c>
      <c r="F24" s="29" t="str" cm="1">
        <f t="array" ref="F24">Common_InputFunctions.Utility_DisplayArrayInTable(CommonLivestock_SourceData.SourceData_Livestock_Common_SymbolsMMS_Data(), Table_Data_MMSSymbols[[#Headers],[Symbol]], 0)</f>
        <v>Manure stored in house (m=11b)</v>
      </c>
      <c r="G24" s="34"/>
    </row>
    <row r="25" spans="1:8" ht="20.100000000000001" customHeight="1" x14ac:dyDescent="0.25">
      <c r="D25" s="29" t="str" cm="1">
        <f t="array" ref="D25">Common_InputFunctions.Utility_DisplayArrayInTable(CommonLivestock_SourceData.SourceData_Livestock_Common_SymbolsMMS_Data(), Table_Data_MMSSymbols[[#Headers],[Symbol]], 0)</f>
        <v>12</v>
      </c>
      <c r="E25" s="29" t="str" cm="1">
        <f t="array" ref="E25">Common_InputFunctions.Utility_DisplayArrayInTable(CommonLivestock_SourceData.SourceData_Livestock_Common_SymbolsMMS_Data(), Table_Data_MMSSymbols[[#Headers],[Symbol]], 0)</f>
        <v>Direct processing</v>
      </c>
      <c r="F25" s="29" t="str" cm="1">
        <f t="array" ref="F25">Common_InputFunctions.Utility_DisplayArrayInTable(CommonLivestock_SourceData.SourceData_Livestock_Common_SymbolsMMS_Data(), Table_Data_MMSSymbols[[#Headers],[Symbol]], 0)</f>
        <v>Direct processing (m=12)</v>
      </c>
      <c r="G25" s="34"/>
    </row>
    <row r="26" spans="1:8" ht="20.100000000000001" customHeight="1" x14ac:dyDescent="0.25">
      <c r="D26" s="29" t="str" cm="1">
        <f t="array" ref="D26">Common_InputFunctions.Utility_DisplayArrayInTable(CommonLivestock_SourceData.SourceData_Livestock_Common_SymbolsMMS_Data(), Table_Data_MMSSymbols[[#Headers],[Symbol]], 0)</f>
        <v>13</v>
      </c>
      <c r="E26" s="29" t="str" cm="1">
        <f t="array" ref="E26">Common_InputFunctions.Utility_DisplayArrayInTable(CommonLivestock_SourceData.SourceData_Livestock_Common_SymbolsMMS_Data(), Table_Data_MMSSymbols[[#Headers],[Symbol]], 0)</f>
        <v>Direct application</v>
      </c>
      <c r="F26" s="29" t="str" cm="1">
        <f t="array" ref="F26">Common_InputFunctions.Utility_DisplayArrayInTable(CommonLivestock_SourceData.SourceData_Livestock_Common_SymbolsMMS_Data(), Table_Data_MMSSymbols[[#Headers],[Symbol]], 0)</f>
        <v>Direct application (m=13)</v>
      </c>
      <c r="G26" s="34"/>
    </row>
    <row r="27" spans="1:8" ht="20.100000000000001" customHeight="1" x14ac:dyDescent="0.25">
      <c r="A27" s="6" t="s">
        <v>2</v>
      </c>
      <c r="D27" s="29" t="str" cm="1">
        <f t="array" ref="D27">Common_InputFunctions.Utility_DisplayArrayInTable(CommonLivestock_SourceData.SourceData_Livestock_Common_SymbolsMMS_Data(), Table_Data_MMSSymbols[[#Headers],[Symbol]], 0)</f>
        <v>14</v>
      </c>
      <c r="E27" s="29" t="str" cm="1">
        <f t="array" ref="E27">Common_InputFunctions.Utility_DisplayArrayInTable(CommonLivestock_SourceData.SourceData_Livestock_Common_SymbolsMMS_Data(), Table_Data_MMSSymbols[[#Headers],[Symbol]], 0)</f>
        <v>Pasture range and paddock</v>
      </c>
      <c r="F27" s="29" t="str" cm="1">
        <f t="array" ref="F27">Common_InputFunctions.Utility_DisplayArrayInTable(CommonLivestock_SourceData.SourceData_Livestock_Common_SymbolsMMS_Data(), Table_Data_MMSSymbols[[#Headers],[Symbol]], 0)</f>
        <v>Pasture range and paddock (m=14)</v>
      </c>
      <c r="G27" s="34"/>
    </row>
    <row r="28" spans="1:8" ht="20.100000000000001" customHeight="1" x14ac:dyDescent="0.25">
      <c r="A28" s="5" t="str">
        <f>HYPERLINK("#'5.1.1.1-2 Inorganic fert N2O'!A1", "5.1.1.1-2 Inorganic fert N2O")</f>
        <v>5.1.1.1-2 Inorganic fert N2O</v>
      </c>
      <c r="G28" s="34"/>
      <c r="H28" s="34"/>
    </row>
    <row r="29" spans="1:8" ht="20.100000000000001" customHeight="1" x14ac:dyDescent="0.25">
      <c r="A29" s="5" t="str">
        <f>HYPERLINK("#'5.1.1.3-4 Inorganic fert CO2'!A1", "5.1.1.3-4 Inorganic fert CO2")</f>
        <v>5.1.1.3-4 Inorganic fert CO2</v>
      </c>
    </row>
    <row r="30" spans="1:8" ht="20.100000000000001" customHeight="1" x14ac:dyDescent="0.25">
      <c r="A30" s="5" t="str">
        <f>HYPERLINK("#'5.2.1.1-2 Organic Fert N2O'!A1", "5.2.1.1-2 Organic fert N2O")</f>
        <v>5.2.1.1-2 Organic fert N2O</v>
      </c>
    </row>
    <row r="31" spans="1:8" ht="20.100000000000001" customHeight="1" x14ac:dyDescent="0.25">
      <c r="A31" s="5" t="str">
        <f>HYPERLINK("#'5.3.1.1-2 Lime CO2'!A1", "5.3.1.1-2 Lime CO2")</f>
        <v>5.3.1.1-2 Lime CO2</v>
      </c>
    </row>
    <row r="32" spans="1:8" ht="20.100000000000001" customHeight="1" x14ac:dyDescent="0.25">
      <c r="A32" s="5" t="str">
        <f>HYPERLINK("#'5.4.1.1-4 Atmos deposition'!A1", "5.4.1.1-4 Atmos. deposition")</f>
        <v>5.4.1.1-4 Atmos. deposition</v>
      </c>
    </row>
    <row r="33" spans="1:1" ht="20.100000000000001" customHeight="1" x14ac:dyDescent="0.25">
      <c r="A33" s="5" t="str">
        <f>HYPERLINK("#'5.5.1.1-2 Leaching and runoff'!A1", "5.5.1.1-2 Leaching &amp; runoff")</f>
        <v>5.5.1.1-2 Leaching &amp; runoff</v>
      </c>
    </row>
    <row r="34" spans="1:1" ht="20.100000000000001" customHeight="1" x14ac:dyDescent="0.25">
      <c r="A34" s="5" t="str">
        <f>HYPERLINK("#'6.2.1.1-2 Pasture residue N2O'!A1", "6.2.1.1-2 Pasture residue N2O")</f>
        <v>6.2.1.1-2 Pasture residue N2O</v>
      </c>
    </row>
    <row r="35" spans="1:1" ht="20.100000000000001" customHeight="1" x14ac:dyDescent="0.25">
      <c r="A35" s="5" t="str">
        <f>HYPERLINK("#'6.3.1.1-2 Leach runoff pasture'!A1", "6.3.1.1-2 Leach &amp; runoff (pasture)")</f>
        <v>6.3.1.1-2 Leach &amp; runoff (pasture)</v>
      </c>
    </row>
    <row r="36" spans="1:1" ht="20.100000000000001" customHeight="1" x14ac:dyDescent="0.25">
      <c r="A36" s="5" t="str">
        <f>HYPERLINK("#'8.1.1.1-2 Transport fuel'!A1", "8.1.1.1-2 Transport fuel")</f>
        <v>8.1.1.1-2 Transport fuel</v>
      </c>
    </row>
    <row r="37" spans="1:1" ht="20.100000000000001" customHeight="1" x14ac:dyDescent="0.25">
      <c r="A37" s="5" t="str">
        <f>HYPERLINK("#'8.2.1.1-2 Stationary fuel'!A1", "8.2.1.1-2 Stationary fuel")</f>
        <v>8.2.1.1-2 Stationary fuel</v>
      </c>
    </row>
    <row r="38" spans="1:1" ht="20.100000000000001" customHeight="1" x14ac:dyDescent="0.25">
      <c r="A38" s="5" t="str">
        <f>HYPERLINK("#'14.1.1-2 Purchased electricity'!A1", "14.1.1-2 Purchased electricity")</f>
        <v>14.1.1-2 Purchased electricity</v>
      </c>
    </row>
    <row r="39" spans="1:1" ht="20.100000000000001" customHeight="1" x14ac:dyDescent="0.25">
      <c r="A39" s="5" t="str">
        <f>HYPERLINK("#'15 Scope 3'!A1", "15 Scope 3")</f>
        <v>15 Scope 3</v>
      </c>
    </row>
    <row r="40" spans="1:1" ht="20.100000000000001" customHeight="1" x14ac:dyDescent="0.25">
      <c r="A40" s="5" t="str">
        <f>HYPERLINK("#'Calcs - Manure sent off-site'!A1", "Calcs - Manure sent off-site")</f>
        <v>Calcs - Manure sent off-site</v>
      </c>
    </row>
    <row r="41" spans="1:1" ht="20.100000000000001" customHeight="1" x14ac:dyDescent="0.25">
      <c r="A41" s="5" t="str">
        <f>HYPERLINK("#'4.3.1.1-2 Methane'!A1", "4.3.1.1-2 Methane")</f>
        <v>4.3.1.1-2 Methane</v>
      </c>
    </row>
    <row r="42" spans="1:1" ht="20.100000000000001" customHeight="1" x14ac:dyDescent="0.25">
      <c r="A42" s="5" t="str">
        <f>HYPERLINK("#'4.3.1.3-4 Direct N20'!A1", "4.3.1.3-4 Direct N20")</f>
        <v>4.3.1.3-4 Direct N20</v>
      </c>
    </row>
    <row r="43" spans="1:1" ht="20.100000000000001" customHeight="1" x14ac:dyDescent="0.25">
      <c r="A43" s="5" t="str">
        <f>HYPERLINK("#'4.3.1.5 Atmos deposition'!A1", "4.3.1.5 Atmos deposition")</f>
        <v>4.3.1.5 Atmos deposition</v>
      </c>
    </row>
    <row r="44" spans="1:1" ht="20.100000000000001" customHeight="1" x14ac:dyDescent="0.25">
      <c r="A44" s="5" t="str">
        <f>HYPERLINK("#'4.3.1.6-7 Leaching and runoff'!A1", "4.3.1.6-7 Leaching and runoff")</f>
        <v>4.3.1.6-7 Leaching and runoff</v>
      </c>
    </row>
    <row r="45" spans="1:1" ht="20.100000000000001" customHeight="1" x14ac:dyDescent="0.25">
      <c r="A45" s="5" t="str">
        <f>HYPERLINK("#'4.3.1.8 Manure applied to soils'!A1", "4.3.1.8 Manure applied to soils")</f>
        <v>4.3.1.8 Manure applied to soils</v>
      </c>
    </row>
    <row r="46" spans="1:1" ht="20.100000000000001" customHeight="1" x14ac:dyDescent="0.25">
      <c r="A46" s="5" t="str">
        <f>HYPERLINK("#'4.3.1.9 Soil direct N2O'!A1", "4.3.1.9 Soil direct N2O")</f>
        <v>4.3.1.9 Soil direct N2O</v>
      </c>
    </row>
    <row r="47" spans="1:1" ht="20.100000000000001" customHeight="1" x14ac:dyDescent="0.25">
      <c r="A47" s="5" t="str">
        <f>HYPERLINK("#'4.3.1.10-11 Soil Atmos Dep'!A1", "4.3.1.10-11 Soil Atmos Dep")</f>
        <v>4.3.1.10-11 Soil Atmos Dep</v>
      </c>
    </row>
    <row r="48" spans="1:1" ht="20.100000000000001" customHeight="1" x14ac:dyDescent="0.25">
      <c r="A48" s="5" t="str">
        <f>HYPERLINK("#'4.3.1.12-13 Soil leach runoff'!A1", "4.3.1.12-13 Soil leach runoff")</f>
        <v>4.3.1.12-13 Soil leach runoff</v>
      </c>
    </row>
    <row r="49" spans="1:1" ht="20.100000000000001" customHeight="1" x14ac:dyDescent="0.25">
      <c r="A49" s="5" t="str">
        <f>HYPERLINK("#'3.3.1.1-2 Enteric Methane'!A1", "3.3.1.1-2 Enteric Methane")</f>
        <v>3.3.1.1-2 Enteric Methane</v>
      </c>
    </row>
    <row r="50" spans="1:1" ht="20.100000000000001" customHeight="1" x14ac:dyDescent="0.25">
      <c r="A50" s="5" t="str">
        <f>HYPERLINK("#'10.1.1-2 Solid waste treatment'!A1", "10.1.1-2 Solid waste treatment")</f>
        <v>10.1.1-2 Solid waste treatment</v>
      </c>
    </row>
    <row r="51" spans="1:1" ht="20.100000000000001" customHeight="1" x14ac:dyDescent="0.25"/>
    <row r="52" spans="1:1" ht="20.100000000000001" customHeight="1" x14ac:dyDescent="0.25"/>
    <row r="53" spans="1:1" ht="20.100000000000001" customHeight="1" x14ac:dyDescent="0.25">
      <c r="A53" s="100" t="s">
        <v>1</v>
      </c>
    </row>
    <row r="54" spans="1:1" ht="20.100000000000001" customHeight="1" x14ac:dyDescent="0.25">
      <c r="A54" s="5" t="str">
        <f>HYPERLINK("#'Constants - Dairy'!A1", "Constants - Dairy")</f>
        <v>Constants - Dairy</v>
      </c>
    </row>
    <row r="55" spans="1:1" ht="20.100000000000001" customHeight="1" x14ac:dyDescent="0.25">
      <c r="A55" s="5" t="str">
        <f>HYPERLINK("#'Constants - Ag Residue'!A1", "Constants - Ag residue")</f>
        <v>Constants - Ag residue</v>
      </c>
    </row>
    <row r="56" spans="1:1" ht="20.100000000000001" customHeight="1" x14ac:dyDescent="0.25">
      <c r="A56" s="148" t="str">
        <f>HYPERLINK("#'Constants - Common Livestock'!A1", "Constants - Common Livestock")</f>
        <v>Constants - Common Livestock</v>
      </c>
    </row>
    <row r="57" spans="1:1" ht="20.100000000000001" customHeight="1" x14ac:dyDescent="0.25">
      <c r="A57" s="5" t="str">
        <f>HYPERLINK("#'Constants - Electricity'!A1", "Constants - Electricity")</f>
        <v>Constants - Electricity</v>
      </c>
    </row>
    <row r="58" spans="1:1" ht="20.100000000000001" customHeight="1" x14ac:dyDescent="0.25">
      <c r="A58" s="5" t="str">
        <f>HYPERLINK("#'Constants - Fertiliser'!A1", "Constants - Fertiliser")</f>
        <v>Constants - Fertiliser</v>
      </c>
    </row>
    <row r="59" spans="1:1" ht="20.100000000000001" customHeight="1" x14ac:dyDescent="0.25">
      <c r="A59" s="5" t="str">
        <f>HYPERLINK("#'Constants - Fuel'!A1", "Constants - Fuel")</f>
        <v>Constants - Fuel</v>
      </c>
    </row>
    <row r="60" spans="1:1" ht="20.100000000000001" customHeight="1" x14ac:dyDescent="0.25">
      <c r="A60" s="5" t="str">
        <f>HYPERLINK("#'Constants - Scope 3'!A1", "Constants - Scope 3")</f>
        <v>Constants - Scope 3</v>
      </c>
    </row>
    <row r="61" spans="1:1" ht="20.100000000000001" customHeight="1" x14ac:dyDescent="0.25">
      <c r="A61" s="5" t="str">
        <f>HYPERLINK("#'Constants - Common'!A1", "Constants - Common")</f>
        <v>Constants - Common</v>
      </c>
    </row>
    <row r="62" spans="1:1" ht="20.100000000000001" customHeight="1" x14ac:dyDescent="0.25">
      <c r="A62" s="5" t="str">
        <f>HYPERLINK("#'Acknowledgements'!A1", "Acknowledgements")</f>
        <v>Acknowledgements</v>
      </c>
    </row>
    <row r="63" spans="1:1" ht="20.100000000000001" customHeight="1" x14ac:dyDescent="0.25">
      <c r="A63" s="5" t="str">
        <f>HYPERLINK("#'Constants - Solid Waste'!A1", "Constants - Solid Waste")</f>
        <v>Constants - Solid Waste</v>
      </c>
    </row>
  </sheetData>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0FB20-F1D7-4EA7-9B87-0ADB94E06245}">
  <dimension ref="A1:AI165"/>
  <sheetViews>
    <sheetView showGridLines="0" topLeftCell="A7"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0" customFormat="1" ht="30" customHeight="1" x14ac:dyDescent="0.35">
      <c r="A1" s="16" t="e" vm="1">
        <v>#VALUE!</v>
      </c>
      <c r="C1" s="30" t="s">
        <v>770</v>
      </c>
      <c r="AG1"/>
      <c r="AH1"/>
      <c r="AI1"/>
    </row>
    <row r="2" spans="1:35" s="3" customFormat="1" ht="20.100000000000001" customHeight="1" x14ac:dyDescent="0.25">
      <c r="A2"/>
      <c r="AG2"/>
      <c r="AH2"/>
      <c r="AI2"/>
    </row>
    <row r="3" spans="1:35" ht="20.100000000000001" customHeight="1" x14ac:dyDescent="0.25">
      <c r="A3" s="5" t="str">
        <f>HYPERLINK("#'Home'!A1", "Home")</f>
        <v>Home</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Electricity_SourceData.Electricity_Scope2Scope3LocationBased_Title()</f>
        <v>Electricity scope 2 and scope 3 location-based emission factors</v>
      </c>
    </row>
    <row r="6" spans="1:35" ht="20.100000000000001" customHeight="1" x14ac:dyDescent="0.25">
      <c r="D6" s="27" t="str" cm="1">
        <f t="array" ref="D6">Electricity_SourceData.Electricity_Scope2Scope3LocationBased_Source()</f>
        <v>Australian National Greenhouse Accounts Factors 2025 - Table 1</v>
      </c>
      <c r="E6" s="8"/>
      <c r="F6" s="8"/>
    </row>
    <row r="7" spans="1:35" ht="20.100000000000001" customHeight="1" x14ac:dyDescent="0.25">
      <c r="D7" s="35" t="str" cm="1">
        <f t="array" ref="D7">"⚠️" &amp; Electricity_SourceData.Electricity_Scope2Scope3LocationBased_Variation()</f>
        <v>⚠️VARIATION OF SOURCE DATA: NSW and ACT split into separate rows.</v>
      </c>
      <c r="E7" s="8"/>
      <c r="F7" s="8"/>
    </row>
    <row r="8" spans="1:35" ht="20.100000000000001" customHeight="1" x14ac:dyDescent="0.25">
      <c r="A8" s="7" t="s">
        <v>0</v>
      </c>
      <c r="D8" s="8"/>
      <c r="E8" s="8"/>
      <c r="F8" s="8"/>
    </row>
    <row r="9" spans="1:35" ht="20.100000000000001" customHeight="1" x14ac:dyDescent="0.25">
      <c r="A9" s="5" t="str">
        <f>HYPERLINK("#'Input - Enterprise'!A1", "Enterprise")</f>
        <v>Enterprise</v>
      </c>
      <c r="D9" s="208" t="s">
        <v>771</v>
      </c>
      <c r="E9" s="208" t="s">
        <v>772</v>
      </c>
      <c r="F9" s="208" t="s">
        <v>773</v>
      </c>
    </row>
    <row r="10" spans="1:35" ht="20.100000000000001" customHeight="1" x14ac:dyDescent="0.25">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Dairy'!A1", "Dairy")</f>
        <v>Dairy</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Dairy (Enteric)'!A1", "Dairy (Enteric)")</f>
        <v>Dairy (Enteric)</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Livestock sales'!A1", "Livestock sales")</f>
        <v>Livestock sales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Dairy cattle purchases'!A1", "Dairy cattle purchases")</f>
        <v>Dairy cattle purchases</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Pasture'!A1", "Pasture")</f>
        <v>Pasture</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5" t="str">
        <f>HYPERLINK("#'Input - Fert Prod System'!A1", "Fert Prod System")</f>
        <v>Fert Prod System</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5" t="str">
        <f>HYPERLINK("#'Input - Fertiliser'!A1", "Fertiliser")</f>
        <v>Fertiliser</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5" t="str">
        <f>HYPERLINK("#'Input - Fuel'!A1", "Fuel")</f>
        <v>Fuel</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HYPERLINK("#'Input - Electricity'!A1", "Electricity")</f>
        <v>Electricity</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HYPERLINK("#'Input - Farm Inputs'!A1", "Farm Inputs")</f>
        <v>Farm Inputs</v>
      </c>
    </row>
    <row r="21" spans="1:8" ht="20.100000000000001" customHeight="1" x14ac:dyDescent="0.25">
      <c r="A21" s="5" t="str">
        <f>HYPERLINK("#'Input - Freight'!A1", "Freight")</f>
        <v>Freight</v>
      </c>
      <c r="D21" s="2" t="str" cm="1">
        <f t="array" ref="D21">Electricity_SourceData.Electricity_Scope2Scope3MarketBased_Title()</f>
        <v>Electricity scope 2 and scope 3 market-based emission factors</v>
      </c>
    </row>
    <row r="22" spans="1:8" ht="20.100000000000001" customHeight="1" x14ac:dyDescent="0.25">
      <c r="A22" s="5" t="str">
        <f>HYPERLINK("#'Input - Manure sent off-site'!A1", "Manure sent off-site")</f>
        <v>Manure sent off-site</v>
      </c>
      <c r="D22" s="27" t="str" cm="1">
        <f t="array" ref="D22">Electricity_SourceData.Electricity_Scope2Scope3MarketBased_Source()</f>
        <v>Australian National Greenhouse Accounts Factors 2025 - Table 2a</v>
      </c>
    </row>
    <row r="23" spans="1:8" ht="20.100000000000001" customHeight="1" x14ac:dyDescent="0.25">
      <c r="A23" s="5" t="str">
        <f>HYPERLINK("#'Input - Solid waste'!A1", "Solid waste")</f>
        <v>Solid waste</v>
      </c>
    </row>
    <row r="24" spans="1:8" ht="20.100000000000001" customHeight="1" x14ac:dyDescent="0.25">
      <c r="A24" s="5" t="str">
        <f>HYPERLINK("#'Input - Data quality'!A1", "Data quality")</f>
        <v>Data quality</v>
      </c>
      <c r="D24" s="199" t="s">
        <v>771</v>
      </c>
      <c r="E24" s="199" t="s">
        <v>774</v>
      </c>
      <c r="F24" s="199" t="s">
        <v>775</v>
      </c>
      <c r="G24" s="199" t="s">
        <v>776</v>
      </c>
      <c r="H24" s="199" t="s">
        <v>777</v>
      </c>
    </row>
    <row r="25" spans="1:8" ht="20.100000000000001" customHeight="1" x14ac:dyDescent="0.25">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c r="A27" s="6" t="s">
        <v>2</v>
      </c>
    </row>
    <row r="28" spans="1:8" ht="20.100000000000001" customHeight="1" x14ac:dyDescent="0.25">
      <c r="A28" s="5" t="str">
        <f>HYPERLINK("#'5.1.1.1-2 Inorganic fert N2O'!A1", "5.1.1.1-2 Inorganic fert N2O")</f>
        <v>5.1.1.1-2 Inorganic fert N2O</v>
      </c>
    </row>
    <row r="29" spans="1:8" ht="20.100000000000001" customHeight="1" x14ac:dyDescent="0.25">
      <c r="A29" s="5" t="str">
        <f>HYPERLINK("#'5.1.1.3-4 Inorganic fert CO2'!A1", "5.1.1.3-4 Inorganic fert CO2")</f>
        <v>5.1.1.3-4 Inorganic fert CO2</v>
      </c>
    </row>
    <row r="30" spans="1:8" ht="20.100000000000001" customHeight="1" x14ac:dyDescent="0.25">
      <c r="A30" s="5" t="str">
        <f>HYPERLINK("#'5.2.1.1-2 Organic Fert N2O'!A1", "5.2.1.1-2 Organic fert N2O")</f>
        <v>5.2.1.1-2 Organic fert N2O</v>
      </c>
    </row>
    <row r="31" spans="1:8" ht="20.100000000000001" customHeight="1" x14ac:dyDescent="0.25">
      <c r="A31" s="5" t="str">
        <f>HYPERLINK("#'5.3.1.1-2 Lime CO2'!A1", "5.3.1.1-2 Lime CO2")</f>
        <v>5.3.1.1-2 Lime CO2</v>
      </c>
    </row>
    <row r="32" spans="1:8" ht="20.100000000000001" customHeight="1" x14ac:dyDescent="0.25">
      <c r="A32" s="5" t="str">
        <f>HYPERLINK("#'5.4.1.1-4 Atmos deposition'!A1", "5.4.1.1-4 Atmos. deposition")</f>
        <v>5.4.1.1-4 Atmos. deposition</v>
      </c>
    </row>
    <row r="33" spans="1:1" ht="20.100000000000001" customHeight="1" x14ac:dyDescent="0.25">
      <c r="A33" s="5" t="str">
        <f>HYPERLINK("#'5.5.1.1-2 Leaching and runoff'!A1", "5.5.1.1-2 Leaching &amp; runoff")</f>
        <v>5.5.1.1-2 Leaching &amp; runoff</v>
      </c>
    </row>
    <row r="34" spans="1:1" ht="20.100000000000001" customHeight="1" x14ac:dyDescent="0.25">
      <c r="A34" s="5" t="str">
        <f>HYPERLINK("#'6.2.1.1-2 Pasture residue N2O'!A1", "6.2.1.1-2 Pasture residue N2O")</f>
        <v>6.2.1.1-2 Pasture residue N2O</v>
      </c>
    </row>
    <row r="35" spans="1:1" ht="20.100000000000001" customHeight="1" x14ac:dyDescent="0.25">
      <c r="A35" s="5" t="str">
        <f>HYPERLINK("#'6.3.1.1-2 Leach runoff pasture'!A1", "6.3.1.1-2 Leach &amp; runoff (pasture)")</f>
        <v>6.3.1.1-2 Leach &amp; runoff (pasture)</v>
      </c>
    </row>
    <row r="36" spans="1:1" ht="20.100000000000001" customHeight="1" x14ac:dyDescent="0.25">
      <c r="A36" s="5" t="str">
        <f>HYPERLINK("#'8.1.1.1-2 Transport fuel'!A1", "8.1.1.1-2 Transport fuel")</f>
        <v>8.1.1.1-2 Transport fuel</v>
      </c>
    </row>
    <row r="37" spans="1:1" ht="20.100000000000001" customHeight="1" x14ac:dyDescent="0.25">
      <c r="A37" s="5" t="str">
        <f>HYPERLINK("#'8.2.1.1-2 Stationary fuel'!A1", "8.2.1.1-2 Stationary fuel")</f>
        <v>8.2.1.1-2 Stationary fuel</v>
      </c>
    </row>
    <row r="38" spans="1:1" ht="20.100000000000001" customHeight="1" x14ac:dyDescent="0.25">
      <c r="A38" s="5" t="str">
        <f>HYPERLINK("#'14.1.1-2 Purchased electricity'!A1", "14.1.1-2 Purchased electricity")</f>
        <v>14.1.1-2 Purchased electricity</v>
      </c>
    </row>
    <row r="39" spans="1:1" ht="20.100000000000001" customHeight="1" x14ac:dyDescent="0.25">
      <c r="A39" s="5" t="str">
        <f>HYPERLINK("#'15 Scope 3'!A1", "15 Scope 3")</f>
        <v>15 Scope 3</v>
      </c>
    </row>
    <row r="40" spans="1:1" ht="20.100000000000001" customHeight="1" x14ac:dyDescent="0.25">
      <c r="A40" s="5" t="str">
        <f>HYPERLINK("#'Calcs - Manure sent off-site'!A1", "Calcs - Manure sent off-site")</f>
        <v>Calcs - Manure sent off-site</v>
      </c>
    </row>
    <row r="41" spans="1:1" ht="20.100000000000001" customHeight="1" x14ac:dyDescent="0.25">
      <c r="A41" s="5" t="str">
        <f>HYPERLINK("#'4.3.1.1-2 Methane'!A1", "4.3.1.1-2 Methane")</f>
        <v>4.3.1.1-2 Methane</v>
      </c>
    </row>
    <row r="42" spans="1:1" ht="20.100000000000001" customHeight="1" x14ac:dyDescent="0.25">
      <c r="A42" s="5" t="str">
        <f>HYPERLINK("#'4.3.1.3-4 Direct N20'!A1", "4.3.1.3-4 Direct N20")</f>
        <v>4.3.1.3-4 Direct N20</v>
      </c>
    </row>
    <row r="43" spans="1:1" ht="20.100000000000001" customHeight="1" x14ac:dyDescent="0.25">
      <c r="A43" s="5" t="str">
        <f>HYPERLINK("#'4.3.1.5 Atmos deposition'!A1", "4.3.1.5 Atmos deposition")</f>
        <v>4.3.1.5 Atmos deposition</v>
      </c>
    </row>
    <row r="44" spans="1:1" ht="20.100000000000001" customHeight="1" x14ac:dyDescent="0.25">
      <c r="A44" s="5" t="str">
        <f>HYPERLINK("#'4.3.1.6-7 Leaching and runoff'!A1", "4.3.1.6-7 Leaching and runoff")</f>
        <v>4.3.1.6-7 Leaching and runoff</v>
      </c>
    </row>
    <row r="45" spans="1:1" ht="20.100000000000001" customHeight="1" x14ac:dyDescent="0.25">
      <c r="A45" s="5" t="str">
        <f>HYPERLINK("#'4.3.1.8 Manure applied to soils'!A1", "4.3.1.8 Manure applied to soils")</f>
        <v>4.3.1.8 Manure applied to soils</v>
      </c>
    </row>
    <row r="46" spans="1:1" ht="20.100000000000001" customHeight="1" x14ac:dyDescent="0.25">
      <c r="A46" s="5" t="str">
        <f>HYPERLINK("#'4.3.1.9 Soil direct N2O'!A1", "4.3.1.9 Soil direct N2O")</f>
        <v>4.3.1.9 Soil direct N2O</v>
      </c>
    </row>
    <row r="47" spans="1:1" ht="20.100000000000001" customHeight="1" x14ac:dyDescent="0.25">
      <c r="A47" s="5" t="str">
        <f>HYPERLINK("#'4.3.1.10-11 Soil Atmos Dep'!A1", "4.3.1.10-11 Soil Atmos Dep")</f>
        <v>4.3.1.10-11 Soil Atmos Dep</v>
      </c>
    </row>
    <row r="48" spans="1:1" ht="20.100000000000001" customHeight="1" x14ac:dyDescent="0.25">
      <c r="A48" s="5" t="str">
        <f>HYPERLINK("#'4.3.1.12-13 Soil leach runoff'!A1", "4.3.1.12-13 Soil leach runoff")</f>
        <v>4.3.1.12-13 Soil leach runoff</v>
      </c>
    </row>
    <row r="49" spans="1:1" ht="20.100000000000001" customHeight="1" x14ac:dyDescent="0.25">
      <c r="A49" s="5" t="str">
        <f>HYPERLINK("#'3.3.1.1-2 Enteric Methane'!A1", "3.3.1.1-2 Enteric Methane")</f>
        <v>3.3.1.1-2 Enteric Methane</v>
      </c>
    </row>
    <row r="50" spans="1:1" ht="20.100000000000001" customHeight="1" x14ac:dyDescent="0.25">
      <c r="A50" s="5" t="str">
        <f>HYPERLINK("#'10.1.1-2 Solid waste treatment'!A1", "10.1.1-2 Solid waste treatment")</f>
        <v>10.1.1-2 Solid waste treatment</v>
      </c>
    </row>
    <row r="51" spans="1:1" ht="20.100000000000001" customHeight="1" x14ac:dyDescent="0.25"/>
    <row r="52" spans="1:1" ht="20.100000000000001" customHeight="1" x14ac:dyDescent="0.25"/>
    <row r="53" spans="1:1" ht="20.100000000000001" customHeight="1" x14ac:dyDescent="0.25">
      <c r="A53" s="100" t="s">
        <v>1</v>
      </c>
    </row>
    <row r="54" spans="1:1" ht="20.100000000000001" customHeight="1" x14ac:dyDescent="0.25">
      <c r="A54" s="5" t="str">
        <f>HYPERLINK("#'Constants - Dairy'!A1", "Constants - Dairy")</f>
        <v>Constants - Dairy</v>
      </c>
    </row>
    <row r="55" spans="1:1" ht="20.100000000000001" customHeight="1" x14ac:dyDescent="0.25">
      <c r="A55" s="5" t="str">
        <f>HYPERLINK("#'Constants - Ag Residue'!A1", "Constants - Ag residue")</f>
        <v>Constants - Ag residue</v>
      </c>
    </row>
    <row r="56" spans="1:1" ht="20.100000000000001" customHeight="1" x14ac:dyDescent="0.25">
      <c r="A56" s="5" t="str">
        <f>HYPERLINK("#'Constants - Common Livestock'!A1", "Constants - Common Livestock")</f>
        <v>Constants - Common Livestock</v>
      </c>
    </row>
    <row r="57" spans="1:1" ht="20.100000000000001" customHeight="1" x14ac:dyDescent="0.25">
      <c r="A57" s="148" t="str">
        <f>HYPERLINK("#'Constants - Electricity'!A1", "Constants - Electricity")</f>
        <v>Constants - Electricity</v>
      </c>
    </row>
    <row r="58" spans="1:1" ht="20.100000000000001" customHeight="1" x14ac:dyDescent="0.25">
      <c r="A58" s="5" t="str">
        <f>HYPERLINK("#'Constants - Fertiliser'!A1", "Constants - Fertiliser")</f>
        <v>Constants - Fertiliser</v>
      </c>
    </row>
    <row r="59" spans="1:1" ht="20.100000000000001" customHeight="1" x14ac:dyDescent="0.25">
      <c r="A59" s="5" t="str">
        <f>HYPERLINK("#'Constants - Fuel'!A1", "Constants - Fuel")</f>
        <v>Constants - Fuel</v>
      </c>
    </row>
    <row r="60" spans="1:1" ht="20.100000000000001" customHeight="1" x14ac:dyDescent="0.25">
      <c r="A60" s="5" t="str">
        <f>HYPERLINK("#'Constants - Scope 3'!A1", "Constants - Scope 3")</f>
        <v>Constants - Scope 3</v>
      </c>
    </row>
    <row r="61" spans="1:1" ht="20.100000000000001" customHeight="1" x14ac:dyDescent="0.25">
      <c r="A61" s="5" t="str">
        <f>HYPERLINK("#'Constants - Common'!A1", "Constants - Common")</f>
        <v>Constants - Common</v>
      </c>
    </row>
    <row r="62" spans="1:1" ht="20.100000000000001" customHeight="1" x14ac:dyDescent="0.25">
      <c r="A62" s="5" t="str">
        <f>HYPERLINK("#'Acknowledgements'!A1", "Acknowledgements")</f>
        <v>Acknowledgements</v>
      </c>
    </row>
    <row r="63" spans="1:1" ht="20.100000000000001" customHeight="1" x14ac:dyDescent="0.25">
      <c r="A63" s="5" t="str">
        <f>HYPERLINK("#'Constants - Solid Waste'!A1", "Constants - Solid Waste")</f>
        <v>Constants - Solid Waste</v>
      </c>
    </row>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1358D-B665-4625-A156-88CF085599A0}">
  <dimension ref="A1:AI165"/>
  <sheetViews>
    <sheetView showGridLines="0" topLeftCell="A17"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0" customFormat="1" ht="30" customHeight="1" x14ac:dyDescent="0.35">
      <c r="A1" s="16" t="e" vm="1">
        <v>#VALUE!</v>
      </c>
      <c r="C1" s="30" t="s">
        <v>701</v>
      </c>
      <c r="AG1"/>
      <c r="AH1"/>
      <c r="AI1"/>
    </row>
    <row r="2" spans="1:35" s="3" customFormat="1" ht="20.100000000000001" customHeight="1" x14ac:dyDescent="0.25">
      <c r="A2"/>
      <c r="AG2"/>
      <c r="AH2"/>
      <c r="AI2"/>
    </row>
    <row r="3" spans="1:35" ht="20.100000000000001" customHeight="1" x14ac:dyDescent="0.25">
      <c r="A3" s="5" t="str">
        <f>HYPERLINK("#'Home'!A1", "Home")</f>
        <v>Home</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Fertiliser_SourceData.Fertiliser_ChemicalCompoundElements_Title()</f>
        <v>Common inorganic fertilisers</v>
      </c>
      <c r="E5" s="191"/>
      <c r="F5" s="191"/>
      <c r="G5" s="191"/>
      <c r="H5" s="191"/>
      <c r="I5" s="191"/>
      <c r="J5" s="191"/>
    </row>
    <row r="6" spans="1:35" ht="20.100000000000001" customHeight="1" x14ac:dyDescent="0.25">
      <c r="D6" s="27"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D7" s="35" t="str" cm="1">
        <f t="array" ref="D7:D18">Fertiliser_SourceData.Fertiliser_ChemicalCompoundElements_Variation()</f>
        <v>VARIATION ON SOURCE</v>
      </c>
    </row>
    <row r="8" spans="1:35" ht="20.100000000000001" customHeight="1" x14ac:dyDescent="0.25">
      <c r="A8" s="7" t="s">
        <v>0</v>
      </c>
      <c r="D8" s="35" t="str">
        <v>Added 'Basis' column to allow cross-referencing with table Table A.2.2.6: Fraction of inorganic fertiliser f that volatilises as NH3 and NOx ((kg NH3-N + NOx-N)/kg N) (FracGASFf)</v>
      </c>
    </row>
    <row r="9" spans="1:35" ht="20.100000000000001" customHeight="1" x14ac:dyDescent="0.25">
      <c r="A9" s="5" t="str">
        <f>HYPERLINK("#'Input - Enterprise'!A1", "Enterprise")</f>
        <v>Enterprise</v>
      </c>
      <c r="D9" s="35" t="str">
        <v>Added extra fertiliser types and generic chemical compounds to allow for custom NPKS blends</v>
      </c>
    </row>
    <row r="10" spans="1:35" ht="20.100000000000001" customHeight="1" x14ac:dyDescent="0.25">
      <c r="A10" s="5" t="str">
        <f>HYPERLINK("#'Input - Site'!A1", "Site")</f>
        <v>Site</v>
      </c>
      <c r="D10" s="35" t="str">
        <v>Added extra 'Scope 3 definition' column to allow mapping with scope 3 data</v>
      </c>
    </row>
    <row r="11" spans="1:35" ht="20.100000000000001" customHeight="1" x14ac:dyDescent="0.25">
      <c r="A11" s="5" t="str">
        <f>HYPERLINK("#'Input - Dairy'!A1", "Dairy")</f>
        <v>Dairy</v>
      </c>
      <c r="D11" s="35" t="str">
        <v>Added 'Source' column</v>
      </c>
    </row>
    <row r="12" spans="1:35" ht="20.100000000000001" customHeight="1" x14ac:dyDescent="0.25">
      <c r="A12" s="5" t="str">
        <f>HYPERLINK("#'Input - Dairy (Enteric)'!A1", "Dairy (Enteric)")</f>
        <v>Dairy (Enteric)</v>
      </c>
      <c r="D12" s="35" t="str">
        <v>Combined data from Table A.2.2.3 and Table A.2.2.4 into one table to aid lookup.</v>
      </c>
    </row>
    <row r="13" spans="1:35" ht="20.100000000000001" customHeight="1" x14ac:dyDescent="0.25">
      <c r="A13" s="5" t="str">
        <f>HYPERLINK("#'Input - Livestock sales'!A1", "Livestock sales")</f>
        <v>Livestock sales</v>
      </c>
      <c r="D13" s="35" t="str">
        <v>Excluded 'References' column</v>
      </c>
    </row>
    <row r="14" spans="1:35" ht="20.100000000000001" customHeight="1" x14ac:dyDescent="0.25">
      <c r="A14" s="5" t="str">
        <f>HYPERLINK("#'Input - Dairy cattle purchases'!A1", "Dairy cattle purchases")</f>
        <v>Dairy cattle purchases</v>
      </c>
      <c r="D14" s="35" t="str">
        <v>Excluded 'Ammonium sulfate' as it is a duplicate of 'Sulphate of ammonia (SOA)'</v>
      </c>
    </row>
    <row r="15" spans="1:35" ht="20.100000000000001" customHeight="1" x14ac:dyDescent="0.25">
      <c r="A15" s="5" t="str">
        <f>HYPERLINK("#'Input - Pasture'!A1", "Pasture")</f>
        <v>Pasture</v>
      </c>
      <c r="D15" s="35" t="str">
        <v>Excluded 'Calcium nitrate' as no scope 3 value available.</v>
      </c>
    </row>
    <row r="16" spans="1:35" ht="20.100000000000001" customHeight="1" x14ac:dyDescent="0.25">
      <c r="A16" s="5" t="str">
        <f>HYPERLINK("#'Input - Fert Prod System'!A1", "Fert Prod System")</f>
        <v>Fert Prod System</v>
      </c>
      <c r="D16" s="35" t="str">
        <v>Set 'Nitrogen - Generic' basis as 'Urea-based fertilisers, as urea is the most commonly used form of nitrogen in Australian fertilisers</v>
      </c>
    </row>
    <row r="17" spans="1:22" ht="20.100000000000001" customHeight="1" x14ac:dyDescent="0.25">
      <c r="A17" s="5" t="str">
        <f>HYPERLINK("#'Input - Fertiliser'!A1", "Fertiliser")</f>
        <v>Fertiliser</v>
      </c>
      <c r="D17" s="35"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5" t="str">
        <f>HYPERLINK("#'Input - Fuel'!A1", "Fuel")</f>
        <v>Fuel</v>
      </c>
      <c r="D18" s="35" t="str">
        <v>Ammonia has an FN value of 0.8235 based on (14/17)x100, where 14 is the mass of nitrogen in ammonia and 17 is the molar mass of ammonia.</v>
      </c>
      <c r="K18" s="27" t="str" cm="1">
        <f t="array" ref="K18">Fertiliser_SourceData.Fertiliser_FractionNCommonFertilisers_Source()</f>
        <v>VEERG 2026: Table A.2.2.3</v>
      </c>
      <c r="Q18" s="27" t="str" cm="1">
        <f t="array" ref="Q18">Fertiliser_SourceData.Fertiliser_FractionUreaCommonFertilisers_Source()</f>
        <v>VEERG 2026: Table A.2.2.4</v>
      </c>
      <c r="V18" s="2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HYPERLINK("#'Input - Electricity'!A1", "Electricity")</f>
        <v>Electricity</v>
      </c>
      <c r="D19" t="s">
        <v>619</v>
      </c>
      <c r="E19" t="s">
        <v>702</v>
      </c>
      <c r="F19" t="s">
        <v>703</v>
      </c>
      <c r="G19" t="s">
        <v>677</v>
      </c>
      <c r="H19" t="s">
        <v>704</v>
      </c>
      <c r="I19" t="s">
        <v>705</v>
      </c>
      <c r="K19" s="29" t="s">
        <v>619</v>
      </c>
      <c r="L19" s="29" t="s">
        <v>702</v>
      </c>
      <c r="Q19" s="29" t="s">
        <v>619</v>
      </c>
      <c r="R19" s="29" t="s">
        <v>702</v>
      </c>
      <c r="V19" s="29" t="s">
        <v>705</v>
      </c>
    </row>
    <row r="20" spans="1:22" ht="20.100000000000001" customHeight="1" x14ac:dyDescent="0.25">
      <c r="A20" s="5" t="str">
        <f>HYPERLINK("#'Input - Farm Inputs'!A1", "Farm Inputs")</f>
        <v>Farm Inputs</v>
      </c>
      <c r="D20" s="199" t="str" cm="1">
        <f t="array" ref="D20">Common_InputFunctions.Utility_DisplayArrayInTable(Fertiliser_SourceData.Fertiliser_ChemicalCompoundElements_Data(),Table_Fertiliser_ChemicalCompounds[[#Headers],[Fertiliser type f]], 0)</f>
        <v>Monoammonium phosphate (MAP)</v>
      </c>
      <c r="E20" s="199" cm="1">
        <f t="array" ref="E20">Common_InputFunctions.Utility_DisplayArrayInTable(Fertiliser_SourceData.Fertiliser_ChemicalCompoundElements_Data(),Table_Fertiliser_ChemicalCompounds[[#Headers],[Fertiliser type f]], 0)</f>
        <v>0.1</v>
      </c>
      <c r="F20" s="199" cm="1">
        <f t="array" ref="F20">Common_InputFunctions.Utility_DisplayArrayInTable(Fertiliser_SourceData.Fertiliser_ChemicalCompoundElements_Data(),Table_Fertiliser_ChemicalCompounds[[#Headers],[Fertiliser type f]], 0)</f>
        <v>0</v>
      </c>
      <c r="G20" s="199" t="str" cm="1">
        <f t="array" ref="G20">Common_InputFunctions.Utility_DisplayArrayInTable(Fertiliser_SourceData.Fertiliser_ChemicalCompoundElements_Data(),Table_Fertiliser_ChemicalCompounds[[#Headers],[Fertiliser type f]], 0)</f>
        <v>Ammonium-based fertilisers</v>
      </c>
      <c r="H20" s="199" t="str" cm="1">
        <f t="array" ref="H20">Common_InputFunctions.Utility_DisplayArrayInTable(Fertiliser_SourceData.Fertiliser_ChemicalCompoundElements_Data(),Table_Fertiliser_ChemicalCompounds[[#Headers],[Fertiliser type f]], 0)</f>
        <v>Monoammonium phosphate (MAP)</v>
      </c>
      <c r="I20" s="199" t="str" cm="1">
        <f t="array" ref="I20">Common_InputFunctions.Utility_DisplayArrayInTable(Fertiliser_SourceData.Fertiliser_ChemicalCompoundElements_Data(),Table_Fertiliser_ChemicalCompounds[[#Headers],[Fertiliser type f]], 0)</f>
        <v>VEERG</v>
      </c>
      <c r="K20" s="29" t="str" cm="1">
        <f t="array" ref="K20">Common_InputFunctions.Utility_DisplayArrayInTable(Fertiliser_SourceData.Fertiliser_FractionNCommonFertilisers_Data(), Table2[[#Headers],[Fertiliser type f]], 0)</f>
        <v>Monoammonium phosphate (MAP)</v>
      </c>
      <c r="L20" s="29" cm="1">
        <f t="array" ref="L20">Common_InputFunctions.Utility_DisplayArrayInTable(Fertiliser_SourceData.Fertiliser_FractionNCommonFertilisers_Data(), Table2[[#Headers],[Fertiliser type f]], 0)</f>
        <v>0.1</v>
      </c>
      <c r="Q20" s="29" t="str" cm="1">
        <f t="array" ref="Q20">Common_InputFunctions.Utility_DisplayArrayInTable(Fertiliser_SourceData.Fertiliser_FractionUreaCommonFertilisers_Data(), Table28[[#Headers],[Fertiliser type f]], 0)</f>
        <v>Monoammonium phosphate (MAP)</v>
      </c>
      <c r="R20" s="29" cm="1">
        <f t="array" ref="R20">Common_InputFunctions.Utility_DisplayArrayInTable(Fertiliser_SourceData.Fertiliser_FractionUreaCommonFertilisers_Data(), Table28[[#Headers],[Fertiliser type f]], 0)</f>
        <v>0</v>
      </c>
      <c r="V20" s="29"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HYPERLINK("#'Input - Freight'!A1", "Freight")</f>
        <v>Freight</v>
      </c>
      <c r="D21" s="199" t="str" cm="1">
        <f t="array" ref="D21">Common_InputFunctions.Utility_DisplayArrayInTable(Fertiliser_SourceData.Fertiliser_ChemicalCompoundElements_Data(),Table_Fertiliser_ChemicalCompounds[[#Headers],[Fertiliser type f]], 0)</f>
        <v>Diammonium phosphate (DAP)</v>
      </c>
      <c r="E21" s="199" cm="1">
        <f t="array" ref="E21">Common_InputFunctions.Utility_DisplayArrayInTable(Fertiliser_SourceData.Fertiliser_ChemicalCompoundElements_Data(),Table_Fertiliser_ChemicalCompounds[[#Headers],[Fertiliser type f]], 0)</f>
        <v>0.18</v>
      </c>
      <c r="F21" s="199" cm="1">
        <f t="array" ref="F21">Common_InputFunctions.Utility_DisplayArrayInTable(Fertiliser_SourceData.Fertiliser_ChemicalCompoundElements_Data(),Table_Fertiliser_ChemicalCompounds[[#Headers],[Fertiliser type f]], 0)</f>
        <v>0</v>
      </c>
      <c r="G21" s="199" t="str" cm="1">
        <f t="array" ref="G21">Common_InputFunctions.Utility_DisplayArrayInTable(Fertiliser_SourceData.Fertiliser_ChemicalCompoundElements_Data(),Table_Fertiliser_ChemicalCompounds[[#Headers],[Fertiliser type f]], 0)</f>
        <v>Ammonium-based fertilisers</v>
      </c>
      <c r="H21" s="199" t="str" cm="1">
        <f t="array" ref="H21">Common_InputFunctions.Utility_DisplayArrayInTable(Fertiliser_SourceData.Fertiliser_ChemicalCompoundElements_Data(),Table_Fertiliser_ChemicalCompounds[[#Headers],[Fertiliser type f]], 0)</f>
        <v>Diammonium phosphate (DAP)</v>
      </c>
      <c r="I21" s="199" t="str" cm="1">
        <f t="array" ref="I21">Common_InputFunctions.Utility_DisplayArrayInTable(Fertiliser_SourceData.Fertiliser_ChemicalCompoundElements_Data(),Table_Fertiliser_ChemicalCompounds[[#Headers],[Fertiliser type f]], 0)</f>
        <v>VEERG</v>
      </c>
      <c r="K21" s="29" t="str" cm="1">
        <f t="array" ref="K21">Common_InputFunctions.Utility_DisplayArrayInTable(Fertiliser_SourceData.Fertiliser_FractionNCommonFertilisers_Data(), Table2[[#Headers],[Fertiliser type f]], 0)</f>
        <v>Diammonium phosphate (DAP)</v>
      </c>
      <c r="L21" s="29" cm="1">
        <f t="array" ref="L21">Common_InputFunctions.Utility_DisplayArrayInTable(Fertiliser_SourceData.Fertiliser_FractionNCommonFertilisers_Data(), Table2[[#Headers],[Fertiliser type f]], 0)</f>
        <v>0.18</v>
      </c>
      <c r="Q21" s="29" t="str" cm="1">
        <f t="array" ref="Q21">Common_InputFunctions.Utility_DisplayArrayInTable(Fertiliser_SourceData.Fertiliser_FractionUreaCommonFertilisers_Data(), Table28[[#Headers],[Fertiliser type f]], 0)</f>
        <v>Diammonium phosphate (DAP)</v>
      </c>
      <c r="R21" s="29" cm="1">
        <f t="array" ref="R21">Common_InputFunctions.Utility_DisplayArrayInTable(Fertiliser_SourceData.Fertiliser_FractionUreaCommonFertilisers_Data(), Table28[[#Headers],[Fertiliser type f]], 0)</f>
        <v>0</v>
      </c>
      <c r="V21" s="29"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HYPERLINK("#'Input - Manure sent off-site'!A1", "Manure sent off-site")</f>
        <v>Manure sent off-site</v>
      </c>
      <c r="D22" s="199" t="str" cm="1">
        <f t="array" ref="D22">Common_InputFunctions.Utility_DisplayArrayInTable(Fertiliser_SourceData.Fertiliser_ChemicalCompoundElements_Data(),Table_Fertiliser_ChemicalCompounds[[#Headers],[Fertiliser type f]], 0)</f>
        <v>Urea</v>
      </c>
      <c r="E22" s="199" cm="1">
        <f t="array" ref="E22">Common_InputFunctions.Utility_DisplayArrayInTable(Fertiliser_SourceData.Fertiliser_ChemicalCompoundElements_Data(),Table_Fertiliser_ChemicalCompounds[[#Headers],[Fertiliser type f]], 0)</f>
        <v>0.46</v>
      </c>
      <c r="F22" s="199" cm="1">
        <f t="array" ref="F22">Common_InputFunctions.Utility_DisplayArrayInTable(Fertiliser_SourceData.Fertiliser_ChemicalCompoundElements_Data(),Table_Fertiliser_ChemicalCompounds[[#Headers],[Fertiliser type f]], 0)</f>
        <v>1</v>
      </c>
      <c r="G22" s="199" t="str" cm="1">
        <f t="array" ref="G22">Common_InputFunctions.Utility_DisplayArrayInTable(Fertiliser_SourceData.Fertiliser_ChemicalCompoundElements_Data(),Table_Fertiliser_ChemicalCompounds[[#Headers],[Fertiliser type f]], 0)</f>
        <v>Urea-based fertilisers</v>
      </c>
      <c r="H22" s="199" t="str" cm="1">
        <f t="array" ref="H22">Common_InputFunctions.Utility_DisplayArrayInTable(Fertiliser_SourceData.Fertiliser_ChemicalCompoundElements_Data(),Table_Fertiliser_ChemicalCompounds[[#Headers],[Fertiliser type f]], 0)</f>
        <v>Urea</v>
      </c>
      <c r="I22" s="199" t="str" cm="1">
        <f t="array" ref="I22">Common_InputFunctions.Utility_DisplayArrayInTable(Fertiliser_SourceData.Fertiliser_ChemicalCompoundElements_Data(),Table_Fertiliser_ChemicalCompounds[[#Headers],[Fertiliser type f]], 0)</f>
        <v>VEERG</v>
      </c>
      <c r="K22" s="29" t="str" cm="1">
        <f t="array" ref="K22">Common_InputFunctions.Utility_DisplayArrayInTable(Fertiliser_SourceData.Fertiliser_FractionNCommonFertilisers_Data(), Table2[[#Headers],[Fertiliser type f]], 0)</f>
        <v>Urea</v>
      </c>
      <c r="L22" s="29" cm="1">
        <f t="array" ref="L22">Common_InputFunctions.Utility_DisplayArrayInTable(Fertiliser_SourceData.Fertiliser_FractionNCommonFertilisers_Data(), Table2[[#Headers],[Fertiliser type f]], 0)</f>
        <v>0.46</v>
      </c>
      <c r="Q22" s="29" t="str" cm="1">
        <f t="array" ref="Q22">Common_InputFunctions.Utility_DisplayArrayInTable(Fertiliser_SourceData.Fertiliser_FractionUreaCommonFertilisers_Data(), Table28[[#Headers],[Fertiliser type f]], 0)</f>
        <v>Urea</v>
      </c>
      <c r="R22" s="29" cm="1">
        <f t="array" ref="R22">Common_InputFunctions.Utility_DisplayArrayInTable(Fertiliser_SourceData.Fertiliser_FractionUreaCommonFertilisers_Data(), Table28[[#Headers],[Fertiliser type f]], 0)</f>
        <v>1</v>
      </c>
      <c r="V22" s="29"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HYPERLINK("#'Input - Solid waste'!A1", "Solid waste")</f>
        <v>Solid waste</v>
      </c>
      <c r="D23" s="199" t="str" cm="1">
        <f t="array" ref="D23">Common_InputFunctions.Utility_DisplayArrayInTable(Fertiliser_SourceData.Fertiliser_ChemicalCompoundElements_Data(),Table_Fertiliser_ChemicalCompounds[[#Headers],[Fertiliser type f]], 0)</f>
        <v>Sulphate of ammonia (SOA)</v>
      </c>
      <c r="E23" s="199" cm="1">
        <f t="array" ref="E23">Common_InputFunctions.Utility_DisplayArrayInTable(Fertiliser_SourceData.Fertiliser_ChemicalCompoundElements_Data(),Table_Fertiliser_ChemicalCompounds[[#Headers],[Fertiliser type f]], 0)</f>
        <v>0.21</v>
      </c>
      <c r="F23" s="199" cm="1">
        <f t="array" ref="F23">Common_InputFunctions.Utility_DisplayArrayInTable(Fertiliser_SourceData.Fertiliser_ChemicalCompoundElements_Data(),Table_Fertiliser_ChemicalCompounds[[#Headers],[Fertiliser type f]], 0)</f>
        <v>0</v>
      </c>
      <c r="G23" s="199" t="str" cm="1">
        <f t="array" ref="G23">Common_InputFunctions.Utility_DisplayArrayInTable(Fertiliser_SourceData.Fertiliser_ChemicalCompoundElements_Data(),Table_Fertiliser_ChemicalCompounds[[#Headers],[Fertiliser type f]], 0)</f>
        <v>Ammonium-based fertilisers</v>
      </c>
      <c r="H23" s="199" t="str" cm="1">
        <f t="array" ref="H23">Common_InputFunctions.Utility_DisplayArrayInTable(Fertiliser_SourceData.Fertiliser_ChemicalCompoundElements_Data(),Table_Fertiliser_ChemicalCompounds[[#Headers],[Fertiliser type f]], 0)</f>
        <v>Sulphate of ammonia (SOA)</v>
      </c>
      <c r="I23" s="199" t="str" cm="1">
        <f t="array" ref="I23">Common_InputFunctions.Utility_DisplayArrayInTable(Fertiliser_SourceData.Fertiliser_ChemicalCompoundElements_Data(),Table_Fertiliser_ChemicalCompounds[[#Headers],[Fertiliser type f]], 0)</f>
        <v>VEERG</v>
      </c>
      <c r="K23" s="29" t="str" cm="1">
        <f t="array" ref="K23">Common_InputFunctions.Utility_DisplayArrayInTable(Fertiliser_SourceData.Fertiliser_FractionNCommonFertilisers_Data(), Table2[[#Headers],[Fertiliser type f]], 0)</f>
        <v>Sulphate of ammonia (SOA)</v>
      </c>
      <c r="L23" s="29" cm="1">
        <f t="array" ref="L23">Common_InputFunctions.Utility_DisplayArrayInTable(Fertiliser_SourceData.Fertiliser_FractionNCommonFertilisers_Data(), Table2[[#Headers],[Fertiliser type f]], 0)</f>
        <v>0.21</v>
      </c>
      <c r="Q23" s="29" t="str" cm="1">
        <f t="array" ref="Q23">Common_InputFunctions.Utility_DisplayArrayInTable(Fertiliser_SourceData.Fertiliser_FractionUreaCommonFertilisers_Data(), Table28[[#Headers],[Fertiliser type f]], 0)</f>
        <v>Sulphate of ammonia (SOA)</v>
      </c>
      <c r="R23" s="29" cm="1">
        <f t="array" ref="R23">Common_InputFunctions.Utility_DisplayArrayInTable(Fertiliser_SourceData.Fertiliser_FractionUreaCommonFertilisers_Data(), Table28[[#Headers],[Fertiliser type f]], 0)</f>
        <v>0</v>
      </c>
      <c r="V23" s="29"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HYPERLINK("#'Input - Data quality'!A1", "Data quality")</f>
        <v>Data quality</v>
      </c>
      <c r="D24" s="199" t="str" cm="1">
        <f t="array" ref="D24">Common_InputFunctions.Utility_DisplayArrayInTable(Fertiliser_SourceData.Fertiliser_ChemicalCompoundElements_Data(),Table_Fertiliser_ChemicalCompounds[[#Headers],[Fertiliser type f]], 0)</f>
        <v>Urea-ammonium nitrate (UAN)</v>
      </c>
      <c r="E24" s="199" cm="1">
        <f t="array" ref="E24">Common_InputFunctions.Utility_DisplayArrayInTable(Fertiliser_SourceData.Fertiliser_ChemicalCompoundElements_Data(),Table_Fertiliser_ChemicalCompounds[[#Headers],[Fertiliser type f]], 0)</f>
        <v>0.32</v>
      </c>
      <c r="F24" s="199" cm="1">
        <f t="array" ref="F24">Common_InputFunctions.Utility_DisplayArrayInTable(Fertiliser_SourceData.Fertiliser_ChemicalCompoundElements_Data(),Table_Fertiliser_ChemicalCompounds[[#Headers],[Fertiliser type f]], 0)</f>
        <v>0.35</v>
      </c>
      <c r="G24" s="199" t="str" cm="1">
        <f t="array" ref="G24">Common_InputFunctions.Utility_DisplayArrayInTable(Fertiliser_SourceData.Fertiliser_ChemicalCompoundElements_Data(),Table_Fertiliser_ChemicalCompounds[[#Headers],[Fertiliser type f]], 0)</f>
        <v>Urea-based fertilisers</v>
      </c>
      <c r="H24" s="199" t="str" cm="1">
        <f t="array" ref="H24">Common_InputFunctions.Utility_DisplayArrayInTable(Fertiliser_SourceData.Fertiliser_ChemicalCompoundElements_Data(),Table_Fertiliser_ChemicalCompounds[[#Headers],[Fertiliser type f]], 0)</f>
        <v>Urea-ammonium nitrate (UAN)</v>
      </c>
      <c r="I24" s="199" t="str" cm="1">
        <f t="array" ref="I24">Common_InputFunctions.Utility_DisplayArrayInTable(Fertiliser_SourceData.Fertiliser_ChemicalCompoundElements_Data(),Table_Fertiliser_ChemicalCompounds[[#Headers],[Fertiliser type f]], 0)</f>
        <v>VEERG</v>
      </c>
      <c r="K24" s="29" t="str" cm="1">
        <f t="array" ref="K24">Common_InputFunctions.Utility_DisplayArrayInTable(Fertiliser_SourceData.Fertiliser_FractionNCommonFertilisers_Data(), Table2[[#Headers],[Fertiliser type f]], 0)</f>
        <v>Urea-ammonium nitrate (UAN)</v>
      </c>
      <c r="L24" s="29" cm="1">
        <f t="array" ref="L24">Common_InputFunctions.Utility_DisplayArrayInTable(Fertiliser_SourceData.Fertiliser_FractionNCommonFertilisers_Data(), Table2[[#Headers],[Fertiliser type f]], 0)</f>
        <v>0.32</v>
      </c>
      <c r="Q24" s="29" t="str" cm="1">
        <f t="array" ref="Q24">Common_InputFunctions.Utility_DisplayArrayInTable(Fertiliser_SourceData.Fertiliser_FractionUreaCommonFertilisers_Data(), Table28[[#Headers],[Fertiliser type f]], 0)</f>
        <v>Urea-ammonium nitrate (UAN)</v>
      </c>
      <c r="R24" s="29" cm="1">
        <f t="array" ref="R24">Common_InputFunctions.Utility_DisplayArrayInTable(Fertiliser_SourceData.Fertiliser_FractionUreaCommonFertilisers_Data(), Table28[[#Headers],[Fertiliser type f]], 0)</f>
        <v>0.35</v>
      </c>
    </row>
    <row r="25" spans="1:22" ht="20.100000000000001" customHeight="1" x14ac:dyDescent="0.25">
      <c r="D25" s="199" t="str" cm="1">
        <f t="array" ref="D25">Common_InputFunctions.Utility_DisplayArrayInTable(Fertiliser_SourceData.Fertiliser_ChemicalCompoundElements_Data(),Table_Fertiliser_ChemicalCompounds[[#Headers],[Fertiliser type f]], 0)</f>
        <v>Ammonium nitrate (AN)</v>
      </c>
      <c r="E25" s="199" cm="1">
        <f t="array" ref="E25">Common_InputFunctions.Utility_DisplayArrayInTable(Fertiliser_SourceData.Fertiliser_ChemicalCompoundElements_Data(),Table_Fertiliser_ChemicalCompounds[[#Headers],[Fertiliser type f]], 0)</f>
        <v>0.33700000000000002</v>
      </c>
      <c r="F25" s="199" cm="1">
        <f t="array" ref="F25">Common_InputFunctions.Utility_DisplayArrayInTable(Fertiliser_SourceData.Fertiliser_ChemicalCompoundElements_Data(),Table_Fertiliser_ChemicalCompounds[[#Headers],[Fertiliser type f]], 0)</f>
        <v>0</v>
      </c>
      <c r="G25" s="199" t="str" cm="1">
        <f t="array" ref="G25">Common_InputFunctions.Utility_DisplayArrayInTable(Fertiliser_SourceData.Fertiliser_ChemicalCompoundElements_Data(),Table_Fertiliser_ChemicalCompounds[[#Headers],[Fertiliser type f]], 0)</f>
        <v>Ammonium-nitrate based fertilisers</v>
      </c>
      <c r="H25" s="199" t="str" cm="1">
        <f t="array" ref="H25">Common_InputFunctions.Utility_DisplayArrayInTable(Fertiliser_SourceData.Fertiliser_ChemicalCompoundElements_Data(),Table_Fertiliser_ChemicalCompounds[[#Headers],[Fertiliser type f]], 0)</f>
        <v>Ammonium nitrate (AN)</v>
      </c>
      <c r="I25" s="199" t="str" cm="1">
        <f t="array" ref="I25">Common_InputFunctions.Utility_DisplayArrayInTable(Fertiliser_SourceData.Fertiliser_ChemicalCompoundElements_Data(),Table_Fertiliser_ChemicalCompounds[[#Headers],[Fertiliser type f]], 0)</f>
        <v>VEERG</v>
      </c>
      <c r="K25" s="29" t="str" cm="1">
        <f t="array" ref="K25">Common_InputFunctions.Utility_DisplayArrayInTable(Fertiliser_SourceData.Fertiliser_FractionNCommonFertilisers_Data(), Table2[[#Headers],[Fertiliser type f]], 0)</f>
        <v>Ammonium nitrate (AN)</v>
      </c>
      <c r="L25" s="29" cm="1">
        <f t="array" ref="L25">Common_InputFunctions.Utility_DisplayArrayInTable(Fertiliser_SourceData.Fertiliser_FractionNCommonFertilisers_Data(), Table2[[#Headers],[Fertiliser type f]], 0)</f>
        <v>0.33700000000000002</v>
      </c>
      <c r="Q25" s="29" t="str" cm="1">
        <f t="array" ref="Q25">Common_InputFunctions.Utility_DisplayArrayInTable(Fertiliser_SourceData.Fertiliser_FractionUreaCommonFertilisers_Data(), Table28[[#Headers],[Fertiliser type f]], 0)</f>
        <v>Ammonium nitrate (AN)</v>
      </c>
      <c r="R25" s="29" cm="1">
        <f t="array" ref="R25">Common_InputFunctions.Utility_DisplayArrayInTable(Fertiliser_SourceData.Fertiliser_FractionUreaCommonFertilisers_Data(), Table28[[#Headers],[Fertiliser type f]], 0)</f>
        <v>0</v>
      </c>
    </row>
    <row r="26" spans="1:22" ht="20.100000000000001" customHeight="1" x14ac:dyDescent="0.25">
      <c r="D26" s="199" t="str" cm="1">
        <f t="array" ref="D26">Common_InputFunctions.Utility_DisplayArrayInTable(Fertiliser_SourceData.Fertiliser_ChemicalCompoundElements_Data(),Table_Fertiliser_ChemicalCompounds[[#Headers],[Fertiliser type f]], 0)</f>
        <v>Calcium ammonium nitrate (CAN)</v>
      </c>
      <c r="E26" s="199" cm="1">
        <f t="array" ref="E26">Common_InputFunctions.Utility_DisplayArrayInTable(Fertiliser_SourceData.Fertiliser_ChemicalCompoundElements_Data(),Table_Fertiliser_ChemicalCompounds[[#Headers],[Fertiliser type f]], 0)</f>
        <v>0.27</v>
      </c>
      <c r="F26" s="199" cm="1">
        <f t="array" ref="F26">Common_InputFunctions.Utility_DisplayArrayInTable(Fertiliser_SourceData.Fertiliser_ChemicalCompoundElements_Data(),Table_Fertiliser_ChemicalCompounds[[#Headers],[Fertiliser type f]], 0)</f>
        <v>0</v>
      </c>
      <c r="G26" s="199" t="str" cm="1">
        <f t="array" ref="G26">Common_InputFunctions.Utility_DisplayArrayInTable(Fertiliser_SourceData.Fertiliser_ChemicalCompoundElements_Data(),Table_Fertiliser_ChemicalCompounds[[#Headers],[Fertiliser type f]], 0)</f>
        <v>Ammonium-nitrate based fertilisers</v>
      </c>
      <c r="H26" s="199" t="str" cm="1">
        <f t="array" ref="H26">Common_InputFunctions.Utility_DisplayArrayInTable(Fertiliser_SourceData.Fertiliser_ChemicalCompoundElements_Data(),Table_Fertiliser_ChemicalCompounds[[#Headers],[Fertiliser type f]], 0)</f>
        <v>Calcium ammonium nitrate (CAN)</v>
      </c>
      <c r="I26" s="199" t="str" cm="1">
        <f t="array" ref="I26">Common_InputFunctions.Utility_DisplayArrayInTable(Fertiliser_SourceData.Fertiliser_ChemicalCompoundElements_Data(),Table_Fertiliser_ChemicalCompounds[[#Headers],[Fertiliser type f]], 0)</f>
        <v>VEERG</v>
      </c>
      <c r="K26" s="29" t="str" cm="1">
        <f t="array" ref="K26">Common_InputFunctions.Utility_DisplayArrayInTable(Fertiliser_SourceData.Fertiliser_FractionNCommonFertilisers_Data(), Table2[[#Headers],[Fertiliser type f]], 0)</f>
        <v>Calcium ammonium nitrate (CAN)</v>
      </c>
      <c r="L26" s="29" cm="1">
        <f t="array" ref="L26">Common_InputFunctions.Utility_DisplayArrayInTable(Fertiliser_SourceData.Fertiliser_FractionNCommonFertilisers_Data(), Table2[[#Headers],[Fertiliser type f]], 0)</f>
        <v>0.27</v>
      </c>
      <c r="Q26" s="29" t="str" cm="1">
        <f t="array" ref="Q26">Common_InputFunctions.Utility_DisplayArrayInTable(Fertiliser_SourceData.Fertiliser_FractionUreaCommonFertilisers_Data(), Table28[[#Headers],[Fertiliser type f]], 0)</f>
        <v>Calcium ammonium nitrate (CAN)</v>
      </c>
      <c r="R26" s="29" cm="1">
        <f t="array" ref="R26">Common_InputFunctions.Utility_DisplayArrayInTable(Fertiliser_SourceData.Fertiliser_FractionUreaCommonFertilisers_Data(), Table28[[#Headers],[Fertiliser type f]], 0)</f>
        <v>0</v>
      </c>
    </row>
    <row r="27" spans="1:22" ht="20.100000000000001" customHeight="1" x14ac:dyDescent="0.25">
      <c r="A27" s="6" t="s">
        <v>2</v>
      </c>
      <c r="D27" s="199" t="str" cm="1">
        <f t="array" ref="D27">Common_InputFunctions.Utility_DisplayArrayInTable(Fertiliser_SourceData.Fertiliser_ChemicalCompoundElements_Data(),Table_Fertiliser_ChemicalCompounds[[#Headers],[Fertiliser type f]], 0)</f>
        <v>Nitrogen - Ammoniacal</v>
      </c>
      <c r="E27" s="199" cm="1">
        <f t="array" ref="E27">Common_InputFunctions.Utility_DisplayArrayInTable(Fertiliser_SourceData.Fertiliser_ChemicalCompoundElements_Data(),Table_Fertiliser_ChemicalCompounds[[#Headers],[Fertiliser type f]], 0)</f>
        <v>1</v>
      </c>
      <c r="F27" s="199" cm="1">
        <f t="array" ref="F27">Common_InputFunctions.Utility_DisplayArrayInTable(Fertiliser_SourceData.Fertiliser_ChemicalCompoundElements_Data(),Table_Fertiliser_ChemicalCompounds[[#Headers],[Fertiliser type f]], 0)</f>
        <v>0</v>
      </c>
      <c r="G27" s="199" t="str" cm="1">
        <f t="array" ref="G27">Common_InputFunctions.Utility_DisplayArrayInTable(Fertiliser_SourceData.Fertiliser_ChemicalCompoundElements_Data(),Table_Fertiliser_ChemicalCompounds[[#Headers],[Fertiliser type f]], 0)</f>
        <v>Ammonium-based fertilisers</v>
      </c>
      <c r="H27" s="199" t="str" cm="1">
        <f t="array" ref="H27">Common_InputFunctions.Utility_DisplayArrayInTable(Fertiliser_SourceData.Fertiliser_ChemicalCompoundElements_Data(),Table_Fertiliser_ChemicalCompounds[[#Headers],[Fertiliser type f]], 0)</f>
        <v>Nitrogen - Ammoniacal</v>
      </c>
      <c r="I27" s="199" t="str" cm="1">
        <f t="array" ref="I27">Common_InputFunctions.Utility_DisplayArrayInTable(Fertiliser_SourceData.Fertiliser_ChemicalCompoundElements_Data(),Table_Fertiliser_ChemicalCompounds[[#Headers],[Fertiliser type f]], 0)</f>
        <v>LifeCycles</v>
      </c>
      <c r="K27" s="29" t="str" cm="1">
        <f t="array" ref="K27">Common_InputFunctions.Utility_DisplayArrayInTable(Fertiliser_SourceData.Fertiliser_FractionNCommonFertilisers_Data(), Table2[[#Headers],[Fertiliser type f]], 0)</f>
        <v>Ammonium Sulfate</v>
      </c>
      <c r="L27" s="29" cm="1">
        <f t="array" ref="L27">Common_InputFunctions.Utility_DisplayArrayInTable(Fertiliser_SourceData.Fertiliser_FractionNCommonFertilisers_Data(), Table2[[#Headers],[Fertiliser type f]], 0)</f>
        <v>0.21</v>
      </c>
      <c r="Q27" s="29" t="str" cm="1">
        <f t="array" ref="Q27">Common_InputFunctions.Utility_DisplayArrayInTable(Fertiliser_SourceData.Fertiliser_FractionUreaCommonFertilisers_Data(), Table28[[#Headers],[Fertiliser type f]], 0)</f>
        <v>Ammonium Sulfate</v>
      </c>
      <c r="R27" s="29" cm="1">
        <f t="array" ref="R27">Common_InputFunctions.Utility_DisplayArrayInTable(Fertiliser_SourceData.Fertiliser_FractionUreaCommonFertilisers_Data(), Table28[[#Headers],[Fertiliser type f]], 0)</f>
        <v>0</v>
      </c>
    </row>
    <row r="28" spans="1:22" ht="20.100000000000001" customHeight="1" x14ac:dyDescent="0.25">
      <c r="A28" s="5" t="str">
        <f>HYPERLINK("#'5.1.1.1-2 Inorganic fert N2O'!A1", "5.1.1.1-2 Inorganic fert N2O")</f>
        <v>5.1.1.1-2 Inorganic fert N2O</v>
      </c>
      <c r="D28" s="199" t="str" cm="1">
        <f t="array" ref="D28">Common_InputFunctions.Utility_DisplayArrayInTable(Fertiliser_SourceData.Fertiliser_ChemicalCompoundElements_Data(),Table_Fertiliser_ChemicalCompounds[[#Headers],[Fertiliser type f]], 0)</f>
        <v>Nitrogen - Nitrate</v>
      </c>
      <c r="E28" s="199" cm="1">
        <f t="array" ref="E28">Common_InputFunctions.Utility_DisplayArrayInTable(Fertiliser_SourceData.Fertiliser_ChemicalCompoundElements_Data(),Table_Fertiliser_ChemicalCompounds[[#Headers],[Fertiliser type f]], 0)</f>
        <v>1</v>
      </c>
      <c r="F28" s="199" cm="1">
        <f t="array" ref="F28">Common_InputFunctions.Utility_DisplayArrayInTable(Fertiliser_SourceData.Fertiliser_ChemicalCompoundElements_Data(),Table_Fertiliser_ChemicalCompounds[[#Headers],[Fertiliser type f]], 0)</f>
        <v>0</v>
      </c>
      <c r="G28" s="199" t="str" cm="1">
        <f t="array" ref="G28">Common_InputFunctions.Utility_DisplayArrayInTable(Fertiliser_SourceData.Fertiliser_ChemicalCompoundElements_Data(),Table_Fertiliser_ChemicalCompounds[[#Headers],[Fertiliser type f]], 0)</f>
        <v>Nitrate-based fertilisers</v>
      </c>
      <c r="H28" s="199" t="str" cm="1">
        <f t="array" ref="H28">Common_InputFunctions.Utility_DisplayArrayInTable(Fertiliser_SourceData.Fertiliser_ChemicalCompoundElements_Data(),Table_Fertiliser_ChemicalCompounds[[#Headers],[Fertiliser type f]], 0)</f>
        <v>Nitrogen from Nitrate</v>
      </c>
      <c r="I28" s="199" t="str" cm="1">
        <f t="array" ref="I28">Common_InputFunctions.Utility_DisplayArrayInTable(Fertiliser_SourceData.Fertiliser_ChemicalCompoundElements_Data(),Table_Fertiliser_ChemicalCompounds[[#Headers],[Fertiliser type f]], 0)</f>
        <v>LifeCycles</v>
      </c>
      <c r="K28" s="29" t="str" cm="1">
        <f t="array" ref="K28">Common_InputFunctions.Utility_DisplayArrayInTable(Fertiliser_SourceData.Fertiliser_FractionNCommonFertilisers_Data(), Table2[[#Headers],[Fertiliser type f]], 0)</f>
        <v>Calcium Nitrate</v>
      </c>
      <c r="L28" s="29" cm="1">
        <f t="array" ref="L28">Common_InputFunctions.Utility_DisplayArrayInTable(Fertiliser_SourceData.Fertiliser_FractionNCommonFertilisers_Data(), Table2[[#Headers],[Fertiliser type f]], 0)</f>
        <v>0.155</v>
      </c>
      <c r="Q28" s="29" t="str" cm="1">
        <f t="array" ref="Q28">Common_InputFunctions.Utility_DisplayArrayInTable(Fertiliser_SourceData.Fertiliser_FractionUreaCommonFertilisers_Data(), Table28[[#Headers],[Fertiliser type f]], 0)</f>
        <v>Calcium Nitrate</v>
      </c>
      <c r="R28" s="29" cm="1">
        <f t="array" ref="R28">Common_InputFunctions.Utility_DisplayArrayInTable(Fertiliser_SourceData.Fertiliser_FractionUreaCommonFertilisers_Data(), Table28[[#Headers],[Fertiliser type f]], 0)</f>
        <v>0</v>
      </c>
    </row>
    <row r="29" spans="1:22" ht="20.100000000000001" customHeight="1" x14ac:dyDescent="0.25">
      <c r="A29" s="5" t="str">
        <f>HYPERLINK("#'5.1.1.3-4 Inorganic fert CO2'!A1", "5.1.1.3-4 Inorganic fert CO2")</f>
        <v>5.1.1.3-4 Inorganic fert CO2</v>
      </c>
      <c r="D29" s="199" t="str" cm="1">
        <f t="array" ref="D29">Common_InputFunctions.Utility_DisplayArrayInTable(Fertiliser_SourceData.Fertiliser_ChemicalCompoundElements_Data(),Table_Fertiliser_ChemicalCompounds[[#Headers],[Fertiliser type f]], 0)</f>
        <v>Nitrogen - Generic</v>
      </c>
      <c r="E29" s="199" cm="1">
        <f t="array" ref="E29">Common_InputFunctions.Utility_DisplayArrayInTable(Fertiliser_SourceData.Fertiliser_ChemicalCompoundElements_Data(),Table_Fertiliser_ChemicalCompounds[[#Headers],[Fertiliser type f]], 0)</f>
        <v>1</v>
      </c>
      <c r="F29" s="199" cm="1">
        <f t="array" ref="F29">Common_InputFunctions.Utility_DisplayArrayInTable(Fertiliser_SourceData.Fertiliser_ChemicalCompoundElements_Data(),Table_Fertiliser_ChemicalCompounds[[#Headers],[Fertiliser type f]], 0)</f>
        <v>0</v>
      </c>
      <c r="G29" s="199" t="str" cm="1">
        <f t="array" ref="G29">Common_InputFunctions.Utility_DisplayArrayInTable(Fertiliser_SourceData.Fertiliser_ChemicalCompoundElements_Data(),Table_Fertiliser_ChemicalCompounds[[#Headers],[Fertiliser type f]], 0)</f>
        <v>Urea-based fertilisers</v>
      </c>
      <c r="H29" s="199" t="str" cm="1">
        <f t="array" ref="H29">Common_InputFunctions.Utility_DisplayArrayInTable(Fertiliser_SourceData.Fertiliser_ChemicalCompoundElements_Data(),Table_Fertiliser_ChemicalCompounds[[#Headers],[Fertiliser type f]], 0)</f>
        <v>Nitrogen from fertiliser</v>
      </c>
      <c r="I29" s="199"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HYPERLINK("#'5.2.1.1-2 Organic Fert N2O'!A1", "5.2.1.1-2 Organic fert N2O")</f>
        <v>5.2.1.1-2 Organic fert N2O</v>
      </c>
      <c r="D30" s="199" t="str" cm="1">
        <f t="array" ref="D30">Common_InputFunctions.Utility_DisplayArrayInTable(Fertiliser_SourceData.Fertiliser_ChemicalCompoundElements_Data(),Table_Fertiliser_ChemicalCompounds[[#Headers],[Fertiliser type f]], 0)</f>
        <v>Phosphorus - Generic</v>
      </c>
      <c r="E30" s="199" cm="1">
        <f t="array" ref="E30">Common_InputFunctions.Utility_DisplayArrayInTable(Fertiliser_SourceData.Fertiliser_ChemicalCompoundElements_Data(),Table_Fertiliser_ChemicalCompounds[[#Headers],[Fertiliser type f]], 0)</f>
        <v>0</v>
      </c>
      <c r="F30" s="199" cm="1">
        <f t="array" ref="F30">Common_InputFunctions.Utility_DisplayArrayInTable(Fertiliser_SourceData.Fertiliser_ChemicalCompoundElements_Data(),Table_Fertiliser_ChemicalCompounds[[#Headers],[Fertiliser type f]], 0)</f>
        <v>0</v>
      </c>
      <c r="G30" s="199" t="str" cm="1">
        <f t="array" ref="G30">Common_InputFunctions.Utility_DisplayArrayInTable(Fertiliser_SourceData.Fertiliser_ChemicalCompoundElements_Data(),Table_Fertiliser_ChemicalCompounds[[#Headers],[Fertiliser type f]], 0)</f>
        <v>Other fertilisers</v>
      </c>
      <c r="H30" s="199" t="str" cm="1">
        <f t="array" ref="H30">Common_InputFunctions.Utility_DisplayArrayInTable(Fertiliser_SourceData.Fertiliser_ChemicalCompoundElements_Data(),Table_Fertiliser_ChemicalCompounds[[#Headers],[Fertiliser type f]], 0)</f>
        <v>Phosphorus from fertiliser</v>
      </c>
      <c r="I30" s="199"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HYPERLINK("#'5.3.1.1-2 Lime CO2'!A1", "5.3.1.1-2 Lime CO2")</f>
        <v>5.3.1.1-2 Lime CO2</v>
      </c>
      <c r="D31" s="199" t="str" cm="1">
        <f t="array" ref="D31">Common_InputFunctions.Utility_DisplayArrayInTable(Fertiliser_SourceData.Fertiliser_ChemicalCompoundElements_Data(),Table_Fertiliser_ChemicalCompounds[[#Headers],[Fertiliser type f]], 0)</f>
        <v>Potassium - Generic</v>
      </c>
      <c r="E31" s="199" cm="1">
        <f t="array" ref="E31">Common_InputFunctions.Utility_DisplayArrayInTable(Fertiliser_SourceData.Fertiliser_ChemicalCompoundElements_Data(),Table_Fertiliser_ChemicalCompounds[[#Headers],[Fertiliser type f]], 0)</f>
        <v>0</v>
      </c>
      <c r="F31" s="199" cm="1">
        <f t="array" ref="F31">Common_InputFunctions.Utility_DisplayArrayInTable(Fertiliser_SourceData.Fertiliser_ChemicalCompoundElements_Data(),Table_Fertiliser_ChemicalCompounds[[#Headers],[Fertiliser type f]], 0)</f>
        <v>0</v>
      </c>
      <c r="G31" s="199" t="str" cm="1">
        <f t="array" ref="G31">Common_InputFunctions.Utility_DisplayArrayInTable(Fertiliser_SourceData.Fertiliser_ChemicalCompoundElements_Data(),Table_Fertiliser_ChemicalCompounds[[#Headers],[Fertiliser type f]], 0)</f>
        <v>Other fertilisers</v>
      </c>
      <c r="H31" s="199" t="str" cm="1">
        <f t="array" ref="H31">Common_InputFunctions.Utility_DisplayArrayInTable(Fertiliser_SourceData.Fertiliser_ChemicalCompoundElements_Data(),Table_Fertiliser_ChemicalCompounds[[#Headers],[Fertiliser type f]], 0)</f>
        <v>Potassium from fertiliser</v>
      </c>
      <c r="I31" s="199"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HYPERLINK("#'5.4.1.1-4 Atmos deposition'!A1", "5.4.1.1-4 Atmos. deposition")</f>
        <v>5.4.1.1-4 Atmos. deposition</v>
      </c>
      <c r="D32" s="199" t="str" cm="1">
        <f t="array" ref="D32">Common_InputFunctions.Utility_DisplayArrayInTable(Fertiliser_SourceData.Fertiliser_ChemicalCompoundElements_Data(),Table_Fertiliser_ChemicalCompounds[[#Headers],[Fertiliser type f]], 0)</f>
        <v>Sulfur - Generic</v>
      </c>
      <c r="E32" s="199" cm="1">
        <f t="array" ref="E32">Common_InputFunctions.Utility_DisplayArrayInTable(Fertiliser_SourceData.Fertiliser_ChemicalCompoundElements_Data(),Table_Fertiliser_ChemicalCompounds[[#Headers],[Fertiliser type f]], 0)</f>
        <v>0</v>
      </c>
      <c r="F32" s="199" cm="1">
        <f t="array" ref="F32">Common_InputFunctions.Utility_DisplayArrayInTable(Fertiliser_SourceData.Fertiliser_ChemicalCompoundElements_Data(),Table_Fertiliser_ChemicalCompounds[[#Headers],[Fertiliser type f]], 0)</f>
        <v>0</v>
      </c>
      <c r="G32" s="199" t="str" cm="1">
        <f t="array" ref="G32">Common_InputFunctions.Utility_DisplayArrayInTable(Fertiliser_SourceData.Fertiliser_ChemicalCompoundElements_Data(),Table_Fertiliser_ChemicalCompounds[[#Headers],[Fertiliser type f]], 0)</f>
        <v>Other fertilisers</v>
      </c>
      <c r="H32" s="199" t="str" cm="1">
        <f t="array" ref="H32">Common_InputFunctions.Utility_DisplayArrayInTable(Fertiliser_SourceData.Fertiliser_ChemicalCompoundElements_Data(),Table_Fertiliser_ChemicalCompounds[[#Headers],[Fertiliser type f]], 0)</f>
        <v>Sulfur from fertiliser</v>
      </c>
      <c r="I32" s="199"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HYPERLINK("#'5.5.1.1-2 Leaching and runoff'!A1", "5.5.1.1-2 Leaching &amp; runoff")</f>
        <v>5.5.1.1-2 Leaching &amp; runoff</v>
      </c>
      <c r="D33" s="199" t="str" cm="1">
        <f t="array" ref="D33">Common_InputFunctions.Utility_DisplayArrayInTable(Fertiliser_SourceData.Fertiliser_ChemicalCompoundElements_Data(),Table_Fertiliser_ChemicalCompounds[[#Headers],[Fertiliser type f]], 0)</f>
        <v>Zinc - Generic</v>
      </c>
      <c r="E33" s="199" cm="1">
        <f t="array" ref="E33">Common_InputFunctions.Utility_DisplayArrayInTable(Fertiliser_SourceData.Fertiliser_ChemicalCompoundElements_Data(),Table_Fertiliser_ChemicalCompounds[[#Headers],[Fertiliser type f]], 0)</f>
        <v>0</v>
      </c>
      <c r="F33" s="199" cm="1">
        <f t="array" ref="F33">Common_InputFunctions.Utility_DisplayArrayInTable(Fertiliser_SourceData.Fertiliser_ChemicalCompoundElements_Data(),Table_Fertiliser_ChemicalCompounds[[#Headers],[Fertiliser type f]], 0)</f>
        <v>0</v>
      </c>
      <c r="G33" s="199" t="str" cm="1">
        <f t="array" ref="G33">Common_InputFunctions.Utility_DisplayArrayInTable(Fertiliser_SourceData.Fertiliser_ChemicalCompoundElements_Data(),Table_Fertiliser_ChemicalCompounds[[#Headers],[Fertiliser type f]], 0)</f>
        <v>Other fertilisers</v>
      </c>
      <c r="H33" s="199" t="str" cm="1">
        <f t="array" ref="H33">Common_InputFunctions.Utility_DisplayArrayInTable(Fertiliser_SourceData.Fertiliser_ChemicalCompoundElements_Data(),Table_Fertiliser_ChemicalCompounds[[#Headers],[Fertiliser type f]], 0)</f>
        <v>Zinc from fertiliser</v>
      </c>
      <c r="I33" s="199"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HYPERLINK("#'6.2.1.1-2 Pasture residue N2O'!A1", "6.2.1.1-2 Pasture residue N2O")</f>
        <v>6.2.1.1-2 Pasture residue N2O</v>
      </c>
      <c r="D34" s="199" t="str" cm="1">
        <f t="array" ref="D34">Common_InputFunctions.Utility_DisplayArrayInTable(Fertiliser_SourceData.Fertiliser_ChemicalCompoundElements_Data(),Table_Fertiliser_ChemicalCompounds[[#Headers],[Fertiliser type f]], 0)</f>
        <v>Muriate of potash (MOP)</v>
      </c>
      <c r="E34" s="199" cm="1">
        <f t="array" ref="E34">Common_InputFunctions.Utility_DisplayArrayInTable(Fertiliser_SourceData.Fertiliser_ChemicalCompoundElements_Data(),Table_Fertiliser_ChemicalCompounds[[#Headers],[Fertiliser type f]], 0)</f>
        <v>0</v>
      </c>
      <c r="F34" s="199" cm="1">
        <f t="array" ref="F34">Common_InputFunctions.Utility_DisplayArrayInTable(Fertiliser_SourceData.Fertiliser_ChemicalCompoundElements_Data(),Table_Fertiliser_ChemicalCompounds[[#Headers],[Fertiliser type f]], 0)</f>
        <v>0</v>
      </c>
      <c r="G34" s="199" t="str" cm="1">
        <f t="array" ref="G34">Common_InputFunctions.Utility_DisplayArrayInTable(Fertiliser_SourceData.Fertiliser_ChemicalCompoundElements_Data(),Table_Fertiliser_ChemicalCompounds[[#Headers],[Fertiliser type f]], 0)</f>
        <v>Other fertilisers</v>
      </c>
      <c r="H34" s="199" t="str" cm="1">
        <f t="array" ref="H34">Common_InputFunctions.Utility_DisplayArrayInTable(Fertiliser_SourceData.Fertiliser_ChemicalCompoundElements_Data(),Table_Fertiliser_ChemicalCompounds[[#Headers],[Fertiliser type f]], 0)</f>
        <v>Muriate of potash (MOP)</v>
      </c>
      <c r="I34" s="199"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5" t="str">
        <f>HYPERLINK("#'6.3.1.1-2 Leach runoff pasture'!A1", "6.3.1.1-2 Leach &amp; runoff (pasture)")</f>
        <v>6.3.1.1-2 Leach &amp; runoff (pasture)</v>
      </c>
      <c r="D35" s="199" t="str" cm="1">
        <f t="array" ref="D35">Common_InputFunctions.Utility_DisplayArrayInTable(Fertiliser_SourceData.Fertiliser_ChemicalCompoundElements_Data(),Table_Fertiliser_ChemicalCompounds[[#Headers],[Fertiliser type f]], 0)</f>
        <v>Double superphosphate</v>
      </c>
      <c r="E35" s="199" cm="1">
        <f t="array" ref="E35">Common_InputFunctions.Utility_DisplayArrayInTable(Fertiliser_SourceData.Fertiliser_ChemicalCompoundElements_Data(),Table_Fertiliser_ChemicalCompounds[[#Headers],[Fertiliser type f]], 0)</f>
        <v>0</v>
      </c>
      <c r="F35" s="199" cm="1">
        <f t="array" ref="F35">Common_InputFunctions.Utility_DisplayArrayInTable(Fertiliser_SourceData.Fertiliser_ChemicalCompoundElements_Data(),Table_Fertiliser_ChemicalCompounds[[#Headers],[Fertiliser type f]], 0)</f>
        <v>0</v>
      </c>
      <c r="G35" s="199" t="str" cm="1">
        <f t="array" ref="G35">Common_InputFunctions.Utility_DisplayArrayInTable(Fertiliser_SourceData.Fertiliser_ChemicalCompoundElements_Data(),Table_Fertiliser_ChemicalCompounds[[#Headers],[Fertiliser type f]], 0)</f>
        <v>Other fertilisers</v>
      </c>
      <c r="H35" s="199" t="str" cm="1">
        <f t="array" ref="H35">Common_InputFunctions.Utility_DisplayArrayInTable(Fertiliser_SourceData.Fertiliser_ChemicalCompoundElements_Data(),Table_Fertiliser_ChemicalCompounds[[#Headers],[Fertiliser type f]], 0)</f>
        <v>Double superphosphate</v>
      </c>
      <c r="I35" s="199"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5" t="str">
        <f>HYPERLINK("#'8.1.1.1-2 Transport fuel'!A1", "8.1.1.1-2 Transport fuel")</f>
        <v>8.1.1.1-2 Transport fuel</v>
      </c>
      <c r="D36" s="199" t="str" cm="1">
        <f t="array" ref="D36">Common_InputFunctions.Utility_DisplayArrayInTable(Fertiliser_SourceData.Fertiliser_ChemicalCompoundElements_Data(),Table_Fertiliser_ChemicalCompounds[[#Headers],[Fertiliser type f]], 0)</f>
        <v>Single superphosphate (SSP)</v>
      </c>
      <c r="E36" s="199" cm="1">
        <f t="array" ref="E36">Common_InputFunctions.Utility_DisplayArrayInTable(Fertiliser_SourceData.Fertiliser_ChemicalCompoundElements_Data(),Table_Fertiliser_ChemicalCompounds[[#Headers],[Fertiliser type f]], 0)</f>
        <v>0</v>
      </c>
      <c r="F36" s="199" cm="1">
        <f t="array" ref="F36">Common_InputFunctions.Utility_DisplayArrayInTable(Fertiliser_SourceData.Fertiliser_ChemicalCompoundElements_Data(),Table_Fertiliser_ChemicalCompounds[[#Headers],[Fertiliser type f]], 0)</f>
        <v>0</v>
      </c>
      <c r="G36" s="199" t="str" cm="1">
        <f t="array" ref="G36">Common_InputFunctions.Utility_DisplayArrayInTable(Fertiliser_SourceData.Fertiliser_ChemicalCompoundElements_Data(),Table_Fertiliser_ChemicalCompounds[[#Headers],[Fertiliser type f]], 0)</f>
        <v>Other fertilisers</v>
      </c>
      <c r="H36" s="199" t="str" cm="1">
        <f t="array" ref="H36">Common_InputFunctions.Utility_DisplayArrayInTable(Fertiliser_SourceData.Fertiliser_ChemicalCompoundElements_Data(),Table_Fertiliser_ChemicalCompounds[[#Headers],[Fertiliser type f]], 0)</f>
        <v>Single superphosphate (SSP)</v>
      </c>
      <c r="I36" s="199"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5" t="str">
        <f>HYPERLINK("#'8.2.1.1-2 Stationary fuel'!A1", "8.2.1.1-2 Stationary fuel")</f>
        <v>8.2.1.1-2 Stationary fuel</v>
      </c>
      <c r="D37" s="199" t="str" cm="1">
        <f t="array" ref="D37">Common_InputFunctions.Utility_DisplayArrayInTable(Fertiliser_SourceData.Fertiliser_ChemicalCompoundElements_Data(),Table_Fertiliser_ChemicalCompounds[[#Headers],[Fertiliser type f]], 0)</f>
        <v>Ammonia</v>
      </c>
      <c r="E37" s="199" cm="1">
        <f t="array" ref="E37">Common_InputFunctions.Utility_DisplayArrayInTable(Fertiliser_SourceData.Fertiliser_ChemicalCompoundElements_Data(),Table_Fertiliser_ChemicalCompounds[[#Headers],[Fertiliser type f]], 0)</f>
        <v>0.82350000000000001</v>
      </c>
      <c r="F37" s="199" cm="1">
        <f t="array" ref="F37">Common_InputFunctions.Utility_DisplayArrayInTable(Fertiliser_SourceData.Fertiliser_ChemicalCompoundElements_Data(),Table_Fertiliser_ChemicalCompounds[[#Headers],[Fertiliser type f]], 0)</f>
        <v>0</v>
      </c>
      <c r="G37" s="199" t="str" cm="1">
        <f t="array" ref="G37">Common_InputFunctions.Utility_DisplayArrayInTable(Fertiliser_SourceData.Fertiliser_ChemicalCompoundElements_Data(),Table_Fertiliser_ChemicalCompounds[[#Headers],[Fertiliser type f]], 0)</f>
        <v>Ammonium-based fertilisers</v>
      </c>
      <c r="H37" s="199" t="str" cm="1">
        <f t="array" ref="H37">Common_InputFunctions.Utility_DisplayArrayInTable(Fertiliser_SourceData.Fertiliser_ChemicalCompoundElements_Data(),Table_Fertiliser_ChemicalCompounds[[#Headers],[Fertiliser type f]], 0)</f>
        <v>Ammonia</v>
      </c>
      <c r="I37" s="199"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HYPERLINK("#'14.1.1-2 Purchased electricity'!A1", "14.1.1-2 Purchased electricity")</f>
        <v>14.1.1-2 Purchased electricity</v>
      </c>
      <c r="D38" s="29" t="str" cm="1">
        <f t="array" ref="D38">Common_InputFunctions.Utility_DisplayArrayInTable(Fertiliser_SourceData.Fertiliser_ChemicalCompoundElements_Data(),Table_Fertiliser_ChemicalCompounds[[#Headers],[Fertiliser type f]], 0)</f>
        <v>Calcium nitrate</v>
      </c>
      <c r="E38" s="29" cm="1">
        <f t="array" ref="E38">Common_InputFunctions.Utility_DisplayArrayInTable(Fertiliser_SourceData.Fertiliser_ChemicalCompoundElements_Data(),Table_Fertiliser_ChemicalCompounds[[#Headers],[Fertiliser type f]], 0)</f>
        <v>0.155</v>
      </c>
      <c r="F38" s="29" cm="1">
        <f t="array" ref="F38">Common_InputFunctions.Utility_DisplayArrayInTable(Fertiliser_SourceData.Fertiliser_ChemicalCompoundElements_Data(),Table_Fertiliser_ChemicalCompounds[[#Headers],[Fertiliser type f]], 0)</f>
        <v>0</v>
      </c>
      <c r="G38" s="29" t="str" cm="1">
        <f t="array" ref="G38">Common_InputFunctions.Utility_DisplayArrayInTable(Fertiliser_SourceData.Fertiliser_ChemicalCompoundElements_Data(),Table_Fertiliser_ChemicalCompounds[[#Headers],[Fertiliser type f]], 0)</f>
        <v>Nitrate-based fertilisers</v>
      </c>
      <c r="H38" s="29" t="str" cm="1">
        <f t="array" ref="H38">Common_InputFunctions.Utility_DisplayArrayInTable(Fertiliser_SourceData.Fertiliser_ChemicalCompoundElements_Data(),Table_Fertiliser_ChemicalCompounds[[#Headers],[Fertiliser type f]], 0)</f>
        <v>Calcium nitrate</v>
      </c>
      <c r="I38" s="29"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HYPERLINK("#'15 Scope 3'!A1", "15 Scope 3")</f>
        <v>15 Scope 3</v>
      </c>
    </row>
    <row r="40" spans="1:10" ht="20.100000000000001" customHeight="1" x14ac:dyDescent="0.25">
      <c r="A40" s="5" t="str">
        <f>HYPERLINK("#'Calcs - Manure sent off-site'!A1", "Calcs - Manure sent off-site")</f>
        <v>Calcs - Manure sent off-site</v>
      </c>
      <c r="D40" s="2" t="s">
        <v>241</v>
      </c>
      <c r="F40" s="2" t="s">
        <v>706</v>
      </c>
      <c r="H40" s="2" t="s">
        <v>497</v>
      </c>
      <c r="J40" s="2" t="s">
        <v>707</v>
      </c>
    </row>
    <row r="41" spans="1:10" ht="20.100000000000001" customHeight="1" x14ac:dyDescent="0.25">
      <c r="A41" s="5" t="str">
        <f>HYPERLINK("#'4.3.1.1-2 Methane'!A1", "4.3.1.1-2 Methane")</f>
        <v>4.3.1.1-2 Methane</v>
      </c>
      <c r="D41" s="29" t="s">
        <v>168</v>
      </c>
      <c r="F41" s="29" t="s">
        <v>168</v>
      </c>
      <c r="H41" s="29" t="s">
        <v>64</v>
      </c>
      <c r="J41" s="29" t="s">
        <v>708</v>
      </c>
    </row>
    <row r="42" spans="1:10" ht="20.100000000000001" customHeight="1" x14ac:dyDescent="0.25">
      <c r="A42" s="5" t="str">
        <f>HYPERLINK("#'4.3.1.3-4 Direct N20'!A1", "4.3.1.3-4 Direct N20")</f>
        <v>4.3.1.3-4 Direct N20</v>
      </c>
      <c r="D42" s="29" t="s">
        <v>171</v>
      </c>
      <c r="F42" s="29" t="s">
        <v>171</v>
      </c>
      <c r="H42" s="29" t="s">
        <v>502</v>
      </c>
      <c r="J42" s="29" t="s">
        <v>709</v>
      </c>
    </row>
    <row r="43" spans="1:10" ht="20.100000000000001" customHeight="1" x14ac:dyDescent="0.25">
      <c r="A43" s="5" t="str">
        <f>HYPERLINK("#'4.3.1.5 Atmos deposition'!A1", "4.3.1.5 Atmos deposition")</f>
        <v>4.3.1.5 Atmos deposition</v>
      </c>
      <c r="D43" s="1" t="s">
        <v>710</v>
      </c>
      <c r="F43" s="1" t="s">
        <v>711</v>
      </c>
      <c r="H43" s="29" t="s">
        <v>503</v>
      </c>
      <c r="J43" s="1" t="s">
        <v>613</v>
      </c>
    </row>
    <row r="44" spans="1:10" ht="20.100000000000001" customHeight="1" x14ac:dyDescent="0.25">
      <c r="A44" s="5" t="str">
        <f>HYPERLINK("#'4.3.1.6-7 Leaching and runoff'!A1", "4.3.1.6-7 Leaching and runoff")</f>
        <v>4.3.1.6-7 Leaching and runoff</v>
      </c>
      <c r="F44" s="1" t="s">
        <v>712</v>
      </c>
      <c r="H44" s="1" t="s">
        <v>260</v>
      </c>
      <c r="J44" s="1" t="s">
        <v>713</v>
      </c>
    </row>
    <row r="45" spans="1:10" ht="20.100000000000001" customHeight="1" x14ac:dyDescent="0.25">
      <c r="A45" s="5" t="str">
        <f>HYPERLINK("#'4.3.1.8 Manure applied to soils'!A1", "4.3.1.8 Manure applied to soils")</f>
        <v>4.3.1.8 Manure applied to soils</v>
      </c>
      <c r="F45" s="1" t="s">
        <v>714</v>
      </c>
      <c r="H45" s="1" t="s">
        <v>504</v>
      </c>
      <c r="J45" s="1" t="s">
        <v>612</v>
      </c>
    </row>
    <row r="46" spans="1:10" ht="20.100000000000001" customHeight="1" x14ac:dyDescent="0.25">
      <c r="A46" s="5" t="str">
        <f>HYPERLINK("#'4.3.1.9 Soil direct N2O'!A1", "4.3.1.9 Soil direct N2O")</f>
        <v>4.3.1.9 Soil direct N2O</v>
      </c>
      <c r="H46" s="1" t="s">
        <v>505</v>
      </c>
      <c r="J46" s="1" t="s">
        <v>614</v>
      </c>
    </row>
    <row r="47" spans="1:10" ht="20.100000000000001" customHeight="1" x14ac:dyDescent="0.25">
      <c r="A47" s="5" t="str">
        <f>HYPERLINK("#'4.3.1.10-11 Soil Atmos Dep'!A1", "4.3.1.10-11 Soil Atmos Dep")</f>
        <v>4.3.1.10-11 Soil Atmos Dep</v>
      </c>
    </row>
    <row r="48" spans="1:10" ht="20.100000000000001" customHeight="1" x14ac:dyDescent="0.25">
      <c r="A48" s="5" t="str">
        <f>HYPERLINK("#'4.3.1.12-13 Soil leach runoff'!A1", "4.3.1.12-13 Soil leach runoff")</f>
        <v>4.3.1.12-13 Soil leach runoff</v>
      </c>
      <c r="D48" s="2" t="str" cm="1">
        <f t="array" ref="D48">Fertiliser_SourceData.Fertiliser_FracGASF_Title()</f>
        <v>Fraction of inorganic fertiliser that volatilises as NH3 and NOx</v>
      </c>
      <c r="G48" s="191"/>
    </row>
    <row r="49" spans="1:8" ht="20.100000000000001" customHeight="1" x14ac:dyDescent="0.25">
      <c r="A49" s="5" t="str">
        <f>HYPERLINK("#'3.3.1.1-2 Enteric Methane'!A1", "3.3.1.1-2 Enteric Methane")</f>
        <v>3.3.1.1-2 Enteric Methane</v>
      </c>
      <c r="D49" s="27" t="str" cm="1">
        <f t="array" ref="D49">Fertiliser_SourceData.Fertiliser_FracGASF_Source()</f>
        <v>Table A.2.2.6: Fraction of inorganic fertiliser f that volatilises as NH3 and NOx ((kg NH3-N + NOx-N)/kg N) (FracGASFf)</v>
      </c>
      <c r="G49" s="191"/>
    </row>
    <row r="50" spans="1:8" ht="20.100000000000001" customHeight="1" x14ac:dyDescent="0.25">
      <c r="A50" s="5" t="str">
        <f>HYPERLINK("#'10.1.1-2 Solid waste treatment'!A1", "10.1.1-2 Solid waste treatment")</f>
        <v>10.1.1-2 Solid waste treatment</v>
      </c>
      <c r="D50" s="29" t="s">
        <v>619</v>
      </c>
      <c r="E50" s="29" t="s">
        <v>715</v>
      </c>
      <c r="G50" s="191"/>
    </row>
    <row r="51" spans="1:8" ht="20.100000000000001" customHeight="1" x14ac:dyDescent="0.25">
      <c r="D51" s="29" t="str" cm="1">
        <f t="array" ref="D51">Common_InputFunctions.Utility_DisplayArrayInTable(Fertiliser_SourceData.Fertiliser_FracGASF_Data(), Table_SourceData_Fertiliser_FracGASF[[#Headers],[Fertiliser type f]], 0)</f>
        <v>Urea-based fertilisers</v>
      </c>
      <c r="E51" s="29" cm="1">
        <f t="array" ref="E51">Common_InputFunctions.Utility_DisplayArrayInTable(Fertiliser_SourceData.Fertiliser_FracGASF_Data(), Table_SourceData_Fertiliser_FracGASF[[#Headers],[Fertiliser type f]], 0)</f>
        <v>0.15</v>
      </c>
      <c r="G51" s="191"/>
    </row>
    <row r="52" spans="1: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29" cm="1">
        <f t="array" ref="E52">Common_InputFunctions.Utility_DisplayArrayInTable(Fertiliser_SourceData.Fertiliser_FracGASF_Data(), Table_SourceData_Fertiliser_FracGASF[[#Headers],[Fertiliser type f]], 0)</f>
        <v>0.08</v>
      </c>
      <c r="G52" s="191"/>
    </row>
    <row r="53" spans="1:8" ht="20.100000000000001" customHeight="1" x14ac:dyDescent="0.25">
      <c r="A53" s="100" t="s">
        <v>1</v>
      </c>
      <c r="D53" s="1" t="str" cm="1">
        <f t="array" ref="D53">Common_InputFunctions.Utility_DisplayArrayInTable(Fertiliser_SourceData.Fertiliser_FracGASF_Data(), Table_SourceData_Fertiliser_FracGASF[[#Headers],[Fertiliser type f]], 0)</f>
        <v>Nitrate-based fertilisers</v>
      </c>
      <c r="E53" s="29" cm="1">
        <f t="array" ref="E53">Common_InputFunctions.Utility_DisplayArrayInTable(Fertiliser_SourceData.Fertiliser_FracGASF_Data(), Table_SourceData_Fertiliser_FracGASF[[#Headers],[Fertiliser type f]], 0)</f>
        <v>0.01</v>
      </c>
      <c r="G53" s="191"/>
    </row>
    <row r="54" spans="1:8" ht="20.100000000000001" customHeight="1" x14ac:dyDescent="0.25">
      <c r="A54" s="5" t="str">
        <f>HYPERLINK("#'Constants - Dairy'!A1", "Constants - Dairy")</f>
        <v>Constants - Dairy</v>
      </c>
      <c r="D54" s="1" t="str" cm="1">
        <f t="array" ref="D54">Common_InputFunctions.Utility_DisplayArrayInTable(Fertiliser_SourceData.Fertiliser_FracGASF_Data(), Table_SourceData_Fertiliser_FracGASF[[#Headers],[Fertiliser type f]], 0)</f>
        <v>Ammonium-nitrate based fertilisers</v>
      </c>
      <c r="E54" s="29" cm="1">
        <f t="array" ref="E54">Common_InputFunctions.Utility_DisplayArrayInTable(Fertiliser_SourceData.Fertiliser_FracGASF_Data(), Table_SourceData_Fertiliser_FracGASF[[#Headers],[Fertiliser type f]], 0)</f>
        <v>0.05</v>
      </c>
      <c r="G54" s="191"/>
      <c r="H54" s="191"/>
    </row>
    <row r="55" spans="1:8" ht="20.100000000000001" customHeight="1" x14ac:dyDescent="0.25">
      <c r="A55" s="5" t="str">
        <f>HYPERLINK("#'Constants - Ag Residue'!A1", "Constants - Ag residue")</f>
        <v>Constants - Ag residue</v>
      </c>
      <c r="D55" s="1" t="str" cm="1">
        <f t="array" ref="D55">Common_InputFunctions.Utility_DisplayArrayInTable(Fertiliser_SourceData.Fertiliser_FracGASF_Data(), Table_SourceData_Fertiliser_FracGASF[[#Headers],[Fertiliser type f]], 0)</f>
        <v>Other fertilisers</v>
      </c>
      <c r="E55" s="29" cm="1">
        <f t="array" ref="E55">Common_InputFunctions.Utility_DisplayArrayInTable(Fertiliser_SourceData.Fertiliser_FracGASF_Data(), Table_SourceData_Fertiliser_FracGASF[[#Headers],[Fertiliser type f]], 0)</f>
        <v>0.11</v>
      </c>
      <c r="G55" s="191"/>
      <c r="H55" s="191"/>
    </row>
    <row r="56" spans="1:8" ht="20.100000000000001" customHeight="1" x14ac:dyDescent="0.25">
      <c r="A56" s="5" t="str">
        <f>HYPERLINK("#'Constants - Common Livestock'!A1", "Constants - Common Livestock")</f>
        <v>Constants - Common Livestock</v>
      </c>
    </row>
    <row r="57" spans="1:8" ht="20.100000000000001" customHeight="1" x14ac:dyDescent="0.25">
      <c r="A57" s="5" t="str">
        <f>HYPERLINK("#'Constants - Electricity'!A1", "Constants - Electricity")</f>
        <v>Constants - Electricity</v>
      </c>
    </row>
    <row r="58" spans="1:8" ht="20.100000000000001" customHeight="1" x14ac:dyDescent="0.25">
      <c r="A58" s="148" t="str">
        <f>HYPERLINK("#'Constants - Fertiliser'!A1", "Constants - Fertiliser")</f>
        <v>Constants - Fertiliser</v>
      </c>
      <c r="D58" s="2" t="str" cm="1">
        <f t="array" ref="D58">Fertiliser_SourceData.Fertiliser_EFUreaCO2_Title()</f>
        <v>Emission factor for carbon emissions from urea application</v>
      </c>
    </row>
    <row r="59" spans="1:8" ht="20.100000000000001" customHeight="1" x14ac:dyDescent="0.25">
      <c r="A59" s="5" t="str">
        <f>HYPERLINK("#'Constants - Fuel'!A1", "Constants - Fuel")</f>
        <v>Constants - Fuel</v>
      </c>
      <c r="D59" s="27" t="str" cm="1">
        <f t="array" ref="D59">Fertiliser_SourceData.Fertiliser_EFUreaCO2_Source()</f>
        <v>VEERG 2026: 5.1.2.2 Constant Parameters</v>
      </c>
    </row>
    <row r="60" spans="1:8" ht="20.100000000000001" customHeight="1" x14ac:dyDescent="0.25">
      <c r="A60" s="5" t="str">
        <f>HYPERLINK("#'Constants - Scope 3'!A1", "Constants - Scope 3")</f>
        <v>Constants - Scope 3</v>
      </c>
      <c r="D60" s="87" t="str" cm="1">
        <f t="array" ref="D60">Fertiliser_SourceData.Fertiliser_EFUreaCO2_Variable()</f>
        <v>EFureaCO2</v>
      </c>
      <c r="E60" s="1" cm="1">
        <f t="array" ref="E60">Fertiliser_SourceData.Fertiliser_EFUreaCO2_Data()</f>
        <v>0.2</v>
      </c>
      <c r="F60" s="15" t="str" cm="1">
        <f t="array" ref="F60">Fertiliser_SourceData.Fertiliser_EFUreaCO2_Unit()</f>
        <v>kg C/kg urea</v>
      </c>
    </row>
    <row r="61" spans="1:8" ht="20.100000000000001" customHeight="1" x14ac:dyDescent="0.25">
      <c r="A61" s="5" t="str">
        <f>HYPERLINK("#'Constants - Common'!A1", "Constants - Common")</f>
        <v>Constants - Common</v>
      </c>
    </row>
    <row r="62" spans="1:8" ht="20.100000000000001" customHeight="1" x14ac:dyDescent="0.25">
      <c r="A62" s="5" t="str">
        <f>HYPERLINK("#'Acknowledgements'!A1", "Acknowledgements")</f>
        <v>Acknowledgements</v>
      </c>
    </row>
    <row r="63" spans="1:8" ht="20.100000000000001" customHeight="1" x14ac:dyDescent="0.25">
      <c r="A63" s="5" t="str">
        <f>HYPERLINK("#'Constants - Solid Waste'!A1", "Constants - Solid Waste")</f>
        <v>Constants - Solid Waste</v>
      </c>
      <c r="D63" s="2" t="str" cm="1">
        <f t="array" ref="D63">Fertiliser_SourceData.Fertiliser_LimeDolomiteGypsumConstants_Title()</f>
        <v>Constants for lime, dolomite and gypsum</v>
      </c>
    </row>
    <row r="64" spans="1:8" ht="20.100000000000001" customHeight="1" x14ac:dyDescent="0.25">
      <c r="D64" s="27" t="str" cm="1">
        <f t="array" ref="D64">Fertiliser_SourceData.Fertiliser_LimeDolomiteGypsumConstants_Source()</f>
        <v>VEERG 2026: 5.3.2.3 Constant Parameters</v>
      </c>
    </row>
    <row r="65" spans="4:6" ht="20.100000000000001" customHeight="1" x14ac:dyDescent="0.25">
      <c r="D65" s="29" t="s">
        <v>666</v>
      </c>
      <c r="E65" s="29" t="s">
        <v>716</v>
      </c>
      <c r="F65" s="29" t="s">
        <v>717</v>
      </c>
    </row>
    <row r="66" spans="4:6" ht="20.100000000000001" customHeight="1" x14ac:dyDescent="0.25">
      <c r="D66" s="29" t="str" cm="1">
        <f t="array" ref="D66">Common_InputFunctions.Utility_DisplayArrayInTable(Fertiliser_SourceData.Fertiliser_LimeDolomiteGypsumConstants_Data(), Table_SourceData_Fertiliser_LimeDolomiteConstants[[#Headers],[Element]], 0)</f>
        <v>Lime (Calcium carbonate)</v>
      </c>
      <c r="E66" s="29" cm="1">
        <f t="array" ref="E66">Common_InputFunctions.Utility_DisplayArrayInTable(Fertiliser_SourceData.Fertiliser_LimeDolomiteGypsumConstants_Data(), Table_SourceData_Fertiliser_LimeDolomiteConstants[[#Headers],[Element]], 0)</f>
        <v>0.9</v>
      </c>
      <c r="F66" s="29"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29" cm="1">
        <f t="array" ref="E67">Common_InputFunctions.Utility_DisplayArrayInTable(Fertiliser_SourceData.Fertiliser_LimeDolomiteGypsumConstants_Data(), Table_SourceData_Fertiliser_LimeDolomiteConstants[[#Headers],[Element]], 0)</f>
        <v>0.95</v>
      </c>
      <c r="F67" s="29"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29" cm="1">
        <f t="array" ref="E68">Common_InputFunctions.Utility_DisplayArrayInTable(Fertiliser_SourceData.Fertiliser_LimeDolomiteGypsumConstants_Data(), Table_SourceData_Fertiliser_LimeDolomiteConstants[[#Headers],[Element]], 0)</f>
        <v>0</v>
      </c>
      <c r="F68" s="29"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27" t="str" cm="1">
        <f t="array" ref="D72">Fertiliser_SourceData.Fertiliser_FracGASMSoil_Source()</f>
        <v>VEERG 2026: 5.4.2.3 Constant Parameters</v>
      </c>
    </row>
    <row r="73" spans="4:6" ht="20.100000000000001" customHeight="1" x14ac:dyDescent="0.25">
      <c r="D73" s="87" t="str" cm="1">
        <f t="array" ref="D73">Fertiliser_SourceData.Fertiliser_FracGASMSoil_Variable()</f>
        <v>FracGASMsoil</v>
      </c>
      <c r="E73" s="1" cm="1">
        <f t="array" ref="E73">Fertiliser_SourceData.Fertiliser_FracGASMSoil_Data()</f>
        <v>0.21</v>
      </c>
      <c r="F73" s="15"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27" t="str" cm="1">
        <f t="array" ref="D77">Fertiliser_SourceData.Fertiliser_FracLEACH_Source()</f>
        <v>VEERG 2026: 5.5.2.3 Constant Parameters</v>
      </c>
    </row>
    <row r="78" spans="4:6" ht="20.100000000000001" customHeight="1" x14ac:dyDescent="0.25">
      <c r="D78" s="87" t="str" cm="1">
        <f t="array" ref="D78">Fertiliser_SourceData.Fertiliser_FracLEACH_Variable()</f>
        <v>FracLEACH</v>
      </c>
      <c r="E78" s="1" cm="1">
        <f t="array" ref="E78">Fertiliser_SourceData.Fertiliser_FracLEACH_Data()</f>
        <v>0.24</v>
      </c>
      <c r="F78" s="15"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2" t="str" cm="1">
        <f t="array" ref="D81">Fertiliser_SourceData.Fertiliser_EFLeach_Title()</f>
        <v>Emission factor for nitrogen leaching and runoff</v>
      </c>
    </row>
    <row r="82" spans="4:31" ht="20.100000000000001" customHeight="1" x14ac:dyDescent="0.25">
      <c r="D82" s="27" t="str" cm="1">
        <f t="array" ref="D82">Fertiliser_SourceData.Fertiliser_EFLeach_Source()</f>
        <v>VEERG 2026: 5.5.2.3 Constant Parameters</v>
      </c>
    </row>
    <row r="83" spans="4:31" ht="20.100000000000001" customHeight="1" x14ac:dyDescent="0.25">
      <c r="D83" s="87" t="str" cm="1">
        <f t="array" ref="D83">Fertiliser_SourceData.Fertiliser_EFLeach_Variable()</f>
        <v>EFLeach</v>
      </c>
      <c r="E83" s="1" cm="1">
        <f t="array" ref="E83">Fertiliser_SourceData.Fertiliser_EFLeach_Data()</f>
        <v>1.0999999999999999E-2</v>
      </c>
      <c r="F83" s="15"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718</v>
      </c>
    </row>
    <row r="87" spans="4:31" ht="20.100000000000001" customHeight="1" x14ac:dyDescent="0.25">
      <c r="D87" s="2" t="s">
        <v>719</v>
      </c>
      <c r="E87" s="191"/>
      <c r="F87" s="191"/>
      <c r="G87" s="191"/>
      <c r="H87" s="191"/>
      <c r="I87" s="191"/>
      <c r="J87" s="191"/>
      <c r="K87" s="191"/>
      <c r="L87" s="191"/>
      <c r="N87" s="191" t="s">
        <v>718</v>
      </c>
      <c r="O87" s="191"/>
      <c r="P87" s="191"/>
      <c r="Q87" s="191"/>
      <c r="R87" s="191"/>
      <c r="S87" s="191"/>
      <c r="T87" s="191"/>
      <c r="U87" s="191"/>
    </row>
    <row r="88" spans="4:31" ht="20.100000000000001" customHeight="1" x14ac:dyDescent="0.25">
      <c r="D88" s="191"/>
    </row>
    <row r="89" spans="4:31" ht="20.100000000000001" customHeight="1" x14ac:dyDescent="0.25">
      <c r="D89" s="200" t="s">
        <v>720</v>
      </c>
      <c r="E89" s="29" t="s">
        <v>202</v>
      </c>
      <c r="F89" s="29" t="s">
        <v>721</v>
      </c>
      <c r="G89" s="156" t="s">
        <v>722</v>
      </c>
      <c r="H89" s="156" t="s">
        <v>122</v>
      </c>
      <c r="I89" s="156" t="s">
        <v>723</v>
      </c>
      <c r="J89" s="156" t="s">
        <v>573</v>
      </c>
      <c r="K89" s="156" t="s">
        <v>574</v>
      </c>
      <c r="L89" s="156" t="s">
        <v>560</v>
      </c>
      <c r="M89" s="156" t="s">
        <v>561</v>
      </c>
      <c r="N89" s="156" t="s">
        <v>562</v>
      </c>
      <c r="O89" s="29" t="s">
        <v>563</v>
      </c>
      <c r="P89" s="29" t="s">
        <v>564</v>
      </c>
      <c r="Q89" s="29" t="s">
        <v>565</v>
      </c>
      <c r="R89" s="156" t="s">
        <v>566</v>
      </c>
      <c r="S89" s="156" t="s">
        <v>567</v>
      </c>
      <c r="T89" s="29" t="s">
        <v>568</v>
      </c>
      <c r="U89" s="156" t="s">
        <v>569</v>
      </c>
      <c r="V89" s="156" t="s">
        <v>570</v>
      </c>
      <c r="W89" s="156" t="s">
        <v>571</v>
      </c>
      <c r="X89" s="156" t="s">
        <v>724</v>
      </c>
      <c r="Y89" s="156" t="s">
        <v>725</v>
      </c>
      <c r="Z89" s="29" t="s">
        <v>726</v>
      </c>
      <c r="AA89" s="29" t="s">
        <v>727</v>
      </c>
      <c r="AB89" s="29" t="s">
        <v>728</v>
      </c>
      <c r="AC89" s="29" t="s">
        <v>729</v>
      </c>
      <c r="AD89" s="29" t="s">
        <v>730</v>
      </c>
      <c r="AE89" s="29" t="s">
        <v>731</v>
      </c>
    </row>
    <row r="90" spans="4:31" ht="20.100000000000001" customHeight="1" x14ac:dyDescent="0.25">
      <c r="D90" s="199" t="str" cm="1">
        <f t="array" ref="D90">Common_InputFunctions.Utility_DisplayArrayInTable(Fertiliser_SourceData.Fertiliser_Products_Data1(),FertiliserProducts[[#Headers],[Include or Exclude]], -1)</f>
        <v>Include</v>
      </c>
      <c r="E90" s="199" t="str" cm="1">
        <f t="array" ref="E90">Common_InputFunctions.Utility_DisplayArrayInTable(Fertiliser_SourceData.Fertiliser_Products_Data1(),FertiliserProducts[[#Headers],[Include or Exclude]], 0)</f>
        <v/>
      </c>
      <c r="F90" s="199" t="str" cm="1">
        <f t="array" ref="F90">Common_InputFunctions.Utility_DisplayArrayInTable(Fertiliser_SourceData.Fertiliser_Products_Data1(),FertiliserProducts[[#Headers],[Include or Exclude]], 0)</f>
        <v>Campbells fertilisers Australia</v>
      </c>
      <c r="G90" s="199" t="str" cm="1">
        <f t="array" ref="G90">Common_InputFunctions.Utility_DisplayArrayInTable(Fertiliser_SourceData.Fertiliser_Products_Data1(),FertiliserProducts[[#Headers],[Include or Exclude]], 0)</f>
        <v>Aqua Finish</v>
      </c>
      <c r="H90" s="199" t="str" cm="1">
        <f t="array" ref="H90">Common_InputFunctions.Utility_DisplayArrayInTable(Fertiliser_SourceData.Fertiliser_Products_Data1(),FertiliserProducts[[#Headers],[Include or Exclude]], 0,4)</f>
        <v>L</v>
      </c>
      <c r="I90" s="199" cm="1">
        <f t="array" ref="I90">Common_InputFunctions.Utility_DisplayArrayInTable(Fertiliser_SourceData.Fertiliser_Products_Data1(),FertiliserProducts[[#Headers],[Include or Exclude]], 0,4)</f>
        <v>1.26</v>
      </c>
      <c r="J90" s="199" t="str" cm="1">
        <f t="array" ref="J90">Common_InputFunctions.Utility_DisplayArrayInTable(Fertiliser_SourceData.Fertiliser_Products_Data1(),FertiliserProducts[[#Headers],[Include or Exclude]], 0,4)</f>
        <v/>
      </c>
      <c r="K90" s="199" t="str" cm="1">
        <f t="array" ref="K90">Common_InputFunctions.Utility_DisplayArrayInTable(Fertiliser_SourceData.Fertiliser_Products_Data1(),FertiliserProducts[[#Headers],[Include or Exclude]], 0,4)</f>
        <v/>
      </c>
      <c r="L90" s="199" t="str" cm="1">
        <f t="array" ref="L90">Common_InputFunctions.Utility_DisplayArrayInTable(Fertiliser_SourceData.Fertiliser_Products_Data1(),FertiliserProducts[[#Headers],[Include or Exclude]], 0,4)</f>
        <v>Potassium - Generic</v>
      </c>
      <c r="M90" s="199" cm="1">
        <f t="array" ref="M90">Common_InputFunctions.Utility_DisplayArrayInTable(Fertiliser_SourceData.Fertiliser_Products_Data1(),FertiliserProducts[[#Headers],[Include or Exclude]], 0,4)</f>
        <v>0.22500000000000001</v>
      </c>
      <c r="N90" s="199" t="str" cm="1">
        <f t="array" ref="N90">Common_InputFunctions.Utility_DisplayArrayInTable(Fertiliser_SourceData.Fertiliser_Products_Data1(),FertiliserProducts[[#Headers],[Include or Exclude]], 0,4)</f>
        <v>Phosphorus - Generic</v>
      </c>
      <c r="O90" s="199" cm="1">
        <f t="array" ref="O90">Common_InputFunctions.Utility_DisplayArrayInTable(Fertiliser_SourceData.Fertiliser_Products_Data1(),FertiliserProducts[[#Headers],[Include or Exclude]], 0,4)</f>
        <v>0.04</v>
      </c>
      <c r="P90" s="199" t="str" cm="1">
        <f t="array" ref="P90">Common_InputFunctions.Utility_DisplayArrayInTable(Fertiliser_SourceData.Fertiliser_Products_Data1(),FertiliserProducts[[#Headers],[Include or Exclude]], 0,4)</f>
        <v>Nitrogen - Generic</v>
      </c>
      <c r="Q90" s="199" cm="1">
        <f t="array" ref="Q90">Common_InputFunctions.Utility_DisplayArrayInTable(Fertiliser_SourceData.Fertiliser_Products_Data1(),FertiliserProducts[[#Headers],[Include or Exclude]], 0,4)</f>
        <v>2.5999999999999999E-2</v>
      </c>
      <c r="R90" s="199" t="str" cm="1">
        <f t="array" ref="R90">Common_InputFunctions.Utility_DisplayArrayInTable(Fertiliser_SourceData.Fertiliser_Products_Data1(),FertiliserProducts[[#Headers],[Include or Exclude]], 0,4)</f>
        <v/>
      </c>
      <c r="S90" s="199" t="str" cm="1">
        <f t="array" ref="S90">Common_InputFunctions.Utility_DisplayArrayInTable(Fertiliser_SourceData.Fertiliser_Products_Data1(),FertiliserProducts[[#Headers],[Include or Exclude]], 0,4)</f>
        <v/>
      </c>
      <c r="T90" s="199" t="str" cm="1">
        <f t="array" ref="T90">Common_InputFunctions.Utility_DisplayArrayInTable(Fertiliser_SourceData.Fertiliser_Products_Data1(),FertiliserProducts[[#Headers],[Include or Exclude]], 0,4)</f>
        <v/>
      </c>
      <c r="U90" s="199" t="str" cm="1">
        <f t="array" ref="U90">Common_InputFunctions.Utility_DisplayArrayInTable(Fertiliser_SourceData.Fertiliser_Products_Data1(),FertiliserProducts[[#Headers],[Include or Exclude]], 0,4)</f>
        <v/>
      </c>
      <c r="V90" s="199" t="str" cm="1">
        <f t="array" ref="V90">Common_InputFunctions.Utility_DisplayArrayInTable(Fertiliser_SourceData.Fertiliser_Products_Data1(),FertiliserProducts[[#Headers],[Include or Exclude]], 0,4)</f>
        <v/>
      </c>
      <c r="W90" s="199" t="str" cm="1">
        <f t="array" ref="W90">Common_InputFunctions.Utility_DisplayArrayInTable(Fertiliser_SourceData.Fertiliser_Products_Data1(),FertiliserProducts[[#Headers],[Include or Exclude]], 0,4)</f>
        <v/>
      </c>
      <c r="X90" s="199" t="str" cm="1">
        <f t="array" ref="X90">Common_InputFunctions.Utility_DisplayArrayInTable(Fertiliser_SourceData.Fertiliser_Products_Data1(),FertiliserProducts[[#Headers],[Include or Exclude]], 0,4)</f>
        <v/>
      </c>
      <c r="Y90" s="199" t="str" cm="1">
        <f t="array" ref="Y90">Common_InputFunctions.Utility_DisplayArrayInTable(Fertiliser_SourceData.Fertiliser_Products_Data1(),FertiliserProducts[[#Headers],[Include or Exclude]], 0,4)</f>
        <v/>
      </c>
      <c r="Z90" s="199" t="str" cm="1">
        <f t="array" ref="Z90">Common_InputFunctions.Utility_DisplayArrayInTable(Fertiliser_SourceData.Fertiliser_Products_Data1(),FertiliserProducts[[#Headers],[Include or Exclude]], 0,4)</f>
        <v/>
      </c>
      <c r="AA90" s="199" t="str" cm="1">
        <f t="array" ref="AA90">Common_InputFunctions.Utility_DisplayArrayInTable(Fertiliser_SourceData.Fertiliser_Products_Data1(),FertiliserProducts[[#Headers],[Include or Exclude]], 0,4)</f>
        <v/>
      </c>
      <c r="AB90" s="199" t="str" cm="1">
        <f t="array" ref="AB90">Common_InputFunctions.Utility_DisplayArrayInTable(Fertiliser_SourceData.Fertiliser_Products_Data1(),FertiliserProducts[[#Headers],[Include or Exclude]], 0,4)</f>
        <v/>
      </c>
      <c r="AC90" s="199" t="str" cm="1">
        <f t="array" ref="AC90">Common_InputFunctions.Utility_DisplayArrayInTable(Fertiliser_SourceData.Fertiliser_Products_Data1(),FertiliserProducts[[#Headers],[Include or Exclude]], 0,4)</f>
        <v/>
      </c>
      <c r="AD90" s="199" t="str" cm="1">
        <f t="array" ref="AD90">Common_InputFunctions.Utility_DisplayArrayInTable(Fertiliser_SourceData.Fertiliser_Products_Data1(),FertiliserProducts[[#Headers],[Include or Exclude]], 0,4)</f>
        <v/>
      </c>
      <c r="AE90" s="199" t="str" cm="1">
        <f t="array" ref="AE90">Common_InputFunctions.Utility_DisplayArrayInTable(Fertiliser_SourceData.Fertiliser_Products_Data1(),FertiliserProducts[[#Headers],[Include or Exclude]], 0,4)</f>
        <v/>
      </c>
    </row>
    <row r="91" spans="4:31" ht="20.100000000000001" customHeight="1" x14ac:dyDescent="0.25">
      <c r="D91" s="199" t="str" cm="1">
        <f t="array" ref="D91">Common_InputFunctions.Utility_DisplayArrayInTable(Fertiliser_SourceData.Fertiliser_Products_Data1(),FertiliserProducts[[#Headers],[Include or Exclude]], -1)</f>
        <v>Include</v>
      </c>
      <c r="E91" s="199" t="str" cm="1">
        <f t="array" ref="E91">Common_InputFunctions.Utility_DisplayArrayInTable(Fertiliser_SourceData.Fertiliser_Products_Data1(),FertiliserProducts[[#Headers],[Include or Exclude]], 0)</f>
        <v/>
      </c>
      <c r="F91" s="199" t="str" cm="1">
        <f t="array" ref="F91">Common_InputFunctions.Utility_DisplayArrayInTable(Fertiliser_SourceData.Fertiliser_Products_Data1(),FertiliserProducts[[#Headers],[Include or Exclude]], 0)</f>
        <v>Campbells fertilisers Australia</v>
      </c>
      <c r="G91" s="199" t="str" cm="1">
        <f t="array" ref="G91">Common_InputFunctions.Utility_DisplayArrayInTable(Fertiliser_SourceData.Fertiliser_Products_Data1(),FertiliserProducts[[#Headers],[Include or Exclude]], 0)</f>
        <v>Aqua Grow</v>
      </c>
      <c r="H91" s="199" t="str" cm="1">
        <f t="array" ref="H91">Common_InputFunctions.Utility_DisplayArrayInTable(Fertiliser_SourceData.Fertiliser_Products_Data1(),FertiliserProducts[[#Headers],[Include or Exclude]], 0,4)</f>
        <v>L</v>
      </c>
      <c r="I91" s="199" cm="1">
        <f t="array" ref="I91">Common_InputFunctions.Utility_DisplayArrayInTable(Fertiliser_SourceData.Fertiliser_Products_Data1(),FertiliserProducts[[#Headers],[Include or Exclude]], 0,4)</f>
        <v>1.26</v>
      </c>
      <c r="J91" s="199" t="str" cm="1">
        <f t="array" ref="J91">Common_InputFunctions.Utility_DisplayArrayInTable(Fertiliser_SourceData.Fertiliser_Products_Data1(),FertiliserProducts[[#Headers],[Include or Exclude]], 0,4)</f>
        <v/>
      </c>
      <c r="K91" s="199" t="str" cm="1">
        <f t="array" ref="K91">Common_InputFunctions.Utility_DisplayArrayInTable(Fertiliser_SourceData.Fertiliser_Products_Data1(),FertiliserProducts[[#Headers],[Include or Exclude]], 0,4)</f>
        <v/>
      </c>
      <c r="L91" s="199" t="str" cm="1">
        <f t="array" ref="L91">Common_InputFunctions.Utility_DisplayArrayInTable(Fertiliser_SourceData.Fertiliser_Products_Data1(),FertiliserProducts[[#Headers],[Include or Exclude]], 0,4)</f>
        <v>Potassium - Generic</v>
      </c>
      <c r="M91" s="199" cm="1">
        <f t="array" ref="M91">Common_InputFunctions.Utility_DisplayArrayInTable(Fertiliser_SourceData.Fertiliser_Products_Data1(),FertiliserProducts[[#Headers],[Include or Exclude]], 0,4)</f>
        <v>0.105</v>
      </c>
      <c r="N91" s="199" t="str" cm="1">
        <f t="array" ref="N91">Common_InputFunctions.Utility_DisplayArrayInTable(Fertiliser_SourceData.Fertiliser_Products_Data1(),FertiliserProducts[[#Headers],[Include or Exclude]], 0,4)</f>
        <v>Nitrogen - Generic</v>
      </c>
      <c r="O91" s="199" cm="1">
        <f t="array" ref="O91">Common_InputFunctions.Utility_DisplayArrayInTable(Fertiliser_SourceData.Fertiliser_Products_Data1(),FertiliserProducts[[#Headers],[Include or Exclude]], 0,4)</f>
        <v>9.6000000000000002E-2</v>
      </c>
      <c r="P91" s="199" t="str" cm="1">
        <f t="array" ref="P91">Common_InputFunctions.Utility_DisplayArrayInTable(Fertiliser_SourceData.Fertiliser_Products_Data1(),FertiliserProducts[[#Headers],[Include or Exclude]], 0,4)</f>
        <v>Phosphorus - Generic</v>
      </c>
      <c r="Q91" s="199" cm="1">
        <f t="array" ref="Q91">Common_InputFunctions.Utility_DisplayArrayInTable(Fertiliser_SourceData.Fertiliser_Products_Data1(),FertiliserProducts[[#Headers],[Include or Exclude]], 0,4)</f>
        <v>0.05</v>
      </c>
      <c r="R91" s="199" t="str" cm="1">
        <f t="array" ref="R91">Common_InputFunctions.Utility_DisplayArrayInTable(Fertiliser_SourceData.Fertiliser_Products_Data1(),FertiliserProducts[[#Headers],[Include or Exclude]], 0,4)</f>
        <v/>
      </c>
      <c r="S91" s="199" t="str" cm="1">
        <f t="array" ref="S91">Common_InputFunctions.Utility_DisplayArrayInTable(Fertiliser_SourceData.Fertiliser_Products_Data1(),FertiliserProducts[[#Headers],[Include or Exclude]], 0,4)</f>
        <v/>
      </c>
      <c r="T91" s="199" t="str" cm="1">
        <f t="array" ref="T91">Common_InputFunctions.Utility_DisplayArrayInTable(Fertiliser_SourceData.Fertiliser_Products_Data1(),FertiliserProducts[[#Headers],[Include or Exclude]], 0,4)</f>
        <v/>
      </c>
      <c r="U91" s="199" t="str" cm="1">
        <f t="array" ref="U91">Common_InputFunctions.Utility_DisplayArrayInTable(Fertiliser_SourceData.Fertiliser_Products_Data1(),FertiliserProducts[[#Headers],[Include or Exclude]], 0,4)</f>
        <v/>
      </c>
      <c r="V91" s="199" t="str" cm="1">
        <f t="array" ref="V91">Common_InputFunctions.Utility_DisplayArrayInTable(Fertiliser_SourceData.Fertiliser_Products_Data1(),FertiliserProducts[[#Headers],[Include or Exclude]], 0,4)</f>
        <v/>
      </c>
      <c r="W91" s="199" t="str" cm="1">
        <f t="array" ref="W91">Common_InputFunctions.Utility_DisplayArrayInTable(Fertiliser_SourceData.Fertiliser_Products_Data1(),FertiliserProducts[[#Headers],[Include or Exclude]], 0,4)</f>
        <v/>
      </c>
      <c r="X91" s="199" t="str" cm="1">
        <f t="array" ref="X91">Common_InputFunctions.Utility_DisplayArrayInTable(Fertiliser_SourceData.Fertiliser_Products_Data1(),FertiliserProducts[[#Headers],[Include or Exclude]], 0,4)</f>
        <v/>
      </c>
      <c r="Y91" s="199" t="str" cm="1">
        <f t="array" ref="Y91">Common_InputFunctions.Utility_DisplayArrayInTable(Fertiliser_SourceData.Fertiliser_Products_Data1(),FertiliserProducts[[#Headers],[Include or Exclude]], 0,4)</f>
        <v/>
      </c>
      <c r="Z91" s="199" t="str" cm="1">
        <f t="array" ref="Z91">Common_InputFunctions.Utility_DisplayArrayInTable(Fertiliser_SourceData.Fertiliser_Products_Data1(),FertiliserProducts[[#Headers],[Include or Exclude]], 0,4)</f>
        <v/>
      </c>
      <c r="AA91" s="199" t="str" cm="1">
        <f t="array" ref="AA91">Common_InputFunctions.Utility_DisplayArrayInTable(Fertiliser_SourceData.Fertiliser_Products_Data1(),FertiliserProducts[[#Headers],[Include or Exclude]], 0,4)</f>
        <v/>
      </c>
      <c r="AB91" s="199" t="str" cm="1">
        <f t="array" ref="AB91">Common_InputFunctions.Utility_DisplayArrayInTable(Fertiliser_SourceData.Fertiliser_Products_Data1(),FertiliserProducts[[#Headers],[Include or Exclude]], 0,4)</f>
        <v/>
      </c>
      <c r="AC91" s="199" t="str" cm="1">
        <f t="array" ref="AC91">Common_InputFunctions.Utility_DisplayArrayInTable(Fertiliser_SourceData.Fertiliser_Products_Data1(),FertiliserProducts[[#Headers],[Include or Exclude]], 0,4)</f>
        <v/>
      </c>
      <c r="AD91" s="199" t="str" cm="1">
        <f t="array" ref="AD91">Common_InputFunctions.Utility_DisplayArrayInTable(Fertiliser_SourceData.Fertiliser_Products_Data1(),FertiliserProducts[[#Headers],[Include or Exclude]], 0,4)</f>
        <v/>
      </c>
      <c r="AE91" s="199" t="str" cm="1">
        <f t="array" ref="AE91">Common_InputFunctions.Utility_DisplayArrayInTable(Fertiliser_SourceData.Fertiliser_Products_Data1(),FertiliserProducts[[#Headers],[Include or Exclude]], 0,4)</f>
        <v/>
      </c>
    </row>
    <row r="92" spans="4:31" ht="20.100000000000001" customHeight="1" x14ac:dyDescent="0.25">
      <c r="D92" s="199" t="str" cm="1">
        <f t="array" ref="D92">Common_InputFunctions.Utility_DisplayArrayInTable(Fertiliser_SourceData.Fertiliser_Products_Data1(),FertiliserProducts[[#Headers],[Include or Exclude]], -1)</f>
        <v>Include</v>
      </c>
      <c r="E92" s="199" t="str" cm="1">
        <f t="array" ref="E92">Common_InputFunctions.Utility_DisplayArrayInTable(Fertiliser_SourceData.Fertiliser_Products_Data1(),FertiliserProducts[[#Headers],[Include or Exclude]], 0)</f>
        <v/>
      </c>
      <c r="F92" s="199" t="str" cm="1">
        <f t="array" ref="F92">Common_InputFunctions.Utility_DisplayArrayInTable(Fertiliser_SourceData.Fertiliser_Products_Data1(),FertiliserProducts[[#Headers],[Include or Exclude]], 0)</f>
        <v>Campbells fertilisers Australia</v>
      </c>
      <c r="G92" s="199" t="str" cm="1">
        <f t="array" ref="G92">Common_InputFunctions.Utility_DisplayArrayInTable(Fertiliser_SourceData.Fertiliser_Products_Data1(),FertiliserProducts[[#Headers],[Include or Exclude]], 0)</f>
        <v>Aqua Nitro AN</v>
      </c>
      <c r="H92" s="199" t="str" cm="1">
        <f t="array" ref="H92">Common_InputFunctions.Utility_DisplayArrayInTable(Fertiliser_SourceData.Fertiliser_Products_Data1(),FertiliserProducts[[#Headers],[Include or Exclude]], 0,4)</f>
        <v>L</v>
      </c>
      <c r="I92" s="199" cm="1">
        <f t="array" ref="I92">Common_InputFunctions.Utility_DisplayArrayInTable(Fertiliser_SourceData.Fertiliser_Products_Data1(),FertiliserProducts[[#Headers],[Include or Exclude]], 0,4)</f>
        <v>1.24</v>
      </c>
      <c r="J92" s="199" t="str" cm="1">
        <f t="array" ref="J92">Common_InputFunctions.Utility_DisplayArrayInTable(Fertiliser_SourceData.Fertiliser_Products_Data1(),FertiliserProducts[[#Headers],[Include or Exclude]], 0,4)</f>
        <v/>
      </c>
      <c r="K92" s="199" t="str" cm="1">
        <f t="array" ref="K92">Common_InputFunctions.Utility_DisplayArrayInTable(Fertiliser_SourceData.Fertiliser_Products_Data1(),FertiliserProducts[[#Headers],[Include or Exclude]], 0,4)</f>
        <v/>
      </c>
      <c r="L92" s="199" t="str" cm="1">
        <f t="array" ref="L92">Common_InputFunctions.Utility_DisplayArrayInTable(Fertiliser_SourceData.Fertiliser_Products_Data1(),FertiliserProducts[[#Headers],[Include or Exclude]], 0,4)</f>
        <v>Nitrogen - Ammoniacal</v>
      </c>
      <c r="M92" s="199" cm="1">
        <f t="array" ref="M92">Common_InputFunctions.Utility_DisplayArrayInTable(Fertiliser_SourceData.Fertiliser_Products_Data1(),FertiliserProducts[[#Headers],[Include or Exclude]], 0,4)</f>
        <v>0.223</v>
      </c>
      <c r="N92" s="199" t="str" cm="1">
        <f t="array" ref="N92">Common_InputFunctions.Utility_DisplayArrayInTable(Fertiliser_SourceData.Fertiliser_Products_Data1(),FertiliserProducts[[#Headers],[Include or Exclude]], 0,4)</f>
        <v/>
      </c>
      <c r="O92" s="199" t="str" cm="1">
        <f t="array" ref="O92">Common_InputFunctions.Utility_DisplayArrayInTable(Fertiliser_SourceData.Fertiliser_Products_Data1(),FertiliserProducts[[#Headers],[Include or Exclude]], 0,4)</f>
        <v/>
      </c>
      <c r="P92" s="199" t="str" cm="1">
        <f t="array" ref="P92">Common_InputFunctions.Utility_DisplayArrayInTable(Fertiliser_SourceData.Fertiliser_Products_Data1(),FertiliserProducts[[#Headers],[Include or Exclude]], 0,4)</f>
        <v/>
      </c>
      <c r="Q92" s="199" t="str" cm="1">
        <f t="array" ref="Q92">Common_InputFunctions.Utility_DisplayArrayInTable(Fertiliser_SourceData.Fertiliser_Products_Data1(),FertiliserProducts[[#Headers],[Include or Exclude]], 0,4)</f>
        <v/>
      </c>
      <c r="R92" s="199" t="str" cm="1">
        <f t="array" ref="R92">Common_InputFunctions.Utility_DisplayArrayInTable(Fertiliser_SourceData.Fertiliser_Products_Data1(),FertiliserProducts[[#Headers],[Include or Exclude]], 0,4)</f>
        <v/>
      </c>
      <c r="S92" s="199" t="str" cm="1">
        <f t="array" ref="S92">Common_InputFunctions.Utility_DisplayArrayInTable(Fertiliser_SourceData.Fertiliser_Products_Data1(),FertiliserProducts[[#Headers],[Include or Exclude]], 0,4)</f>
        <v/>
      </c>
      <c r="T92" s="199" t="str" cm="1">
        <f t="array" ref="T92">Common_InputFunctions.Utility_DisplayArrayInTable(Fertiliser_SourceData.Fertiliser_Products_Data1(),FertiliserProducts[[#Headers],[Include or Exclude]], 0,4)</f>
        <v/>
      </c>
      <c r="U92" s="199" t="str" cm="1">
        <f t="array" ref="U92">Common_InputFunctions.Utility_DisplayArrayInTable(Fertiliser_SourceData.Fertiliser_Products_Data1(),FertiliserProducts[[#Headers],[Include or Exclude]], 0,4)</f>
        <v/>
      </c>
      <c r="V92" s="199" t="str" cm="1">
        <f t="array" ref="V92">Common_InputFunctions.Utility_DisplayArrayInTable(Fertiliser_SourceData.Fertiliser_Products_Data1(),FertiliserProducts[[#Headers],[Include or Exclude]], 0,4)</f>
        <v/>
      </c>
      <c r="W92" s="199" t="str" cm="1">
        <f t="array" ref="W92">Common_InputFunctions.Utility_DisplayArrayInTable(Fertiliser_SourceData.Fertiliser_Products_Data1(),FertiliserProducts[[#Headers],[Include or Exclude]], 0,4)</f>
        <v/>
      </c>
      <c r="X92" s="199" t="str" cm="1">
        <f t="array" ref="X92">Common_InputFunctions.Utility_DisplayArrayInTable(Fertiliser_SourceData.Fertiliser_Products_Data1(),FertiliserProducts[[#Headers],[Include or Exclude]], 0,4)</f>
        <v/>
      </c>
      <c r="Y92" s="199" t="str" cm="1">
        <f t="array" ref="Y92">Common_InputFunctions.Utility_DisplayArrayInTable(Fertiliser_SourceData.Fertiliser_Products_Data1(),FertiliserProducts[[#Headers],[Include or Exclude]], 0,4)</f>
        <v/>
      </c>
      <c r="Z92" s="199" t="str" cm="1">
        <f t="array" ref="Z92">Common_InputFunctions.Utility_DisplayArrayInTable(Fertiliser_SourceData.Fertiliser_Products_Data1(),FertiliserProducts[[#Headers],[Include or Exclude]], 0,4)</f>
        <v/>
      </c>
      <c r="AA92" s="199" t="str" cm="1">
        <f t="array" ref="AA92">Common_InputFunctions.Utility_DisplayArrayInTable(Fertiliser_SourceData.Fertiliser_Products_Data1(),FertiliserProducts[[#Headers],[Include or Exclude]], 0,4)</f>
        <v/>
      </c>
      <c r="AB92" s="199" t="str" cm="1">
        <f t="array" ref="AB92">Common_InputFunctions.Utility_DisplayArrayInTable(Fertiliser_SourceData.Fertiliser_Products_Data1(),FertiliserProducts[[#Headers],[Include or Exclude]], 0,4)</f>
        <v/>
      </c>
      <c r="AC92" s="199" t="str" cm="1">
        <f t="array" ref="AC92">Common_InputFunctions.Utility_DisplayArrayInTable(Fertiliser_SourceData.Fertiliser_Products_Data1(),FertiliserProducts[[#Headers],[Include or Exclude]], 0,4)</f>
        <v/>
      </c>
      <c r="AD92" s="199" t="str" cm="1">
        <f t="array" ref="AD92">Common_InputFunctions.Utility_DisplayArrayInTable(Fertiliser_SourceData.Fertiliser_Products_Data1(),FertiliserProducts[[#Headers],[Include or Exclude]], 0,4)</f>
        <v/>
      </c>
      <c r="AE92" s="199" t="str" cm="1">
        <f t="array" ref="AE92">Common_InputFunctions.Utility_DisplayArrayInTable(Fertiliser_SourceData.Fertiliser_Products_Data1(),FertiliserProducts[[#Headers],[Include or Exclude]], 0,4)</f>
        <v/>
      </c>
    </row>
    <row r="93" spans="4:31" ht="20.100000000000001" customHeight="1" x14ac:dyDescent="0.25">
      <c r="D93" s="199" t="str" cm="1">
        <f t="array" ref="D93">Common_InputFunctions.Utility_DisplayArrayInTable(Fertiliser_SourceData.Fertiliser_Products_Data1(),FertiliserProducts[[#Headers],[Include or Exclude]], -1)</f>
        <v>Include</v>
      </c>
      <c r="E93" s="199" t="str" cm="1">
        <f t="array" ref="E93">Common_InputFunctions.Utility_DisplayArrayInTable(Fertiliser_SourceData.Fertiliser_Products_Data1(),FertiliserProducts[[#Headers],[Include or Exclude]], 0)</f>
        <v>Use Lime EF for calcium</v>
      </c>
      <c r="F93" s="199" t="str" cm="1">
        <f t="array" ref="F93">Common_InputFunctions.Utility_DisplayArrayInTable(Fertiliser_SourceData.Fertiliser_Products_Data1(),FertiliserProducts[[#Headers],[Include or Exclude]], 0)</f>
        <v>Campbells fertilisers Australia</v>
      </c>
      <c r="G93" s="199" t="str" cm="1">
        <f t="array" ref="G93">Common_InputFunctions.Utility_DisplayArrayInTable(Fertiliser_SourceData.Fertiliser_Products_Data1(),FertiliserProducts[[#Headers],[Include or Exclude]], 0)</f>
        <v>Aqua NitroCal</v>
      </c>
      <c r="H93" s="199" t="str" cm="1">
        <f t="array" ref="H93">Common_InputFunctions.Utility_DisplayArrayInTable(Fertiliser_SourceData.Fertiliser_Products_Data1(),FertiliserProducts[[#Headers],[Include or Exclude]], 0,4)</f>
        <v>L</v>
      </c>
      <c r="I93" s="199" cm="1">
        <f t="array" ref="I93">Common_InputFunctions.Utility_DisplayArrayInTable(Fertiliser_SourceData.Fertiliser_Products_Data1(),FertiliserProducts[[#Headers],[Include or Exclude]], 0,4)</f>
        <v>1.5</v>
      </c>
      <c r="J93" s="199" t="str" cm="1">
        <f t="array" ref="J93">Common_InputFunctions.Utility_DisplayArrayInTable(Fertiliser_SourceData.Fertiliser_Products_Data1(),FertiliserProducts[[#Headers],[Include or Exclude]], 0,4)</f>
        <v/>
      </c>
      <c r="K93" s="199" t="str" cm="1">
        <f t="array" ref="K93">Common_InputFunctions.Utility_DisplayArrayInTable(Fertiliser_SourceData.Fertiliser_Products_Data1(),FertiliserProducts[[#Headers],[Include or Exclude]], 0,4)</f>
        <v/>
      </c>
      <c r="L93" s="199" t="str" cm="1">
        <f t="array" ref="L93">Common_InputFunctions.Utility_DisplayArrayInTable(Fertiliser_SourceData.Fertiliser_Products_Data1(),FertiliserProducts[[#Headers],[Include or Exclude]], 0,4)</f>
        <v>Calcium - Generic</v>
      </c>
      <c r="M93" s="199" cm="1">
        <f t="array" ref="M93">Common_InputFunctions.Utility_DisplayArrayInTable(Fertiliser_SourceData.Fertiliser_Products_Data1(),FertiliserProducts[[#Headers],[Include or Exclude]], 0,4)</f>
        <v>0.16200000000000001</v>
      </c>
      <c r="N93" s="199" t="str" cm="1">
        <f t="array" ref="N93">Common_InputFunctions.Utility_DisplayArrayInTable(Fertiliser_SourceData.Fertiliser_Products_Data1(),FertiliserProducts[[#Headers],[Include or Exclude]], 0,4)</f>
        <v>Nitrogen - Nitrate</v>
      </c>
      <c r="O93" s="199" cm="1">
        <f t="array" ref="O93">Common_InputFunctions.Utility_DisplayArrayInTable(Fertiliser_SourceData.Fertiliser_Products_Data1(),FertiliserProducts[[#Headers],[Include or Exclude]], 0,4)</f>
        <v>0.13200000000000001</v>
      </c>
      <c r="P93" s="199" t="str" cm="1">
        <f t="array" ref="P93">Common_InputFunctions.Utility_DisplayArrayInTable(Fertiliser_SourceData.Fertiliser_Products_Data1(),FertiliserProducts[[#Headers],[Include or Exclude]], 0,4)</f>
        <v/>
      </c>
      <c r="Q93" s="199" t="str" cm="1">
        <f t="array" ref="Q93">Common_InputFunctions.Utility_DisplayArrayInTable(Fertiliser_SourceData.Fertiliser_Products_Data1(),FertiliserProducts[[#Headers],[Include or Exclude]], 0,4)</f>
        <v/>
      </c>
      <c r="R93" s="199" t="str" cm="1">
        <f t="array" ref="R93">Common_InputFunctions.Utility_DisplayArrayInTable(Fertiliser_SourceData.Fertiliser_Products_Data1(),FertiliserProducts[[#Headers],[Include or Exclude]], 0,4)</f>
        <v/>
      </c>
      <c r="S93" s="199" t="str" cm="1">
        <f t="array" ref="S93">Common_InputFunctions.Utility_DisplayArrayInTable(Fertiliser_SourceData.Fertiliser_Products_Data1(),FertiliserProducts[[#Headers],[Include or Exclude]], 0,4)</f>
        <v/>
      </c>
      <c r="T93" s="199" t="str" cm="1">
        <f t="array" ref="T93">Common_InputFunctions.Utility_DisplayArrayInTable(Fertiliser_SourceData.Fertiliser_Products_Data1(),FertiliserProducts[[#Headers],[Include or Exclude]], 0,4)</f>
        <v/>
      </c>
      <c r="U93" s="199" t="str" cm="1">
        <f t="array" ref="U93">Common_InputFunctions.Utility_DisplayArrayInTable(Fertiliser_SourceData.Fertiliser_Products_Data1(),FertiliserProducts[[#Headers],[Include or Exclude]], 0,4)</f>
        <v/>
      </c>
      <c r="V93" s="199" t="str" cm="1">
        <f t="array" ref="V93">Common_InputFunctions.Utility_DisplayArrayInTable(Fertiliser_SourceData.Fertiliser_Products_Data1(),FertiliserProducts[[#Headers],[Include or Exclude]], 0,4)</f>
        <v/>
      </c>
      <c r="W93" s="199" t="str" cm="1">
        <f t="array" ref="W93">Common_InputFunctions.Utility_DisplayArrayInTable(Fertiliser_SourceData.Fertiliser_Products_Data1(),FertiliserProducts[[#Headers],[Include or Exclude]], 0,4)</f>
        <v/>
      </c>
      <c r="X93" s="199" t="str" cm="1">
        <f t="array" ref="X93">Common_InputFunctions.Utility_DisplayArrayInTable(Fertiliser_SourceData.Fertiliser_Products_Data1(),FertiliserProducts[[#Headers],[Include or Exclude]], 0,4)</f>
        <v/>
      </c>
      <c r="Y93" s="199" t="str" cm="1">
        <f t="array" ref="Y93">Common_InputFunctions.Utility_DisplayArrayInTable(Fertiliser_SourceData.Fertiliser_Products_Data1(),FertiliserProducts[[#Headers],[Include or Exclude]], 0,4)</f>
        <v/>
      </c>
      <c r="Z93" s="199" t="str" cm="1">
        <f t="array" ref="Z93">Common_InputFunctions.Utility_DisplayArrayInTable(Fertiliser_SourceData.Fertiliser_Products_Data1(),FertiliserProducts[[#Headers],[Include or Exclude]], 0,4)</f>
        <v/>
      </c>
      <c r="AA93" s="199" t="str" cm="1">
        <f t="array" ref="AA93">Common_InputFunctions.Utility_DisplayArrayInTable(Fertiliser_SourceData.Fertiliser_Products_Data1(),FertiliserProducts[[#Headers],[Include or Exclude]], 0,4)</f>
        <v/>
      </c>
      <c r="AB93" s="199" t="str" cm="1">
        <f t="array" ref="AB93">Common_InputFunctions.Utility_DisplayArrayInTable(Fertiliser_SourceData.Fertiliser_Products_Data1(),FertiliserProducts[[#Headers],[Include or Exclude]], 0,4)</f>
        <v/>
      </c>
      <c r="AC93" s="199" t="str" cm="1">
        <f t="array" ref="AC93">Common_InputFunctions.Utility_DisplayArrayInTable(Fertiliser_SourceData.Fertiliser_Products_Data1(),FertiliserProducts[[#Headers],[Include or Exclude]], 0,4)</f>
        <v/>
      </c>
      <c r="AD93" s="199" t="str" cm="1">
        <f t="array" ref="AD93">Common_InputFunctions.Utility_DisplayArrayInTable(Fertiliser_SourceData.Fertiliser_Products_Data1(),FertiliserProducts[[#Headers],[Include or Exclude]], 0,4)</f>
        <v/>
      </c>
      <c r="AE93" s="199" t="str" cm="1">
        <f t="array" ref="AE93">Common_InputFunctions.Utility_DisplayArrayInTable(Fertiliser_SourceData.Fertiliser_Products_Data1(),FertiliserProducts[[#Headers],[Include or Exclude]], 0,4)</f>
        <v/>
      </c>
    </row>
    <row r="94" spans="4:31" ht="20.100000000000001" customHeight="1" x14ac:dyDescent="0.25">
      <c r="D94" s="199" t="str" cm="1">
        <f t="array" ref="D94">Common_InputFunctions.Utility_DisplayArrayInTable(Fertiliser_SourceData.Fertiliser_Products_Data1(),FertiliserProducts[[#Headers],[Include or Exclude]], -1)</f>
        <v>Include</v>
      </c>
      <c r="E94" s="199" t="str" cm="1">
        <f t="array" ref="E94">Common_InputFunctions.Utility_DisplayArrayInTable(Fertiliser_SourceData.Fertiliser_Products_Data1(),FertiliserProducts[[#Headers],[Include or Exclude]], 0)</f>
        <v>Use Lime EF for calcium</v>
      </c>
      <c r="F94" s="199" t="str" cm="1">
        <f t="array" ref="F94">Common_InputFunctions.Utility_DisplayArrayInTable(Fertiliser_SourceData.Fertiliser_Products_Data1(),FertiliserProducts[[#Headers],[Include or Exclude]], 0)</f>
        <v>Campbells fertilisers Australia</v>
      </c>
      <c r="G94" s="199" t="str" cm="1">
        <f t="array" ref="G94">Common_InputFunctions.Utility_DisplayArrayInTable(Fertiliser_SourceData.Fertiliser_Products_Data1(),FertiliserProducts[[#Headers],[Include or Exclude]], 0)</f>
        <v>Aqua NitroCal (VI)</v>
      </c>
      <c r="H94" s="199" t="str" cm="1">
        <f t="array" ref="H94">Common_InputFunctions.Utility_DisplayArrayInTable(Fertiliser_SourceData.Fertiliser_Products_Data1(),FertiliserProducts[[#Headers],[Include or Exclude]], 0,4)</f>
        <v>L</v>
      </c>
      <c r="I94" s="199" cm="1">
        <f t="array" ref="I94">Common_InputFunctions.Utility_DisplayArrayInTable(Fertiliser_SourceData.Fertiliser_Products_Data1(),FertiliserProducts[[#Headers],[Include or Exclude]], 0,4)</f>
        <v>1.5</v>
      </c>
      <c r="J94" s="199" t="str" cm="1">
        <f t="array" ref="J94">Common_InputFunctions.Utility_DisplayArrayInTable(Fertiliser_SourceData.Fertiliser_Products_Data1(),FertiliserProducts[[#Headers],[Include or Exclude]], 0,4)</f>
        <v/>
      </c>
      <c r="K94" s="199" t="str" cm="1">
        <f t="array" ref="K94">Common_InputFunctions.Utility_DisplayArrayInTable(Fertiliser_SourceData.Fertiliser_Products_Data1(),FertiliserProducts[[#Headers],[Include or Exclude]], 0,4)</f>
        <v/>
      </c>
      <c r="L94" s="199" t="str" cm="1">
        <f t="array" ref="L94">Common_InputFunctions.Utility_DisplayArrayInTable(Fertiliser_SourceData.Fertiliser_Products_Data1(),FertiliserProducts[[#Headers],[Include or Exclude]], 0,4)</f>
        <v>Calcium - Generic</v>
      </c>
      <c r="M94" s="199" cm="1">
        <f t="array" ref="M94">Common_InputFunctions.Utility_DisplayArrayInTable(Fertiliser_SourceData.Fertiliser_Products_Data1(),FertiliserProducts[[#Headers],[Include or Exclude]], 0,4)</f>
        <v>0.187</v>
      </c>
      <c r="N94" s="199" t="str" cm="1">
        <f t="array" ref="N94">Common_InputFunctions.Utility_DisplayArrayInTable(Fertiliser_SourceData.Fertiliser_Products_Data1(),FertiliserProducts[[#Headers],[Include or Exclude]], 0,4)</f>
        <v>Nitrogen - Nitrate</v>
      </c>
      <c r="O94" s="199" cm="1">
        <f t="array" ref="O94">Common_InputFunctions.Utility_DisplayArrayInTable(Fertiliser_SourceData.Fertiliser_Products_Data1(),FertiliserProducts[[#Headers],[Include or Exclude]], 0,4)</f>
        <v>0.13200000000000001</v>
      </c>
      <c r="P94" s="199" t="str" cm="1">
        <f t="array" ref="P94">Common_InputFunctions.Utility_DisplayArrayInTable(Fertiliser_SourceData.Fertiliser_Products_Data1(),FertiliserProducts[[#Headers],[Include or Exclude]], 0,4)</f>
        <v/>
      </c>
      <c r="Q94" s="199" t="str" cm="1">
        <f t="array" ref="Q94">Common_InputFunctions.Utility_DisplayArrayInTable(Fertiliser_SourceData.Fertiliser_Products_Data1(),FertiliserProducts[[#Headers],[Include or Exclude]], 0,4)</f>
        <v/>
      </c>
      <c r="R94" s="199" t="str" cm="1">
        <f t="array" ref="R94">Common_InputFunctions.Utility_DisplayArrayInTable(Fertiliser_SourceData.Fertiliser_Products_Data1(),FertiliserProducts[[#Headers],[Include or Exclude]], 0,4)</f>
        <v/>
      </c>
      <c r="S94" s="199" t="str" cm="1">
        <f t="array" ref="S94">Common_InputFunctions.Utility_DisplayArrayInTable(Fertiliser_SourceData.Fertiliser_Products_Data1(),FertiliserProducts[[#Headers],[Include or Exclude]], 0,4)</f>
        <v/>
      </c>
      <c r="T94" s="199" t="str" cm="1">
        <f t="array" ref="T94">Common_InputFunctions.Utility_DisplayArrayInTable(Fertiliser_SourceData.Fertiliser_Products_Data1(),FertiliserProducts[[#Headers],[Include or Exclude]], 0,4)</f>
        <v/>
      </c>
      <c r="U94" s="199" t="str" cm="1">
        <f t="array" ref="U94">Common_InputFunctions.Utility_DisplayArrayInTable(Fertiliser_SourceData.Fertiliser_Products_Data1(),FertiliserProducts[[#Headers],[Include or Exclude]], 0,4)</f>
        <v/>
      </c>
      <c r="V94" s="199" t="str" cm="1">
        <f t="array" ref="V94">Common_InputFunctions.Utility_DisplayArrayInTable(Fertiliser_SourceData.Fertiliser_Products_Data1(),FertiliserProducts[[#Headers],[Include or Exclude]], 0,4)</f>
        <v/>
      </c>
      <c r="W94" s="199" t="str" cm="1">
        <f t="array" ref="W94">Common_InputFunctions.Utility_DisplayArrayInTable(Fertiliser_SourceData.Fertiliser_Products_Data1(),FertiliserProducts[[#Headers],[Include or Exclude]], 0,4)</f>
        <v/>
      </c>
      <c r="X94" s="199" t="str" cm="1">
        <f t="array" ref="X94">Common_InputFunctions.Utility_DisplayArrayInTable(Fertiliser_SourceData.Fertiliser_Products_Data1(),FertiliserProducts[[#Headers],[Include or Exclude]], 0,4)</f>
        <v/>
      </c>
      <c r="Y94" s="199" t="str" cm="1">
        <f t="array" ref="Y94">Common_InputFunctions.Utility_DisplayArrayInTable(Fertiliser_SourceData.Fertiliser_Products_Data1(),FertiliserProducts[[#Headers],[Include or Exclude]], 0,4)</f>
        <v/>
      </c>
      <c r="Z94" s="199" t="str" cm="1">
        <f t="array" ref="Z94">Common_InputFunctions.Utility_DisplayArrayInTable(Fertiliser_SourceData.Fertiliser_Products_Data1(),FertiliserProducts[[#Headers],[Include or Exclude]], 0,4)</f>
        <v/>
      </c>
      <c r="AA94" s="199" t="str" cm="1">
        <f t="array" ref="AA94">Common_InputFunctions.Utility_DisplayArrayInTable(Fertiliser_SourceData.Fertiliser_Products_Data1(),FertiliserProducts[[#Headers],[Include or Exclude]], 0,4)</f>
        <v/>
      </c>
      <c r="AB94" s="199" t="str" cm="1">
        <f t="array" ref="AB94">Common_InputFunctions.Utility_DisplayArrayInTable(Fertiliser_SourceData.Fertiliser_Products_Data1(),FertiliserProducts[[#Headers],[Include or Exclude]], 0,4)</f>
        <v/>
      </c>
      <c r="AC94" s="199" t="str" cm="1">
        <f t="array" ref="AC94">Common_InputFunctions.Utility_DisplayArrayInTable(Fertiliser_SourceData.Fertiliser_Products_Data1(),FertiliserProducts[[#Headers],[Include or Exclude]], 0,4)</f>
        <v/>
      </c>
      <c r="AD94" s="199" t="str" cm="1">
        <f t="array" ref="AD94">Common_InputFunctions.Utility_DisplayArrayInTable(Fertiliser_SourceData.Fertiliser_Products_Data1(),FertiliserProducts[[#Headers],[Include or Exclude]], 0,4)</f>
        <v/>
      </c>
      <c r="AE94" s="199" t="str" cm="1">
        <f t="array" ref="AE94">Common_InputFunctions.Utility_DisplayArrayInTable(Fertiliser_SourceData.Fertiliser_Products_Data1(),FertiliserProducts[[#Headers],[Include or Exclude]], 0,4)</f>
        <v/>
      </c>
    </row>
    <row r="95" spans="4:31" ht="20.100000000000001" customHeight="1" x14ac:dyDescent="0.25">
      <c r="D95" s="199" t="str" cm="1">
        <f t="array" ref="D95">Common_InputFunctions.Utility_DisplayArrayInTable(Fertiliser_SourceData.Fertiliser_Products_Data1(),FertiliserProducts[[#Headers],[Include or Exclude]], -1)</f>
        <v>Include</v>
      </c>
      <c r="E95" s="199" t="str" cm="1">
        <f t="array" ref="E95">Common_InputFunctions.Utility_DisplayArrayInTable(Fertiliser_SourceData.Fertiliser_Products_Data1(),FertiliserProducts[[#Headers],[Include or Exclude]], 0)</f>
        <v>Use Lime EF for calcium</v>
      </c>
      <c r="F95" s="199" t="str" cm="1">
        <f t="array" ref="F95">Common_InputFunctions.Utility_DisplayArrayInTable(Fertiliser_SourceData.Fertiliser_Products_Data1(),FertiliserProducts[[#Headers],[Include or Exclude]], 0)</f>
        <v>Campbells fertilisers Australia</v>
      </c>
      <c r="G95" s="199" t="str" cm="1">
        <f t="array" ref="G95">Common_InputFunctions.Utility_DisplayArrayInTable(Fertiliser_SourceData.Fertiliser_Products_Data1(),FertiliserProducts[[#Headers],[Include or Exclude]], 0)</f>
        <v>Aqua NitroCal Ultimate</v>
      </c>
      <c r="H95" s="199" t="str" cm="1">
        <f t="array" ref="H95">Common_InputFunctions.Utility_DisplayArrayInTable(Fertiliser_SourceData.Fertiliser_Products_Data1(),FertiliserProducts[[#Headers],[Include or Exclude]], 0,4)</f>
        <v>L</v>
      </c>
      <c r="I95" s="199" cm="1">
        <f t="array" ref="I95">Common_InputFunctions.Utility_DisplayArrayInTable(Fertiliser_SourceData.Fertiliser_Products_Data1(),FertiliserProducts[[#Headers],[Include or Exclude]], 0,4)</f>
        <v>1.5</v>
      </c>
      <c r="J95" s="199" t="str" cm="1">
        <f t="array" ref="J95">Common_InputFunctions.Utility_DisplayArrayInTable(Fertiliser_SourceData.Fertiliser_Products_Data1(),FertiliserProducts[[#Headers],[Include or Exclude]], 0,4)</f>
        <v/>
      </c>
      <c r="K95" s="199" t="str" cm="1">
        <f t="array" ref="K95">Common_InputFunctions.Utility_DisplayArrayInTable(Fertiliser_SourceData.Fertiliser_Products_Data1(),FertiliserProducts[[#Headers],[Include or Exclude]], 0,4)</f>
        <v/>
      </c>
      <c r="L95" s="199" t="str" cm="1">
        <f t="array" ref="L95">Common_InputFunctions.Utility_DisplayArrayInTable(Fertiliser_SourceData.Fertiliser_Products_Data1(),FertiliserProducts[[#Headers],[Include or Exclude]], 0,4)</f>
        <v>Calcium - Generic</v>
      </c>
      <c r="M95" s="199" cm="1">
        <f t="array" ref="M95">Common_InputFunctions.Utility_DisplayArrayInTable(Fertiliser_SourceData.Fertiliser_Products_Data1(),FertiliserProducts[[#Headers],[Include or Exclude]], 0,4)</f>
        <v>0.183</v>
      </c>
      <c r="N95" s="199" t="str" cm="1">
        <f t="array" ref="N95">Common_InputFunctions.Utility_DisplayArrayInTable(Fertiliser_SourceData.Fertiliser_Products_Data1(),FertiliserProducts[[#Headers],[Include or Exclude]], 0,4)</f>
        <v>Nitrogen  - Nitrate</v>
      </c>
      <c r="O95" s="199" cm="1">
        <f t="array" ref="O95">Common_InputFunctions.Utility_DisplayArrayInTable(Fertiliser_SourceData.Fertiliser_Products_Data1(),FertiliserProducts[[#Headers],[Include or Exclude]], 0,4)</f>
        <v>0.13200000000000001</v>
      </c>
      <c r="P95" s="199" t="str" cm="1">
        <f t="array" ref="P95">Common_InputFunctions.Utility_DisplayArrayInTable(Fertiliser_SourceData.Fertiliser_Products_Data1(),FertiliserProducts[[#Headers],[Include or Exclude]], 0,4)</f>
        <v/>
      </c>
      <c r="Q95" s="199" t="str" cm="1">
        <f t="array" ref="Q95">Common_InputFunctions.Utility_DisplayArrayInTable(Fertiliser_SourceData.Fertiliser_Products_Data1(),FertiliserProducts[[#Headers],[Include or Exclude]], 0,4)</f>
        <v/>
      </c>
      <c r="R95" s="199" t="str" cm="1">
        <f t="array" ref="R95">Common_InputFunctions.Utility_DisplayArrayInTable(Fertiliser_SourceData.Fertiliser_Products_Data1(),FertiliserProducts[[#Headers],[Include or Exclude]], 0,4)</f>
        <v/>
      </c>
      <c r="S95" s="199" t="str" cm="1">
        <f t="array" ref="S95">Common_InputFunctions.Utility_DisplayArrayInTable(Fertiliser_SourceData.Fertiliser_Products_Data1(),FertiliserProducts[[#Headers],[Include or Exclude]], 0,4)</f>
        <v/>
      </c>
      <c r="T95" s="199" t="str" cm="1">
        <f t="array" ref="T95">Common_InputFunctions.Utility_DisplayArrayInTable(Fertiliser_SourceData.Fertiliser_Products_Data1(),FertiliserProducts[[#Headers],[Include or Exclude]], 0,4)</f>
        <v/>
      </c>
      <c r="U95" s="199" t="str" cm="1">
        <f t="array" ref="U95">Common_InputFunctions.Utility_DisplayArrayInTable(Fertiliser_SourceData.Fertiliser_Products_Data1(),FertiliserProducts[[#Headers],[Include or Exclude]], 0,4)</f>
        <v/>
      </c>
      <c r="V95" s="199" t="str" cm="1">
        <f t="array" ref="V95">Common_InputFunctions.Utility_DisplayArrayInTable(Fertiliser_SourceData.Fertiliser_Products_Data1(),FertiliserProducts[[#Headers],[Include or Exclude]], 0,4)</f>
        <v/>
      </c>
      <c r="W95" s="199" t="str" cm="1">
        <f t="array" ref="W95">Common_InputFunctions.Utility_DisplayArrayInTable(Fertiliser_SourceData.Fertiliser_Products_Data1(),FertiliserProducts[[#Headers],[Include or Exclude]], 0,4)</f>
        <v/>
      </c>
      <c r="X95" s="199" t="str" cm="1">
        <f t="array" ref="X95">Common_InputFunctions.Utility_DisplayArrayInTable(Fertiliser_SourceData.Fertiliser_Products_Data1(),FertiliserProducts[[#Headers],[Include or Exclude]], 0,4)</f>
        <v/>
      </c>
      <c r="Y95" s="199" t="str" cm="1">
        <f t="array" ref="Y95">Common_InputFunctions.Utility_DisplayArrayInTable(Fertiliser_SourceData.Fertiliser_Products_Data1(),FertiliserProducts[[#Headers],[Include or Exclude]], 0,4)</f>
        <v/>
      </c>
      <c r="Z95" s="199" t="str" cm="1">
        <f t="array" ref="Z95">Common_InputFunctions.Utility_DisplayArrayInTable(Fertiliser_SourceData.Fertiliser_Products_Data1(),FertiliserProducts[[#Headers],[Include or Exclude]], 0,4)</f>
        <v/>
      </c>
      <c r="AA95" s="199" t="str" cm="1">
        <f t="array" ref="AA95">Common_InputFunctions.Utility_DisplayArrayInTable(Fertiliser_SourceData.Fertiliser_Products_Data1(),FertiliserProducts[[#Headers],[Include or Exclude]], 0,4)</f>
        <v/>
      </c>
      <c r="AB95" s="199" t="str" cm="1">
        <f t="array" ref="AB95">Common_InputFunctions.Utility_DisplayArrayInTable(Fertiliser_SourceData.Fertiliser_Products_Data1(),FertiliserProducts[[#Headers],[Include or Exclude]], 0,4)</f>
        <v/>
      </c>
      <c r="AC95" s="199" t="str" cm="1">
        <f t="array" ref="AC95">Common_InputFunctions.Utility_DisplayArrayInTable(Fertiliser_SourceData.Fertiliser_Products_Data1(),FertiliserProducts[[#Headers],[Include or Exclude]], 0,4)</f>
        <v/>
      </c>
      <c r="AD95" s="199" t="str" cm="1">
        <f t="array" ref="AD95">Common_InputFunctions.Utility_DisplayArrayInTable(Fertiliser_SourceData.Fertiliser_Products_Data1(),FertiliserProducts[[#Headers],[Include or Exclude]], 0,4)</f>
        <v/>
      </c>
      <c r="AE95" s="199" t="str" cm="1">
        <f t="array" ref="AE95">Common_InputFunctions.Utility_DisplayArrayInTable(Fertiliser_SourceData.Fertiliser_Products_Data1(),FertiliserProducts[[#Headers],[Include or Exclude]], 0,4)</f>
        <v/>
      </c>
    </row>
    <row r="96" spans="4:31" ht="20.100000000000001" customHeight="1" x14ac:dyDescent="0.25">
      <c r="D96" s="199" t="str" cm="1">
        <f t="array" ref="D96">Common_InputFunctions.Utility_DisplayArrayInTable(Fertiliser_SourceData.Fertiliser_Products_Data1(),FertiliserProducts[[#Headers],[Include or Exclude]], -1)</f>
        <v>Include</v>
      </c>
      <c r="E96" s="199" t="str" cm="1">
        <f t="array" ref="E96">Common_InputFunctions.Utility_DisplayArrayInTable(Fertiliser_SourceData.Fertiliser_Products_Data1(),FertiliserProducts[[#Headers],[Include or Exclude]], 0)</f>
        <v/>
      </c>
      <c r="F96" s="199" t="str" cm="1">
        <f t="array" ref="F96">Common_InputFunctions.Utility_DisplayArrayInTable(Fertiliser_SourceData.Fertiliser_Products_Data1(),FertiliserProducts[[#Headers],[Include or Exclude]], 0)</f>
        <v>Campbells fertilisers Australia</v>
      </c>
      <c r="G96" s="199" t="str" cm="1">
        <f t="array" ref="G96">Common_InputFunctions.Utility_DisplayArrayInTable(Fertiliser_SourceData.Fertiliser_Products_Data1(),FertiliserProducts[[#Headers],[Include or Exclude]], 0)</f>
        <v>Aqua Start</v>
      </c>
      <c r="H96" s="199" t="str" cm="1">
        <f t="array" ref="H96">Common_InputFunctions.Utility_DisplayArrayInTable(Fertiliser_SourceData.Fertiliser_Products_Data1(),FertiliserProducts[[#Headers],[Include or Exclude]], 0,4)</f>
        <v>L</v>
      </c>
      <c r="I96" s="199" cm="1">
        <f t="array" ref="I96">Common_InputFunctions.Utility_DisplayArrayInTable(Fertiliser_SourceData.Fertiliser_Products_Data1(),FertiliserProducts[[#Headers],[Include or Exclude]], 0,4)</f>
        <v>1.25</v>
      </c>
      <c r="J96" s="199" t="str" cm="1">
        <f t="array" ref="J96">Common_InputFunctions.Utility_DisplayArrayInTable(Fertiliser_SourceData.Fertiliser_Products_Data1(),FertiliserProducts[[#Headers],[Include or Exclude]], 0,4)</f>
        <v/>
      </c>
      <c r="K96" s="199" t="str" cm="1">
        <f t="array" ref="K96">Common_InputFunctions.Utility_DisplayArrayInTable(Fertiliser_SourceData.Fertiliser_Products_Data1(),FertiliserProducts[[#Headers],[Include or Exclude]], 0,4)</f>
        <v/>
      </c>
      <c r="L96" s="199" t="str" cm="1">
        <f t="array" ref="L96">Common_InputFunctions.Utility_DisplayArrayInTable(Fertiliser_SourceData.Fertiliser_Products_Data1(),FertiliserProducts[[#Headers],[Include or Exclude]], 0,4)</f>
        <v>Nitrogen - Generic</v>
      </c>
      <c r="M96" s="199" cm="1">
        <f t="array" ref="M96">Common_InputFunctions.Utility_DisplayArrayInTable(Fertiliser_SourceData.Fertiliser_Products_Data1(),FertiliserProducts[[#Headers],[Include or Exclude]], 0,4)</f>
        <v>0.10299999999999999</v>
      </c>
      <c r="N96" s="199" t="str" cm="1">
        <f t="array" ref="N96">Common_InputFunctions.Utility_DisplayArrayInTable(Fertiliser_SourceData.Fertiliser_Products_Data1(),FertiliserProducts[[#Headers],[Include or Exclude]], 0,4)</f>
        <v>Phosphorus - Generic</v>
      </c>
      <c r="O96" s="199" cm="1">
        <f t="array" ref="O96">Common_InputFunctions.Utility_DisplayArrayInTable(Fertiliser_SourceData.Fertiliser_Products_Data1(),FertiliserProducts[[#Headers],[Include or Exclude]], 0,4)</f>
        <v>0.1</v>
      </c>
      <c r="P96" s="199" t="str" cm="1">
        <f t="array" ref="P96">Common_InputFunctions.Utility_DisplayArrayInTable(Fertiliser_SourceData.Fertiliser_Products_Data1(),FertiliserProducts[[#Headers],[Include or Exclude]], 0,4)</f>
        <v>Potassium - Generic</v>
      </c>
      <c r="Q96" s="199" cm="1">
        <f t="array" ref="Q96">Common_InputFunctions.Utility_DisplayArrayInTable(Fertiliser_SourceData.Fertiliser_Products_Data1(),FertiliserProducts[[#Headers],[Include or Exclude]], 0,4)</f>
        <v>3.4000000000000002E-2</v>
      </c>
      <c r="R96" s="199" t="str" cm="1">
        <f t="array" ref="R96">Common_InputFunctions.Utility_DisplayArrayInTable(Fertiliser_SourceData.Fertiliser_Products_Data1(),FertiliserProducts[[#Headers],[Include or Exclude]], 0,4)</f>
        <v/>
      </c>
      <c r="S96" s="199" t="str" cm="1">
        <f t="array" ref="S96">Common_InputFunctions.Utility_DisplayArrayInTable(Fertiliser_SourceData.Fertiliser_Products_Data1(),FertiliserProducts[[#Headers],[Include or Exclude]], 0,4)</f>
        <v/>
      </c>
      <c r="T96" s="199" t="str" cm="1">
        <f t="array" ref="T96">Common_InputFunctions.Utility_DisplayArrayInTable(Fertiliser_SourceData.Fertiliser_Products_Data1(),FertiliserProducts[[#Headers],[Include or Exclude]], 0,4)</f>
        <v/>
      </c>
      <c r="U96" s="199" t="str" cm="1">
        <f t="array" ref="U96">Common_InputFunctions.Utility_DisplayArrayInTable(Fertiliser_SourceData.Fertiliser_Products_Data1(),FertiliserProducts[[#Headers],[Include or Exclude]], 0,4)</f>
        <v/>
      </c>
      <c r="V96" s="199" t="str" cm="1">
        <f t="array" ref="V96">Common_InputFunctions.Utility_DisplayArrayInTable(Fertiliser_SourceData.Fertiliser_Products_Data1(),FertiliserProducts[[#Headers],[Include or Exclude]], 0,4)</f>
        <v/>
      </c>
      <c r="W96" s="199" t="str" cm="1">
        <f t="array" ref="W96">Common_InputFunctions.Utility_DisplayArrayInTable(Fertiliser_SourceData.Fertiliser_Products_Data1(),FertiliserProducts[[#Headers],[Include or Exclude]], 0,4)</f>
        <v/>
      </c>
      <c r="X96" s="199" t="str" cm="1">
        <f t="array" ref="X96">Common_InputFunctions.Utility_DisplayArrayInTable(Fertiliser_SourceData.Fertiliser_Products_Data1(),FertiliserProducts[[#Headers],[Include or Exclude]], 0,4)</f>
        <v/>
      </c>
      <c r="Y96" s="199" t="str" cm="1">
        <f t="array" ref="Y96">Common_InputFunctions.Utility_DisplayArrayInTable(Fertiliser_SourceData.Fertiliser_Products_Data1(),FertiliserProducts[[#Headers],[Include or Exclude]], 0,4)</f>
        <v/>
      </c>
      <c r="Z96" s="199" t="str" cm="1">
        <f t="array" ref="Z96">Common_InputFunctions.Utility_DisplayArrayInTable(Fertiliser_SourceData.Fertiliser_Products_Data1(),FertiliserProducts[[#Headers],[Include or Exclude]], 0,4)</f>
        <v/>
      </c>
      <c r="AA96" s="199" t="str" cm="1">
        <f t="array" ref="AA96">Common_InputFunctions.Utility_DisplayArrayInTable(Fertiliser_SourceData.Fertiliser_Products_Data1(),FertiliserProducts[[#Headers],[Include or Exclude]], 0,4)</f>
        <v/>
      </c>
      <c r="AB96" s="199" t="str" cm="1">
        <f t="array" ref="AB96">Common_InputFunctions.Utility_DisplayArrayInTable(Fertiliser_SourceData.Fertiliser_Products_Data1(),FertiliserProducts[[#Headers],[Include or Exclude]], 0,4)</f>
        <v/>
      </c>
      <c r="AC96" s="199" t="str" cm="1">
        <f t="array" ref="AC96">Common_InputFunctions.Utility_DisplayArrayInTable(Fertiliser_SourceData.Fertiliser_Products_Data1(),FertiliserProducts[[#Headers],[Include or Exclude]], 0,4)</f>
        <v/>
      </c>
      <c r="AD96" s="199" t="str" cm="1">
        <f t="array" ref="AD96">Common_InputFunctions.Utility_DisplayArrayInTable(Fertiliser_SourceData.Fertiliser_Products_Data1(),FertiliserProducts[[#Headers],[Include or Exclude]], 0,4)</f>
        <v/>
      </c>
      <c r="AE96" s="199" t="str" cm="1">
        <f t="array" ref="AE96">Common_InputFunctions.Utility_DisplayArrayInTable(Fertiliser_SourceData.Fertiliser_Products_Data1(),FertiliserProducts[[#Headers],[Include or Exclude]], 0,4)</f>
        <v/>
      </c>
    </row>
    <row r="97" spans="4:31" ht="20.100000000000001" customHeight="1" x14ac:dyDescent="0.25">
      <c r="D97" s="199" t="str" cm="1">
        <f t="array" ref="D97">Common_InputFunctions.Utility_DisplayArrayInTable(Fertiliser_SourceData.Fertiliser_Products_Data1(),FertiliserProducts[[#Headers],[Include or Exclude]], -1)</f>
        <v>Include</v>
      </c>
      <c r="E97" s="199" t="str" cm="1">
        <f t="array" ref="E97">Common_InputFunctions.Utility_DisplayArrayInTable(Fertiliser_SourceData.Fertiliser_Products_Data1(),FertiliserProducts[[#Headers],[Include or Exclude]], 0)</f>
        <v/>
      </c>
      <c r="F97" s="199" t="str" cm="1">
        <f t="array" ref="F97">Common_InputFunctions.Utility_DisplayArrayInTable(Fertiliser_SourceData.Fertiliser_Products_Data1(),FertiliserProducts[[#Headers],[Include or Exclude]], 0)</f>
        <v>Campbells fertilisers Australia</v>
      </c>
      <c r="G97" s="199" t="str" cm="1">
        <f t="array" ref="G97">Common_InputFunctions.Utility_DisplayArrayInTable(Fertiliser_SourceData.Fertiliser_Products_Data1(),FertiliserProducts[[#Headers],[Include or Exclude]], 0)</f>
        <v>Aqua Thio-Complete</v>
      </c>
      <c r="H97" s="199" t="str" cm="1">
        <f t="array" ref="H97">Common_InputFunctions.Utility_DisplayArrayInTable(Fertiliser_SourceData.Fertiliser_Products_Data1(),FertiliserProducts[[#Headers],[Include or Exclude]], 0,4)</f>
        <v>L</v>
      </c>
      <c r="I97" s="199" cm="1">
        <f t="array" ref="I97">Common_InputFunctions.Utility_DisplayArrayInTable(Fertiliser_SourceData.Fertiliser_Products_Data1(),FertiliserProducts[[#Headers],[Include or Exclude]], 0,4)</f>
        <v>1.43</v>
      </c>
      <c r="J97" s="199" t="str" cm="1">
        <f t="array" ref="J97">Common_InputFunctions.Utility_DisplayArrayInTable(Fertiliser_SourceData.Fertiliser_Products_Data1(),FertiliserProducts[[#Headers],[Include or Exclude]], 0,4)</f>
        <v/>
      </c>
      <c r="K97" s="199" t="str" cm="1">
        <f t="array" ref="K97">Common_InputFunctions.Utility_DisplayArrayInTable(Fertiliser_SourceData.Fertiliser_Products_Data1(),FertiliserProducts[[#Headers],[Include or Exclude]], 0,4)</f>
        <v/>
      </c>
      <c r="L97" s="199" t="str" cm="1">
        <f t="array" ref="L97">Common_InputFunctions.Utility_DisplayArrayInTable(Fertiliser_SourceData.Fertiliser_Products_Data1(),FertiliserProducts[[#Headers],[Include or Exclude]], 0,4)</f>
        <v>Potassium - Generic</v>
      </c>
      <c r="M97" s="199" cm="1">
        <f t="array" ref="M97">Common_InputFunctions.Utility_DisplayArrayInTable(Fertiliser_SourceData.Fertiliser_Products_Data1(),FertiliserProducts[[#Headers],[Include or Exclude]], 0,4)</f>
        <v>0.22500000000000001</v>
      </c>
      <c r="N97" s="199" t="str" cm="1">
        <f t="array" ref="N97">Common_InputFunctions.Utility_DisplayArrayInTable(Fertiliser_SourceData.Fertiliser_Products_Data1(),FertiliserProducts[[#Headers],[Include or Exclude]], 0,4)</f>
        <v>Phosphorus - Generic</v>
      </c>
      <c r="O97" s="199" cm="1">
        <f t="array" ref="O97">Common_InputFunctions.Utility_DisplayArrayInTable(Fertiliser_SourceData.Fertiliser_Products_Data1(),FertiliserProducts[[#Headers],[Include or Exclude]], 0,4)</f>
        <v>3.7999999999999999E-2</v>
      </c>
      <c r="P97" s="199" t="str" cm="1">
        <f t="array" ref="P97">Common_InputFunctions.Utility_DisplayArrayInTable(Fertiliser_SourceData.Fertiliser_Products_Data1(),FertiliserProducts[[#Headers],[Include or Exclude]], 0,4)</f>
        <v>Nitrogen - Generic</v>
      </c>
      <c r="Q97" s="199" cm="1">
        <f t="array" ref="Q97">Common_InputFunctions.Utility_DisplayArrayInTable(Fertiliser_SourceData.Fertiliser_Products_Data1(),FertiliserProducts[[#Headers],[Include or Exclude]], 0,4)</f>
        <v>2.5000000000000001E-2</v>
      </c>
      <c r="R97" s="199" t="str" cm="1">
        <f t="array" ref="R97">Common_InputFunctions.Utility_DisplayArrayInTable(Fertiliser_SourceData.Fertiliser_Products_Data1(),FertiliserProducts[[#Headers],[Include or Exclude]], 0,4)</f>
        <v/>
      </c>
      <c r="S97" s="199" t="str" cm="1">
        <f t="array" ref="S97">Common_InputFunctions.Utility_DisplayArrayInTable(Fertiliser_SourceData.Fertiliser_Products_Data1(),FertiliserProducts[[#Headers],[Include or Exclude]], 0,4)</f>
        <v/>
      </c>
      <c r="T97" s="199" t="str" cm="1">
        <f t="array" ref="T97">Common_InputFunctions.Utility_DisplayArrayInTable(Fertiliser_SourceData.Fertiliser_Products_Data1(),FertiliserProducts[[#Headers],[Include or Exclude]], 0,4)</f>
        <v/>
      </c>
      <c r="U97" s="199" t="str" cm="1">
        <f t="array" ref="U97">Common_InputFunctions.Utility_DisplayArrayInTable(Fertiliser_SourceData.Fertiliser_Products_Data1(),FertiliserProducts[[#Headers],[Include or Exclude]], 0,4)</f>
        <v/>
      </c>
      <c r="V97" s="199" t="str" cm="1">
        <f t="array" ref="V97">Common_InputFunctions.Utility_DisplayArrayInTable(Fertiliser_SourceData.Fertiliser_Products_Data1(),FertiliserProducts[[#Headers],[Include or Exclude]], 0,4)</f>
        <v/>
      </c>
      <c r="W97" s="199" t="str" cm="1">
        <f t="array" ref="W97">Common_InputFunctions.Utility_DisplayArrayInTable(Fertiliser_SourceData.Fertiliser_Products_Data1(),FertiliserProducts[[#Headers],[Include or Exclude]], 0,4)</f>
        <v/>
      </c>
      <c r="X97" s="199" t="str" cm="1">
        <f t="array" ref="X97">Common_InputFunctions.Utility_DisplayArrayInTable(Fertiliser_SourceData.Fertiliser_Products_Data1(),FertiliserProducts[[#Headers],[Include or Exclude]], 0,4)</f>
        <v/>
      </c>
      <c r="Y97" s="199" t="str" cm="1">
        <f t="array" ref="Y97">Common_InputFunctions.Utility_DisplayArrayInTable(Fertiliser_SourceData.Fertiliser_Products_Data1(),FertiliserProducts[[#Headers],[Include or Exclude]], 0,4)</f>
        <v/>
      </c>
      <c r="Z97" s="199" t="str" cm="1">
        <f t="array" ref="Z97">Common_InputFunctions.Utility_DisplayArrayInTable(Fertiliser_SourceData.Fertiliser_Products_Data1(),FertiliserProducts[[#Headers],[Include or Exclude]], 0,4)</f>
        <v/>
      </c>
      <c r="AA97" s="199" t="str" cm="1">
        <f t="array" ref="AA97">Common_InputFunctions.Utility_DisplayArrayInTable(Fertiliser_SourceData.Fertiliser_Products_Data1(),FertiliserProducts[[#Headers],[Include or Exclude]], 0,4)</f>
        <v/>
      </c>
      <c r="AB97" s="199" t="str" cm="1">
        <f t="array" ref="AB97">Common_InputFunctions.Utility_DisplayArrayInTable(Fertiliser_SourceData.Fertiliser_Products_Data1(),FertiliserProducts[[#Headers],[Include or Exclude]], 0,4)</f>
        <v/>
      </c>
      <c r="AC97" s="199" t="str" cm="1">
        <f t="array" ref="AC97">Common_InputFunctions.Utility_DisplayArrayInTable(Fertiliser_SourceData.Fertiliser_Products_Data1(),FertiliserProducts[[#Headers],[Include or Exclude]], 0,4)</f>
        <v/>
      </c>
      <c r="AD97" s="199" t="str" cm="1">
        <f t="array" ref="AD97">Common_InputFunctions.Utility_DisplayArrayInTable(Fertiliser_SourceData.Fertiliser_Products_Data1(),FertiliserProducts[[#Headers],[Include or Exclude]], 0,4)</f>
        <v/>
      </c>
      <c r="AE97" s="199" t="str" cm="1">
        <f t="array" ref="AE97">Common_InputFunctions.Utility_DisplayArrayInTable(Fertiliser_SourceData.Fertiliser_Products_Data1(),FertiliserProducts[[#Headers],[Include or Exclude]], 0,4)</f>
        <v/>
      </c>
    </row>
    <row r="98" spans="4:31" ht="20.100000000000001" customHeight="1" x14ac:dyDescent="0.25">
      <c r="D98" s="199" t="str" cm="1">
        <f t="array" ref="D98">Common_InputFunctions.Utility_DisplayArrayInTable(Fertiliser_SourceData.Fertiliser_Products_Data1(),FertiliserProducts[[#Headers],[Include or Exclude]], -1)</f>
        <v>Include</v>
      </c>
      <c r="E98" s="199" t="str" cm="1">
        <f t="array" ref="E98">Common_InputFunctions.Utility_DisplayArrayInTable(Fertiliser_SourceData.Fertiliser_Products_Data1(),FertiliserProducts[[#Headers],[Include or Exclude]], 0)</f>
        <v/>
      </c>
      <c r="F98" s="199" t="str" cm="1">
        <f t="array" ref="F98">Common_InputFunctions.Utility_DisplayArrayInTable(Fertiliser_SourceData.Fertiliser_Products_Data1(),FertiliserProducts[[#Headers],[Include or Exclude]], 0)</f>
        <v>Campbells fertilisers Australia</v>
      </c>
      <c r="G98" s="199" t="str" cm="1">
        <f t="array" ref="G98">Common_InputFunctions.Utility_DisplayArrayInTable(Fertiliser_SourceData.Fertiliser_Products_Data1(),FertiliserProducts[[#Headers],[Include or Exclude]], 0)</f>
        <v>Aqua Thio-Emerge</v>
      </c>
      <c r="H98" s="199" t="str" cm="1">
        <f t="array" ref="H98">Common_InputFunctions.Utility_DisplayArrayInTable(Fertiliser_SourceData.Fertiliser_Products_Data1(),FertiliserProducts[[#Headers],[Include or Exclude]], 0,4)</f>
        <v>L</v>
      </c>
      <c r="I98" s="199" cm="1">
        <f t="array" ref="I98">Common_InputFunctions.Utility_DisplayArrayInTable(Fertiliser_SourceData.Fertiliser_Products_Data1(),FertiliserProducts[[#Headers],[Include or Exclude]], 0,4)</f>
        <v>1.29</v>
      </c>
      <c r="J98" s="199" t="str" cm="1">
        <f t="array" ref="J98">Common_InputFunctions.Utility_DisplayArrayInTable(Fertiliser_SourceData.Fertiliser_Products_Data1(),FertiliserProducts[[#Headers],[Include or Exclude]], 0,4)</f>
        <v/>
      </c>
      <c r="K98" s="199" t="str" cm="1">
        <f t="array" ref="K98">Common_InputFunctions.Utility_DisplayArrayInTable(Fertiliser_SourceData.Fertiliser_Products_Data1(),FertiliserProducts[[#Headers],[Include or Exclude]], 0,4)</f>
        <v/>
      </c>
      <c r="L98" s="199" t="str" cm="1">
        <f t="array" ref="L98">Common_InputFunctions.Utility_DisplayArrayInTable(Fertiliser_SourceData.Fertiliser_Products_Data1(),FertiliserProducts[[#Headers],[Include or Exclude]], 0,4)</f>
        <v>Nitrogen - Generic</v>
      </c>
      <c r="M98" s="199" cm="1">
        <f t="array" ref="M98">Common_InputFunctions.Utility_DisplayArrayInTable(Fertiliser_SourceData.Fertiliser_Products_Data1(),FertiliserProducts[[#Headers],[Include or Exclude]], 0,4)</f>
        <v>0.105</v>
      </c>
      <c r="N98" s="199" t="str" cm="1">
        <f t="array" ref="N98">Common_InputFunctions.Utility_DisplayArrayInTable(Fertiliser_SourceData.Fertiliser_Products_Data1(),FertiliserProducts[[#Headers],[Include or Exclude]], 0,4)</f>
        <v>Phosphorus - Generic</v>
      </c>
      <c r="O98" s="199" cm="1">
        <f t="array" ref="O98">Common_InputFunctions.Utility_DisplayArrayInTable(Fertiliser_SourceData.Fertiliser_Products_Data1(),FertiliserProducts[[#Headers],[Include or Exclude]], 0,4)</f>
        <v>9.4E-2</v>
      </c>
      <c r="P98" s="199" t="str" cm="1">
        <f t="array" ref="P98">Common_InputFunctions.Utility_DisplayArrayInTable(Fertiliser_SourceData.Fertiliser_Products_Data1(),FertiliserProducts[[#Headers],[Include or Exclude]], 0,4)</f>
        <v>Potassium - Generic</v>
      </c>
      <c r="Q98" s="199" cm="1">
        <f t="array" ref="Q98">Common_InputFunctions.Utility_DisplayArrayInTable(Fertiliser_SourceData.Fertiliser_Products_Data1(),FertiliserProducts[[#Headers],[Include or Exclude]], 0,4)</f>
        <v>0.04</v>
      </c>
      <c r="R98" s="199" t="str" cm="1">
        <f t="array" ref="R98">Common_InputFunctions.Utility_DisplayArrayInTable(Fertiliser_SourceData.Fertiliser_Products_Data1(),FertiliserProducts[[#Headers],[Include or Exclude]], 0,4)</f>
        <v>Sulfur - Generic</v>
      </c>
      <c r="S98" s="199" cm="1">
        <f t="array" ref="S98">Common_InputFunctions.Utility_DisplayArrayInTable(Fertiliser_SourceData.Fertiliser_Products_Data1(),FertiliserProducts[[#Headers],[Include or Exclude]], 0,4)</f>
        <v>0.03</v>
      </c>
      <c r="T98" s="199" t="str" cm="1">
        <f t="array" ref="T98">Common_InputFunctions.Utility_DisplayArrayInTable(Fertiliser_SourceData.Fertiliser_Products_Data1(),FertiliserProducts[[#Headers],[Include or Exclude]], 0,4)</f>
        <v/>
      </c>
      <c r="U98" s="199" t="str" cm="1">
        <f t="array" ref="U98">Common_InputFunctions.Utility_DisplayArrayInTable(Fertiliser_SourceData.Fertiliser_Products_Data1(),FertiliserProducts[[#Headers],[Include or Exclude]], 0,4)</f>
        <v/>
      </c>
      <c r="V98" s="199" t="str" cm="1">
        <f t="array" ref="V98">Common_InputFunctions.Utility_DisplayArrayInTable(Fertiliser_SourceData.Fertiliser_Products_Data1(),FertiliserProducts[[#Headers],[Include or Exclude]], 0,4)</f>
        <v/>
      </c>
      <c r="W98" s="199" t="str" cm="1">
        <f t="array" ref="W98">Common_InputFunctions.Utility_DisplayArrayInTable(Fertiliser_SourceData.Fertiliser_Products_Data1(),FertiliserProducts[[#Headers],[Include or Exclude]], 0,4)</f>
        <v/>
      </c>
      <c r="X98" s="199" t="str" cm="1">
        <f t="array" ref="X98">Common_InputFunctions.Utility_DisplayArrayInTable(Fertiliser_SourceData.Fertiliser_Products_Data1(),FertiliserProducts[[#Headers],[Include or Exclude]], 0,4)</f>
        <v/>
      </c>
      <c r="Y98" s="199" t="str" cm="1">
        <f t="array" ref="Y98">Common_InputFunctions.Utility_DisplayArrayInTable(Fertiliser_SourceData.Fertiliser_Products_Data1(),FertiliserProducts[[#Headers],[Include or Exclude]], 0,4)</f>
        <v/>
      </c>
      <c r="Z98" s="199" t="str" cm="1">
        <f t="array" ref="Z98">Common_InputFunctions.Utility_DisplayArrayInTable(Fertiliser_SourceData.Fertiliser_Products_Data1(),FertiliserProducts[[#Headers],[Include or Exclude]], 0,4)</f>
        <v/>
      </c>
      <c r="AA98" s="199" t="str" cm="1">
        <f t="array" ref="AA98">Common_InputFunctions.Utility_DisplayArrayInTable(Fertiliser_SourceData.Fertiliser_Products_Data1(),FertiliserProducts[[#Headers],[Include or Exclude]], 0,4)</f>
        <v/>
      </c>
      <c r="AB98" s="199" t="str" cm="1">
        <f t="array" ref="AB98">Common_InputFunctions.Utility_DisplayArrayInTable(Fertiliser_SourceData.Fertiliser_Products_Data1(),FertiliserProducts[[#Headers],[Include or Exclude]], 0,4)</f>
        <v/>
      </c>
      <c r="AC98" s="199" t="str" cm="1">
        <f t="array" ref="AC98">Common_InputFunctions.Utility_DisplayArrayInTable(Fertiliser_SourceData.Fertiliser_Products_Data1(),FertiliserProducts[[#Headers],[Include or Exclude]], 0,4)</f>
        <v/>
      </c>
      <c r="AD98" s="199" t="str" cm="1">
        <f t="array" ref="AD98">Common_InputFunctions.Utility_DisplayArrayInTable(Fertiliser_SourceData.Fertiliser_Products_Data1(),FertiliserProducts[[#Headers],[Include or Exclude]], 0,4)</f>
        <v/>
      </c>
      <c r="AE98" s="199" t="str" cm="1">
        <f t="array" ref="AE98">Common_InputFunctions.Utility_DisplayArrayInTable(Fertiliser_SourceData.Fertiliser_Products_Data1(),FertiliserProducts[[#Headers],[Include or Exclude]], 0,4)</f>
        <v/>
      </c>
    </row>
    <row r="99" spans="4:31" ht="20.100000000000001" customHeight="1" x14ac:dyDescent="0.25">
      <c r="D99" s="199" t="str" cm="1">
        <f t="array" ref="D99">Common_InputFunctions.Utility_DisplayArrayInTable(Fertiliser_SourceData.Fertiliser_Products_Data1(),FertiliserProducts[[#Headers],[Include or Exclude]], -1)</f>
        <v>Exclude - Not relevant</v>
      </c>
      <c r="E99" s="199" t="str" cm="1">
        <f t="array" ref="E99">Common_InputFunctions.Utility_DisplayArrayInTable(Fertiliser_SourceData.Fertiliser_Products_Data1(),FertiliserProducts[[#Headers],[Include or Exclude]], 0)</f>
        <v/>
      </c>
      <c r="F99" s="199" t="str" cm="1">
        <f t="array" ref="F99">Common_InputFunctions.Utility_DisplayArrayInTable(Fertiliser_SourceData.Fertiliser_Products_Data1(),FertiliserProducts[[#Headers],[Include or Exclude]], 0)</f>
        <v>Campbells fertilisers Australia</v>
      </c>
      <c r="G99" s="199" t="str" cm="1">
        <f t="array" ref="G99">Common_InputFunctions.Utility_DisplayArrayInTable(Fertiliser_SourceData.Fertiliser_Products_Data1(),FertiliserProducts[[#Headers],[Include or Exclude]], 0)</f>
        <v>Aqua Thio-Flourish</v>
      </c>
      <c r="H99" s="199" t="str" cm="1">
        <f t="array" ref="H99">Common_InputFunctions.Utility_DisplayArrayInTable(Fertiliser_SourceData.Fertiliser_Products_Data1(),FertiliserProducts[[#Headers],[Include or Exclude]], 0,4)</f>
        <v>L</v>
      </c>
      <c r="I99" s="199" cm="1">
        <f t="array" ref="I99">Common_InputFunctions.Utility_DisplayArrayInTable(Fertiliser_SourceData.Fertiliser_Products_Data1(),FertiliserProducts[[#Headers],[Include or Exclude]], 0,4)</f>
        <v>1.32</v>
      </c>
      <c r="J99" s="199" t="str" cm="1">
        <f t="array" ref="J99">Common_InputFunctions.Utility_DisplayArrayInTable(Fertiliser_SourceData.Fertiliser_Products_Data1(),FertiliserProducts[[#Headers],[Include or Exclude]], 0,4)</f>
        <v/>
      </c>
      <c r="K99" s="199" t="str" cm="1">
        <f t="array" ref="K99">Common_InputFunctions.Utility_DisplayArrayInTable(Fertiliser_SourceData.Fertiliser_Products_Data1(),FertiliserProducts[[#Headers],[Include or Exclude]], 0,4)</f>
        <v/>
      </c>
      <c r="L99" s="199" t="str" cm="1">
        <f t="array" ref="L99">Common_InputFunctions.Utility_DisplayArrayInTable(Fertiliser_SourceData.Fertiliser_Products_Data1(),FertiliserProducts[[#Headers],[Include or Exclude]], 0,4)</f>
        <v>Potassium - Generic</v>
      </c>
      <c r="M99" s="199" cm="1">
        <f t="array" ref="M99">Common_InputFunctions.Utility_DisplayArrayInTable(Fertiliser_SourceData.Fertiliser_Products_Data1(),FertiliserProducts[[#Headers],[Include or Exclude]], 0,4)</f>
        <v>0.108</v>
      </c>
      <c r="N99" s="199" t="str" cm="1">
        <f t="array" ref="N99">Common_InputFunctions.Utility_DisplayArrayInTable(Fertiliser_SourceData.Fertiliser_Products_Data1(),FertiliserProducts[[#Headers],[Include or Exclude]], 0,4)</f>
        <v>Nitrogen - Generic</v>
      </c>
      <c r="O99" s="199" cm="1">
        <f t="array" ref="O99">Common_InputFunctions.Utility_DisplayArrayInTable(Fertiliser_SourceData.Fertiliser_Products_Data1(),FertiliserProducts[[#Headers],[Include or Exclude]], 0,4)</f>
        <v>9.5000000000000001E-2</v>
      </c>
      <c r="P99" s="199" t="str" cm="1">
        <f t="array" ref="P99">Common_InputFunctions.Utility_DisplayArrayInTable(Fertiliser_SourceData.Fertiliser_Products_Data1(),FertiliserProducts[[#Headers],[Include or Exclude]], 0,4)</f>
        <v>Sulfur - Generic</v>
      </c>
      <c r="Q99" s="199" cm="1">
        <f t="array" ref="Q99">Common_InputFunctions.Utility_DisplayArrayInTable(Fertiliser_SourceData.Fertiliser_Products_Data1(),FertiliserProducts[[#Headers],[Include or Exclude]], 0,4)</f>
        <v>8.1000000000000003E-2</v>
      </c>
      <c r="R99" s="199" t="str" cm="1">
        <f t="array" ref="R99">Common_InputFunctions.Utility_DisplayArrayInTable(Fertiliser_SourceData.Fertiliser_Products_Data1(),FertiliserProducts[[#Headers],[Include or Exclude]], 0,4)</f>
        <v>Phosphorus - Generic</v>
      </c>
      <c r="S99" s="199" cm="1">
        <f t="array" ref="S99">Common_InputFunctions.Utility_DisplayArrayInTable(Fertiliser_SourceData.Fertiliser_Products_Data1(),FertiliserProducts[[#Headers],[Include or Exclude]], 0,4)</f>
        <v>4.7E-2</v>
      </c>
      <c r="T99" s="199" t="str" cm="1">
        <f t="array" ref="T99">Common_InputFunctions.Utility_DisplayArrayInTable(Fertiliser_SourceData.Fertiliser_Products_Data1(),FertiliserProducts[[#Headers],[Include or Exclude]], 0,4)</f>
        <v/>
      </c>
      <c r="U99" s="199" t="str" cm="1">
        <f t="array" ref="U99">Common_InputFunctions.Utility_DisplayArrayInTable(Fertiliser_SourceData.Fertiliser_Products_Data1(),FertiliserProducts[[#Headers],[Include or Exclude]], 0,4)</f>
        <v/>
      </c>
      <c r="V99" s="199" t="str" cm="1">
        <f t="array" ref="V99">Common_InputFunctions.Utility_DisplayArrayInTable(Fertiliser_SourceData.Fertiliser_Products_Data1(),FertiliserProducts[[#Headers],[Include or Exclude]], 0,4)</f>
        <v/>
      </c>
      <c r="W99" s="199" t="str" cm="1">
        <f t="array" ref="W99">Common_InputFunctions.Utility_DisplayArrayInTable(Fertiliser_SourceData.Fertiliser_Products_Data1(),FertiliserProducts[[#Headers],[Include or Exclude]], 0,4)</f>
        <v/>
      </c>
      <c r="X99" s="199" t="str" cm="1">
        <f t="array" ref="X99">Common_InputFunctions.Utility_DisplayArrayInTable(Fertiliser_SourceData.Fertiliser_Products_Data1(),FertiliserProducts[[#Headers],[Include or Exclude]], 0,4)</f>
        <v/>
      </c>
      <c r="Y99" s="199" t="str" cm="1">
        <f t="array" ref="Y99">Common_InputFunctions.Utility_DisplayArrayInTable(Fertiliser_SourceData.Fertiliser_Products_Data1(),FertiliserProducts[[#Headers],[Include or Exclude]], 0,4)</f>
        <v/>
      </c>
      <c r="Z99" s="199" t="str" cm="1">
        <f t="array" ref="Z99">Common_InputFunctions.Utility_DisplayArrayInTable(Fertiliser_SourceData.Fertiliser_Products_Data1(),FertiliserProducts[[#Headers],[Include or Exclude]], 0,4)</f>
        <v/>
      </c>
      <c r="AA99" s="199" t="str" cm="1">
        <f t="array" ref="AA99">Common_InputFunctions.Utility_DisplayArrayInTable(Fertiliser_SourceData.Fertiliser_Products_Data1(),FertiliserProducts[[#Headers],[Include or Exclude]], 0,4)</f>
        <v/>
      </c>
      <c r="AB99" s="199" t="str" cm="1">
        <f t="array" ref="AB99">Common_InputFunctions.Utility_DisplayArrayInTable(Fertiliser_SourceData.Fertiliser_Products_Data1(),FertiliserProducts[[#Headers],[Include or Exclude]], 0,4)</f>
        <v/>
      </c>
      <c r="AC99" s="199" t="str" cm="1">
        <f t="array" ref="AC99">Common_InputFunctions.Utility_DisplayArrayInTable(Fertiliser_SourceData.Fertiliser_Products_Data1(),FertiliserProducts[[#Headers],[Include or Exclude]], 0,4)</f>
        <v/>
      </c>
      <c r="AD99" s="199" t="str" cm="1">
        <f t="array" ref="AD99">Common_InputFunctions.Utility_DisplayArrayInTable(Fertiliser_SourceData.Fertiliser_Products_Data1(),FertiliserProducts[[#Headers],[Include or Exclude]], 0,4)</f>
        <v/>
      </c>
      <c r="AE99" s="199" t="str" cm="1">
        <f t="array" ref="AE99">Common_InputFunctions.Utility_DisplayArrayInTable(Fertiliser_SourceData.Fertiliser_Products_Data1(),FertiliserProducts[[#Headers],[Include or Exclude]], 0,4)</f>
        <v/>
      </c>
    </row>
    <row r="100" spans="4:31" ht="20.100000000000001" customHeight="1" x14ac:dyDescent="0.25">
      <c r="D100" s="199" t="str" cm="1">
        <f t="array" ref="D100">Common_InputFunctions.Utility_DisplayArrayInTable(Fertiliser_SourceData.Fertiliser_Products_Data1(),FertiliserProducts[[#Headers],[Include or Exclude]], -1)</f>
        <v>Exclude - Not relevant</v>
      </c>
      <c r="E100" s="199" t="str" cm="1">
        <f t="array" ref="E100">Common_InputFunctions.Utility_DisplayArrayInTable(Fertiliser_SourceData.Fertiliser_Products_Data1(),FertiliserProducts[[#Headers],[Include or Exclude]], 0)</f>
        <v/>
      </c>
      <c r="F100" s="199" t="str" cm="1">
        <f t="array" ref="F100">Common_InputFunctions.Utility_DisplayArrayInTable(Fertiliser_SourceData.Fertiliser_Products_Data1(),FertiliserProducts[[#Headers],[Include or Exclude]], 0)</f>
        <v>Campbells fertilisers Australia</v>
      </c>
      <c r="G100" s="199" t="str" cm="1">
        <f t="array" ref="G100">Common_InputFunctions.Utility_DisplayArrayInTable(Fertiliser_SourceData.Fertiliser_Products_Data1(),FertiliserProducts[[#Headers],[Include or Exclude]], 0)</f>
        <v>Asco Fol Plus</v>
      </c>
      <c r="H100" s="199" t="str" cm="1">
        <f t="array" ref="H100">Common_InputFunctions.Utility_DisplayArrayInTable(Fertiliser_SourceData.Fertiliser_Products_Data1(),FertiliserProducts[[#Headers],[Include or Exclude]], 0,4)</f>
        <v/>
      </c>
      <c r="I100" s="199" t="str" cm="1">
        <f t="array" ref="I100">Common_InputFunctions.Utility_DisplayArrayInTable(Fertiliser_SourceData.Fertiliser_Products_Data1(),FertiliserProducts[[#Headers],[Include or Exclude]], 0,4)</f>
        <v/>
      </c>
      <c r="J100" s="199" t="str" cm="1">
        <f t="array" ref="J100">Common_InputFunctions.Utility_DisplayArrayInTable(Fertiliser_SourceData.Fertiliser_Products_Data1(),FertiliserProducts[[#Headers],[Include or Exclude]], 0,4)</f>
        <v/>
      </c>
      <c r="K100" s="199" t="str" cm="1">
        <f t="array" ref="K100">Common_InputFunctions.Utility_DisplayArrayInTable(Fertiliser_SourceData.Fertiliser_Products_Data1(),FertiliserProducts[[#Headers],[Include or Exclude]], 0,4)</f>
        <v/>
      </c>
      <c r="L100" s="199" t="str" cm="1">
        <f t="array" ref="L100">Common_InputFunctions.Utility_DisplayArrayInTable(Fertiliser_SourceData.Fertiliser_Products_Data1(),FertiliserProducts[[#Headers],[Include or Exclude]], 0,4)</f>
        <v/>
      </c>
      <c r="M100" s="199" t="str" cm="1">
        <f t="array" ref="M100">Common_InputFunctions.Utility_DisplayArrayInTable(Fertiliser_SourceData.Fertiliser_Products_Data1(),FertiliserProducts[[#Headers],[Include or Exclude]], 0,4)</f>
        <v/>
      </c>
      <c r="N100" s="199" t="str" cm="1">
        <f t="array" ref="N100">Common_InputFunctions.Utility_DisplayArrayInTable(Fertiliser_SourceData.Fertiliser_Products_Data1(),FertiliserProducts[[#Headers],[Include or Exclude]], 0,4)</f>
        <v/>
      </c>
      <c r="O100" s="199" t="str" cm="1">
        <f t="array" ref="O100">Common_InputFunctions.Utility_DisplayArrayInTable(Fertiliser_SourceData.Fertiliser_Products_Data1(),FertiliserProducts[[#Headers],[Include or Exclude]], 0,4)</f>
        <v/>
      </c>
      <c r="P100" s="199" t="str" cm="1">
        <f t="array" ref="P100">Common_InputFunctions.Utility_DisplayArrayInTable(Fertiliser_SourceData.Fertiliser_Products_Data1(),FertiliserProducts[[#Headers],[Include or Exclude]], 0,4)</f>
        <v/>
      </c>
      <c r="Q100" s="199" t="str" cm="1">
        <f t="array" ref="Q100">Common_InputFunctions.Utility_DisplayArrayInTable(Fertiliser_SourceData.Fertiliser_Products_Data1(),FertiliserProducts[[#Headers],[Include or Exclude]], 0,4)</f>
        <v/>
      </c>
      <c r="R100" s="199" t="str" cm="1">
        <f t="array" ref="R100">Common_InputFunctions.Utility_DisplayArrayInTable(Fertiliser_SourceData.Fertiliser_Products_Data1(),FertiliserProducts[[#Headers],[Include or Exclude]], 0,4)</f>
        <v/>
      </c>
      <c r="S100" s="199" t="str" cm="1">
        <f t="array" ref="S100">Common_InputFunctions.Utility_DisplayArrayInTable(Fertiliser_SourceData.Fertiliser_Products_Data1(),FertiliserProducts[[#Headers],[Include or Exclude]], 0,4)</f>
        <v/>
      </c>
      <c r="T100" s="199" t="str" cm="1">
        <f t="array" ref="T100">Common_InputFunctions.Utility_DisplayArrayInTable(Fertiliser_SourceData.Fertiliser_Products_Data1(),FertiliserProducts[[#Headers],[Include or Exclude]], 0,4)</f>
        <v/>
      </c>
      <c r="U100" s="199" t="str" cm="1">
        <f t="array" ref="U100">Common_InputFunctions.Utility_DisplayArrayInTable(Fertiliser_SourceData.Fertiliser_Products_Data1(),FertiliserProducts[[#Headers],[Include or Exclude]], 0,4)</f>
        <v/>
      </c>
      <c r="V100" s="199" t="str" cm="1">
        <f t="array" ref="V100">Common_InputFunctions.Utility_DisplayArrayInTable(Fertiliser_SourceData.Fertiliser_Products_Data1(),FertiliserProducts[[#Headers],[Include or Exclude]], 0,4)</f>
        <v/>
      </c>
      <c r="W100" s="199" t="str" cm="1">
        <f t="array" ref="W100">Common_InputFunctions.Utility_DisplayArrayInTable(Fertiliser_SourceData.Fertiliser_Products_Data1(),FertiliserProducts[[#Headers],[Include or Exclude]], 0,4)</f>
        <v/>
      </c>
      <c r="X100" s="199" t="str" cm="1">
        <f t="array" ref="X100">Common_InputFunctions.Utility_DisplayArrayInTable(Fertiliser_SourceData.Fertiliser_Products_Data1(),FertiliserProducts[[#Headers],[Include or Exclude]], 0,4)</f>
        <v/>
      </c>
      <c r="Y100" s="199" t="str" cm="1">
        <f t="array" ref="Y100">Common_InputFunctions.Utility_DisplayArrayInTable(Fertiliser_SourceData.Fertiliser_Products_Data1(),FertiliserProducts[[#Headers],[Include or Exclude]], 0,4)</f>
        <v/>
      </c>
      <c r="Z100" s="199" t="str" cm="1">
        <f t="array" ref="Z100">Common_InputFunctions.Utility_DisplayArrayInTable(Fertiliser_SourceData.Fertiliser_Products_Data1(),FertiliserProducts[[#Headers],[Include or Exclude]], 0,4)</f>
        <v/>
      </c>
      <c r="AA100" s="199" t="str" cm="1">
        <f t="array" ref="AA100">Common_InputFunctions.Utility_DisplayArrayInTable(Fertiliser_SourceData.Fertiliser_Products_Data1(),FertiliserProducts[[#Headers],[Include or Exclude]], 0,4)</f>
        <v/>
      </c>
      <c r="AB100" s="199" t="str" cm="1">
        <f t="array" ref="AB100">Common_InputFunctions.Utility_DisplayArrayInTable(Fertiliser_SourceData.Fertiliser_Products_Data1(),FertiliserProducts[[#Headers],[Include or Exclude]], 0,4)</f>
        <v/>
      </c>
      <c r="AC100" s="199" t="str" cm="1">
        <f t="array" ref="AC100">Common_InputFunctions.Utility_DisplayArrayInTable(Fertiliser_SourceData.Fertiliser_Products_Data1(),FertiliserProducts[[#Headers],[Include or Exclude]], 0,4)</f>
        <v/>
      </c>
      <c r="AD100" s="199" t="str" cm="1">
        <f t="array" ref="AD100">Common_InputFunctions.Utility_DisplayArrayInTable(Fertiliser_SourceData.Fertiliser_Products_Data1(),FertiliserProducts[[#Headers],[Include or Exclude]], 0,4)</f>
        <v/>
      </c>
      <c r="AE100" s="199" t="str" cm="1">
        <f t="array" ref="AE100">Common_InputFunctions.Utility_DisplayArrayInTable(Fertiliser_SourceData.Fertiliser_Products_Data1(),FertiliserProducts[[#Headers],[Include or Exclude]], 0,4)</f>
        <v/>
      </c>
    </row>
    <row r="101" spans="4:31" ht="20.100000000000001" customHeight="1" x14ac:dyDescent="0.25">
      <c r="D101" s="199" t="str" cm="1">
        <f t="array" ref="D101">Common_InputFunctions.Utility_DisplayArrayInTable(Fertiliser_SourceData.Fertiliser_Products_Data1(),FertiliserProducts[[#Headers],[Include or Exclude]], -1)</f>
        <v>Exclude - Not relevant</v>
      </c>
      <c r="E101" s="199" t="str" cm="1">
        <f t="array" ref="E101">Common_InputFunctions.Utility_DisplayArrayInTable(Fertiliser_SourceData.Fertiliser_Products_Data1(),FertiliserProducts[[#Headers],[Include or Exclude]], 0)</f>
        <v/>
      </c>
      <c r="F101" s="199" t="str" cm="1">
        <f t="array" ref="F101">Common_InputFunctions.Utility_DisplayArrayInTable(Fertiliser_SourceData.Fertiliser_Products_Data1(),FertiliserProducts[[#Headers],[Include or Exclude]], 0)</f>
        <v>Campbells fertilisers Australia</v>
      </c>
      <c r="G101" s="199" t="str" cm="1">
        <f t="array" ref="G101">Common_InputFunctions.Utility_DisplayArrayInTable(Fertiliser_SourceData.Fertiliser_Products_Data1(),FertiliserProducts[[#Headers],[Include or Exclude]], 0)</f>
        <v>Asco Plus</v>
      </c>
      <c r="H101" s="199" t="str" cm="1">
        <f t="array" ref="H101">Common_InputFunctions.Utility_DisplayArrayInTable(Fertiliser_SourceData.Fertiliser_Products_Data1(),FertiliserProducts[[#Headers],[Include or Exclude]], 0,4)</f>
        <v/>
      </c>
      <c r="I101" s="199" t="str" cm="1">
        <f t="array" ref="I101">Common_InputFunctions.Utility_DisplayArrayInTable(Fertiliser_SourceData.Fertiliser_Products_Data1(),FertiliserProducts[[#Headers],[Include or Exclude]], 0,4)</f>
        <v/>
      </c>
      <c r="J101" s="199" t="str" cm="1">
        <f t="array" ref="J101">Common_InputFunctions.Utility_DisplayArrayInTable(Fertiliser_SourceData.Fertiliser_Products_Data1(),FertiliserProducts[[#Headers],[Include or Exclude]], 0,4)</f>
        <v/>
      </c>
      <c r="K101" s="199" t="str" cm="1">
        <f t="array" ref="K101">Common_InputFunctions.Utility_DisplayArrayInTable(Fertiliser_SourceData.Fertiliser_Products_Data1(),FertiliserProducts[[#Headers],[Include or Exclude]], 0,4)</f>
        <v/>
      </c>
      <c r="L101" s="199" t="str" cm="1">
        <f t="array" ref="L101">Common_InputFunctions.Utility_DisplayArrayInTable(Fertiliser_SourceData.Fertiliser_Products_Data1(),FertiliserProducts[[#Headers],[Include or Exclude]], 0,4)</f>
        <v/>
      </c>
      <c r="M101" s="199" t="str" cm="1">
        <f t="array" ref="M101">Common_InputFunctions.Utility_DisplayArrayInTable(Fertiliser_SourceData.Fertiliser_Products_Data1(),FertiliserProducts[[#Headers],[Include or Exclude]], 0,4)</f>
        <v/>
      </c>
      <c r="N101" s="199" t="str" cm="1">
        <f t="array" ref="N101">Common_InputFunctions.Utility_DisplayArrayInTable(Fertiliser_SourceData.Fertiliser_Products_Data1(),FertiliserProducts[[#Headers],[Include or Exclude]], 0,4)</f>
        <v/>
      </c>
      <c r="O101" s="199" t="str" cm="1">
        <f t="array" ref="O101">Common_InputFunctions.Utility_DisplayArrayInTable(Fertiliser_SourceData.Fertiliser_Products_Data1(),FertiliserProducts[[#Headers],[Include or Exclude]], 0,4)</f>
        <v/>
      </c>
      <c r="P101" s="199" t="str" cm="1">
        <f t="array" ref="P101">Common_InputFunctions.Utility_DisplayArrayInTable(Fertiliser_SourceData.Fertiliser_Products_Data1(),FertiliserProducts[[#Headers],[Include or Exclude]], 0,4)</f>
        <v/>
      </c>
      <c r="Q101" s="199" t="str" cm="1">
        <f t="array" ref="Q101">Common_InputFunctions.Utility_DisplayArrayInTable(Fertiliser_SourceData.Fertiliser_Products_Data1(),FertiliserProducts[[#Headers],[Include or Exclude]], 0,4)</f>
        <v/>
      </c>
      <c r="R101" s="199" t="str" cm="1">
        <f t="array" ref="R101">Common_InputFunctions.Utility_DisplayArrayInTable(Fertiliser_SourceData.Fertiliser_Products_Data1(),FertiliserProducts[[#Headers],[Include or Exclude]], 0,4)</f>
        <v/>
      </c>
      <c r="S101" s="199" t="str" cm="1">
        <f t="array" ref="S101">Common_InputFunctions.Utility_DisplayArrayInTable(Fertiliser_SourceData.Fertiliser_Products_Data1(),FertiliserProducts[[#Headers],[Include or Exclude]], 0,4)</f>
        <v/>
      </c>
      <c r="T101" s="199" t="str" cm="1">
        <f t="array" ref="T101">Common_InputFunctions.Utility_DisplayArrayInTable(Fertiliser_SourceData.Fertiliser_Products_Data1(),FertiliserProducts[[#Headers],[Include or Exclude]], 0,4)</f>
        <v/>
      </c>
      <c r="U101" s="199" t="str" cm="1">
        <f t="array" ref="U101">Common_InputFunctions.Utility_DisplayArrayInTable(Fertiliser_SourceData.Fertiliser_Products_Data1(),FertiliserProducts[[#Headers],[Include or Exclude]], 0,4)</f>
        <v/>
      </c>
      <c r="V101" s="199" t="str" cm="1">
        <f t="array" ref="V101">Common_InputFunctions.Utility_DisplayArrayInTable(Fertiliser_SourceData.Fertiliser_Products_Data1(),FertiliserProducts[[#Headers],[Include or Exclude]], 0,4)</f>
        <v/>
      </c>
      <c r="W101" s="199" t="str" cm="1">
        <f t="array" ref="W101">Common_InputFunctions.Utility_DisplayArrayInTable(Fertiliser_SourceData.Fertiliser_Products_Data1(),FertiliserProducts[[#Headers],[Include or Exclude]], 0,4)</f>
        <v/>
      </c>
      <c r="X101" s="199" t="str" cm="1">
        <f t="array" ref="X101">Common_InputFunctions.Utility_DisplayArrayInTable(Fertiliser_SourceData.Fertiliser_Products_Data1(),FertiliserProducts[[#Headers],[Include or Exclude]], 0,4)</f>
        <v/>
      </c>
      <c r="Y101" s="199" t="str" cm="1">
        <f t="array" ref="Y101">Common_InputFunctions.Utility_DisplayArrayInTable(Fertiliser_SourceData.Fertiliser_Products_Data1(),FertiliserProducts[[#Headers],[Include or Exclude]], 0,4)</f>
        <v/>
      </c>
      <c r="Z101" s="199" t="str" cm="1">
        <f t="array" ref="Z101">Common_InputFunctions.Utility_DisplayArrayInTable(Fertiliser_SourceData.Fertiliser_Products_Data1(),FertiliserProducts[[#Headers],[Include or Exclude]], 0,4)</f>
        <v/>
      </c>
      <c r="AA101" s="199" t="str" cm="1">
        <f t="array" ref="AA101">Common_InputFunctions.Utility_DisplayArrayInTable(Fertiliser_SourceData.Fertiliser_Products_Data1(),FertiliserProducts[[#Headers],[Include or Exclude]], 0,4)</f>
        <v/>
      </c>
      <c r="AB101" s="199" t="str" cm="1">
        <f t="array" ref="AB101">Common_InputFunctions.Utility_DisplayArrayInTable(Fertiliser_SourceData.Fertiliser_Products_Data1(),FertiliserProducts[[#Headers],[Include or Exclude]], 0,4)</f>
        <v/>
      </c>
      <c r="AC101" s="199" t="str" cm="1">
        <f t="array" ref="AC101">Common_InputFunctions.Utility_DisplayArrayInTable(Fertiliser_SourceData.Fertiliser_Products_Data1(),FertiliserProducts[[#Headers],[Include or Exclude]], 0,4)</f>
        <v/>
      </c>
      <c r="AD101" s="199" t="str" cm="1">
        <f t="array" ref="AD101">Common_InputFunctions.Utility_DisplayArrayInTable(Fertiliser_SourceData.Fertiliser_Products_Data1(),FertiliserProducts[[#Headers],[Include or Exclude]], 0,4)</f>
        <v/>
      </c>
      <c r="AE101" s="199" t="str" cm="1">
        <f t="array" ref="AE101">Common_InputFunctions.Utility_DisplayArrayInTable(Fertiliser_SourceData.Fertiliser_Products_Data1(),FertiliserProducts[[#Headers],[Include or Exclude]], 0,4)</f>
        <v/>
      </c>
    </row>
    <row r="102" spans="4:31" ht="20.100000000000001" customHeight="1" x14ac:dyDescent="0.25">
      <c r="D102" s="199" t="str" cm="1">
        <f t="array" ref="D102">Common_InputFunctions.Utility_DisplayArrayInTable(Fertiliser_SourceData.Fertiliser_Products_Data1(),FertiliserProducts[[#Headers],[Include or Exclude]], -1)</f>
        <v>Exclude - Not relevant</v>
      </c>
      <c r="E102" s="199" t="str" cm="1">
        <f t="array" ref="E102">Common_InputFunctions.Utility_DisplayArrayInTable(Fertiliser_SourceData.Fertiliser_Products_Data1(),FertiliserProducts[[#Headers],[Include or Exclude]], 0)</f>
        <v/>
      </c>
      <c r="F102" s="199" t="str" cm="1">
        <f t="array" ref="F102">Common_InputFunctions.Utility_DisplayArrayInTable(Fertiliser_SourceData.Fertiliser_Products_Data1(),FertiliserProducts[[#Headers],[Include or Exclude]], 0)</f>
        <v>Campbells fertilisers Australia</v>
      </c>
      <c r="G102" s="199" t="str" cm="1">
        <f t="array" ref="G102">Common_InputFunctions.Utility_DisplayArrayInTable(Fertiliser_SourceData.Fertiliser_Products_Data1(),FertiliserProducts[[#Headers],[Include or Exclude]], 0)</f>
        <v>Asco Rhizo Plus</v>
      </c>
      <c r="H102" s="199" t="str" cm="1">
        <f t="array" ref="H102">Common_InputFunctions.Utility_DisplayArrayInTable(Fertiliser_SourceData.Fertiliser_Products_Data1(),FertiliserProducts[[#Headers],[Include or Exclude]], 0,4)</f>
        <v/>
      </c>
      <c r="I102" s="199" t="str" cm="1">
        <f t="array" ref="I102">Common_InputFunctions.Utility_DisplayArrayInTable(Fertiliser_SourceData.Fertiliser_Products_Data1(),FertiliserProducts[[#Headers],[Include or Exclude]], 0,4)</f>
        <v/>
      </c>
      <c r="J102" s="199" t="str" cm="1">
        <f t="array" ref="J102">Common_InputFunctions.Utility_DisplayArrayInTable(Fertiliser_SourceData.Fertiliser_Products_Data1(),FertiliserProducts[[#Headers],[Include or Exclude]], 0,4)</f>
        <v/>
      </c>
      <c r="K102" s="199" t="str" cm="1">
        <f t="array" ref="K102">Common_InputFunctions.Utility_DisplayArrayInTable(Fertiliser_SourceData.Fertiliser_Products_Data1(),FertiliserProducts[[#Headers],[Include or Exclude]], 0,4)</f>
        <v/>
      </c>
      <c r="L102" s="199" t="str" cm="1">
        <f t="array" ref="L102">Common_InputFunctions.Utility_DisplayArrayInTable(Fertiliser_SourceData.Fertiliser_Products_Data1(),FertiliserProducts[[#Headers],[Include or Exclude]], 0,4)</f>
        <v/>
      </c>
      <c r="M102" s="199" t="str" cm="1">
        <f t="array" ref="M102">Common_InputFunctions.Utility_DisplayArrayInTable(Fertiliser_SourceData.Fertiliser_Products_Data1(),FertiliserProducts[[#Headers],[Include or Exclude]], 0,4)</f>
        <v/>
      </c>
      <c r="N102" s="199" t="str" cm="1">
        <f t="array" ref="N102">Common_InputFunctions.Utility_DisplayArrayInTable(Fertiliser_SourceData.Fertiliser_Products_Data1(),FertiliserProducts[[#Headers],[Include or Exclude]], 0,4)</f>
        <v/>
      </c>
      <c r="O102" s="199" t="str" cm="1">
        <f t="array" ref="O102">Common_InputFunctions.Utility_DisplayArrayInTable(Fertiliser_SourceData.Fertiliser_Products_Data1(),FertiliserProducts[[#Headers],[Include or Exclude]], 0,4)</f>
        <v/>
      </c>
      <c r="P102" s="199" t="str" cm="1">
        <f t="array" ref="P102">Common_InputFunctions.Utility_DisplayArrayInTable(Fertiliser_SourceData.Fertiliser_Products_Data1(),FertiliserProducts[[#Headers],[Include or Exclude]], 0,4)</f>
        <v/>
      </c>
      <c r="Q102" s="199" t="str" cm="1">
        <f t="array" ref="Q102">Common_InputFunctions.Utility_DisplayArrayInTable(Fertiliser_SourceData.Fertiliser_Products_Data1(),FertiliserProducts[[#Headers],[Include or Exclude]], 0,4)</f>
        <v/>
      </c>
      <c r="R102" s="199" t="str" cm="1">
        <f t="array" ref="R102">Common_InputFunctions.Utility_DisplayArrayInTable(Fertiliser_SourceData.Fertiliser_Products_Data1(),FertiliserProducts[[#Headers],[Include or Exclude]], 0,4)</f>
        <v/>
      </c>
      <c r="S102" s="199" t="str" cm="1">
        <f t="array" ref="S102">Common_InputFunctions.Utility_DisplayArrayInTable(Fertiliser_SourceData.Fertiliser_Products_Data1(),FertiliserProducts[[#Headers],[Include or Exclude]], 0,4)</f>
        <v/>
      </c>
      <c r="T102" s="199" t="str" cm="1">
        <f t="array" ref="T102">Common_InputFunctions.Utility_DisplayArrayInTable(Fertiliser_SourceData.Fertiliser_Products_Data1(),FertiliserProducts[[#Headers],[Include or Exclude]], 0,4)</f>
        <v/>
      </c>
      <c r="U102" s="199" t="str" cm="1">
        <f t="array" ref="U102">Common_InputFunctions.Utility_DisplayArrayInTable(Fertiliser_SourceData.Fertiliser_Products_Data1(),FertiliserProducts[[#Headers],[Include or Exclude]], 0,4)</f>
        <v/>
      </c>
      <c r="V102" s="199" t="str" cm="1">
        <f t="array" ref="V102">Common_InputFunctions.Utility_DisplayArrayInTable(Fertiliser_SourceData.Fertiliser_Products_Data1(),FertiliserProducts[[#Headers],[Include or Exclude]], 0,4)</f>
        <v/>
      </c>
      <c r="W102" s="199" t="str" cm="1">
        <f t="array" ref="W102">Common_InputFunctions.Utility_DisplayArrayInTable(Fertiliser_SourceData.Fertiliser_Products_Data1(),FertiliserProducts[[#Headers],[Include or Exclude]], 0,4)</f>
        <v/>
      </c>
      <c r="X102" s="199" t="str" cm="1">
        <f t="array" ref="X102">Common_InputFunctions.Utility_DisplayArrayInTable(Fertiliser_SourceData.Fertiliser_Products_Data1(),FertiliserProducts[[#Headers],[Include or Exclude]], 0,4)</f>
        <v/>
      </c>
      <c r="Y102" s="199" t="str" cm="1">
        <f t="array" ref="Y102">Common_InputFunctions.Utility_DisplayArrayInTable(Fertiliser_SourceData.Fertiliser_Products_Data1(),FertiliserProducts[[#Headers],[Include or Exclude]], 0,4)</f>
        <v/>
      </c>
      <c r="Z102" s="199" t="str" cm="1">
        <f t="array" ref="Z102">Common_InputFunctions.Utility_DisplayArrayInTable(Fertiliser_SourceData.Fertiliser_Products_Data1(),FertiliserProducts[[#Headers],[Include or Exclude]], 0,4)</f>
        <v/>
      </c>
      <c r="AA102" s="199" t="str" cm="1">
        <f t="array" ref="AA102">Common_InputFunctions.Utility_DisplayArrayInTable(Fertiliser_SourceData.Fertiliser_Products_Data1(),FertiliserProducts[[#Headers],[Include or Exclude]], 0,4)</f>
        <v/>
      </c>
      <c r="AB102" s="199" t="str" cm="1">
        <f t="array" ref="AB102">Common_InputFunctions.Utility_DisplayArrayInTable(Fertiliser_SourceData.Fertiliser_Products_Data1(),FertiliserProducts[[#Headers],[Include or Exclude]], 0,4)</f>
        <v/>
      </c>
      <c r="AC102" s="199" t="str" cm="1">
        <f t="array" ref="AC102">Common_InputFunctions.Utility_DisplayArrayInTable(Fertiliser_SourceData.Fertiliser_Products_Data1(),FertiliserProducts[[#Headers],[Include or Exclude]], 0,4)</f>
        <v/>
      </c>
      <c r="AD102" s="199" t="str" cm="1">
        <f t="array" ref="AD102">Common_InputFunctions.Utility_DisplayArrayInTable(Fertiliser_SourceData.Fertiliser_Products_Data1(),FertiliserProducts[[#Headers],[Include or Exclude]], 0,4)</f>
        <v/>
      </c>
      <c r="AE102" s="199" t="str" cm="1">
        <f t="array" ref="AE102">Common_InputFunctions.Utility_DisplayArrayInTable(Fertiliser_SourceData.Fertiliser_Products_Data1(),FertiliserProducts[[#Headers],[Include or Exclude]], 0,4)</f>
        <v/>
      </c>
    </row>
    <row r="103" spans="4:31" ht="20.100000000000001" customHeight="1" x14ac:dyDescent="0.25">
      <c r="D103" s="199" t="str" cm="1">
        <f t="array" ref="D103">Common_InputFunctions.Utility_DisplayArrayInTable(Fertiliser_SourceData.Fertiliser_Products_Data1(),FertiliserProducts[[#Headers],[Include or Exclude]], -1)</f>
        <v>Include - Absent ingredients &lt; 2%</v>
      </c>
      <c r="E103" s="199" t="str" cm="1">
        <f t="array" ref="E103">Common_InputFunctions.Utility_DisplayArrayInTable(Fertiliser_SourceData.Fertiliser_Products_Data1(),FertiliserProducts[[#Headers],[Include or Exclude]], 0)</f>
        <v/>
      </c>
      <c r="F103" s="199" t="str" cm="1">
        <f t="array" ref="F103">Common_InputFunctions.Utility_DisplayArrayInTable(Fertiliser_SourceData.Fertiliser_Products_Data1(),FertiliserProducts[[#Headers],[Include or Exclude]], 0)</f>
        <v>Campbells fertilisers Australia</v>
      </c>
      <c r="G103" s="199" t="str" cm="1">
        <f t="array" ref="G103">Common_InputFunctions.Utility_DisplayArrayInTable(Fertiliser_SourceData.Fertiliser_Products_Data1(),FertiliserProducts[[#Headers],[Include or Exclude]], 0)</f>
        <v>Benefit PZ</v>
      </c>
      <c r="H103" s="199" t="str" cm="1">
        <f t="array" ref="H103">Common_InputFunctions.Utility_DisplayArrayInTable(Fertiliser_SourceData.Fertiliser_Products_Data1(),FertiliserProducts[[#Headers],[Include or Exclude]], 0,4)</f>
        <v/>
      </c>
      <c r="I103" s="199" t="str" cm="1">
        <f t="array" ref="I103">Common_InputFunctions.Utility_DisplayArrayInTable(Fertiliser_SourceData.Fertiliser_Products_Data1(),FertiliserProducts[[#Headers],[Include or Exclude]], 0,4)</f>
        <v/>
      </c>
      <c r="J103" s="199" t="str" cm="1">
        <f t="array" ref="J103">Common_InputFunctions.Utility_DisplayArrayInTable(Fertiliser_SourceData.Fertiliser_Products_Data1(),FertiliserProducts[[#Headers],[Include or Exclude]], 0,4)</f>
        <v/>
      </c>
      <c r="K103" s="199" t="str" cm="1">
        <f t="array" ref="K103">Common_InputFunctions.Utility_DisplayArrayInTable(Fertiliser_SourceData.Fertiliser_Products_Data1(),FertiliserProducts[[#Headers],[Include or Exclude]], 0,4)</f>
        <v/>
      </c>
      <c r="L103" s="199" t="str" cm="1">
        <f t="array" ref="L103">Common_InputFunctions.Utility_DisplayArrayInTable(Fertiliser_SourceData.Fertiliser_Products_Data1(),FertiliserProducts[[#Headers],[Include or Exclude]], 0,4)</f>
        <v/>
      </c>
      <c r="M103" s="199" t="str" cm="1">
        <f t="array" ref="M103">Common_InputFunctions.Utility_DisplayArrayInTable(Fertiliser_SourceData.Fertiliser_Products_Data1(),FertiliserProducts[[#Headers],[Include or Exclude]], 0,4)</f>
        <v/>
      </c>
      <c r="N103" s="199" t="str" cm="1">
        <f t="array" ref="N103">Common_InputFunctions.Utility_DisplayArrayInTable(Fertiliser_SourceData.Fertiliser_Products_Data1(),FertiliserProducts[[#Headers],[Include or Exclude]], 0,4)</f>
        <v/>
      </c>
      <c r="O103" s="199" t="str" cm="1">
        <f t="array" ref="O103">Common_InputFunctions.Utility_DisplayArrayInTable(Fertiliser_SourceData.Fertiliser_Products_Data1(),FertiliserProducts[[#Headers],[Include or Exclude]], 0,4)</f>
        <v/>
      </c>
      <c r="P103" s="199" t="str" cm="1">
        <f t="array" ref="P103">Common_InputFunctions.Utility_DisplayArrayInTable(Fertiliser_SourceData.Fertiliser_Products_Data1(),FertiliserProducts[[#Headers],[Include or Exclude]], 0,4)</f>
        <v/>
      </c>
      <c r="Q103" s="199" t="str" cm="1">
        <f t="array" ref="Q103">Common_InputFunctions.Utility_DisplayArrayInTable(Fertiliser_SourceData.Fertiliser_Products_Data1(),FertiliserProducts[[#Headers],[Include or Exclude]], 0,4)</f>
        <v/>
      </c>
      <c r="R103" s="199" t="str" cm="1">
        <f t="array" ref="R103">Common_InputFunctions.Utility_DisplayArrayInTable(Fertiliser_SourceData.Fertiliser_Products_Data1(),FertiliserProducts[[#Headers],[Include or Exclude]], 0,4)</f>
        <v/>
      </c>
      <c r="S103" s="199" t="str" cm="1">
        <f t="array" ref="S103">Common_InputFunctions.Utility_DisplayArrayInTable(Fertiliser_SourceData.Fertiliser_Products_Data1(),FertiliserProducts[[#Headers],[Include or Exclude]], 0,4)</f>
        <v/>
      </c>
      <c r="T103" s="199" t="str" cm="1">
        <f t="array" ref="T103">Common_InputFunctions.Utility_DisplayArrayInTable(Fertiliser_SourceData.Fertiliser_Products_Data1(),FertiliserProducts[[#Headers],[Include or Exclude]], 0,4)</f>
        <v/>
      </c>
      <c r="U103" s="199" t="str" cm="1">
        <f t="array" ref="U103">Common_InputFunctions.Utility_DisplayArrayInTable(Fertiliser_SourceData.Fertiliser_Products_Data1(),FertiliserProducts[[#Headers],[Include or Exclude]], 0,4)</f>
        <v/>
      </c>
      <c r="V103" s="199" t="str" cm="1">
        <f t="array" ref="V103">Common_InputFunctions.Utility_DisplayArrayInTable(Fertiliser_SourceData.Fertiliser_Products_Data1(),FertiliserProducts[[#Headers],[Include or Exclude]], 0,4)</f>
        <v/>
      </c>
      <c r="W103" s="199" t="str" cm="1">
        <f t="array" ref="W103">Common_InputFunctions.Utility_DisplayArrayInTable(Fertiliser_SourceData.Fertiliser_Products_Data1(),FertiliserProducts[[#Headers],[Include or Exclude]], 0,4)</f>
        <v/>
      </c>
      <c r="X103" s="199" t="str" cm="1">
        <f t="array" ref="X103">Common_InputFunctions.Utility_DisplayArrayInTable(Fertiliser_SourceData.Fertiliser_Products_Data1(),FertiliserProducts[[#Headers],[Include or Exclude]], 0,4)</f>
        <v/>
      </c>
      <c r="Y103" s="199" t="str" cm="1">
        <f t="array" ref="Y103">Common_InputFunctions.Utility_DisplayArrayInTable(Fertiliser_SourceData.Fertiliser_Products_Data1(),FertiliserProducts[[#Headers],[Include or Exclude]], 0,4)</f>
        <v/>
      </c>
      <c r="Z103" s="199" t="str" cm="1">
        <f t="array" ref="Z103">Common_InputFunctions.Utility_DisplayArrayInTable(Fertiliser_SourceData.Fertiliser_Products_Data1(),FertiliserProducts[[#Headers],[Include or Exclude]], 0,4)</f>
        <v/>
      </c>
      <c r="AA103" s="199" t="str" cm="1">
        <f t="array" ref="AA103">Common_InputFunctions.Utility_DisplayArrayInTable(Fertiliser_SourceData.Fertiliser_Products_Data1(),FertiliserProducts[[#Headers],[Include or Exclude]], 0,4)</f>
        <v/>
      </c>
      <c r="AB103" s="199" t="str" cm="1">
        <f t="array" ref="AB103">Common_InputFunctions.Utility_DisplayArrayInTable(Fertiliser_SourceData.Fertiliser_Products_Data1(),FertiliserProducts[[#Headers],[Include or Exclude]], 0,4)</f>
        <v/>
      </c>
      <c r="AC103" s="199" t="str" cm="1">
        <f t="array" ref="AC103">Common_InputFunctions.Utility_DisplayArrayInTable(Fertiliser_SourceData.Fertiliser_Products_Data1(),FertiliserProducts[[#Headers],[Include or Exclude]], 0,4)</f>
        <v/>
      </c>
      <c r="AD103" s="199" t="str" cm="1">
        <f t="array" ref="AD103">Common_InputFunctions.Utility_DisplayArrayInTable(Fertiliser_SourceData.Fertiliser_Products_Data1(),FertiliserProducts[[#Headers],[Include or Exclude]], 0,4)</f>
        <v/>
      </c>
      <c r="AE103" s="199" t="str" cm="1">
        <f t="array" ref="AE103">Common_InputFunctions.Utility_DisplayArrayInTable(Fertiliser_SourceData.Fertiliser_Products_Data1(),FertiliserProducts[[#Headers],[Include or Exclude]], 0,4)</f>
        <v/>
      </c>
    </row>
    <row r="104" spans="4:31" ht="20.100000000000001" customHeight="1" x14ac:dyDescent="0.25">
      <c r="D104" s="199" t="str" cm="1">
        <f t="array" ref="D104">Common_InputFunctions.Utility_DisplayArrayInTable(Fertiliser_SourceData.Fertiliser_Products_Data1(),FertiliserProducts[[#Headers],[Include or Exclude]], -1)</f>
        <v>Exclude - Not relevant</v>
      </c>
      <c r="E104" s="199" t="str" cm="1">
        <f t="array" ref="E104">Common_InputFunctions.Utility_DisplayArrayInTable(Fertiliser_SourceData.Fertiliser_Products_Data1(),FertiliserProducts[[#Headers],[Include or Exclude]], 0)</f>
        <v>Amount of urea calculated from urea nitrogen amount</v>
      </c>
      <c r="F104" s="199" t="str" cm="1">
        <f t="array" ref="F104">Common_InputFunctions.Utility_DisplayArrayInTable(Fertiliser_SourceData.Fertiliser_Products_Data1(),FertiliserProducts[[#Headers],[Include or Exclude]], 0)</f>
        <v>Campbells fertilisers Australia</v>
      </c>
      <c r="G104" s="199" t="str" cm="1">
        <f t="array" ref="G104">Common_InputFunctions.Utility_DisplayArrayInTable(Fertiliser_SourceData.Fertiliser_Products_Data1(),FertiliserProducts[[#Headers],[Include or Exclude]], 0)</f>
        <v>Boost-It</v>
      </c>
      <c r="H104" s="199" t="str" cm="1">
        <f t="array" ref="H104">Common_InputFunctions.Utility_DisplayArrayInTable(Fertiliser_SourceData.Fertiliser_Products_Data1(),FertiliserProducts[[#Headers],[Include or Exclude]], 0,4)</f>
        <v>kg</v>
      </c>
      <c r="I104" s="199" cm="1">
        <f t="array" ref="I104">Common_InputFunctions.Utility_DisplayArrayInTable(Fertiliser_SourceData.Fertiliser_Products_Data1(),FertiliserProducts[[#Headers],[Include or Exclude]], 0,4)</f>
        <v>1</v>
      </c>
      <c r="J104" s="199" t="str" cm="1">
        <f t="array" ref="J104">Common_InputFunctions.Utility_DisplayArrayInTable(Fertiliser_SourceData.Fertiliser_Products_Data1(),FertiliserProducts[[#Headers],[Include or Exclude]], 0,4)</f>
        <v/>
      </c>
      <c r="K104" s="199" t="str" cm="1">
        <f t="array" ref="K104">Common_InputFunctions.Utility_DisplayArrayInTable(Fertiliser_SourceData.Fertiliser_Products_Data1(),FertiliserProducts[[#Headers],[Include or Exclude]], 0,4)</f>
        <v/>
      </c>
      <c r="L104" s="199" t="str" cm="1">
        <f t="array" ref="L104">Common_InputFunctions.Utility_DisplayArrayInTable(Fertiliser_SourceData.Fertiliser_Products_Data1(),FertiliserProducts[[#Headers],[Include or Exclude]], 0,4)</f>
        <v>Urea</v>
      </c>
      <c r="M104" s="199" cm="1">
        <f t="array" ref="M104">Common_InputFunctions.Utility_DisplayArrayInTable(Fertiliser_SourceData.Fertiliser_Products_Data1(),FertiliserProducts[[#Headers],[Include or Exclude]], 0,4)</f>
        <v>0.52173913000000005</v>
      </c>
      <c r="N104" s="199" t="str" cm="1">
        <f t="array" ref="N104">Common_InputFunctions.Utility_DisplayArrayInTable(Fertiliser_SourceData.Fertiliser_Products_Data1(),FertiliserProducts[[#Headers],[Include or Exclude]], 0,4)</f>
        <v>Potassium - Generic</v>
      </c>
      <c r="O104" s="199" cm="1">
        <f t="array" ref="O104">Common_InputFunctions.Utility_DisplayArrayInTable(Fertiliser_SourceData.Fertiliser_Products_Data1(),FertiliserProducts[[#Headers],[Include or Exclude]], 0,4)</f>
        <v>0.08</v>
      </c>
      <c r="P104" s="199" t="str" cm="1">
        <f t="array" ref="P104">Common_InputFunctions.Utility_DisplayArrayInTable(Fertiliser_SourceData.Fertiliser_Products_Data1(),FertiliserProducts[[#Headers],[Include or Exclude]], 0,4)</f>
        <v>Sulfur - Generic</v>
      </c>
      <c r="Q104" s="199" cm="1">
        <f t="array" ref="Q104">Common_InputFunctions.Utility_DisplayArrayInTable(Fertiliser_SourceData.Fertiliser_Products_Data1(),FertiliserProducts[[#Headers],[Include or Exclude]], 0,4)</f>
        <v>5.2999999999999999E-2</v>
      </c>
      <c r="R104" s="199" t="str" cm="1">
        <f t="array" ref="R104">Common_InputFunctions.Utility_DisplayArrayInTable(Fertiliser_SourceData.Fertiliser_Products_Data1(),FertiliserProducts[[#Headers],[Include or Exclude]], 0,4)</f>
        <v>Phosphorus - Generic</v>
      </c>
      <c r="S104" s="199" cm="1">
        <f t="array" ref="S104">Common_InputFunctions.Utility_DisplayArrayInTable(Fertiliser_SourceData.Fertiliser_Products_Data1(),FertiliserProducts[[#Headers],[Include or Exclude]], 0,4)</f>
        <v>5.1999999999999998E-2</v>
      </c>
      <c r="T104" s="199" t="str" cm="1">
        <f t="array" ref="T104">Common_InputFunctions.Utility_DisplayArrayInTable(Fertiliser_SourceData.Fertiliser_Products_Data1(),FertiliserProducts[[#Headers],[Include or Exclude]], 0,4)</f>
        <v>Magnesium</v>
      </c>
      <c r="U104" s="199" cm="1">
        <f t="array" ref="U104">Common_InputFunctions.Utility_DisplayArrayInTable(Fertiliser_SourceData.Fertiliser_Products_Data1(),FertiliserProducts[[#Headers],[Include or Exclude]], 0,4)</f>
        <v>1.2999999999999999E-2</v>
      </c>
      <c r="V104" s="199" t="str" cm="1">
        <f t="array" ref="V104">Common_InputFunctions.Utility_DisplayArrayInTable(Fertiliser_SourceData.Fertiliser_Products_Data1(),FertiliserProducts[[#Headers],[Include or Exclude]], 0,4)</f>
        <v>Zinc</v>
      </c>
      <c r="W104" s="199" cm="1">
        <f t="array" ref="W104">Common_InputFunctions.Utility_DisplayArrayInTable(Fertiliser_SourceData.Fertiliser_Products_Data1(),FertiliserProducts[[#Headers],[Include or Exclude]], 0,4)</f>
        <v>2E-3</v>
      </c>
      <c r="X104" s="199" t="str" cm="1">
        <f t="array" ref="X104">Common_InputFunctions.Utility_DisplayArrayInTable(Fertiliser_SourceData.Fertiliser_Products_Data1(),FertiliserProducts[[#Headers],[Include or Exclude]], 0,4)</f>
        <v>Manganese</v>
      </c>
      <c r="Y104" s="199" cm="1">
        <f t="array" ref="Y104">Common_InputFunctions.Utility_DisplayArrayInTable(Fertiliser_SourceData.Fertiliser_Products_Data1(),FertiliserProducts[[#Headers],[Include or Exclude]], 0,4)</f>
        <v>3.5000000000000001E-3</v>
      </c>
      <c r="Z104" s="199" t="str" cm="1">
        <f t="array" ref="Z104">Common_InputFunctions.Utility_DisplayArrayInTable(Fertiliser_SourceData.Fertiliser_Products_Data1(),FertiliserProducts[[#Headers],[Include or Exclude]], 0,4)</f>
        <v>Iron</v>
      </c>
      <c r="AA104" s="199" cm="1">
        <f t="array" ref="AA104">Common_InputFunctions.Utility_DisplayArrayInTable(Fertiliser_SourceData.Fertiliser_Products_Data1(),FertiliserProducts[[#Headers],[Include or Exclude]], 0,4)</f>
        <v>1.2999999999999999E-3</v>
      </c>
      <c r="AB104" s="199" t="str" cm="1">
        <f t="array" ref="AB104">Common_InputFunctions.Utility_DisplayArrayInTable(Fertiliser_SourceData.Fertiliser_Products_Data1(),FertiliserProducts[[#Headers],[Include or Exclude]], 0,4)</f>
        <v>Copper</v>
      </c>
      <c r="AC104" s="199" cm="1">
        <f t="array" ref="AC104">Common_InputFunctions.Utility_DisplayArrayInTable(Fertiliser_SourceData.Fertiliser_Products_Data1(),FertiliserProducts[[#Headers],[Include or Exclude]], 0,4)</f>
        <v>6.9999999999999999E-4</v>
      </c>
      <c r="AD104" s="199" t="str" cm="1">
        <f t="array" ref="AD104">Common_InputFunctions.Utility_DisplayArrayInTable(Fertiliser_SourceData.Fertiliser_Products_Data1(),FertiliserProducts[[#Headers],[Include or Exclude]], 0,4)</f>
        <v>Boron</v>
      </c>
      <c r="AE104" s="199" cm="1">
        <f t="array" ref="AE104">Common_InputFunctions.Utility_DisplayArrayInTable(Fertiliser_SourceData.Fertiliser_Products_Data1(),FertiliserProducts[[#Headers],[Include or Exclude]], 0,4)</f>
        <v>6.9999999999999999E-4</v>
      </c>
    </row>
    <row r="105" spans="4:31" ht="20.100000000000001" customHeight="1" x14ac:dyDescent="0.25">
      <c r="D105" s="199" t="str" cm="1">
        <f t="array" ref="D105">Common_InputFunctions.Utility_DisplayArrayInTable(Fertiliser_SourceData.Fertiliser_Products_Data1(),FertiliserProducts[[#Headers],[Include or Exclude]], -1)</f>
        <v>Exclude - Not relevant</v>
      </c>
      <c r="E105" s="199" t="str" cm="1">
        <f t="array" ref="E105">Common_InputFunctions.Utility_DisplayArrayInTable(Fertiliser_SourceData.Fertiliser_Products_Data1(),FertiliserProducts[[#Headers],[Include or Exclude]], 0)</f>
        <v/>
      </c>
      <c r="F105" s="199" t="str" cm="1">
        <f t="array" ref="F105">Common_InputFunctions.Utility_DisplayArrayInTable(Fertiliser_SourceData.Fertiliser_Products_Data1(),FertiliserProducts[[#Headers],[Include or Exclude]], 0)</f>
        <v>Campbells fertilisers Australia</v>
      </c>
      <c r="G105" s="199" t="str" cm="1">
        <f t="array" ref="G105">Common_InputFunctions.Utility_DisplayArrayInTable(Fertiliser_SourceData.Fertiliser_Products_Data1(),FertiliserProducts[[#Headers],[Include or Exclude]], 0)</f>
        <v>Boroplus</v>
      </c>
      <c r="H105" s="199" t="str" cm="1">
        <f t="array" ref="H105">Common_InputFunctions.Utility_DisplayArrayInTable(Fertiliser_SourceData.Fertiliser_Products_Data1(),FertiliserProducts[[#Headers],[Include or Exclude]], 0,4)</f>
        <v/>
      </c>
      <c r="I105" s="199" t="str" cm="1">
        <f t="array" ref="I105">Common_InputFunctions.Utility_DisplayArrayInTable(Fertiliser_SourceData.Fertiliser_Products_Data1(),FertiliserProducts[[#Headers],[Include or Exclude]], 0,4)</f>
        <v/>
      </c>
      <c r="J105" s="199" t="str" cm="1">
        <f t="array" ref="J105">Common_InputFunctions.Utility_DisplayArrayInTable(Fertiliser_SourceData.Fertiliser_Products_Data1(),FertiliserProducts[[#Headers],[Include or Exclude]], 0,4)</f>
        <v/>
      </c>
      <c r="K105" s="199" t="str" cm="1">
        <f t="array" ref="K105">Common_InputFunctions.Utility_DisplayArrayInTable(Fertiliser_SourceData.Fertiliser_Products_Data1(),FertiliserProducts[[#Headers],[Include or Exclude]], 0,4)</f>
        <v/>
      </c>
      <c r="L105" s="199" t="str" cm="1">
        <f t="array" ref="L105">Common_InputFunctions.Utility_DisplayArrayInTable(Fertiliser_SourceData.Fertiliser_Products_Data1(),FertiliserProducts[[#Headers],[Include or Exclude]], 0,4)</f>
        <v/>
      </c>
      <c r="M105" s="199" t="str" cm="1">
        <f t="array" ref="M105">Common_InputFunctions.Utility_DisplayArrayInTable(Fertiliser_SourceData.Fertiliser_Products_Data1(),FertiliserProducts[[#Headers],[Include or Exclude]], 0,4)</f>
        <v/>
      </c>
      <c r="N105" s="199" t="str" cm="1">
        <f t="array" ref="N105">Common_InputFunctions.Utility_DisplayArrayInTable(Fertiliser_SourceData.Fertiliser_Products_Data1(),FertiliserProducts[[#Headers],[Include or Exclude]], 0,4)</f>
        <v/>
      </c>
      <c r="O105" s="199" t="str" cm="1">
        <f t="array" ref="O105">Common_InputFunctions.Utility_DisplayArrayInTable(Fertiliser_SourceData.Fertiliser_Products_Data1(),FertiliserProducts[[#Headers],[Include or Exclude]], 0,4)</f>
        <v/>
      </c>
      <c r="P105" s="199" t="str" cm="1">
        <f t="array" ref="P105">Common_InputFunctions.Utility_DisplayArrayInTable(Fertiliser_SourceData.Fertiliser_Products_Data1(),FertiliserProducts[[#Headers],[Include or Exclude]], 0,4)</f>
        <v/>
      </c>
      <c r="Q105" s="199" t="str" cm="1">
        <f t="array" ref="Q105">Common_InputFunctions.Utility_DisplayArrayInTable(Fertiliser_SourceData.Fertiliser_Products_Data1(),FertiliserProducts[[#Headers],[Include or Exclude]], 0,4)</f>
        <v/>
      </c>
      <c r="R105" s="199" t="str" cm="1">
        <f t="array" ref="R105">Common_InputFunctions.Utility_DisplayArrayInTable(Fertiliser_SourceData.Fertiliser_Products_Data1(),FertiliserProducts[[#Headers],[Include or Exclude]], 0,4)</f>
        <v/>
      </c>
      <c r="S105" s="199" t="str" cm="1">
        <f t="array" ref="S105">Common_InputFunctions.Utility_DisplayArrayInTable(Fertiliser_SourceData.Fertiliser_Products_Data1(),FertiliserProducts[[#Headers],[Include or Exclude]], 0,4)</f>
        <v/>
      </c>
      <c r="T105" s="199" t="str" cm="1">
        <f t="array" ref="T105">Common_InputFunctions.Utility_DisplayArrayInTable(Fertiliser_SourceData.Fertiliser_Products_Data1(),FertiliserProducts[[#Headers],[Include or Exclude]], 0,4)</f>
        <v/>
      </c>
      <c r="U105" s="199" t="str" cm="1">
        <f t="array" ref="U105">Common_InputFunctions.Utility_DisplayArrayInTable(Fertiliser_SourceData.Fertiliser_Products_Data1(),FertiliserProducts[[#Headers],[Include or Exclude]], 0,4)</f>
        <v/>
      </c>
      <c r="V105" s="199" t="str" cm="1">
        <f t="array" ref="V105">Common_InputFunctions.Utility_DisplayArrayInTable(Fertiliser_SourceData.Fertiliser_Products_Data1(),FertiliserProducts[[#Headers],[Include or Exclude]], 0,4)</f>
        <v/>
      </c>
      <c r="W105" s="199" t="str" cm="1">
        <f t="array" ref="W105">Common_InputFunctions.Utility_DisplayArrayInTable(Fertiliser_SourceData.Fertiliser_Products_Data1(),FertiliserProducts[[#Headers],[Include or Exclude]], 0,4)</f>
        <v/>
      </c>
      <c r="X105" s="199" t="str" cm="1">
        <f t="array" ref="X105">Common_InputFunctions.Utility_DisplayArrayInTable(Fertiliser_SourceData.Fertiliser_Products_Data1(),FertiliserProducts[[#Headers],[Include or Exclude]], 0,4)</f>
        <v/>
      </c>
      <c r="Y105" s="199" t="str" cm="1">
        <f t="array" ref="Y105">Common_InputFunctions.Utility_DisplayArrayInTable(Fertiliser_SourceData.Fertiliser_Products_Data1(),FertiliserProducts[[#Headers],[Include or Exclude]], 0,4)</f>
        <v/>
      </c>
      <c r="Z105" s="199" t="str" cm="1">
        <f t="array" ref="Z105">Common_InputFunctions.Utility_DisplayArrayInTable(Fertiliser_SourceData.Fertiliser_Products_Data1(),FertiliserProducts[[#Headers],[Include or Exclude]], 0,4)</f>
        <v/>
      </c>
      <c r="AA105" s="199" t="str" cm="1">
        <f t="array" ref="AA105">Common_InputFunctions.Utility_DisplayArrayInTable(Fertiliser_SourceData.Fertiliser_Products_Data1(),FertiliserProducts[[#Headers],[Include or Exclude]], 0,4)</f>
        <v/>
      </c>
      <c r="AB105" s="199" t="str" cm="1">
        <f t="array" ref="AB105">Common_InputFunctions.Utility_DisplayArrayInTable(Fertiliser_SourceData.Fertiliser_Products_Data1(),FertiliserProducts[[#Headers],[Include or Exclude]], 0,4)</f>
        <v/>
      </c>
      <c r="AC105" s="199" t="str" cm="1">
        <f t="array" ref="AC105">Common_InputFunctions.Utility_DisplayArrayInTable(Fertiliser_SourceData.Fertiliser_Products_Data1(),FertiliserProducts[[#Headers],[Include or Exclude]], 0,4)</f>
        <v/>
      </c>
      <c r="AD105" s="199" t="str" cm="1">
        <f t="array" ref="AD105">Common_InputFunctions.Utility_DisplayArrayInTable(Fertiliser_SourceData.Fertiliser_Products_Data1(),FertiliserProducts[[#Headers],[Include or Exclude]], 0,4)</f>
        <v/>
      </c>
      <c r="AE105" s="199" t="str" cm="1">
        <f t="array" ref="AE105">Common_InputFunctions.Utility_DisplayArrayInTable(Fertiliser_SourceData.Fertiliser_Products_Data1(),FertiliserProducts[[#Headers],[Include or Exclude]], 0,4)</f>
        <v/>
      </c>
    </row>
    <row r="106" spans="4:31" ht="20.100000000000001" customHeight="1" x14ac:dyDescent="0.25">
      <c r="D106" s="199" t="str" cm="1">
        <f t="array" ref="D106">Common_InputFunctions.Utility_DisplayArrayInTable(Fertiliser_SourceData.Fertiliser_Products_Data1(),FertiliserProducts[[#Headers],[Include or Exclude]], -1)</f>
        <v>Exclude - Not relevant</v>
      </c>
      <c r="E106" s="199" t="str" cm="1">
        <f t="array" ref="E106">Common_InputFunctions.Utility_DisplayArrayInTable(Fertiliser_SourceData.Fertiliser_Products_Data1(),FertiliserProducts[[#Headers],[Include or Exclude]], 0)</f>
        <v/>
      </c>
      <c r="F106" s="199" t="str" cm="1">
        <f t="array" ref="F106">Common_InputFunctions.Utility_DisplayArrayInTable(Fertiliser_SourceData.Fertiliser_Products_Data1(),FertiliserProducts[[#Headers],[Include or Exclude]], 0)</f>
        <v>Campbells fertilisers Australia</v>
      </c>
      <c r="G106" s="199" t="str" cm="1">
        <f t="array" ref="G106">Common_InputFunctions.Utility_DisplayArrayInTable(Fertiliser_SourceData.Fertiliser_Products_Data1(),FertiliserProducts[[#Headers],[Include or Exclude]], 0)</f>
        <v>Brevisol Range</v>
      </c>
      <c r="H106" s="199" t="str" cm="1">
        <f t="array" ref="H106">Common_InputFunctions.Utility_DisplayArrayInTable(Fertiliser_SourceData.Fertiliser_Products_Data1(),FertiliserProducts[[#Headers],[Include or Exclude]], 0,4)</f>
        <v/>
      </c>
      <c r="I106" s="199" t="str" cm="1">
        <f t="array" ref="I106">Common_InputFunctions.Utility_DisplayArrayInTable(Fertiliser_SourceData.Fertiliser_Products_Data1(),FertiliserProducts[[#Headers],[Include or Exclude]], 0,4)</f>
        <v/>
      </c>
      <c r="J106" s="199" t="str" cm="1">
        <f t="array" ref="J106">Common_InputFunctions.Utility_DisplayArrayInTable(Fertiliser_SourceData.Fertiliser_Products_Data1(),FertiliserProducts[[#Headers],[Include or Exclude]], 0,4)</f>
        <v/>
      </c>
      <c r="K106" s="199" t="str" cm="1">
        <f t="array" ref="K106">Common_InputFunctions.Utility_DisplayArrayInTable(Fertiliser_SourceData.Fertiliser_Products_Data1(),FertiliserProducts[[#Headers],[Include or Exclude]], 0,4)</f>
        <v/>
      </c>
      <c r="L106" s="199" t="str" cm="1">
        <f t="array" ref="L106">Common_InputFunctions.Utility_DisplayArrayInTable(Fertiliser_SourceData.Fertiliser_Products_Data1(),FertiliserProducts[[#Headers],[Include or Exclude]], 0,4)</f>
        <v/>
      </c>
      <c r="M106" s="199" t="str" cm="1">
        <f t="array" ref="M106">Common_InputFunctions.Utility_DisplayArrayInTable(Fertiliser_SourceData.Fertiliser_Products_Data1(),FertiliserProducts[[#Headers],[Include or Exclude]], 0,4)</f>
        <v/>
      </c>
      <c r="N106" s="199" t="str" cm="1">
        <f t="array" ref="N106">Common_InputFunctions.Utility_DisplayArrayInTable(Fertiliser_SourceData.Fertiliser_Products_Data1(),FertiliserProducts[[#Headers],[Include or Exclude]], 0,4)</f>
        <v/>
      </c>
      <c r="O106" s="199" t="str" cm="1">
        <f t="array" ref="O106">Common_InputFunctions.Utility_DisplayArrayInTable(Fertiliser_SourceData.Fertiliser_Products_Data1(),FertiliserProducts[[#Headers],[Include or Exclude]], 0,4)</f>
        <v/>
      </c>
      <c r="P106" s="199" t="str" cm="1">
        <f t="array" ref="P106">Common_InputFunctions.Utility_DisplayArrayInTable(Fertiliser_SourceData.Fertiliser_Products_Data1(),FertiliserProducts[[#Headers],[Include or Exclude]], 0,4)</f>
        <v/>
      </c>
      <c r="Q106" s="199" t="str" cm="1">
        <f t="array" ref="Q106">Common_InputFunctions.Utility_DisplayArrayInTable(Fertiliser_SourceData.Fertiliser_Products_Data1(),FertiliserProducts[[#Headers],[Include or Exclude]], 0,4)</f>
        <v/>
      </c>
      <c r="R106" s="199" t="str" cm="1">
        <f t="array" ref="R106">Common_InputFunctions.Utility_DisplayArrayInTable(Fertiliser_SourceData.Fertiliser_Products_Data1(),FertiliserProducts[[#Headers],[Include or Exclude]], 0,4)</f>
        <v/>
      </c>
      <c r="S106" s="199" t="str" cm="1">
        <f t="array" ref="S106">Common_InputFunctions.Utility_DisplayArrayInTable(Fertiliser_SourceData.Fertiliser_Products_Data1(),FertiliserProducts[[#Headers],[Include or Exclude]], 0,4)</f>
        <v/>
      </c>
      <c r="T106" s="199" t="str" cm="1">
        <f t="array" ref="T106">Common_InputFunctions.Utility_DisplayArrayInTable(Fertiliser_SourceData.Fertiliser_Products_Data1(),FertiliserProducts[[#Headers],[Include or Exclude]], 0,4)</f>
        <v/>
      </c>
      <c r="U106" s="199" t="str" cm="1">
        <f t="array" ref="U106">Common_InputFunctions.Utility_DisplayArrayInTable(Fertiliser_SourceData.Fertiliser_Products_Data1(),FertiliserProducts[[#Headers],[Include or Exclude]], 0,4)</f>
        <v/>
      </c>
      <c r="V106" s="199" t="str" cm="1">
        <f t="array" ref="V106">Common_InputFunctions.Utility_DisplayArrayInTable(Fertiliser_SourceData.Fertiliser_Products_Data1(),FertiliserProducts[[#Headers],[Include or Exclude]], 0,4)</f>
        <v/>
      </c>
      <c r="W106" s="199" t="str" cm="1">
        <f t="array" ref="W106">Common_InputFunctions.Utility_DisplayArrayInTable(Fertiliser_SourceData.Fertiliser_Products_Data1(),FertiliserProducts[[#Headers],[Include or Exclude]], 0,4)</f>
        <v/>
      </c>
      <c r="X106" s="199" t="str" cm="1">
        <f t="array" ref="X106">Common_InputFunctions.Utility_DisplayArrayInTable(Fertiliser_SourceData.Fertiliser_Products_Data1(),FertiliserProducts[[#Headers],[Include or Exclude]], 0,4)</f>
        <v/>
      </c>
      <c r="Y106" s="199" t="str" cm="1">
        <f t="array" ref="Y106">Common_InputFunctions.Utility_DisplayArrayInTable(Fertiliser_SourceData.Fertiliser_Products_Data1(),FertiliserProducts[[#Headers],[Include or Exclude]], 0,4)</f>
        <v/>
      </c>
      <c r="Z106" s="199" t="str" cm="1">
        <f t="array" ref="Z106">Common_InputFunctions.Utility_DisplayArrayInTable(Fertiliser_SourceData.Fertiliser_Products_Data1(),FertiliserProducts[[#Headers],[Include or Exclude]], 0,4)</f>
        <v/>
      </c>
      <c r="AA106" s="199" t="str" cm="1">
        <f t="array" ref="AA106">Common_InputFunctions.Utility_DisplayArrayInTable(Fertiliser_SourceData.Fertiliser_Products_Data1(),FertiliserProducts[[#Headers],[Include or Exclude]], 0,4)</f>
        <v/>
      </c>
      <c r="AB106" s="199" t="str" cm="1">
        <f t="array" ref="AB106">Common_InputFunctions.Utility_DisplayArrayInTable(Fertiliser_SourceData.Fertiliser_Products_Data1(),FertiliserProducts[[#Headers],[Include or Exclude]], 0,4)</f>
        <v/>
      </c>
      <c r="AC106" s="199" t="str" cm="1">
        <f t="array" ref="AC106">Common_InputFunctions.Utility_DisplayArrayInTable(Fertiliser_SourceData.Fertiliser_Products_Data1(),FertiliserProducts[[#Headers],[Include or Exclude]], 0,4)</f>
        <v/>
      </c>
      <c r="AD106" s="199" t="str" cm="1">
        <f t="array" ref="AD106">Common_InputFunctions.Utility_DisplayArrayInTable(Fertiliser_SourceData.Fertiliser_Products_Data1(),FertiliserProducts[[#Headers],[Include or Exclude]], 0,4)</f>
        <v/>
      </c>
      <c r="AE106" s="199" t="str" cm="1">
        <f t="array" ref="AE106">Common_InputFunctions.Utility_DisplayArrayInTable(Fertiliser_SourceData.Fertiliser_Products_Data1(),FertiliserProducts[[#Headers],[Include or Exclude]], 0,4)</f>
        <v/>
      </c>
    </row>
    <row r="107" spans="4:31" ht="20.100000000000001" customHeight="1" x14ac:dyDescent="0.25">
      <c r="D107" s="199" t="str" cm="1">
        <f t="array" ref="D107">Common_InputFunctions.Utility_DisplayArrayInTable(Fertiliser_SourceData.Fertiliser_Products_Data1(),FertiliserProducts[[#Headers],[Include or Exclude]], -1)</f>
        <v>Include</v>
      </c>
      <c r="E107" s="199" t="str" cm="1">
        <f t="array" ref="E107">Common_InputFunctions.Utility_DisplayArrayInTable(Fertiliser_SourceData.Fertiliser_Products_Data1(),FertiliserProducts[[#Headers],[Include or Exclude]], 0)</f>
        <v/>
      </c>
      <c r="F107" s="199" t="str" cm="1">
        <f t="array" ref="F107">Common_InputFunctions.Utility_DisplayArrayInTable(Fertiliser_SourceData.Fertiliser_Products_Data1(),FertiliserProducts[[#Headers],[Include or Exclude]], 0)</f>
        <v>Campbells fertilisers Australia</v>
      </c>
      <c r="G107" s="199" t="str" cm="1">
        <f t="array" ref="G107">Common_InputFunctions.Utility_DisplayArrayInTable(Fertiliser_SourceData.Fertiliser_Products_Data1(),FertiliserProducts[[#Headers],[Include or Exclude]], 0)</f>
        <v>Brexil Line</v>
      </c>
      <c r="H107" s="199" t="str" cm="1">
        <f t="array" ref="H107">Common_InputFunctions.Utility_DisplayArrayInTable(Fertiliser_SourceData.Fertiliser_Products_Data1(),FertiliserProducts[[#Headers],[Include or Exclude]], 0,4)</f>
        <v/>
      </c>
      <c r="I107" s="199" t="str" cm="1">
        <f t="array" ref="I107">Common_InputFunctions.Utility_DisplayArrayInTable(Fertiliser_SourceData.Fertiliser_Products_Data1(),FertiliserProducts[[#Headers],[Include or Exclude]], 0,4)</f>
        <v/>
      </c>
      <c r="J107" s="199" t="str" cm="1">
        <f t="array" ref="J107">Common_InputFunctions.Utility_DisplayArrayInTable(Fertiliser_SourceData.Fertiliser_Products_Data1(),FertiliserProducts[[#Headers],[Include or Exclude]], 0,4)</f>
        <v/>
      </c>
      <c r="K107" s="199" t="str" cm="1">
        <f t="array" ref="K107">Common_InputFunctions.Utility_DisplayArrayInTable(Fertiliser_SourceData.Fertiliser_Products_Data1(),FertiliserProducts[[#Headers],[Include or Exclude]], 0,4)</f>
        <v/>
      </c>
      <c r="L107" s="199" t="str" cm="1">
        <f t="array" ref="L107">Common_InputFunctions.Utility_DisplayArrayInTable(Fertiliser_SourceData.Fertiliser_Products_Data1(),FertiliserProducts[[#Headers],[Include or Exclude]], 0,4)</f>
        <v/>
      </c>
      <c r="M107" s="199" t="str" cm="1">
        <f t="array" ref="M107">Common_InputFunctions.Utility_DisplayArrayInTable(Fertiliser_SourceData.Fertiliser_Products_Data1(),FertiliserProducts[[#Headers],[Include or Exclude]], 0,4)</f>
        <v/>
      </c>
      <c r="N107" s="199" t="str" cm="1">
        <f t="array" ref="N107">Common_InputFunctions.Utility_DisplayArrayInTable(Fertiliser_SourceData.Fertiliser_Products_Data1(),FertiliserProducts[[#Headers],[Include or Exclude]], 0,4)</f>
        <v/>
      </c>
      <c r="O107" s="199" t="str" cm="1">
        <f t="array" ref="O107">Common_InputFunctions.Utility_DisplayArrayInTable(Fertiliser_SourceData.Fertiliser_Products_Data1(),FertiliserProducts[[#Headers],[Include or Exclude]], 0,4)</f>
        <v/>
      </c>
      <c r="P107" s="199" t="str" cm="1">
        <f t="array" ref="P107">Common_InputFunctions.Utility_DisplayArrayInTable(Fertiliser_SourceData.Fertiliser_Products_Data1(),FertiliserProducts[[#Headers],[Include or Exclude]], 0,4)</f>
        <v/>
      </c>
      <c r="Q107" s="199" t="str" cm="1">
        <f t="array" ref="Q107">Common_InputFunctions.Utility_DisplayArrayInTable(Fertiliser_SourceData.Fertiliser_Products_Data1(),FertiliserProducts[[#Headers],[Include or Exclude]], 0,4)</f>
        <v/>
      </c>
      <c r="R107" s="199" t="str" cm="1">
        <f t="array" ref="R107">Common_InputFunctions.Utility_DisplayArrayInTable(Fertiliser_SourceData.Fertiliser_Products_Data1(),FertiliserProducts[[#Headers],[Include or Exclude]], 0,4)</f>
        <v/>
      </c>
      <c r="S107" s="199" t="str" cm="1">
        <f t="array" ref="S107">Common_InputFunctions.Utility_DisplayArrayInTable(Fertiliser_SourceData.Fertiliser_Products_Data1(),FertiliserProducts[[#Headers],[Include or Exclude]], 0,4)</f>
        <v/>
      </c>
      <c r="T107" s="199" t="str" cm="1">
        <f t="array" ref="T107">Common_InputFunctions.Utility_DisplayArrayInTable(Fertiliser_SourceData.Fertiliser_Products_Data1(),FertiliserProducts[[#Headers],[Include or Exclude]], 0,4)</f>
        <v/>
      </c>
      <c r="U107" s="199" t="str" cm="1">
        <f t="array" ref="U107">Common_InputFunctions.Utility_DisplayArrayInTable(Fertiliser_SourceData.Fertiliser_Products_Data1(),FertiliserProducts[[#Headers],[Include or Exclude]], 0,4)</f>
        <v/>
      </c>
      <c r="V107" s="199" t="str" cm="1">
        <f t="array" ref="V107">Common_InputFunctions.Utility_DisplayArrayInTable(Fertiliser_SourceData.Fertiliser_Products_Data1(),FertiliserProducts[[#Headers],[Include or Exclude]], 0,4)</f>
        <v/>
      </c>
      <c r="W107" s="199" t="str" cm="1">
        <f t="array" ref="W107">Common_InputFunctions.Utility_DisplayArrayInTable(Fertiliser_SourceData.Fertiliser_Products_Data1(),FertiliserProducts[[#Headers],[Include or Exclude]], 0,4)</f>
        <v/>
      </c>
      <c r="X107" s="199" t="str" cm="1">
        <f t="array" ref="X107">Common_InputFunctions.Utility_DisplayArrayInTable(Fertiliser_SourceData.Fertiliser_Products_Data1(),FertiliserProducts[[#Headers],[Include or Exclude]], 0,4)</f>
        <v/>
      </c>
      <c r="Y107" s="199" t="str" cm="1">
        <f t="array" ref="Y107">Common_InputFunctions.Utility_DisplayArrayInTable(Fertiliser_SourceData.Fertiliser_Products_Data1(),FertiliserProducts[[#Headers],[Include or Exclude]], 0,4)</f>
        <v/>
      </c>
      <c r="Z107" s="199" t="str" cm="1">
        <f t="array" ref="Z107">Common_InputFunctions.Utility_DisplayArrayInTable(Fertiliser_SourceData.Fertiliser_Products_Data1(),FertiliserProducts[[#Headers],[Include or Exclude]], 0,4)</f>
        <v/>
      </c>
      <c r="AA107" s="199" t="str" cm="1">
        <f t="array" ref="AA107">Common_InputFunctions.Utility_DisplayArrayInTable(Fertiliser_SourceData.Fertiliser_Products_Data1(),FertiliserProducts[[#Headers],[Include or Exclude]], 0,4)</f>
        <v/>
      </c>
      <c r="AB107" s="199" t="str" cm="1">
        <f t="array" ref="AB107">Common_InputFunctions.Utility_DisplayArrayInTable(Fertiliser_SourceData.Fertiliser_Products_Data1(),FertiliserProducts[[#Headers],[Include or Exclude]], 0,4)</f>
        <v/>
      </c>
      <c r="AC107" s="199" t="str" cm="1">
        <f t="array" ref="AC107">Common_InputFunctions.Utility_DisplayArrayInTable(Fertiliser_SourceData.Fertiliser_Products_Data1(),FertiliserProducts[[#Headers],[Include or Exclude]], 0,4)</f>
        <v/>
      </c>
      <c r="AD107" s="199" t="str" cm="1">
        <f t="array" ref="AD107">Common_InputFunctions.Utility_DisplayArrayInTable(Fertiliser_SourceData.Fertiliser_Products_Data1(),FertiliserProducts[[#Headers],[Include or Exclude]], 0,4)</f>
        <v/>
      </c>
      <c r="AE107" s="199" t="str" cm="1">
        <f t="array" ref="AE107">Common_InputFunctions.Utility_DisplayArrayInTable(Fertiliser_SourceData.Fertiliser_Products_Data1(),FertiliserProducts[[#Headers],[Include or Exclude]], 0,4)</f>
        <v/>
      </c>
    </row>
    <row r="108" spans="4:31" ht="20.100000000000001" customHeight="1" x14ac:dyDescent="0.25">
      <c r="D108" s="199" t="str" cm="1">
        <f t="array" ref="D108">Common_InputFunctions.Utility_DisplayArrayInTable(Fertiliser_SourceData.Fertiliser_Products_Data1(),FertiliserProducts[[#Headers],[Include or Exclude]], -1)</f>
        <v>Exclude - Absent ingredients &gt; 2%</v>
      </c>
      <c r="E108" s="199" t="str" cm="1">
        <f t="array" ref="E108">Common_InputFunctions.Utility_DisplayArrayInTable(Fertiliser_SourceData.Fertiliser_Products_Data1(),FertiliserProducts[[#Headers],[Include or Exclude]], 0)</f>
        <v/>
      </c>
      <c r="F108" s="199" t="str" cm="1">
        <f t="array" ref="F108">Common_InputFunctions.Utility_DisplayArrayInTable(Fertiliser_SourceData.Fertiliser_Products_Data1(),FertiliserProducts[[#Headers],[Include or Exclude]], 0)</f>
        <v>Campbells fertilisers Australia</v>
      </c>
      <c r="G108" s="199" t="str" cm="1">
        <f t="array" ref="G108">Common_InputFunctions.Utility_DisplayArrayInTable(Fertiliser_SourceData.Fertiliser_Products_Data1(),FertiliserProducts[[#Headers],[Include or Exclude]], 0)</f>
        <v>Bronze</v>
      </c>
      <c r="H108" s="199" t="str" cm="1">
        <f t="array" ref="H108">Common_InputFunctions.Utility_DisplayArrayInTable(Fertiliser_SourceData.Fertiliser_Products_Data1(),FertiliserProducts[[#Headers],[Include or Exclude]], 0,4)</f>
        <v>kg</v>
      </c>
      <c r="I108" s="199" t="str" cm="1">
        <f t="array" ref="I108">Common_InputFunctions.Utility_DisplayArrayInTable(Fertiliser_SourceData.Fertiliser_Products_Data1(),FertiliserProducts[[#Headers],[Include or Exclude]], 0,4)</f>
        <v/>
      </c>
      <c r="J108" s="199" t="str" cm="1">
        <f t="array" ref="J108">Common_InputFunctions.Utility_DisplayArrayInTable(Fertiliser_SourceData.Fertiliser_Products_Data1(),FertiliserProducts[[#Headers],[Include or Exclude]], 0,4)</f>
        <v/>
      </c>
      <c r="K108" s="199" t="str" cm="1">
        <f t="array" ref="K108">Common_InputFunctions.Utility_DisplayArrayInTable(Fertiliser_SourceData.Fertiliser_Products_Data1(),FertiliserProducts[[#Headers],[Include or Exclude]], 0,4)</f>
        <v/>
      </c>
      <c r="L108" s="199" t="str" cm="1">
        <f t="array" ref="L108">Common_InputFunctions.Utility_DisplayArrayInTable(Fertiliser_SourceData.Fertiliser_Products_Data1(),FertiliserProducts[[#Headers],[Include or Exclude]], 0,4)</f>
        <v>Muriate of Potash (MOP)</v>
      </c>
      <c r="M108" s="199" cm="1">
        <f t="array" ref="M108">Common_InputFunctions.Utility_DisplayArrayInTable(Fertiliser_SourceData.Fertiliser_Products_Data1(),FertiliserProducts[[#Headers],[Include or Exclude]], 0,4)</f>
        <v>0.23200000000000001</v>
      </c>
      <c r="N108" s="199" t="str" cm="1">
        <f t="array" ref="N108">Common_InputFunctions.Utility_DisplayArrayInTable(Fertiliser_SourceData.Fertiliser_Products_Data1(),FertiliserProducts[[#Headers],[Include or Exclude]], 0,4)</f>
        <v>Nitrogen - Generic</v>
      </c>
      <c r="O108" s="199" cm="1">
        <f t="array" ref="O108">Common_InputFunctions.Utility_DisplayArrayInTable(Fertiliser_SourceData.Fertiliser_Products_Data1(),FertiliserProducts[[#Headers],[Include or Exclude]], 0,4)</f>
        <v>0.17</v>
      </c>
      <c r="P108" s="199" t="str" cm="1">
        <f t="array" ref="P108">Common_InputFunctions.Utility_DisplayArrayInTable(Fertiliser_SourceData.Fertiliser_Products_Data1(),FertiliserProducts[[#Headers],[Include or Exclude]], 0,4)</f>
        <v>Sulfur - Generic</v>
      </c>
      <c r="Q108" s="199" cm="1">
        <f t="array" ref="Q108">Common_InputFunctions.Utility_DisplayArrayInTable(Fertiliser_SourceData.Fertiliser_Products_Data1(),FertiliserProducts[[#Headers],[Include or Exclude]], 0,4)</f>
        <v>5.0000000000000001E-3</v>
      </c>
      <c r="R108" s="199" t="str" cm="1">
        <f t="array" ref="R108">Common_InputFunctions.Utility_DisplayArrayInTable(Fertiliser_SourceData.Fertiliser_Products_Data1(),FertiliserProducts[[#Headers],[Include or Exclude]], 0,4)</f>
        <v>Magnesium</v>
      </c>
      <c r="S108" s="199" cm="1">
        <f t="array" ref="S108">Common_InputFunctions.Utility_DisplayArrayInTable(Fertiliser_SourceData.Fertiliser_Products_Data1(),FertiliserProducts[[#Headers],[Include or Exclude]], 0,4)</f>
        <v>2.3999999999999998E-3</v>
      </c>
      <c r="T108" s="199" t="str" cm="1">
        <f t="array" ref="T108">Common_InputFunctions.Utility_DisplayArrayInTable(Fertiliser_SourceData.Fertiliser_Products_Data1(),FertiliserProducts[[#Headers],[Include or Exclude]], 0,4)</f>
        <v>Phosphorus - Generic</v>
      </c>
      <c r="U108" s="199" cm="1">
        <f t="array" ref="U108">Common_InputFunctions.Utility_DisplayArrayInTable(Fertiliser_SourceData.Fertiliser_Products_Data1(),FertiliserProducts[[#Headers],[Include or Exclude]], 0,4)</f>
        <v>4.0000000000000002E-4</v>
      </c>
      <c r="V108" s="199" t="str" cm="1">
        <f t="array" ref="V108">Common_InputFunctions.Utility_DisplayArrayInTable(Fertiliser_SourceData.Fertiliser_Products_Data1(),FertiliserProducts[[#Headers],[Include or Exclude]], 0,4)</f>
        <v/>
      </c>
      <c r="W108" s="199" t="str" cm="1">
        <f t="array" ref="W108">Common_InputFunctions.Utility_DisplayArrayInTable(Fertiliser_SourceData.Fertiliser_Products_Data1(),FertiliserProducts[[#Headers],[Include or Exclude]], 0,4)</f>
        <v/>
      </c>
      <c r="X108" s="199" t="str" cm="1">
        <f t="array" ref="X108">Common_InputFunctions.Utility_DisplayArrayInTable(Fertiliser_SourceData.Fertiliser_Products_Data1(),FertiliserProducts[[#Headers],[Include or Exclude]], 0,4)</f>
        <v/>
      </c>
      <c r="Y108" s="199" t="str" cm="1">
        <f t="array" ref="Y108">Common_InputFunctions.Utility_DisplayArrayInTable(Fertiliser_SourceData.Fertiliser_Products_Data1(),FertiliserProducts[[#Headers],[Include or Exclude]], 0,4)</f>
        <v/>
      </c>
      <c r="Z108" s="199" t="str" cm="1">
        <f t="array" ref="Z108">Common_InputFunctions.Utility_DisplayArrayInTable(Fertiliser_SourceData.Fertiliser_Products_Data1(),FertiliserProducts[[#Headers],[Include or Exclude]], 0,4)</f>
        <v/>
      </c>
      <c r="AA108" s="199" t="str" cm="1">
        <f t="array" ref="AA108">Common_InputFunctions.Utility_DisplayArrayInTable(Fertiliser_SourceData.Fertiliser_Products_Data1(),FertiliserProducts[[#Headers],[Include or Exclude]], 0,4)</f>
        <v/>
      </c>
      <c r="AB108" s="199" t="str" cm="1">
        <f t="array" ref="AB108">Common_InputFunctions.Utility_DisplayArrayInTable(Fertiliser_SourceData.Fertiliser_Products_Data1(),FertiliserProducts[[#Headers],[Include or Exclude]], 0,4)</f>
        <v/>
      </c>
      <c r="AC108" s="199" t="str" cm="1">
        <f t="array" ref="AC108">Common_InputFunctions.Utility_DisplayArrayInTable(Fertiliser_SourceData.Fertiliser_Products_Data1(),FertiliserProducts[[#Headers],[Include or Exclude]], 0,4)</f>
        <v/>
      </c>
      <c r="AD108" s="199" t="str" cm="1">
        <f t="array" ref="AD108">Common_InputFunctions.Utility_DisplayArrayInTable(Fertiliser_SourceData.Fertiliser_Products_Data1(),FertiliserProducts[[#Headers],[Include or Exclude]], 0,4)</f>
        <v/>
      </c>
      <c r="AE108" s="199" t="str" cm="1">
        <f t="array" ref="AE108">Common_InputFunctions.Utility_DisplayArrayInTable(Fertiliser_SourceData.Fertiliser_Products_Data1(),FertiliserProducts[[#Headers],[Include or Exclude]], 0,4)</f>
        <v/>
      </c>
    </row>
    <row r="109" spans="4:31" ht="20.100000000000001" customHeight="1" x14ac:dyDescent="0.25">
      <c r="D109" s="199" t="str" cm="1">
        <f t="array" ref="D109">Common_InputFunctions.Utility_DisplayArrayInTable(Fertiliser_SourceData.Fertiliser_Products_Data1(),FertiliserProducts[[#Headers],[Include or Exclude]], -1)</f>
        <v>Exclude - Not relevant</v>
      </c>
      <c r="E109" s="199" t="str" cm="1">
        <f t="array" ref="E109">Common_InputFunctions.Utility_DisplayArrayInTable(Fertiliser_SourceData.Fertiliser_Products_Data1(),FertiliserProducts[[#Headers],[Include or Exclude]], 0)</f>
        <v/>
      </c>
      <c r="F109" s="199" t="str" cm="1">
        <f t="array" ref="F109">Common_InputFunctions.Utility_DisplayArrayInTable(Fertiliser_SourceData.Fertiliser_Products_Data1(),FertiliserProducts[[#Headers],[Include or Exclude]], 0)</f>
        <v>Campbells fertilisers Australia</v>
      </c>
      <c r="G109" s="199" t="str" cm="1">
        <f t="array" ref="G109">Common_InputFunctions.Utility_DisplayArrayInTable(Fertiliser_SourceData.Fertiliser_Products_Data1(),FertiliserProducts[[#Headers],[Include or Exclude]], 0)</f>
        <v>Bud-Wiser Dry</v>
      </c>
      <c r="H109" s="199" t="str" cm="1">
        <f t="array" ref="H109">Common_InputFunctions.Utility_DisplayArrayInTable(Fertiliser_SourceData.Fertiliser_Products_Data1(),FertiliserProducts[[#Headers],[Include or Exclude]], 0,4)</f>
        <v>kg</v>
      </c>
      <c r="I109" s="199" t="str" cm="1">
        <f t="array" ref="I109">Common_InputFunctions.Utility_DisplayArrayInTable(Fertiliser_SourceData.Fertiliser_Products_Data1(),FertiliserProducts[[#Headers],[Include or Exclude]], 0,4)</f>
        <v/>
      </c>
      <c r="J109" s="199" t="str" cm="1">
        <f t="array" ref="J109">Common_InputFunctions.Utility_DisplayArrayInTable(Fertiliser_SourceData.Fertiliser_Products_Data1(),FertiliserProducts[[#Headers],[Include or Exclude]], 0,4)</f>
        <v/>
      </c>
      <c r="K109" s="199" t="str" cm="1">
        <f t="array" ref="K109">Common_InputFunctions.Utility_DisplayArrayInTable(Fertiliser_SourceData.Fertiliser_Products_Data1(),FertiliserProducts[[#Headers],[Include or Exclude]], 0,4)</f>
        <v/>
      </c>
      <c r="L109" s="199" t="str" cm="1">
        <f t="array" ref="L109">Common_InputFunctions.Utility_DisplayArrayInTable(Fertiliser_SourceData.Fertiliser_Products_Data1(),FertiliserProducts[[#Headers],[Include or Exclude]], 0,4)</f>
        <v>Sulfur - Generic</v>
      </c>
      <c r="M109" s="199" cm="1">
        <f t="array" ref="M109">Common_InputFunctions.Utility_DisplayArrayInTable(Fertiliser_SourceData.Fertiliser_Products_Data1(),FertiliserProducts[[#Headers],[Include or Exclude]], 0,4)</f>
        <v>9.4E-2</v>
      </c>
      <c r="N109" s="199" t="str" cm="1">
        <f t="array" ref="N109">Common_InputFunctions.Utility_DisplayArrayInTable(Fertiliser_SourceData.Fertiliser_Products_Data1(),FertiliserProducts[[#Headers],[Include or Exclude]], 0,4)</f>
        <v>Magnesium</v>
      </c>
      <c r="O109" s="199" cm="1">
        <f t="array" ref="O109">Common_InputFunctions.Utility_DisplayArrayInTable(Fertiliser_SourceData.Fertiliser_Products_Data1(),FertiliserProducts[[#Headers],[Include or Exclude]], 0,4)</f>
        <v>0.06</v>
      </c>
      <c r="P109" s="199" t="str" cm="1">
        <f t="array" ref="P109">Common_InputFunctions.Utility_DisplayArrayInTable(Fertiliser_SourceData.Fertiliser_Products_Data1(),FertiliserProducts[[#Headers],[Include or Exclude]], 0,4)</f>
        <v>Boron</v>
      </c>
      <c r="Q109" s="199" cm="1">
        <f t="array" ref="Q109">Common_InputFunctions.Utility_DisplayArrayInTable(Fertiliser_SourceData.Fertiliser_Products_Data1(),FertiliserProducts[[#Headers],[Include or Exclude]], 0,4)</f>
        <v>4.4999999999999998E-2</v>
      </c>
      <c r="R109" s="199" t="str" cm="1">
        <f t="array" ref="R109">Common_InputFunctions.Utility_DisplayArrayInTable(Fertiliser_SourceData.Fertiliser_Products_Data1(),FertiliserProducts[[#Headers],[Include or Exclude]], 0,4)</f>
        <v>Zinc</v>
      </c>
      <c r="S109" s="199" cm="1">
        <f t="array" ref="S109">Common_InputFunctions.Utility_DisplayArrayInTable(Fertiliser_SourceData.Fertiliser_Products_Data1(),FertiliserProducts[[#Headers],[Include or Exclude]], 0,4)</f>
        <v>2.7E-2</v>
      </c>
      <c r="T109" s="199" t="str" cm="1">
        <f t="array" ref="T109">Common_InputFunctions.Utility_DisplayArrayInTable(Fertiliser_SourceData.Fertiliser_Products_Data1(),FertiliserProducts[[#Headers],[Include or Exclude]], 0,4)</f>
        <v/>
      </c>
      <c r="U109" s="199" t="str" cm="1">
        <f t="array" ref="U109">Common_InputFunctions.Utility_DisplayArrayInTable(Fertiliser_SourceData.Fertiliser_Products_Data1(),FertiliserProducts[[#Headers],[Include or Exclude]], 0,4)</f>
        <v/>
      </c>
      <c r="V109" s="199" t="str" cm="1">
        <f t="array" ref="V109">Common_InputFunctions.Utility_DisplayArrayInTable(Fertiliser_SourceData.Fertiliser_Products_Data1(),FertiliserProducts[[#Headers],[Include or Exclude]], 0,4)</f>
        <v/>
      </c>
      <c r="W109" s="199" t="str" cm="1">
        <f t="array" ref="W109">Common_InputFunctions.Utility_DisplayArrayInTable(Fertiliser_SourceData.Fertiliser_Products_Data1(),FertiliserProducts[[#Headers],[Include or Exclude]], 0,4)</f>
        <v/>
      </c>
      <c r="X109" s="199" t="str" cm="1">
        <f t="array" ref="X109">Common_InputFunctions.Utility_DisplayArrayInTable(Fertiliser_SourceData.Fertiliser_Products_Data1(),FertiliserProducts[[#Headers],[Include or Exclude]], 0,4)</f>
        <v/>
      </c>
      <c r="Y109" s="199" t="str" cm="1">
        <f t="array" ref="Y109">Common_InputFunctions.Utility_DisplayArrayInTable(Fertiliser_SourceData.Fertiliser_Products_Data1(),FertiliserProducts[[#Headers],[Include or Exclude]], 0,4)</f>
        <v/>
      </c>
      <c r="Z109" s="199" t="str" cm="1">
        <f t="array" ref="Z109">Common_InputFunctions.Utility_DisplayArrayInTable(Fertiliser_SourceData.Fertiliser_Products_Data1(),FertiliserProducts[[#Headers],[Include or Exclude]], 0,4)</f>
        <v/>
      </c>
      <c r="AA109" s="199" t="str" cm="1">
        <f t="array" ref="AA109">Common_InputFunctions.Utility_DisplayArrayInTable(Fertiliser_SourceData.Fertiliser_Products_Data1(),FertiliserProducts[[#Headers],[Include or Exclude]], 0,4)</f>
        <v/>
      </c>
      <c r="AB109" s="199" t="str" cm="1">
        <f t="array" ref="AB109">Common_InputFunctions.Utility_DisplayArrayInTable(Fertiliser_SourceData.Fertiliser_Products_Data1(),FertiliserProducts[[#Headers],[Include or Exclude]], 0,4)</f>
        <v/>
      </c>
      <c r="AC109" s="199" t="str" cm="1">
        <f t="array" ref="AC109">Common_InputFunctions.Utility_DisplayArrayInTable(Fertiliser_SourceData.Fertiliser_Products_Data1(),FertiliserProducts[[#Headers],[Include or Exclude]], 0,4)</f>
        <v/>
      </c>
      <c r="AD109" s="199" t="str" cm="1">
        <f t="array" ref="AD109">Common_InputFunctions.Utility_DisplayArrayInTable(Fertiliser_SourceData.Fertiliser_Products_Data1(),FertiliserProducts[[#Headers],[Include or Exclude]], 0,4)</f>
        <v/>
      </c>
      <c r="AE109" s="199" t="str" cm="1">
        <f t="array" ref="AE109">Common_InputFunctions.Utility_DisplayArrayInTable(Fertiliser_SourceData.Fertiliser_Products_Data1(),FertiliserProducts[[#Headers],[Include or Exclude]], 0,4)</f>
        <v/>
      </c>
    </row>
    <row r="110" spans="4:31" ht="20.100000000000001" customHeight="1" x14ac:dyDescent="0.25">
      <c r="D110" s="199" t="str" cm="1">
        <f t="array" ref="D110">Common_InputFunctions.Utility_DisplayArrayInTable(Fertiliser_SourceData.Fertiliser_Products_Data1(),FertiliserProducts[[#Headers],[Include or Exclude]], -1)</f>
        <v>Exclude - Not relevant</v>
      </c>
      <c r="E110" s="199" t="str" cm="1">
        <f t="array" ref="E110">Common_InputFunctions.Utility_DisplayArrayInTable(Fertiliser_SourceData.Fertiliser_Products_Data1(),FertiliserProducts[[#Headers],[Include or Exclude]], 0)</f>
        <v/>
      </c>
      <c r="F110" s="199" t="str" cm="1">
        <f t="array" ref="F110">Common_InputFunctions.Utility_DisplayArrayInTable(Fertiliser_SourceData.Fertiliser_Products_Data1(),FertiliserProducts[[#Headers],[Include or Exclude]], 0)</f>
        <v>Campbells fertilisers Australia</v>
      </c>
      <c r="G110" s="199" t="str" cm="1">
        <f t="array" ref="G110">Common_InputFunctions.Utility_DisplayArrayInTable(Fertiliser_SourceData.Fertiliser_Products_Data1(),FertiliserProducts[[#Headers],[Include or Exclude]], 0)</f>
        <v>Calbit C</v>
      </c>
      <c r="H110" s="199" t="str" cm="1">
        <f t="array" ref="H110">Common_InputFunctions.Utility_DisplayArrayInTable(Fertiliser_SourceData.Fertiliser_Products_Data1(),FertiliserProducts[[#Headers],[Include or Exclude]], 0,4)</f>
        <v>L</v>
      </c>
      <c r="I110" s="199" t="str" cm="1">
        <f t="array" ref="I110">Common_InputFunctions.Utility_DisplayArrayInTable(Fertiliser_SourceData.Fertiliser_Products_Data1(),FertiliserProducts[[#Headers],[Include or Exclude]], 0,4)</f>
        <v/>
      </c>
      <c r="J110" s="199" t="str" cm="1">
        <f t="array" ref="J110">Common_InputFunctions.Utility_DisplayArrayInTable(Fertiliser_SourceData.Fertiliser_Products_Data1(),FertiliserProducts[[#Headers],[Include or Exclude]], 0,4)</f>
        <v/>
      </c>
      <c r="K110" s="199" t="str" cm="1">
        <f t="array" ref="K110">Common_InputFunctions.Utility_DisplayArrayInTable(Fertiliser_SourceData.Fertiliser_Products_Data1(),FertiliserProducts[[#Headers],[Include or Exclude]], 0,4)</f>
        <v/>
      </c>
      <c r="L110" s="199" t="str" cm="1">
        <f t="array" ref="L110">Common_InputFunctions.Utility_DisplayArrayInTable(Fertiliser_SourceData.Fertiliser_Products_Data1(),FertiliserProducts[[#Headers],[Include or Exclude]], 0,4)</f>
        <v/>
      </c>
      <c r="M110" s="199" t="str" cm="1">
        <f t="array" ref="M110">Common_InputFunctions.Utility_DisplayArrayInTable(Fertiliser_SourceData.Fertiliser_Products_Data1(),FertiliserProducts[[#Headers],[Include or Exclude]], 0,4)</f>
        <v/>
      </c>
      <c r="N110" s="199" t="str" cm="1">
        <f t="array" ref="N110">Common_InputFunctions.Utility_DisplayArrayInTable(Fertiliser_SourceData.Fertiliser_Products_Data1(),FertiliserProducts[[#Headers],[Include or Exclude]], 0,4)</f>
        <v/>
      </c>
      <c r="O110" s="199" t="str" cm="1">
        <f t="array" ref="O110">Common_InputFunctions.Utility_DisplayArrayInTable(Fertiliser_SourceData.Fertiliser_Products_Data1(),FertiliserProducts[[#Headers],[Include or Exclude]], 0,4)</f>
        <v/>
      </c>
      <c r="P110" s="199" t="str" cm="1">
        <f t="array" ref="P110">Common_InputFunctions.Utility_DisplayArrayInTable(Fertiliser_SourceData.Fertiliser_Products_Data1(),FertiliserProducts[[#Headers],[Include or Exclude]], 0,4)</f>
        <v/>
      </c>
      <c r="Q110" s="199" t="str" cm="1">
        <f t="array" ref="Q110">Common_InputFunctions.Utility_DisplayArrayInTable(Fertiliser_SourceData.Fertiliser_Products_Data1(),FertiliserProducts[[#Headers],[Include or Exclude]], 0,4)</f>
        <v/>
      </c>
      <c r="R110" s="199" t="str" cm="1">
        <f t="array" ref="R110">Common_InputFunctions.Utility_DisplayArrayInTable(Fertiliser_SourceData.Fertiliser_Products_Data1(),FertiliserProducts[[#Headers],[Include or Exclude]], 0,4)</f>
        <v/>
      </c>
      <c r="S110" s="199" t="str" cm="1">
        <f t="array" ref="S110">Common_InputFunctions.Utility_DisplayArrayInTable(Fertiliser_SourceData.Fertiliser_Products_Data1(),FertiliserProducts[[#Headers],[Include or Exclude]], 0,4)</f>
        <v/>
      </c>
      <c r="T110" s="199" t="str" cm="1">
        <f t="array" ref="T110">Common_InputFunctions.Utility_DisplayArrayInTable(Fertiliser_SourceData.Fertiliser_Products_Data1(),FertiliserProducts[[#Headers],[Include or Exclude]], 0,4)</f>
        <v/>
      </c>
      <c r="U110" s="199" t="str" cm="1">
        <f t="array" ref="U110">Common_InputFunctions.Utility_DisplayArrayInTable(Fertiliser_SourceData.Fertiliser_Products_Data1(),FertiliserProducts[[#Headers],[Include or Exclude]], 0,4)</f>
        <v/>
      </c>
      <c r="V110" s="199" t="str" cm="1">
        <f t="array" ref="V110">Common_InputFunctions.Utility_DisplayArrayInTable(Fertiliser_SourceData.Fertiliser_Products_Data1(),FertiliserProducts[[#Headers],[Include or Exclude]], 0,4)</f>
        <v/>
      </c>
      <c r="W110" s="199" t="str" cm="1">
        <f t="array" ref="W110">Common_InputFunctions.Utility_DisplayArrayInTable(Fertiliser_SourceData.Fertiliser_Products_Data1(),FertiliserProducts[[#Headers],[Include or Exclude]], 0,4)</f>
        <v/>
      </c>
      <c r="X110" s="199" t="str" cm="1">
        <f t="array" ref="X110">Common_InputFunctions.Utility_DisplayArrayInTable(Fertiliser_SourceData.Fertiliser_Products_Data1(),FertiliserProducts[[#Headers],[Include or Exclude]], 0,4)</f>
        <v/>
      </c>
      <c r="Y110" s="199" t="str" cm="1">
        <f t="array" ref="Y110">Common_InputFunctions.Utility_DisplayArrayInTable(Fertiliser_SourceData.Fertiliser_Products_Data1(),FertiliserProducts[[#Headers],[Include or Exclude]], 0,4)</f>
        <v/>
      </c>
      <c r="Z110" s="199" t="str" cm="1">
        <f t="array" ref="Z110">Common_InputFunctions.Utility_DisplayArrayInTable(Fertiliser_SourceData.Fertiliser_Products_Data1(),FertiliserProducts[[#Headers],[Include or Exclude]], 0,4)</f>
        <v/>
      </c>
      <c r="AA110" s="199" t="str" cm="1">
        <f t="array" ref="AA110">Common_InputFunctions.Utility_DisplayArrayInTable(Fertiliser_SourceData.Fertiliser_Products_Data1(),FertiliserProducts[[#Headers],[Include or Exclude]], 0,4)</f>
        <v/>
      </c>
      <c r="AB110" s="199" t="str" cm="1">
        <f t="array" ref="AB110">Common_InputFunctions.Utility_DisplayArrayInTable(Fertiliser_SourceData.Fertiliser_Products_Data1(),FertiliserProducts[[#Headers],[Include or Exclude]], 0,4)</f>
        <v/>
      </c>
      <c r="AC110" s="199" t="str" cm="1">
        <f t="array" ref="AC110">Common_InputFunctions.Utility_DisplayArrayInTable(Fertiliser_SourceData.Fertiliser_Products_Data1(),FertiliserProducts[[#Headers],[Include or Exclude]], 0,4)</f>
        <v/>
      </c>
      <c r="AD110" s="199" t="str" cm="1">
        <f t="array" ref="AD110">Common_InputFunctions.Utility_DisplayArrayInTable(Fertiliser_SourceData.Fertiliser_Products_Data1(),FertiliserProducts[[#Headers],[Include or Exclude]], 0,4)</f>
        <v/>
      </c>
      <c r="AE110" s="199" t="str" cm="1">
        <f t="array" ref="AE110">Common_InputFunctions.Utility_DisplayArrayInTable(Fertiliser_SourceData.Fertiliser_Products_Data1(),FertiliserProducts[[#Headers],[Include or Exclude]], 0,4)</f>
        <v/>
      </c>
    </row>
    <row r="111" spans="4:31" ht="20.100000000000001" customHeight="1" x14ac:dyDescent="0.25">
      <c r="D111" s="199" t="str" cm="1">
        <f t="array" ref="D111">Common_InputFunctions.Utility_DisplayArrayInTable(Fertiliser_SourceData.Fertiliser_Products_Data1(),FertiliserProducts[[#Headers],[Include or Exclude]], -1)</f>
        <v>Include</v>
      </c>
      <c r="E111" s="199" t="str" cm="1">
        <f t="array" ref="E111">Common_InputFunctions.Utility_DisplayArrayInTable(Fertiliser_SourceData.Fertiliser_Products_Data1(),FertiliserProducts[[#Headers],[Include or Exclude]], 0)</f>
        <v/>
      </c>
      <c r="F111" s="199" t="str" cm="1">
        <f t="array" ref="F111">Common_InputFunctions.Utility_DisplayArrayInTable(Fertiliser_SourceData.Fertiliser_Products_Data1(),FertiliserProducts[[#Headers],[Include or Exclude]], 0)</f>
        <v>Campbells fertilisers Australia</v>
      </c>
      <c r="G111" s="199" t="str" cm="1">
        <f t="array" ref="G111">Common_InputFunctions.Utility_DisplayArrayInTable(Fertiliser_SourceData.Fertiliser_Products_Data1(),FertiliserProducts[[#Headers],[Include or Exclude]], 0)</f>
        <v>Calcium 175</v>
      </c>
      <c r="H111" s="199" t="str" cm="1">
        <f t="array" ref="H111">Common_InputFunctions.Utility_DisplayArrayInTable(Fertiliser_SourceData.Fertiliser_Products_Data1(),FertiliserProducts[[#Headers],[Include or Exclude]], 0,4)</f>
        <v>L</v>
      </c>
      <c r="I111" s="199" t="str" cm="1">
        <f t="array" ref="I111">Common_InputFunctions.Utility_DisplayArrayInTable(Fertiliser_SourceData.Fertiliser_Products_Data1(),FertiliserProducts[[#Headers],[Include or Exclude]], 0,4)</f>
        <v/>
      </c>
      <c r="J111" s="199" t="str" cm="1">
        <f t="array" ref="J111">Common_InputFunctions.Utility_DisplayArrayInTable(Fertiliser_SourceData.Fertiliser_Products_Data1(),FertiliserProducts[[#Headers],[Include or Exclude]], 0,4)</f>
        <v/>
      </c>
      <c r="K111" s="199" t="str" cm="1">
        <f t="array" ref="K111">Common_InputFunctions.Utility_DisplayArrayInTable(Fertiliser_SourceData.Fertiliser_Products_Data1(),FertiliserProducts[[#Headers],[Include or Exclude]], 0,4)</f>
        <v/>
      </c>
      <c r="L111" s="199" t="str" cm="1">
        <f t="array" ref="L111">Common_InputFunctions.Utility_DisplayArrayInTable(Fertiliser_SourceData.Fertiliser_Products_Data1(),FertiliserProducts[[#Headers],[Include or Exclude]], 0,4)</f>
        <v/>
      </c>
      <c r="M111" s="199" t="str" cm="1">
        <f t="array" ref="M111">Common_InputFunctions.Utility_DisplayArrayInTable(Fertiliser_SourceData.Fertiliser_Products_Data1(),FertiliserProducts[[#Headers],[Include or Exclude]], 0,4)</f>
        <v/>
      </c>
      <c r="N111" s="199" t="str" cm="1">
        <f t="array" ref="N111">Common_InputFunctions.Utility_DisplayArrayInTable(Fertiliser_SourceData.Fertiliser_Products_Data1(),FertiliserProducts[[#Headers],[Include or Exclude]], 0,4)</f>
        <v/>
      </c>
      <c r="O111" s="199" t="str" cm="1">
        <f t="array" ref="O111">Common_InputFunctions.Utility_DisplayArrayInTable(Fertiliser_SourceData.Fertiliser_Products_Data1(),FertiliserProducts[[#Headers],[Include or Exclude]], 0,4)</f>
        <v/>
      </c>
      <c r="P111" s="199" t="str" cm="1">
        <f t="array" ref="P111">Common_InputFunctions.Utility_DisplayArrayInTable(Fertiliser_SourceData.Fertiliser_Products_Data1(),FertiliserProducts[[#Headers],[Include or Exclude]], 0,4)</f>
        <v/>
      </c>
      <c r="Q111" s="199" t="str" cm="1">
        <f t="array" ref="Q111">Common_InputFunctions.Utility_DisplayArrayInTable(Fertiliser_SourceData.Fertiliser_Products_Data1(),FertiliserProducts[[#Headers],[Include or Exclude]], 0,4)</f>
        <v/>
      </c>
      <c r="R111" s="199" t="str" cm="1">
        <f t="array" ref="R111">Common_InputFunctions.Utility_DisplayArrayInTable(Fertiliser_SourceData.Fertiliser_Products_Data1(),FertiliserProducts[[#Headers],[Include or Exclude]], 0,4)</f>
        <v/>
      </c>
      <c r="S111" s="199" t="str" cm="1">
        <f t="array" ref="S111">Common_InputFunctions.Utility_DisplayArrayInTable(Fertiliser_SourceData.Fertiliser_Products_Data1(),FertiliserProducts[[#Headers],[Include or Exclude]], 0,4)</f>
        <v/>
      </c>
      <c r="T111" s="199" t="str" cm="1">
        <f t="array" ref="T111">Common_InputFunctions.Utility_DisplayArrayInTable(Fertiliser_SourceData.Fertiliser_Products_Data1(),FertiliserProducts[[#Headers],[Include or Exclude]], 0,4)</f>
        <v/>
      </c>
      <c r="U111" s="199" t="str" cm="1">
        <f t="array" ref="U111">Common_InputFunctions.Utility_DisplayArrayInTable(Fertiliser_SourceData.Fertiliser_Products_Data1(),FertiliserProducts[[#Headers],[Include or Exclude]], 0,4)</f>
        <v/>
      </c>
      <c r="V111" s="199" t="str" cm="1">
        <f t="array" ref="V111">Common_InputFunctions.Utility_DisplayArrayInTable(Fertiliser_SourceData.Fertiliser_Products_Data1(),FertiliserProducts[[#Headers],[Include or Exclude]], 0,4)</f>
        <v/>
      </c>
      <c r="W111" s="199" t="str" cm="1">
        <f t="array" ref="W111">Common_InputFunctions.Utility_DisplayArrayInTable(Fertiliser_SourceData.Fertiliser_Products_Data1(),FertiliserProducts[[#Headers],[Include or Exclude]], 0,4)</f>
        <v/>
      </c>
      <c r="X111" s="199" t="str" cm="1">
        <f t="array" ref="X111">Common_InputFunctions.Utility_DisplayArrayInTable(Fertiliser_SourceData.Fertiliser_Products_Data1(),FertiliserProducts[[#Headers],[Include or Exclude]], 0,4)</f>
        <v/>
      </c>
      <c r="Y111" s="199" t="str" cm="1">
        <f t="array" ref="Y111">Common_InputFunctions.Utility_DisplayArrayInTable(Fertiliser_SourceData.Fertiliser_Products_Data1(),FertiliserProducts[[#Headers],[Include or Exclude]], 0,4)</f>
        <v/>
      </c>
      <c r="Z111" s="199" t="str" cm="1">
        <f t="array" ref="Z111">Common_InputFunctions.Utility_DisplayArrayInTable(Fertiliser_SourceData.Fertiliser_Products_Data1(),FertiliserProducts[[#Headers],[Include or Exclude]], 0,4)</f>
        <v/>
      </c>
      <c r="AA111" s="199" t="str" cm="1">
        <f t="array" ref="AA111">Common_InputFunctions.Utility_DisplayArrayInTable(Fertiliser_SourceData.Fertiliser_Products_Data1(),FertiliserProducts[[#Headers],[Include or Exclude]], 0,4)</f>
        <v/>
      </c>
      <c r="AB111" s="199" t="str" cm="1">
        <f t="array" ref="AB111">Common_InputFunctions.Utility_DisplayArrayInTable(Fertiliser_SourceData.Fertiliser_Products_Data1(),FertiliserProducts[[#Headers],[Include or Exclude]], 0,4)</f>
        <v/>
      </c>
      <c r="AC111" s="199" t="str" cm="1">
        <f t="array" ref="AC111">Common_InputFunctions.Utility_DisplayArrayInTable(Fertiliser_SourceData.Fertiliser_Products_Data1(),FertiliserProducts[[#Headers],[Include or Exclude]], 0,4)</f>
        <v/>
      </c>
      <c r="AD111" s="199" t="str" cm="1">
        <f t="array" ref="AD111">Common_InputFunctions.Utility_DisplayArrayInTable(Fertiliser_SourceData.Fertiliser_Products_Data1(),FertiliserProducts[[#Headers],[Include or Exclude]], 0,4)</f>
        <v/>
      </c>
      <c r="AE111" s="199" t="str" cm="1">
        <f t="array" ref="AE111">Common_InputFunctions.Utility_DisplayArrayInTable(Fertiliser_SourceData.Fertiliser_Products_Data1(),FertiliserProducts[[#Headers],[Include or Exclude]], 0,4)</f>
        <v/>
      </c>
    </row>
    <row r="112" spans="4:31" ht="20.100000000000001" customHeight="1" x14ac:dyDescent="0.25">
      <c r="D112" s="199" t="str" cm="1">
        <f t="array" ref="D112">Common_InputFunctions.Utility_DisplayArrayInTable(Fertiliser_SourceData.Fertiliser_Products_Data1(),FertiliserProducts[[#Headers],[Include or Exclude]], -1)</f>
        <v/>
      </c>
      <c r="E112" s="199" t="str" cm="1">
        <f t="array" ref="E112">Common_InputFunctions.Utility_DisplayArrayInTable(Fertiliser_SourceData.Fertiliser_Products_Data1(),FertiliserProducts[[#Headers],[Include or Exclude]], 0)</f>
        <v>Use Lime EF for calcium</v>
      </c>
      <c r="F112" s="199" t="str" cm="1">
        <f t="array" ref="F112">Common_InputFunctions.Utility_DisplayArrayInTable(Fertiliser_SourceData.Fertiliser_Products_Data1(),FertiliserProducts[[#Headers],[Include or Exclude]], 0)</f>
        <v>Campbells fertilisers Australia</v>
      </c>
      <c r="G112" s="199" t="str" cm="1">
        <f t="array" ref="G112">Common_InputFunctions.Utility_DisplayArrayInTable(Fertiliser_SourceData.Fertiliser_Products_Data1(),FertiliserProducts[[#Headers],[Include or Exclude]], 0)</f>
        <v>CalPhos</v>
      </c>
      <c r="H112" s="199" t="str" cm="1">
        <f t="array" ref="H112">Common_InputFunctions.Utility_DisplayArrayInTable(Fertiliser_SourceData.Fertiliser_Products_Data1(),FertiliserProducts[[#Headers],[Include or Exclude]], 0,4)</f>
        <v>L</v>
      </c>
      <c r="I112" s="199" cm="1">
        <f t="array" ref="I112">Common_InputFunctions.Utility_DisplayArrayInTable(Fertiliser_SourceData.Fertiliser_Products_Data1(),FertiliserProducts[[#Headers],[Include or Exclude]], 0,4)</f>
        <v>1.2849999999999999</v>
      </c>
      <c r="J112" s="199" t="str" cm="1">
        <f t="array" ref="J112">Common_InputFunctions.Utility_DisplayArrayInTable(Fertiliser_SourceData.Fertiliser_Products_Data1(),FertiliserProducts[[#Headers],[Include or Exclude]], 0,4)</f>
        <v/>
      </c>
      <c r="K112" s="199" t="str" cm="1">
        <f t="array" ref="K112">Common_InputFunctions.Utility_DisplayArrayInTable(Fertiliser_SourceData.Fertiliser_Products_Data1(),FertiliserProducts[[#Headers],[Include or Exclude]], 0,4)</f>
        <v/>
      </c>
      <c r="L112" s="199" t="str" cm="1">
        <f t="array" ref="L112">Common_InputFunctions.Utility_DisplayArrayInTable(Fertiliser_SourceData.Fertiliser_Products_Data1(),FertiliserProducts[[#Headers],[Include or Exclude]], 0,4)</f>
        <v>Phosphorus - Generic</v>
      </c>
      <c r="M112" s="199" cm="1">
        <f t="array" ref="M112">Common_InputFunctions.Utility_DisplayArrayInTable(Fertiliser_SourceData.Fertiliser_Products_Data1(),FertiliserProducts[[#Headers],[Include or Exclude]], 0,4)</f>
        <v>0.13500000000000001</v>
      </c>
      <c r="N112" s="199" t="str" cm="1">
        <f t="array" ref="N112">Common_InputFunctions.Utility_DisplayArrayInTable(Fertiliser_SourceData.Fertiliser_Products_Data1(),FertiliserProducts[[#Headers],[Include or Exclude]], 0,4)</f>
        <v>Calcium - Generic</v>
      </c>
      <c r="O112" s="199" cm="1">
        <f t="array" ref="O112">Common_InputFunctions.Utility_DisplayArrayInTable(Fertiliser_SourceData.Fertiliser_Products_Data1(),FertiliserProducts[[#Headers],[Include or Exclude]], 0,4)</f>
        <v>0.04</v>
      </c>
      <c r="P112" s="199" t="str" cm="1">
        <f t="array" ref="P112">Common_InputFunctions.Utility_DisplayArrayInTable(Fertiliser_SourceData.Fertiliser_Products_Data1(),FertiliserProducts[[#Headers],[Include or Exclude]], 0,4)</f>
        <v/>
      </c>
      <c r="Q112" s="199" t="str" cm="1">
        <f t="array" ref="Q112">Common_InputFunctions.Utility_DisplayArrayInTable(Fertiliser_SourceData.Fertiliser_Products_Data1(),FertiliserProducts[[#Headers],[Include or Exclude]], 0,4)</f>
        <v/>
      </c>
      <c r="R112" s="199" t="str" cm="1">
        <f t="array" ref="R112">Common_InputFunctions.Utility_DisplayArrayInTable(Fertiliser_SourceData.Fertiliser_Products_Data1(),FertiliserProducts[[#Headers],[Include or Exclude]], 0,4)</f>
        <v/>
      </c>
      <c r="S112" s="199" t="str" cm="1">
        <f t="array" ref="S112">Common_InputFunctions.Utility_DisplayArrayInTable(Fertiliser_SourceData.Fertiliser_Products_Data1(),FertiliserProducts[[#Headers],[Include or Exclude]], 0,4)</f>
        <v/>
      </c>
      <c r="T112" s="199" t="str" cm="1">
        <f t="array" ref="T112">Common_InputFunctions.Utility_DisplayArrayInTable(Fertiliser_SourceData.Fertiliser_Products_Data1(),FertiliserProducts[[#Headers],[Include or Exclude]], 0,4)</f>
        <v/>
      </c>
      <c r="U112" s="199" t="str" cm="1">
        <f t="array" ref="U112">Common_InputFunctions.Utility_DisplayArrayInTable(Fertiliser_SourceData.Fertiliser_Products_Data1(),FertiliserProducts[[#Headers],[Include or Exclude]], 0,4)</f>
        <v/>
      </c>
      <c r="V112" s="199" t="str" cm="1">
        <f t="array" ref="V112">Common_InputFunctions.Utility_DisplayArrayInTable(Fertiliser_SourceData.Fertiliser_Products_Data1(),FertiliserProducts[[#Headers],[Include or Exclude]], 0,4)</f>
        <v/>
      </c>
      <c r="W112" s="199" t="str" cm="1">
        <f t="array" ref="W112">Common_InputFunctions.Utility_DisplayArrayInTable(Fertiliser_SourceData.Fertiliser_Products_Data1(),FertiliserProducts[[#Headers],[Include or Exclude]], 0,4)</f>
        <v/>
      </c>
      <c r="X112" s="199" t="str" cm="1">
        <f t="array" ref="X112">Common_InputFunctions.Utility_DisplayArrayInTable(Fertiliser_SourceData.Fertiliser_Products_Data1(),FertiliserProducts[[#Headers],[Include or Exclude]], 0,4)</f>
        <v/>
      </c>
      <c r="Y112" s="199" t="str" cm="1">
        <f t="array" ref="Y112">Common_InputFunctions.Utility_DisplayArrayInTable(Fertiliser_SourceData.Fertiliser_Products_Data1(),FertiliserProducts[[#Headers],[Include or Exclude]], 0,4)</f>
        <v/>
      </c>
      <c r="Z112" s="199" t="str" cm="1">
        <f t="array" ref="Z112">Common_InputFunctions.Utility_DisplayArrayInTable(Fertiliser_SourceData.Fertiliser_Products_Data1(),FertiliserProducts[[#Headers],[Include or Exclude]], 0,4)</f>
        <v/>
      </c>
      <c r="AA112" s="199" t="str" cm="1">
        <f t="array" ref="AA112">Common_InputFunctions.Utility_DisplayArrayInTable(Fertiliser_SourceData.Fertiliser_Products_Data1(),FertiliserProducts[[#Headers],[Include or Exclude]], 0,4)</f>
        <v/>
      </c>
      <c r="AB112" s="199" t="str" cm="1">
        <f t="array" ref="AB112">Common_InputFunctions.Utility_DisplayArrayInTable(Fertiliser_SourceData.Fertiliser_Products_Data1(),FertiliserProducts[[#Headers],[Include or Exclude]], 0,4)</f>
        <v/>
      </c>
      <c r="AC112" s="199" t="str" cm="1">
        <f t="array" ref="AC112">Common_InputFunctions.Utility_DisplayArrayInTable(Fertiliser_SourceData.Fertiliser_Products_Data1(),FertiliserProducts[[#Headers],[Include or Exclude]], 0,4)</f>
        <v/>
      </c>
      <c r="AD112" s="199" t="str" cm="1">
        <f t="array" ref="AD112">Common_InputFunctions.Utility_DisplayArrayInTable(Fertiliser_SourceData.Fertiliser_Products_Data1(),FertiliserProducts[[#Headers],[Include or Exclude]], 0,4)</f>
        <v/>
      </c>
      <c r="AE112" s="199" t="str" cm="1">
        <f t="array" ref="AE112">Common_InputFunctions.Utility_DisplayArrayInTable(Fertiliser_SourceData.Fertiliser_Products_Data1(),FertiliserProducts[[#Headers],[Include or Exclude]], 0,4)</f>
        <v/>
      </c>
    </row>
    <row r="113" spans="4:31" ht="20.100000000000001" customHeight="1" x14ac:dyDescent="0.25">
      <c r="D113" s="199" t="str" cm="1">
        <f t="array" ref="D113">Common_InputFunctions.Utility_DisplayArrayInTable(Fertiliser_SourceData.Fertiliser_Products_Data1(),FertiliserProducts[[#Headers],[Include or Exclude]], -1)</f>
        <v/>
      </c>
      <c r="E113" s="199" t="str" cm="1">
        <f t="array" ref="E113">Common_InputFunctions.Utility_DisplayArrayInTable(Fertiliser_SourceData.Fertiliser_Products_Data1(),FertiliserProducts[[#Headers],[Include or Exclude]], 0)</f>
        <v/>
      </c>
      <c r="F113" s="199" t="str" cm="1">
        <f t="array" ref="F113">Common_InputFunctions.Utility_DisplayArrayInTable(Fertiliser_SourceData.Fertiliser_Products_Data1(),FertiliserProducts[[#Headers],[Include or Exclude]], 0)</f>
        <v/>
      </c>
      <c r="G113" s="199" t="str" cm="1">
        <f t="array" ref="G113">Common_InputFunctions.Utility_DisplayArrayInTable(Fertiliser_SourceData.Fertiliser_Products_Data1(),FertiliserProducts[[#Headers],[Include or Exclude]], 0)</f>
        <v/>
      </c>
      <c r="H113" s="199" t="str" cm="1">
        <f t="array" ref="H113">Common_InputFunctions.Utility_DisplayArrayInTable(Fertiliser_SourceData.Fertiliser_Products_Data1(),FertiliserProducts[[#Headers],[Include or Exclude]], 0,4)</f>
        <v/>
      </c>
      <c r="I113" s="199" t="str" cm="1">
        <f t="array" ref="I113">Common_InputFunctions.Utility_DisplayArrayInTable(Fertiliser_SourceData.Fertiliser_Products_Data1(),FertiliserProducts[[#Headers],[Include or Exclude]], 0,4)</f>
        <v/>
      </c>
      <c r="J113" s="199" t="str" cm="1">
        <f t="array" ref="J113">Common_InputFunctions.Utility_DisplayArrayInTable(Fertiliser_SourceData.Fertiliser_Products_Data1(),FertiliserProducts[[#Headers],[Include or Exclude]], 0,4)</f>
        <v/>
      </c>
      <c r="K113" s="199" t="str" cm="1">
        <f t="array" ref="K113">Common_InputFunctions.Utility_DisplayArrayInTable(Fertiliser_SourceData.Fertiliser_Products_Data1(),FertiliserProducts[[#Headers],[Include or Exclude]], 0,4)</f>
        <v/>
      </c>
      <c r="L113" s="199" t="str" cm="1">
        <f t="array" ref="L113">Common_InputFunctions.Utility_DisplayArrayInTable(Fertiliser_SourceData.Fertiliser_Products_Data1(),FertiliserProducts[[#Headers],[Include or Exclude]], 0,4)</f>
        <v/>
      </c>
      <c r="M113" s="199" t="str" cm="1">
        <f t="array" ref="M113">Common_InputFunctions.Utility_DisplayArrayInTable(Fertiliser_SourceData.Fertiliser_Products_Data1(),FertiliserProducts[[#Headers],[Include or Exclude]], 0,4)</f>
        <v/>
      </c>
      <c r="N113" s="199" t="str" cm="1">
        <f t="array" ref="N113">Common_InputFunctions.Utility_DisplayArrayInTable(Fertiliser_SourceData.Fertiliser_Products_Data1(),FertiliserProducts[[#Headers],[Include or Exclude]], 0,4)</f>
        <v/>
      </c>
      <c r="O113" s="199" t="str" cm="1">
        <f t="array" ref="O113">Common_InputFunctions.Utility_DisplayArrayInTable(Fertiliser_SourceData.Fertiliser_Products_Data1(),FertiliserProducts[[#Headers],[Include or Exclude]], 0,4)</f>
        <v/>
      </c>
      <c r="P113" s="199" t="str" cm="1">
        <f t="array" ref="P113">Common_InputFunctions.Utility_DisplayArrayInTable(Fertiliser_SourceData.Fertiliser_Products_Data1(),FertiliserProducts[[#Headers],[Include or Exclude]], 0,4)</f>
        <v/>
      </c>
      <c r="Q113" s="199" t="str" cm="1">
        <f t="array" ref="Q113">Common_InputFunctions.Utility_DisplayArrayInTable(Fertiliser_SourceData.Fertiliser_Products_Data1(),FertiliserProducts[[#Headers],[Include or Exclude]], 0,4)</f>
        <v/>
      </c>
      <c r="R113" s="199" t="str" cm="1">
        <f t="array" ref="R113">Common_InputFunctions.Utility_DisplayArrayInTable(Fertiliser_SourceData.Fertiliser_Products_Data1(),FertiliserProducts[[#Headers],[Include or Exclude]], 0,4)</f>
        <v/>
      </c>
      <c r="S113" s="199" t="str" cm="1">
        <f t="array" ref="S113">Common_InputFunctions.Utility_DisplayArrayInTable(Fertiliser_SourceData.Fertiliser_Products_Data1(),FertiliserProducts[[#Headers],[Include or Exclude]], 0,4)</f>
        <v/>
      </c>
      <c r="T113" s="199" t="str" cm="1">
        <f t="array" ref="T113">Common_InputFunctions.Utility_DisplayArrayInTable(Fertiliser_SourceData.Fertiliser_Products_Data1(),FertiliserProducts[[#Headers],[Include or Exclude]], 0,4)</f>
        <v/>
      </c>
      <c r="U113" s="199" t="str" cm="1">
        <f t="array" ref="U113">Common_InputFunctions.Utility_DisplayArrayInTable(Fertiliser_SourceData.Fertiliser_Products_Data1(),FertiliserProducts[[#Headers],[Include or Exclude]], 0,4)</f>
        <v/>
      </c>
      <c r="V113" s="199" t="str" cm="1">
        <f t="array" ref="V113">Common_InputFunctions.Utility_DisplayArrayInTable(Fertiliser_SourceData.Fertiliser_Products_Data1(),FertiliserProducts[[#Headers],[Include or Exclude]], 0,4)</f>
        <v/>
      </c>
      <c r="W113" s="199" t="str" cm="1">
        <f t="array" ref="W113">Common_InputFunctions.Utility_DisplayArrayInTable(Fertiliser_SourceData.Fertiliser_Products_Data1(),FertiliserProducts[[#Headers],[Include or Exclude]], 0,4)</f>
        <v/>
      </c>
      <c r="X113" s="199" t="str" cm="1">
        <f t="array" ref="X113">Common_InputFunctions.Utility_DisplayArrayInTable(Fertiliser_SourceData.Fertiliser_Products_Data1(),FertiliserProducts[[#Headers],[Include or Exclude]], 0,4)</f>
        <v/>
      </c>
      <c r="Y113" s="199" t="str" cm="1">
        <f t="array" ref="Y113">Common_InputFunctions.Utility_DisplayArrayInTable(Fertiliser_SourceData.Fertiliser_Products_Data1(),FertiliserProducts[[#Headers],[Include or Exclude]], 0,4)</f>
        <v/>
      </c>
      <c r="Z113" s="199" t="str" cm="1">
        <f t="array" ref="Z113">Common_InputFunctions.Utility_DisplayArrayInTable(Fertiliser_SourceData.Fertiliser_Products_Data1(),FertiliserProducts[[#Headers],[Include or Exclude]], 0,4)</f>
        <v/>
      </c>
      <c r="AA113" s="199" t="str" cm="1">
        <f t="array" ref="AA113">Common_InputFunctions.Utility_DisplayArrayInTable(Fertiliser_SourceData.Fertiliser_Products_Data1(),FertiliserProducts[[#Headers],[Include or Exclude]], 0,4)</f>
        <v/>
      </c>
      <c r="AB113" s="199" t="str" cm="1">
        <f t="array" ref="AB113">Common_InputFunctions.Utility_DisplayArrayInTable(Fertiliser_SourceData.Fertiliser_Products_Data1(),FertiliserProducts[[#Headers],[Include or Exclude]], 0,4)</f>
        <v/>
      </c>
      <c r="AC113" s="199" t="str" cm="1">
        <f t="array" ref="AC113">Common_InputFunctions.Utility_DisplayArrayInTable(Fertiliser_SourceData.Fertiliser_Products_Data1(),FertiliserProducts[[#Headers],[Include or Exclude]], 0,4)</f>
        <v/>
      </c>
      <c r="AD113" s="199" t="str" cm="1">
        <f t="array" ref="AD113">Common_InputFunctions.Utility_DisplayArrayInTable(Fertiliser_SourceData.Fertiliser_Products_Data1(),FertiliserProducts[[#Headers],[Include or Exclude]], 0,4)</f>
        <v/>
      </c>
      <c r="AE113" s="199" t="str" cm="1">
        <f t="array" ref="AE113">Common_InputFunctions.Utility_DisplayArrayInTable(Fertiliser_SourceData.Fertiliser_Products_Data1(),FertiliserProducts[[#Headers],[Include or Exclude]], 0,4)</f>
        <v/>
      </c>
    </row>
    <row r="114" spans="4:31" ht="20.100000000000001" customHeight="1" x14ac:dyDescent="0.25">
      <c r="D114" s="199" t="str" cm="1">
        <f t="array" ref="D114">Common_InputFunctions.Utility_DisplayArrayInTable(Fertiliser_SourceData.Fertiliser_Products_Data1(),FertiliserProducts[[#Headers],[Include or Exclude]], -1)</f>
        <v/>
      </c>
      <c r="E114" s="199" t="str" cm="1">
        <f t="array" ref="E114">Common_InputFunctions.Utility_DisplayArrayInTable(Fertiliser_SourceData.Fertiliser_Products_Data1(),FertiliserProducts[[#Headers],[Include or Exclude]], 0)</f>
        <v/>
      </c>
      <c r="F114" s="199" t="str" cm="1">
        <f t="array" ref="F114">Common_InputFunctions.Utility_DisplayArrayInTable(Fertiliser_SourceData.Fertiliser_Products_Data1(),FertiliserProducts[[#Headers],[Include or Exclude]], 0)</f>
        <v/>
      </c>
      <c r="G114" s="199" t="str" cm="1">
        <f t="array" ref="G114">Common_InputFunctions.Utility_DisplayArrayInTable(Fertiliser_SourceData.Fertiliser_Products_Data1(),FertiliserProducts[[#Headers],[Include or Exclude]], 0)</f>
        <v/>
      </c>
      <c r="H114" s="199" t="str" cm="1">
        <f t="array" ref="H114">Common_InputFunctions.Utility_DisplayArrayInTable(Fertiliser_SourceData.Fertiliser_Products_Data1(),FertiliserProducts[[#Headers],[Include or Exclude]], 0,4)</f>
        <v/>
      </c>
      <c r="I114" s="199" t="str" cm="1">
        <f t="array" ref="I114">Common_InputFunctions.Utility_DisplayArrayInTable(Fertiliser_SourceData.Fertiliser_Products_Data1(),FertiliserProducts[[#Headers],[Include or Exclude]], 0,4)</f>
        <v/>
      </c>
      <c r="J114" s="199" t="str" cm="1">
        <f t="array" ref="J114">Common_InputFunctions.Utility_DisplayArrayInTable(Fertiliser_SourceData.Fertiliser_Products_Data1(),FertiliserProducts[[#Headers],[Include or Exclude]], 0,4)</f>
        <v/>
      </c>
      <c r="K114" s="199" t="str" cm="1">
        <f t="array" ref="K114">Common_InputFunctions.Utility_DisplayArrayInTable(Fertiliser_SourceData.Fertiliser_Products_Data1(),FertiliserProducts[[#Headers],[Include or Exclude]], 0,4)</f>
        <v/>
      </c>
      <c r="L114" s="199" t="str" cm="1">
        <f t="array" ref="L114">Common_InputFunctions.Utility_DisplayArrayInTable(Fertiliser_SourceData.Fertiliser_Products_Data1(),FertiliserProducts[[#Headers],[Include or Exclude]], 0,4)</f>
        <v/>
      </c>
      <c r="M114" s="199" t="str" cm="1">
        <f t="array" ref="M114">Common_InputFunctions.Utility_DisplayArrayInTable(Fertiliser_SourceData.Fertiliser_Products_Data1(),FertiliserProducts[[#Headers],[Include or Exclude]], 0,4)</f>
        <v/>
      </c>
      <c r="N114" s="199" t="str" cm="1">
        <f t="array" ref="N114">Common_InputFunctions.Utility_DisplayArrayInTable(Fertiliser_SourceData.Fertiliser_Products_Data1(),FertiliserProducts[[#Headers],[Include or Exclude]], 0,4)</f>
        <v/>
      </c>
      <c r="O114" s="199" t="str" cm="1">
        <f t="array" ref="O114">Common_InputFunctions.Utility_DisplayArrayInTable(Fertiliser_SourceData.Fertiliser_Products_Data1(),FertiliserProducts[[#Headers],[Include or Exclude]], 0,4)</f>
        <v/>
      </c>
      <c r="P114" s="199" t="str" cm="1">
        <f t="array" ref="P114">Common_InputFunctions.Utility_DisplayArrayInTable(Fertiliser_SourceData.Fertiliser_Products_Data1(),FertiliserProducts[[#Headers],[Include or Exclude]], 0,4)</f>
        <v/>
      </c>
      <c r="Q114" s="199" t="str" cm="1">
        <f t="array" ref="Q114">Common_InputFunctions.Utility_DisplayArrayInTable(Fertiliser_SourceData.Fertiliser_Products_Data1(),FertiliserProducts[[#Headers],[Include or Exclude]], 0,4)</f>
        <v/>
      </c>
      <c r="R114" s="199" t="str" cm="1">
        <f t="array" ref="R114">Common_InputFunctions.Utility_DisplayArrayInTable(Fertiliser_SourceData.Fertiliser_Products_Data1(),FertiliserProducts[[#Headers],[Include or Exclude]], 0,4)</f>
        <v/>
      </c>
      <c r="S114" s="199" t="str" cm="1">
        <f t="array" ref="S114">Common_InputFunctions.Utility_DisplayArrayInTable(Fertiliser_SourceData.Fertiliser_Products_Data1(),FertiliserProducts[[#Headers],[Include or Exclude]], 0,4)</f>
        <v/>
      </c>
      <c r="T114" s="199" t="str" cm="1">
        <f t="array" ref="T114">Common_InputFunctions.Utility_DisplayArrayInTable(Fertiliser_SourceData.Fertiliser_Products_Data1(),FertiliserProducts[[#Headers],[Include or Exclude]], 0,4)</f>
        <v/>
      </c>
      <c r="U114" s="199" t="str" cm="1">
        <f t="array" ref="U114">Common_InputFunctions.Utility_DisplayArrayInTable(Fertiliser_SourceData.Fertiliser_Products_Data1(),FertiliserProducts[[#Headers],[Include or Exclude]], 0,4)</f>
        <v/>
      </c>
      <c r="V114" s="199" t="str" cm="1">
        <f t="array" ref="V114">Common_InputFunctions.Utility_DisplayArrayInTable(Fertiliser_SourceData.Fertiliser_Products_Data1(),FertiliserProducts[[#Headers],[Include or Exclude]], 0,4)</f>
        <v/>
      </c>
      <c r="W114" s="199" t="str" cm="1">
        <f t="array" ref="W114">Common_InputFunctions.Utility_DisplayArrayInTable(Fertiliser_SourceData.Fertiliser_Products_Data1(),FertiliserProducts[[#Headers],[Include or Exclude]], 0,4)</f>
        <v/>
      </c>
      <c r="X114" s="199" t="str" cm="1">
        <f t="array" ref="X114">Common_InputFunctions.Utility_DisplayArrayInTable(Fertiliser_SourceData.Fertiliser_Products_Data1(),FertiliserProducts[[#Headers],[Include or Exclude]], 0,4)</f>
        <v/>
      </c>
      <c r="Y114" s="199" t="str" cm="1">
        <f t="array" ref="Y114">Common_InputFunctions.Utility_DisplayArrayInTable(Fertiliser_SourceData.Fertiliser_Products_Data1(),FertiliserProducts[[#Headers],[Include or Exclude]], 0,4)</f>
        <v/>
      </c>
      <c r="Z114" s="199" t="str" cm="1">
        <f t="array" ref="Z114">Common_InputFunctions.Utility_DisplayArrayInTable(Fertiliser_SourceData.Fertiliser_Products_Data1(),FertiliserProducts[[#Headers],[Include or Exclude]], 0,4)</f>
        <v/>
      </c>
      <c r="AA114" s="199" t="str" cm="1">
        <f t="array" ref="AA114">Common_InputFunctions.Utility_DisplayArrayInTable(Fertiliser_SourceData.Fertiliser_Products_Data1(),FertiliserProducts[[#Headers],[Include or Exclude]], 0,4)</f>
        <v/>
      </c>
      <c r="AB114" s="199" t="str" cm="1">
        <f t="array" ref="AB114">Common_InputFunctions.Utility_DisplayArrayInTable(Fertiliser_SourceData.Fertiliser_Products_Data1(),FertiliserProducts[[#Headers],[Include or Exclude]], 0,4)</f>
        <v/>
      </c>
      <c r="AC114" s="199" t="str" cm="1">
        <f t="array" ref="AC114">Common_InputFunctions.Utility_DisplayArrayInTable(Fertiliser_SourceData.Fertiliser_Products_Data1(),FertiliserProducts[[#Headers],[Include or Exclude]], 0,4)</f>
        <v/>
      </c>
      <c r="AD114" s="199" t="str" cm="1">
        <f t="array" ref="AD114">Common_InputFunctions.Utility_DisplayArrayInTable(Fertiliser_SourceData.Fertiliser_Products_Data1(),FertiliserProducts[[#Headers],[Include or Exclude]], 0,4)</f>
        <v/>
      </c>
      <c r="AE114" s="199" t="str" cm="1">
        <f t="array" ref="AE114">Common_InputFunctions.Utility_DisplayArrayInTable(Fertiliser_SourceData.Fertiliser_Products_Data1(),FertiliserProducts[[#Headers],[Include or Exclude]], 0,4)</f>
        <v/>
      </c>
    </row>
    <row r="115" spans="4:31" ht="20.100000000000001" customHeight="1" x14ac:dyDescent="0.25">
      <c r="D115" s="199" t="str" cm="1">
        <f t="array" ref="D115">Common_InputFunctions.Utility_DisplayArrayInTable(Fertiliser_SourceData.Fertiliser_Products_Data1(),FertiliserProducts[[#Headers],[Include or Exclude]], -1)</f>
        <v/>
      </c>
      <c r="E115" s="199" t="str" cm="1">
        <f t="array" ref="E115">Common_InputFunctions.Utility_DisplayArrayInTable(Fertiliser_SourceData.Fertiliser_Products_Data1(),FertiliserProducts[[#Headers],[Include or Exclude]], 0)</f>
        <v/>
      </c>
      <c r="F115" s="199" t="str" cm="1">
        <f t="array" ref="F115">Common_InputFunctions.Utility_DisplayArrayInTable(Fertiliser_SourceData.Fertiliser_Products_Data1(),FertiliserProducts[[#Headers],[Include or Exclude]], 0)</f>
        <v/>
      </c>
      <c r="G115" s="199" t="str" cm="1">
        <f t="array" ref="G115">Common_InputFunctions.Utility_DisplayArrayInTable(Fertiliser_SourceData.Fertiliser_Products_Data1(),FertiliserProducts[[#Headers],[Include or Exclude]], 0)</f>
        <v/>
      </c>
      <c r="H115" s="199" t="str" cm="1">
        <f t="array" ref="H115">Common_InputFunctions.Utility_DisplayArrayInTable(Fertiliser_SourceData.Fertiliser_Products_Data1(),FertiliserProducts[[#Headers],[Include or Exclude]], 0,4)</f>
        <v/>
      </c>
      <c r="I115" s="199" t="str" cm="1">
        <f t="array" ref="I115">Common_InputFunctions.Utility_DisplayArrayInTable(Fertiliser_SourceData.Fertiliser_Products_Data1(),FertiliserProducts[[#Headers],[Include or Exclude]], 0,4)</f>
        <v/>
      </c>
      <c r="J115" s="199" t="str" cm="1">
        <f t="array" ref="J115">Common_InputFunctions.Utility_DisplayArrayInTable(Fertiliser_SourceData.Fertiliser_Products_Data1(),FertiliserProducts[[#Headers],[Include or Exclude]], 0,4)</f>
        <v/>
      </c>
      <c r="K115" s="199" t="str" cm="1">
        <f t="array" ref="K115">Common_InputFunctions.Utility_DisplayArrayInTable(Fertiliser_SourceData.Fertiliser_Products_Data1(),FertiliserProducts[[#Headers],[Include or Exclude]], 0,4)</f>
        <v/>
      </c>
      <c r="L115" s="199" t="str" cm="1">
        <f t="array" ref="L115">Common_InputFunctions.Utility_DisplayArrayInTable(Fertiliser_SourceData.Fertiliser_Products_Data1(),FertiliserProducts[[#Headers],[Include or Exclude]], 0,4)</f>
        <v/>
      </c>
      <c r="M115" s="199" t="str" cm="1">
        <f t="array" ref="M115">Common_InputFunctions.Utility_DisplayArrayInTable(Fertiliser_SourceData.Fertiliser_Products_Data1(),FertiliserProducts[[#Headers],[Include or Exclude]], 0,4)</f>
        <v/>
      </c>
      <c r="N115" s="199" t="str" cm="1">
        <f t="array" ref="N115">Common_InputFunctions.Utility_DisplayArrayInTable(Fertiliser_SourceData.Fertiliser_Products_Data1(),FertiliserProducts[[#Headers],[Include or Exclude]], 0,4)</f>
        <v/>
      </c>
      <c r="O115" s="199" t="str" cm="1">
        <f t="array" ref="O115">Common_InputFunctions.Utility_DisplayArrayInTable(Fertiliser_SourceData.Fertiliser_Products_Data1(),FertiliserProducts[[#Headers],[Include or Exclude]], 0,4)</f>
        <v/>
      </c>
      <c r="P115" s="199" t="str" cm="1">
        <f t="array" ref="P115">Common_InputFunctions.Utility_DisplayArrayInTable(Fertiliser_SourceData.Fertiliser_Products_Data1(),FertiliserProducts[[#Headers],[Include or Exclude]], 0,4)</f>
        <v/>
      </c>
      <c r="Q115" s="199" t="str" cm="1">
        <f t="array" ref="Q115">Common_InputFunctions.Utility_DisplayArrayInTable(Fertiliser_SourceData.Fertiliser_Products_Data1(),FertiliserProducts[[#Headers],[Include or Exclude]], 0,4)</f>
        <v/>
      </c>
      <c r="R115" s="199" t="str" cm="1">
        <f t="array" ref="R115">Common_InputFunctions.Utility_DisplayArrayInTable(Fertiliser_SourceData.Fertiliser_Products_Data1(),FertiliserProducts[[#Headers],[Include or Exclude]], 0,4)</f>
        <v/>
      </c>
      <c r="S115" s="199" t="str" cm="1">
        <f t="array" ref="S115">Common_InputFunctions.Utility_DisplayArrayInTable(Fertiliser_SourceData.Fertiliser_Products_Data1(),FertiliserProducts[[#Headers],[Include or Exclude]], 0,4)</f>
        <v/>
      </c>
      <c r="T115" s="199" t="str" cm="1">
        <f t="array" ref="T115">Common_InputFunctions.Utility_DisplayArrayInTable(Fertiliser_SourceData.Fertiliser_Products_Data1(),FertiliserProducts[[#Headers],[Include or Exclude]], 0,4)</f>
        <v/>
      </c>
      <c r="U115" s="199" t="str" cm="1">
        <f t="array" ref="U115">Common_InputFunctions.Utility_DisplayArrayInTable(Fertiliser_SourceData.Fertiliser_Products_Data1(),FertiliserProducts[[#Headers],[Include or Exclude]], 0,4)</f>
        <v/>
      </c>
      <c r="V115" s="199" t="str" cm="1">
        <f t="array" ref="V115">Common_InputFunctions.Utility_DisplayArrayInTable(Fertiliser_SourceData.Fertiliser_Products_Data1(),FertiliserProducts[[#Headers],[Include or Exclude]], 0,4)</f>
        <v/>
      </c>
      <c r="W115" s="199" t="str" cm="1">
        <f t="array" ref="W115">Common_InputFunctions.Utility_DisplayArrayInTable(Fertiliser_SourceData.Fertiliser_Products_Data1(),FertiliserProducts[[#Headers],[Include or Exclude]], 0,4)</f>
        <v/>
      </c>
      <c r="X115" s="199" t="str" cm="1">
        <f t="array" ref="X115">Common_InputFunctions.Utility_DisplayArrayInTable(Fertiliser_SourceData.Fertiliser_Products_Data1(),FertiliserProducts[[#Headers],[Include or Exclude]], 0,4)</f>
        <v/>
      </c>
      <c r="Y115" s="199" t="str" cm="1">
        <f t="array" ref="Y115">Common_InputFunctions.Utility_DisplayArrayInTable(Fertiliser_SourceData.Fertiliser_Products_Data1(),FertiliserProducts[[#Headers],[Include or Exclude]], 0,4)</f>
        <v/>
      </c>
      <c r="Z115" s="199" t="str" cm="1">
        <f t="array" ref="Z115">Common_InputFunctions.Utility_DisplayArrayInTable(Fertiliser_SourceData.Fertiliser_Products_Data1(),FertiliserProducts[[#Headers],[Include or Exclude]], 0,4)</f>
        <v/>
      </c>
      <c r="AA115" s="199" t="str" cm="1">
        <f t="array" ref="AA115">Common_InputFunctions.Utility_DisplayArrayInTable(Fertiliser_SourceData.Fertiliser_Products_Data1(),FertiliserProducts[[#Headers],[Include or Exclude]], 0,4)</f>
        <v/>
      </c>
      <c r="AB115" s="199" t="str" cm="1">
        <f t="array" ref="AB115">Common_InputFunctions.Utility_DisplayArrayInTable(Fertiliser_SourceData.Fertiliser_Products_Data1(),FertiliserProducts[[#Headers],[Include or Exclude]], 0,4)</f>
        <v/>
      </c>
      <c r="AC115" s="199" t="str" cm="1">
        <f t="array" ref="AC115">Common_InputFunctions.Utility_DisplayArrayInTable(Fertiliser_SourceData.Fertiliser_Products_Data1(),FertiliserProducts[[#Headers],[Include or Exclude]], 0,4)</f>
        <v/>
      </c>
      <c r="AD115" s="199" t="str" cm="1">
        <f t="array" ref="AD115">Common_InputFunctions.Utility_DisplayArrayInTable(Fertiliser_SourceData.Fertiliser_Products_Data1(),FertiliserProducts[[#Headers],[Include or Exclude]], 0,4)</f>
        <v/>
      </c>
      <c r="AE115" s="199" t="str" cm="1">
        <f t="array" ref="AE115">Common_InputFunctions.Utility_DisplayArrayInTable(Fertiliser_SourceData.Fertiliser_Products_Data1(),FertiliserProducts[[#Headers],[Include or Exclude]], 0,4)</f>
        <v/>
      </c>
    </row>
    <row r="116" spans="4:31" ht="20.100000000000001" customHeight="1" x14ac:dyDescent="0.25">
      <c r="D116" s="199" t="str" cm="1">
        <f t="array" ref="D116">Common_InputFunctions.Utility_DisplayArrayInTable(Fertiliser_SourceData.Fertiliser_Products_Data1(),FertiliserProducts[[#Headers],[Include or Exclude]], -1)</f>
        <v/>
      </c>
      <c r="E116" s="199" t="str" cm="1">
        <f t="array" ref="E116">Common_InputFunctions.Utility_DisplayArrayInTable(Fertiliser_SourceData.Fertiliser_Products_Data1(),FertiliserProducts[[#Headers],[Include or Exclude]], 0)</f>
        <v/>
      </c>
      <c r="F116" s="199" t="str" cm="1">
        <f t="array" ref="F116">Common_InputFunctions.Utility_DisplayArrayInTable(Fertiliser_SourceData.Fertiliser_Products_Data1(),FertiliserProducts[[#Headers],[Include or Exclude]], 0)</f>
        <v/>
      </c>
      <c r="G116" s="199" t="str" cm="1">
        <f t="array" ref="G116">Common_InputFunctions.Utility_DisplayArrayInTable(Fertiliser_SourceData.Fertiliser_Products_Data1(),FertiliserProducts[[#Headers],[Include or Exclude]], 0)</f>
        <v/>
      </c>
      <c r="H116" s="199" t="str" cm="1">
        <f t="array" ref="H116">Common_InputFunctions.Utility_DisplayArrayInTable(Fertiliser_SourceData.Fertiliser_Products_Data1(),FertiliserProducts[[#Headers],[Include or Exclude]], 0,4)</f>
        <v/>
      </c>
      <c r="I116" s="199" t="str" cm="1">
        <f t="array" ref="I116">Common_InputFunctions.Utility_DisplayArrayInTable(Fertiliser_SourceData.Fertiliser_Products_Data1(),FertiliserProducts[[#Headers],[Include or Exclude]], 0,4)</f>
        <v/>
      </c>
      <c r="J116" s="199" t="str" cm="1">
        <f t="array" ref="J116">Common_InputFunctions.Utility_DisplayArrayInTable(Fertiliser_SourceData.Fertiliser_Products_Data1(),FertiliserProducts[[#Headers],[Include or Exclude]], 0,4)</f>
        <v/>
      </c>
      <c r="K116" s="199" t="str" cm="1">
        <f t="array" ref="K116">Common_InputFunctions.Utility_DisplayArrayInTable(Fertiliser_SourceData.Fertiliser_Products_Data1(),FertiliserProducts[[#Headers],[Include or Exclude]], 0,4)</f>
        <v/>
      </c>
      <c r="L116" s="199" t="str" cm="1">
        <f t="array" ref="L116">Common_InputFunctions.Utility_DisplayArrayInTable(Fertiliser_SourceData.Fertiliser_Products_Data1(),FertiliserProducts[[#Headers],[Include or Exclude]], 0,4)</f>
        <v/>
      </c>
      <c r="M116" s="199" t="str" cm="1">
        <f t="array" ref="M116">Common_InputFunctions.Utility_DisplayArrayInTable(Fertiliser_SourceData.Fertiliser_Products_Data1(),FertiliserProducts[[#Headers],[Include or Exclude]], 0,4)</f>
        <v/>
      </c>
      <c r="N116" s="199" t="str" cm="1">
        <f t="array" ref="N116">Common_InputFunctions.Utility_DisplayArrayInTable(Fertiliser_SourceData.Fertiliser_Products_Data1(),FertiliserProducts[[#Headers],[Include or Exclude]], 0,4)</f>
        <v/>
      </c>
      <c r="O116" s="199" t="str" cm="1">
        <f t="array" ref="O116">Common_InputFunctions.Utility_DisplayArrayInTable(Fertiliser_SourceData.Fertiliser_Products_Data1(),FertiliserProducts[[#Headers],[Include or Exclude]], 0,4)</f>
        <v/>
      </c>
      <c r="P116" s="199" t="str" cm="1">
        <f t="array" ref="P116">Common_InputFunctions.Utility_DisplayArrayInTable(Fertiliser_SourceData.Fertiliser_Products_Data1(),FertiliserProducts[[#Headers],[Include or Exclude]], 0,4)</f>
        <v/>
      </c>
      <c r="Q116" s="199" t="str" cm="1">
        <f t="array" ref="Q116">Common_InputFunctions.Utility_DisplayArrayInTable(Fertiliser_SourceData.Fertiliser_Products_Data1(),FertiliserProducts[[#Headers],[Include or Exclude]], 0,4)</f>
        <v/>
      </c>
      <c r="R116" s="199" t="str" cm="1">
        <f t="array" ref="R116">Common_InputFunctions.Utility_DisplayArrayInTable(Fertiliser_SourceData.Fertiliser_Products_Data1(),FertiliserProducts[[#Headers],[Include or Exclude]], 0,4)</f>
        <v/>
      </c>
      <c r="S116" s="199" t="str" cm="1">
        <f t="array" ref="S116">Common_InputFunctions.Utility_DisplayArrayInTable(Fertiliser_SourceData.Fertiliser_Products_Data1(),FertiliserProducts[[#Headers],[Include or Exclude]], 0,4)</f>
        <v/>
      </c>
      <c r="T116" s="199" t="str" cm="1">
        <f t="array" ref="T116">Common_InputFunctions.Utility_DisplayArrayInTable(Fertiliser_SourceData.Fertiliser_Products_Data1(),FertiliserProducts[[#Headers],[Include or Exclude]], 0,4)</f>
        <v/>
      </c>
      <c r="U116" s="199" t="str" cm="1">
        <f t="array" ref="U116">Common_InputFunctions.Utility_DisplayArrayInTable(Fertiliser_SourceData.Fertiliser_Products_Data1(),FertiliserProducts[[#Headers],[Include or Exclude]], 0,4)</f>
        <v/>
      </c>
      <c r="V116" s="199" t="str" cm="1">
        <f t="array" ref="V116">Common_InputFunctions.Utility_DisplayArrayInTable(Fertiliser_SourceData.Fertiliser_Products_Data1(),FertiliserProducts[[#Headers],[Include or Exclude]], 0,4)</f>
        <v/>
      </c>
      <c r="W116" s="199" t="str" cm="1">
        <f t="array" ref="W116">Common_InputFunctions.Utility_DisplayArrayInTable(Fertiliser_SourceData.Fertiliser_Products_Data1(),FertiliserProducts[[#Headers],[Include or Exclude]], 0,4)</f>
        <v/>
      </c>
      <c r="X116" s="199" t="str" cm="1">
        <f t="array" ref="X116">Common_InputFunctions.Utility_DisplayArrayInTable(Fertiliser_SourceData.Fertiliser_Products_Data1(),FertiliserProducts[[#Headers],[Include or Exclude]], 0,4)</f>
        <v/>
      </c>
      <c r="Y116" s="199" t="str" cm="1">
        <f t="array" ref="Y116">Common_InputFunctions.Utility_DisplayArrayInTable(Fertiliser_SourceData.Fertiliser_Products_Data1(),FertiliserProducts[[#Headers],[Include or Exclude]], 0,4)</f>
        <v/>
      </c>
      <c r="Z116" s="199" t="str" cm="1">
        <f t="array" ref="Z116">Common_InputFunctions.Utility_DisplayArrayInTable(Fertiliser_SourceData.Fertiliser_Products_Data1(),FertiliserProducts[[#Headers],[Include or Exclude]], 0,4)</f>
        <v/>
      </c>
      <c r="AA116" s="199" t="str" cm="1">
        <f t="array" ref="AA116">Common_InputFunctions.Utility_DisplayArrayInTable(Fertiliser_SourceData.Fertiliser_Products_Data1(),FertiliserProducts[[#Headers],[Include or Exclude]], 0,4)</f>
        <v/>
      </c>
      <c r="AB116" s="199" t="str" cm="1">
        <f t="array" ref="AB116">Common_InputFunctions.Utility_DisplayArrayInTable(Fertiliser_SourceData.Fertiliser_Products_Data1(),FertiliserProducts[[#Headers],[Include or Exclude]], 0,4)</f>
        <v/>
      </c>
      <c r="AC116" s="199" t="str" cm="1">
        <f t="array" ref="AC116">Common_InputFunctions.Utility_DisplayArrayInTable(Fertiliser_SourceData.Fertiliser_Products_Data1(),FertiliserProducts[[#Headers],[Include or Exclude]], 0,4)</f>
        <v/>
      </c>
      <c r="AD116" s="199" t="str" cm="1">
        <f t="array" ref="AD116">Common_InputFunctions.Utility_DisplayArrayInTable(Fertiliser_SourceData.Fertiliser_Products_Data1(),FertiliserProducts[[#Headers],[Include or Exclude]], 0,4)</f>
        <v/>
      </c>
      <c r="AE116" s="199" t="str" cm="1">
        <f t="array" ref="AE116">Common_InputFunctions.Utility_DisplayArrayInTable(Fertiliser_SourceData.Fertiliser_Products_Data1(),FertiliserProducts[[#Headers],[Include or Exclude]], 0,4)</f>
        <v/>
      </c>
    </row>
    <row r="117" spans="4:31" ht="20.100000000000001" customHeight="1" x14ac:dyDescent="0.25">
      <c r="D117" s="199" t="str" cm="1">
        <f t="array" ref="D117">Common_InputFunctions.Utility_DisplayArrayInTable(Fertiliser_SourceData.Fertiliser_Products_Data1(),FertiliserProducts[[#Headers],[Include or Exclude]], -1)</f>
        <v/>
      </c>
      <c r="E117" s="199" t="str" cm="1">
        <f t="array" ref="E117">Common_InputFunctions.Utility_DisplayArrayInTable(Fertiliser_SourceData.Fertiliser_Products_Data1(),FertiliserProducts[[#Headers],[Include or Exclude]], 0)</f>
        <v/>
      </c>
      <c r="F117" s="199" t="str" cm="1">
        <f t="array" ref="F117">Common_InputFunctions.Utility_DisplayArrayInTable(Fertiliser_SourceData.Fertiliser_Products_Data1(),FertiliserProducts[[#Headers],[Include or Exclude]], 0)</f>
        <v/>
      </c>
      <c r="G117" s="199" t="str" cm="1">
        <f t="array" ref="G117">Common_InputFunctions.Utility_DisplayArrayInTable(Fertiliser_SourceData.Fertiliser_Products_Data1(),FertiliserProducts[[#Headers],[Include or Exclude]], 0)</f>
        <v/>
      </c>
      <c r="H117" s="199" t="str" cm="1">
        <f t="array" ref="H117">Common_InputFunctions.Utility_DisplayArrayInTable(Fertiliser_SourceData.Fertiliser_Products_Data1(),FertiliserProducts[[#Headers],[Include or Exclude]], 0,4)</f>
        <v/>
      </c>
      <c r="I117" s="199" t="str" cm="1">
        <f t="array" ref="I117">Common_InputFunctions.Utility_DisplayArrayInTable(Fertiliser_SourceData.Fertiliser_Products_Data1(),FertiliserProducts[[#Headers],[Include or Exclude]], 0,4)</f>
        <v/>
      </c>
      <c r="J117" s="199" t="str" cm="1">
        <f t="array" ref="J117">Common_InputFunctions.Utility_DisplayArrayInTable(Fertiliser_SourceData.Fertiliser_Products_Data1(),FertiliserProducts[[#Headers],[Include or Exclude]], 0,4)</f>
        <v/>
      </c>
      <c r="K117" s="199" t="str" cm="1">
        <f t="array" ref="K117">Common_InputFunctions.Utility_DisplayArrayInTable(Fertiliser_SourceData.Fertiliser_Products_Data1(),FertiliserProducts[[#Headers],[Include or Exclude]], 0,4)</f>
        <v/>
      </c>
      <c r="L117" s="199" t="str" cm="1">
        <f t="array" ref="L117">Common_InputFunctions.Utility_DisplayArrayInTable(Fertiliser_SourceData.Fertiliser_Products_Data1(),FertiliserProducts[[#Headers],[Include or Exclude]], 0,4)</f>
        <v/>
      </c>
      <c r="M117" s="199" t="str" cm="1">
        <f t="array" ref="M117">Common_InputFunctions.Utility_DisplayArrayInTable(Fertiliser_SourceData.Fertiliser_Products_Data1(),FertiliserProducts[[#Headers],[Include or Exclude]], 0,4)</f>
        <v/>
      </c>
      <c r="N117" s="199" t="str" cm="1">
        <f t="array" ref="N117">Common_InputFunctions.Utility_DisplayArrayInTable(Fertiliser_SourceData.Fertiliser_Products_Data1(),FertiliserProducts[[#Headers],[Include or Exclude]], 0,4)</f>
        <v/>
      </c>
      <c r="O117" s="199" t="str" cm="1">
        <f t="array" ref="O117">Common_InputFunctions.Utility_DisplayArrayInTable(Fertiliser_SourceData.Fertiliser_Products_Data1(),FertiliserProducts[[#Headers],[Include or Exclude]], 0,4)</f>
        <v/>
      </c>
      <c r="P117" s="199" t="str" cm="1">
        <f t="array" ref="P117">Common_InputFunctions.Utility_DisplayArrayInTable(Fertiliser_SourceData.Fertiliser_Products_Data1(),FertiliserProducts[[#Headers],[Include or Exclude]], 0,4)</f>
        <v/>
      </c>
      <c r="Q117" s="199" t="str" cm="1">
        <f t="array" ref="Q117">Common_InputFunctions.Utility_DisplayArrayInTable(Fertiliser_SourceData.Fertiliser_Products_Data1(),FertiliserProducts[[#Headers],[Include or Exclude]], 0,4)</f>
        <v/>
      </c>
      <c r="R117" s="199" t="str" cm="1">
        <f t="array" ref="R117">Common_InputFunctions.Utility_DisplayArrayInTable(Fertiliser_SourceData.Fertiliser_Products_Data1(),FertiliserProducts[[#Headers],[Include or Exclude]], 0,4)</f>
        <v/>
      </c>
      <c r="S117" s="199" t="str" cm="1">
        <f t="array" ref="S117">Common_InputFunctions.Utility_DisplayArrayInTable(Fertiliser_SourceData.Fertiliser_Products_Data1(),FertiliserProducts[[#Headers],[Include or Exclude]], 0,4)</f>
        <v/>
      </c>
      <c r="T117" s="199" t="str" cm="1">
        <f t="array" ref="T117">Common_InputFunctions.Utility_DisplayArrayInTable(Fertiliser_SourceData.Fertiliser_Products_Data1(),FertiliserProducts[[#Headers],[Include or Exclude]], 0,4)</f>
        <v/>
      </c>
      <c r="U117" s="199" t="str" cm="1">
        <f t="array" ref="U117">Common_InputFunctions.Utility_DisplayArrayInTable(Fertiliser_SourceData.Fertiliser_Products_Data1(),FertiliserProducts[[#Headers],[Include or Exclude]], 0,4)</f>
        <v/>
      </c>
      <c r="V117" s="199" t="str" cm="1">
        <f t="array" ref="V117">Common_InputFunctions.Utility_DisplayArrayInTable(Fertiliser_SourceData.Fertiliser_Products_Data1(),FertiliserProducts[[#Headers],[Include or Exclude]], 0,4)</f>
        <v/>
      </c>
      <c r="W117" s="199" t="str" cm="1">
        <f t="array" ref="W117">Common_InputFunctions.Utility_DisplayArrayInTable(Fertiliser_SourceData.Fertiliser_Products_Data1(),FertiliserProducts[[#Headers],[Include or Exclude]], 0,4)</f>
        <v/>
      </c>
      <c r="X117" s="199" t="str" cm="1">
        <f t="array" ref="X117">Common_InputFunctions.Utility_DisplayArrayInTable(Fertiliser_SourceData.Fertiliser_Products_Data1(),FertiliserProducts[[#Headers],[Include or Exclude]], 0,4)</f>
        <v/>
      </c>
      <c r="Y117" s="199" t="str" cm="1">
        <f t="array" ref="Y117">Common_InputFunctions.Utility_DisplayArrayInTable(Fertiliser_SourceData.Fertiliser_Products_Data1(),FertiliserProducts[[#Headers],[Include or Exclude]], 0,4)</f>
        <v/>
      </c>
      <c r="Z117" s="199" t="str" cm="1">
        <f t="array" ref="Z117">Common_InputFunctions.Utility_DisplayArrayInTable(Fertiliser_SourceData.Fertiliser_Products_Data1(),FertiliserProducts[[#Headers],[Include or Exclude]], 0,4)</f>
        <v/>
      </c>
      <c r="AA117" s="199" t="str" cm="1">
        <f t="array" ref="AA117">Common_InputFunctions.Utility_DisplayArrayInTable(Fertiliser_SourceData.Fertiliser_Products_Data1(),FertiliserProducts[[#Headers],[Include or Exclude]], 0,4)</f>
        <v/>
      </c>
      <c r="AB117" s="199" t="str" cm="1">
        <f t="array" ref="AB117">Common_InputFunctions.Utility_DisplayArrayInTable(Fertiliser_SourceData.Fertiliser_Products_Data1(),FertiliserProducts[[#Headers],[Include or Exclude]], 0,4)</f>
        <v/>
      </c>
      <c r="AC117" s="199" t="str" cm="1">
        <f t="array" ref="AC117">Common_InputFunctions.Utility_DisplayArrayInTable(Fertiliser_SourceData.Fertiliser_Products_Data1(),FertiliserProducts[[#Headers],[Include or Exclude]], 0,4)</f>
        <v/>
      </c>
      <c r="AD117" s="199" t="str" cm="1">
        <f t="array" ref="AD117">Common_InputFunctions.Utility_DisplayArrayInTable(Fertiliser_SourceData.Fertiliser_Products_Data1(),FertiliserProducts[[#Headers],[Include or Exclude]], 0,4)</f>
        <v/>
      </c>
      <c r="AE117" s="199" t="str" cm="1">
        <f t="array" ref="AE117">Common_InputFunctions.Utility_DisplayArrayInTable(Fertiliser_SourceData.Fertiliser_Products_Data1(),FertiliserProducts[[#Headers],[Include or Exclude]], 0,4)</f>
        <v/>
      </c>
    </row>
    <row r="118" spans="4:31" ht="20.100000000000001" customHeight="1" x14ac:dyDescent="0.25">
      <c r="D118" s="199" t="str" cm="1">
        <f t="array" ref="D118">Common_InputFunctions.Utility_DisplayArrayInTable(Fertiliser_SourceData.Fertiliser_Products_Data1(),FertiliserProducts[[#Headers],[Include or Exclude]], -1)</f>
        <v/>
      </c>
      <c r="E118" s="199" t="str" cm="1">
        <f t="array" ref="E118">Common_InputFunctions.Utility_DisplayArrayInTable(Fertiliser_SourceData.Fertiliser_Products_Data1(),FertiliserProducts[[#Headers],[Include or Exclude]], 0)</f>
        <v/>
      </c>
      <c r="F118" s="199" t="str" cm="1">
        <f t="array" ref="F118">Common_InputFunctions.Utility_DisplayArrayInTable(Fertiliser_SourceData.Fertiliser_Products_Data1(),FertiliserProducts[[#Headers],[Include or Exclude]], 0)</f>
        <v/>
      </c>
      <c r="G118" s="199" t="str" cm="1">
        <f t="array" ref="G118">Common_InputFunctions.Utility_DisplayArrayInTable(Fertiliser_SourceData.Fertiliser_Products_Data1(),FertiliserProducts[[#Headers],[Include or Exclude]], 0)</f>
        <v/>
      </c>
      <c r="H118" s="199" t="str" cm="1">
        <f t="array" ref="H118">Common_InputFunctions.Utility_DisplayArrayInTable(Fertiliser_SourceData.Fertiliser_Products_Data1(),FertiliserProducts[[#Headers],[Include or Exclude]], 0,4)</f>
        <v/>
      </c>
      <c r="I118" s="199" t="str" cm="1">
        <f t="array" ref="I118">Common_InputFunctions.Utility_DisplayArrayInTable(Fertiliser_SourceData.Fertiliser_Products_Data1(),FertiliserProducts[[#Headers],[Include or Exclude]], 0,4)</f>
        <v/>
      </c>
      <c r="J118" s="199" t="str" cm="1">
        <f t="array" ref="J118">Common_InputFunctions.Utility_DisplayArrayInTable(Fertiliser_SourceData.Fertiliser_Products_Data1(),FertiliserProducts[[#Headers],[Include or Exclude]], 0,4)</f>
        <v/>
      </c>
      <c r="K118" s="199" t="str" cm="1">
        <f t="array" ref="K118">Common_InputFunctions.Utility_DisplayArrayInTable(Fertiliser_SourceData.Fertiliser_Products_Data1(),FertiliserProducts[[#Headers],[Include or Exclude]], 0,4)</f>
        <v/>
      </c>
      <c r="L118" s="199" t="str" cm="1">
        <f t="array" ref="L118">Common_InputFunctions.Utility_DisplayArrayInTable(Fertiliser_SourceData.Fertiliser_Products_Data1(),FertiliserProducts[[#Headers],[Include or Exclude]], 0,4)</f>
        <v/>
      </c>
      <c r="M118" s="199" t="str" cm="1">
        <f t="array" ref="M118">Common_InputFunctions.Utility_DisplayArrayInTable(Fertiliser_SourceData.Fertiliser_Products_Data1(),FertiliserProducts[[#Headers],[Include or Exclude]], 0,4)</f>
        <v/>
      </c>
      <c r="N118" s="199" t="str" cm="1">
        <f t="array" ref="N118">Common_InputFunctions.Utility_DisplayArrayInTable(Fertiliser_SourceData.Fertiliser_Products_Data1(),FertiliserProducts[[#Headers],[Include or Exclude]], 0,4)</f>
        <v/>
      </c>
      <c r="O118" s="199" t="str" cm="1">
        <f t="array" ref="O118">Common_InputFunctions.Utility_DisplayArrayInTable(Fertiliser_SourceData.Fertiliser_Products_Data1(),FertiliserProducts[[#Headers],[Include or Exclude]], 0,4)</f>
        <v/>
      </c>
      <c r="P118" s="199" t="str" cm="1">
        <f t="array" ref="P118">Common_InputFunctions.Utility_DisplayArrayInTable(Fertiliser_SourceData.Fertiliser_Products_Data1(),FertiliserProducts[[#Headers],[Include or Exclude]], 0,4)</f>
        <v/>
      </c>
      <c r="Q118" s="199" t="str" cm="1">
        <f t="array" ref="Q118">Common_InputFunctions.Utility_DisplayArrayInTable(Fertiliser_SourceData.Fertiliser_Products_Data1(),FertiliserProducts[[#Headers],[Include or Exclude]], 0,4)</f>
        <v/>
      </c>
      <c r="R118" s="199" t="str" cm="1">
        <f t="array" ref="R118">Common_InputFunctions.Utility_DisplayArrayInTable(Fertiliser_SourceData.Fertiliser_Products_Data1(),FertiliserProducts[[#Headers],[Include or Exclude]], 0,4)</f>
        <v/>
      </c>
      <c r="S118" s="199" t="str" cm="1">
        <f t="array" ref="S118">Common_InputFunctions.Utility_DisplayArrayInTable(Fertiliser_SourceData.Fertiliser_Products_Data1(),FertiliserProducts[[#Headers],[Include or Exclude]], 0,4)</f>
        <v/>
      </c>
      <c r="T118" s="199" t="str" cm="1">
        <f t="array" ref="T118">Common_InputFunctions.Utility_DisplayArrayInTable(Fertiliser_SourceData.Fertiliser_Products_Data1(),FertiliserProducts[[#Headers],[Include or Exclude]], 0,4)</f>
        <v/>
      </c>
      <c r="U118" s="199" t="str" cm="1">
        <f t="array" ref="U118">Common_InputFunctions.Utility_DisplayArrayInTable(Fertiliser_SourceData.Fertiliser_Products_Data1(),FertiliserProducts[[#Headers],[Include or Exclude]], 0,4)</f>
        <v/>
      </c>
      <c r="V118" s="199" t="str" cm="1">
        <f t="array" ref="V118">Common_InputFunctions.Utility_DisplayArrayInTable(Fertiliser_SourceData.Fertiliser_Products_Data1(),FertiliserProducts[[#Headers],[Include or Exclude]], 0,4)</f>
        <v/>
      </c>
      <c r="W118" s="199" t="str" cm="1">
        <f t="array" ref="W118">Common_InputFunctions.Utility_DisplayArrayInTable(Fertiliser_SourceData.Fertiliser_Products_Data1(),FertiliserProducts[[#Headers],[Include or Exclude]], 0,4)</f>
        <v/>
      </c>
      <c r="X118" s="199" t="str" cm="1">
        <f t="array" ref="X118">Common_InputFunctions.Utility_DisplayArrayInTable(Fertiliser_SourceData.Fertiliser_Products_Data1(),FertiliserProducts[[#Headers],[Include or Exclude]], 0,4)</f>
        <v/>
      </c>
      <c r="Y118" s="199" t="str" cm="1">
        <f t="array" ref="Y118">Common_InputFunctions.Utility_DisplayArrayInTable(Fertiliser_SourceData.Fertiliser_Products_Data1(),FertiliserProducts[[#Headers],[Include or Exclude]], 0,4)</f>
        <v/>
      </c>
      <c r="Z118" s="199" t="str" cm="1">
        <f t="array" ref="Z118">Common_InputFunctions.Utility_DisplayArrayInTable(Fertiliser_SourceData.Fertiliser_Products_Data1(),FertiliserProducts[[#Headers],[Include or Exclude]], 0,4)</f>
        <v/>
      </c>
      <c r="AA118" s="199" t="str" cm="1">
        <f t="array" ref="AA118">Common_InputFunctions.Utility_DisplayArrayInTable(Fertiliser_SourceData.Fertiliser_Products_Data1(),FertiliserProducts[[#Headers],[Include or Exclude]], 0,4)</f>
        <v/>
      </c>
      <c r="AB118" s="199" t="str" cm="1">
        <f t="array" ref="AB118">Common_InputFunctions.Utility_DisplayArrayInTable(Fertiliser_SourceData.Fertiliser_Products_Data1(),FertiliserProducts[[#Headers],[Include or Exclude]], 0,4)</f>
        <v/>
      </c>
      <c r="AC118" s="199" t="str" cm="1">
        <f t="array" ref="AC118">Common_InputFunctions.Utility_DisplayArrayInTable(Fertiliser_SourceData.Fertiliser_Products_Data1(),FertiliserProducts[[#Headers],[Include or Exclude]], 0,4)</f>
        <v/>
      </c>
      <c r="AD118" s="199" t="str" cm="1">
        <f t="array" ref="AD118">Common_InputFunctions.Utility_DisplayArrayInTable(Fertiliser_SourceData.Fertiliser_Products_Data1(),FertiliserProducts[[#Headers],[Include or Exclude]], 0,4)</f>
        <v/>
      </c>
      <c r="AE118" s="199" t="str" cm="1">
        <f t="array" ref="AE118">Common_InputFunctions.Utility_DisplayArrayInTable(Fertiliser_SourceData.Fertiliser_Products_Data1(),FertiliserProducts[[#Headers],[Include or Exclude]], 0,4)</f>
        <v/>
      </c>
    </row>
    <row r="119" spans="4:31" ht="20.100000000000001" customHeight="1" x14ac:dyDescent="0.25">
      <c r="D119" s="199" t="str" cm="1">
        <f t="array" ref="D119">Common_InputFunctions.Utility_DisplayArrayInTable(Fertiliser_SourceData.Fertiliser_Products_Data1(),FertiliserProducts[[#Headers],[Include or Exclude]], -1)</f>
        <v/>
      </c>
      <c r="E119" s="199" t="str" cm="1">
        <f t="array" ref="E119">Common_InputFunctions.Utility_DisplayArrayInTable(Fertiliser_SourceData.Fertiliser_Products_Data1(),FertiliserProducts[[#Headers],[Include or Exclude]], 0)</f>
        <v/>
      </c>
      <c r="F119" s="199" t="str" cm="1">
        <f t="array" ref="F119">Common_InputFunctions.Utility_DisplayArrayInTable(Fertiliser_SourceData.Fertiliser_Products_Data1(),FertiliserProducts[[#Headers],[Include or Exclude]], 0)</f>
        <v/>
      </c>
      <c r="G119" s="199" t="str" cm="1">
        <f t="array" ref="G119">Common_InputFunctions.Utility_DisplayArrayInTable(Fertiliser_SourceData.Fertiliser_Products_Data1(),FertiliserProducts[[#Headers],[Include or Exclude]], 0)</f>
        <v/>
      </c>
      <c r="H119" s="199" t="str" cm="1">
        <f t="array" ref="H119">Common_InputFunctions.Utility_DisplayArrayInTable(Fertiliser_SourceData.Fertiliser_Products_Data1(),FertiliserProducts[[#Headers],[Include or Exclude]], 0,4)</f>
        <v/>
      </c>
      <c r="I119" s="199" t="str" cm="1">
        <f t="array" ref="I119">Common_InputFunctions.Utility_DisplayArrayInTable(Fertiliser_SourceData.Fertiliser_Products_Data1(),FertiliserProducts[[#Headers],[Include or Exclude]], 0,4)</f>
        <v/>
      </c>
      <c r="J119" s="199" t="str" cm="1">
        <f t="array" ref="J119">Common_InputFunctions.Utility_DisplayArrayInTable(Fertiliser_SourceData.Fertiliser_Products_Data1(),FertiliserProducts[[#Headers],[Include or Exclude]], 0,4)</f>
        <v/>
      </c>
      <c r="K119" s="199" t="str" cm="1">
        <f t="array" ref="K119">Common_InputFunctions.Utility_DisplayArrayInTable(Fertiliser_SourceData.Fertiliser_Products_Data1(),FertiliserProducts[[#Headers],[Include or Exclude]], 0,4)</f>
        <v/>
      </c>
      <c r="L119" s="199" t="str" cm="1">
        <f t="array" ref="L119">Common_InputFunctions.Utility_DisplayArrayInTable(Fertiliser_SourceData.Fertiliser_Products_Data1(),FertiliserProducts[[#Headers],[Include or Exclude]], 0,4)</f>
        <v/>
      </c>
      <c r="M119" s="199" t="str" cm="1">
        <f t="array" ref="M119">Common_InputFunctions.Utility_DisplayArrayInTable(Fertiliser_SourceData.Fertiliser_Products_Data1(),FertiliserProducts[[#Headers],[Include or Exclude]], 0,4)</f>
        <v/>
      </c>
      <c r="N119" s="199" t="str" cm="1">
        <f t="array" ref="N119">Common_InputFunctions.Utility_DisplayArrayInTable(Fertiliser_SourceData.Fertiliser_Products_Data1(),FertiliserProducts[[#Headers],[Include or Exclude]], 0,4)</f>
        <v/>
      </c>
      <c r="O119" s="199" t="str" cm="1">
        <f t="array" ref="O119">Common_InputFunctions.Utility_DisplayArrayInTable(Fertiliser_SourceData.Fertiliser_Products_Data1(),FertiliserProducts[[#Headers],[Include or Exclude]], 0,4)</f>
        <v/>
      </c>
      <c r="P119" s="199" t="str" cm="1">
        <f t="array" ref="P119">Common_InputFunctions.Utility_DisplayArrayInTable(Fertiliser_SourceData.Fertiliser_Products_Data1(),FertiliserProducts[[#Headers],[Include or Exclude]], 0,4)</f>
        <v/>
      </c>
      <c r="Q119" s="199" t="str" cm="1">
        <f t="array" ref="Q119">Common_InputFunctions.Utility_DisplayArrayInTable(Fertiliser_SourceData.Fertiliser_Products_Data1(),FertiliserProducts[[#Headers],[Include or Exclude]], 0,4)</f>
        <v/>
      </c>
      <c r="R119" s="199" t="str" cm="1">
        <f t="array" ref="R119">Common_InputFunctions.Utility_DisplayArrayInTable(Fertiliser_SourceData.Fertiliser_Products_Data1(),FertiliserProducts[[#Headers],[Include or Exclude]], 0,4)</f>
        <v/>
      </c>
      <c r="S119" s="199" t="str" cm="1">
        <f t="array" ref="S119">Common_InputFunctions.Utility_DisplayArrayInTable(Fertiliser_SourceData.Fertiliser_Products_Data1(),FertiliserProducts[[#Headers],[Include or Exclude]], 0,4)</f>
        <v/>
      </c>
      <c r="T119" s="199" t="str" cm="1">
        <f t="array" ref="T119">Common_InputFunctions.Utility_DisplayArrayInTable(Fertiliser_SourceData.Fertiliser_Products_Data1(),FertiliserProducts[[#Headers],[Include or Exclude]], 0,4)</f>
        <v/>
      </c>
      <c r="U119" s="199" t="str" cm="1">
        <f t="array" ref="U119">Common_InputFunctions.Utility_DisplayArrayInTable(Fertiliser_SourceData.Fertiliser_Products_Data1(),FertiliserProducts[[#Headers],[Include or Exclude]], 0,4)</f>
        <v/>
      </c>
      <c r="V119" s="199" t="str" cm="1">
        <f t="array" ref="V119">Common_InputFunctions.Utility_DisplayArrayInTable(Fertiliser_SourceData.Fertiliser_Products_Data1(),FertiliserProducts[[#Headers],[Include or Exclude]], 0,4)</f>
        <v/>
      </c>
      <c r="W119" s="199" t="str" cm="1">
        <f t="array" ref="W119">Common_InputFunctions.Utility_DisplayArrayInTable(Fertiliser_SourceData.Fertiliser_Products_Data1(),FertiliserProducts[[#Headers],[Include or Exclude]], 0,4)</f>
        <v/>
      </c>
      <c r="X119" s="199" t="str" cm="1">
        <f t="array" ref="X119">Common_InputFunctions.Utility_DisplayArrayInTable(Fertiliser_SourceData.Fertiliser_Products_Data1(),FertiliserProducts[[#Headers],[Include or Exclude]], 0,4)</f>
        <v/>
      </c>
      <c r="Y119" s="199" t="str" cm="1">
        <f t="array" ref="Y119">Common_InputFunctions.Utility_DisplayArrayInTable(Fertiliser_SourceData.Fertiliser_Products_Data1(),FertiliserProducts[[#Headers],[Include or Exclude]], 0,4)</f>
        <v/>
      </c>
      <c r="Z119" s="199" t="str" cm="1">
        <f t="array" ref="Z119">Common_InputFunctions.Utility_DisplayArrayInTable(Fertiliser_SourceData.Fertiliser_Products_Data1(),FertiliserProducts[[#Headers],[Include or Exclude]], 0,4)</f>
        <v/>
      </c>
      <c r="AA119" s="199" t="str" cm="1">
        <f t="array" ref="AA119">Common_InputFunctions.Utility_DisplayArrayInTable(Fertiliser_SourceData.Fertiliser_Products_Data1(),FertiliserProducts[[#Headers],[Include or Exclude]], 0,4)</f>
        <v/>
      </c>
      <c r="AB119" s="199" t="str" cm="1">
        <f t="array" ref="AB119">Common_InputFunctions.Utility_DisplayArrayInTable(Fertiliser_SourceData.Fertiliser_Products_Data1(),FertiliserProducts[[#Headers],[Include or Exclude]], 0,4)</f>
        <v/>
      </c>
      <c r="AC119" s="199" t="str" cm="1">
        <f t="array" ref="AC119">Common_InputFunctions.Utility_DisplayArrayInTable(Fertiliser_SourceData.Fertiliser_Products_Data1(),FertiliserProducts[[#Headers],[Include or Exclude]], 0,4)</f>
        <v/>
      </c>
      <c r="AD119" s="199" t="str" cm="1">
        <f t="array" ref="AD119">Common_InputFunctions.Utility_DisplayArrayInTable(Fertiliser_SourceData.Fertiliser_Products_Data1(),FertiliserProducts[[#Headers],[Include or Exclude]], 0,4)</f>
        <v/>
      </c>
      <c r="AE119" s="199" t="str" cm="1">
        <f t="array" ref="AE119">Common_InputFunctions.Utility_DisplayArrayInTable(Fertiliser_SourceData.Fertiliser_Products_Data1(),FertiliserProducts[[#Headers],[Include or Exclude]], 0,4)</f>
        <v/>
      </c>
    </row>
    <row r="120" spans="4:31" ht="20.100000000000001" customHeight="1" x14ac:dyDescent="0.25">
      <c r="D120" s="199" t="str" cm="1">
        <f t="array" ref="D120">Common_InputFunctions.Utility_DisplayArrayInTable(Fertiliser_SourceData.Fertiliser_Products_Data1(),FertiliserProducts[[#Headers],[Include or Exclude]], -1)</f>
        <v/>
      </c>
      <c r="E120" s="199" t="str" cm="1">
        <f t="array" ref="E120">Common_InputFunctions.Utility_DisplayArrayInTable(Fertiliser_SourceData.Fertiliser_Products_Data1(),FertiliserProducts[[#Headers],[Include or Exclude]], 0)</f>
        <v/>
      </c>
      <c r="F120" s="199" t="str" cm="1">
        <f t="array" ref="F120">Common_InputFunctions.Utility_DisplayArrayInTable(Fertiliser_SourceData.Fertiliser_Products_Data1(),FertiliserProducts[[#Headers],[Include or Exclude]], 0)</f>
        <v/>
      </c>
      <c r="G120" s="199" t="str" cm="1">
        <f t="array" ref="G120">Common_InputFunctions.Utility_DisplayArrayInTable(Fertiliser_SourceData.Fertiliser_Products_Data1(),FertiliserProducts[[#Headers],[Include or Exclude]], 0)</f>
        <v/>
      </c>
      <c r="H120" s="199" t="str" cm="1">
        <f t="array" ref="H120">Common_InputFunctions.Utility_DisplayArrayInTable(Fertiliser_SourceData.Fertiliser_Products_Data1(),FertiliserProducts[[#Headers],[Include or Exclude]], 0,4)</f>
        <v/>
      </c>
      <c r="I120" s="199" t="str" cm="1">
        <f t="array" ref="I120">Common_InputFunctions.Utility_DisplayArrayInTable(Fertiliser_SourceData.Fertiliser_Products_Data1(),FertiliserProducts[[#Headers],[Include or Exclude]], 0,4)</f>
        <v/>
      </c>
      <c r="J120" s="199" t="str" cm="1">
        <f t="array" ref="J120">Common_InputFunctions.Utility_DisplayArrayInTable(Fertiliser_SourceData.Fertiliser_Products_Data1(),FertiliserProducts[[#Headers],[Include or Exclude]], 0,4)</f>
        <v/>
      </c>
      <c r="K120" s="199" t="str" cm="1">
        <f t="array" ref="K120">Common_InputFunctions.Utility_DisplayArrayInTable(Fertiliser_SourceData.Fertiliser_Products_Data1(),FertiliserProducts[[#Headers],[Include or Exclude]], 0,4)</f>
        <v/>
      </c>
      <c r="L120" s="199" t="str" cm="1">
        <f t="array" ref="L120">Common_InputFunctions.Utility_DisplayArrayInTable(Fertiliser_SourceData.Fertiliser_Products_Data1(),FertiliserProducts[[#Headers],[Include or Exclude]], 0,4)</f>
        <v/>
      </c>
      <c r="M120" s="199" t="str" cm="1">
        <f t="array" ref="M120">Common_InputFunctions.Utility_DisplayArrayInTable(Fertiliser_SourceData.Fertiliser_Products_Data1(),FertiliserProducts[[#Headers],[Include or Exclude]], 0,4)</f>
        <v/>
      </c>
      <c r="N120" s="199" t="str" cm="1">
        <f t="array" ref="N120">Common_InputFunctions.Utility_DisplayArrayInTable(Fertiliser_SourceData.Fertiliser_Products_Data1(),FertiliserProducts[[#Headers],[Include or Exclude]], 0,4)</f>
        <v/>
      </c>
      <c r="O120" s="199" t="str" cm="1">
        <f t="array" ref="O120">Common_InputFunctions.Utility_DisplayArrayInTable(Fertiliser_SourceData.Fertiliser_Products_Data1(),FertiliserProducts[[#Headers],[Include or Exclude]], 0,4)</f>
        <v/>
      </c>
      <c r="P120" s="199" t="str" cm="1">
        <f t="array" ref="P120">Common_InputFunctions.Utility_DisplayArrayInTable(Fertiliser_SourceData.Fertiliser_Products_Data1(),FertiliserProducts[[#Headers],[Include or Exclude]], 0,4)</f>
        <v/>
      </c>
      <c r="Q120" s="199" t="str" cm="1">
        <f t="array" ref="Q120">Common_InputFunctions.Utility_DisplayArrayInTable(Fertiliser_SourceData.Fertiliser_Products_Data1(),FertiliserProducts[[#Headers],[Include or Exclude]], 0,4)</f>
        <v/>
      </c>
      <c r="R120" s="199" t="str" cm="1">
        <f t="array" ref="R120">Common_InputFunctions.Utility_DisplayArrayInTable(Fertiliser_SourceData.Fertiliser_Products_Data1(),FertiliserProducts[[#Headers],[Include or Exclude]], 0,4)</f>
        <v/>
      </c>
      <c r="S120" s="199" t="str" cm="1">
        <f t="array" ref="S120">Common_InputFunctions.Utility_DisplayArrayInTable(Fertiliser_SourceData.Fertiliser_Products_Data1(),FertiliserProducts[[#Headers],[Include or Exclude]], 0,4)</f>
        <v/>
      </c>
      <c r="T120" s="199" t="str" cm="1">
        <f t="array" ref="T120">Common_InputFunctions.Utility_DisplayArrayInTable(Fertiliser_SourceData.Fertiliser_Products_Data1(),FertiliserProducts[[#Headers],[Include or Exclude]], 0,4)</f>
        <v/>
      </c>
      <c r="U120" s="199" t="str" cm="1">
        <f t="array" ref="U120">Common_InputFunctions.Utility_DisplayArrayInTable(Fertiliser_SourceData.Fertiliser_Products_Data1(),FertiliserProducts[[#Headers],[Include or Exclude]], 0,4)</f>
        <v/>
      </c>
      <c r="V120" s="199" t="str" cm="1">
        <f t="array" ref="V120">Common_InputFunctions.Utility_DisplayArrayInTable(Fertiliser_SourceData.Fertiliser_Products_Data1(),FertiliserProducts[[#Headers],[Include or Exclude]], 0,4)</f>
        <v/>
      </c>
      <c r="W120" s="199" t="str" cm="1">
        <f t="array" ref="W120">Common_InputFunctions.Utility_DisplayArrayInTable(Fertiliser_SourceData.Fertiliser_Products_Data1(),FertiliserProducts[[#Headers],[Include or Exclude]], 0,4)</f>
        <v/>
      </c>
      <c r="X120" s="199" t="str" cm="1">
        <f t="array" ref="X120">Common_InputFunctions.Utility_DisplayArrayInTable(Fertiliser_SourceData.Fertiliser_Products_Data1(),FertiliserProducts[[#Headers],[Include or Exclude]], 0,4)</f>
        <v/>
      </c>
      <c r="Y120" s="199" t="str" cm="1">
        <f t="array" ref="Y120">Common_InputFunctions.Utility_DisplayArrayInTable(Fertiliser_SourceData.Fertiliser_Products_Data1(),FertiliserProducts[[#Headers],[Include or Exclude]], 0,4)</f>
        <v/>
      </c>
      <c r="Z120" s="199" t="str" cm="1">
        <f t="array" ref="Z120">Common_InputFunctions.Utility_DisplayArrayInTable(Fertiliser_SourceData.Fertiliser_Products_Data1(),FertiliserProducts[[#Headers],[Include or Exclude]], 0,4)</f>
        <v/>
      </c>
      <c r="AA120" s="199" t="str" cm="1">
        <f t="array" ref="AA120">Common_InputFunctions.Utility_DisplayArrayInTable(Fertiliser_SourceData.Fertiliser_Products_Data1(),FertiliserProducts[[#Headers],[Include or Exclude]], 0,4)</f>
        <v/>
      </c>
      <c r="AB120" s="199" t="str" cm="1">
        <f t="array" ref="AB120">Common_InputFunctions.Utility_DisplayArrayInTable(Fertiliser_SourceData.Fertiliser_Products_Data1(),FertiliserProducts[[#Headers],[Include or Exclude]], 0,4)</f>
        <v/>
      </c>
      <c r="AC120" s="199" t="str" cm="1">
        <f t="array" ref="AC120">Common_InputFunctions.Utility_DisplayArrayInTable(Fertiliser_SourceData.Fertiliser_Products_Data1(),FertiliserProducts[[#Headers],[Include or Exclude]], 0,4)</f>
        <v/>
      </c>
      <c r="AD120" s="199" t="str" cm="1">
        <f t="array" ref="AD120">Common_InputFunctions.Utility_DisplayArrayInTable(Fertiliser_SourceData.Fertiliser_Products_Data1(),FertiliserProducts[[#Headers],[Include or Exclude]], 0,4)</f>
        <v/>
      </c>
      <c r="AE120" s="199" t="str" cm="1">
        <f t="array" ref="AE120">Common_InputFunctions.Utility_DisplayArrayInTable(Fertiliser_SourceData.Fertiliser_Products_Data1(),FertiliserProducts[[#Headers],[Include or Exclude]], 0,4)</f>
        <v/>
      </c>
    </row>
    <row r="121" spans="4:31" ht="20.100000000000001" customHeight="1" x14ac:dyDescent="0.25">
      <c r="D121" s="199" t="str" cm="1">
        <f t="array" ref="D121">Common_InputFunctions.Utility_DisplayArrayInTable(Fertiliser_SourceData.Fertiliser_Products_Data1(),FertiliserProducts[[#Headers],[Include or Exclude]], -1)</f>
        <v/>
      </c>
      <c r="E121" s="199" t="str" cm="1">
        <f t="array" ref="E121">Common_InputFunctions.Utility_DisplayArrayInTable(Fertiliser_SourceData.Fertiliser_Products_Data1(),FertiliserProducts[[#Headers],[Include or Exclude]], 0)</f>
        <v/>
      </c>
      <c r="F121" s="199" t="str" cm="1">
        <f t="array" ref="F121">Common_InputFunctions.Utility_DisplayArrayInTable(Fertiliser_SourceData.Fertiliser_Products_Data1(),FertiliserProducts[[#Headers],[Include or Exclude]], 0)</f>
        <v/>
      </c>
      <c r="G121" s="199" t="str" cm="1">
        <f t="array" ref="G121">Common_InputFunctions.Utility_DisplayArrayInTable(Fertiliser_SourceData.Fertiliser_Products_Data1(),FertiliserProducts[[#Headers],[Include or Exclude]], 0)</f>
        <v/>
      </c>
      <c r="H121" s="199" t="str" cm="1">
        <f t="array" ref="H121">Common_InputFunctions.Utility_DisplayArrayInTable(Fertiliser_SourceData.Fertiliser_Products_Data1(),FertiliserProducts[[#Headers],[Include or Exclude]], 0,4)</f>
        <v/>
      </c>
      <c r="I121" s="199" t="str" cm="1">
        <f t="array" ref="I121">Common_InputFunctions.Utility_DisplayArrayInTable(Fertiliser_SourceData.Fertiliser_Products_Data1(),FertiliserProducts[[#Headers],[Include or Exclude]], 0,4)</f>
        <v/>
      </c>
      <c r="J121" s="199" t="str" cm="1">
        <f t="array" ref="J121">Common_InputFunctions.Utility_DisplayArrayInTable(Fertiliser_SourceData.Fertiliser_Products_Data1(),FertiliserProducts[[#Headers],[Include or Exclude]], 0,4)</f>
        <v/>
      </c>
      <c r="K121" s="199" t="str" cm="1">
        <f t="array" ref="K121">Common_InputFunctions.Utility_DisplayArrayInTable(Fertiliser_SourceData.Fertiliser_Products_Data1(),FertiliserProducts[[#Headers],[Include or Exclude]], 0,4)</f>
        <v/>
      </c>
      <c r="L121" s="199" t="str" cm="1">
        <f t="array" ref="L121">Common_InputFunctions.Utility_DisplayArrayInTable(Fertiliser_SourceData.Fertiliser_Products_Data1(),FertiliserProducts[[#Headers],[Include or Exclude]], 0,4)</f>
        <v/>
      </c>
      <c r="M121" s="199" t="str" cm="1">
        <f t="array" ref="M121">Common_InputFunctions.Utility_DisplayArrayInTable(Fertiliser_SourceData.Fertiliser_Products_Data1(),FertiliserProducts[[#Headers],[Include or Exclude]], 0,4)</f>
        <v/>
      </c>
      <c r="N121" s="199" t="str" cm="1">
        <f t="array" ref="N121">Common_InputFunctions.Utility_DisplayArrayInTable(Fertiliser_SourceData.Fertiliser_Products_Data1(),FertiliserProducts[[#Headers],[Include or Exclude]], 0,4)</f>
        <v/>
      </c>
      <c r="O121" s="199" t="str" cm="1">
        <f t="array" ref="O121">Common_InputFunctions.Utility_DisplayArrayInTable(Fertiliser_SourceData.Fertiliser_Products_Data1(),FertiliserProducts[[#Headers],[Include or Exclude]], 0,4)</f>
        <v/>
      </c>
      <c r="P121" s="199" t="str" cm="1">
        <f t="array" ref="P121">Common_InputFunctions.Utility_DisplayArrayInTable(Fertiliser_SourceData.Fertiliser_Products_Data1(),FertiliserProducts[[#Headers],[Include or Exclude]], 0,4)</f>
        <v/>
      </c>
      <c r="Q121" s="199" t="str" cm="1">
        <f t="array" ref="Q121">Common_InputFunctions.Utility_DisplayArrayInTable(Fertiliser_SourceData.Fertiliser_Products_Data1(),FertiliserProducts[[#Headers],[Include or Exclude]], 0,4)</f>
        <v/>
      </c>
      <c r="R121" s="199" t="str" cm="1">
        <f t="array" ref="R121">Common_InputFunctions.Utility_DisplayArrayInTable(Fertiliser_SourceData.Fertiliser_Products_Data1(),FertiliserProducts[[#Headers],[Include or Exclude]], 0,4)</f>
        <v/>
      </c>
      <c r="S121" s="199" t="str" cm="1">
        <f t="array" ref="S121">Common_InputFunctions.Utility_DisplayArrayInTable(Fertiliser_SourceData.Fertiliser_Products_Data1(),FertiliserProducts[[#Headers],[Include or Exclude]], 0,4)</f>
        <v/>
      </c>
      <c r="T121" s="199" t="str" cm="1">
        <f t="array" ref="T121">Common_InputFunctions.Utility_DisplayArrayInTable(Fertiliser_SourceData.Fertiliser_Products_Data1(),FertiliserProducts[[#Headers],[Include or Exclude]], 0,4)</f>
        <v/>
      </c>
      <c r="U121" s="199" t="str" cm="1">
        <f t="array" ref="U121">Common_InputFunctions.Utility_DisplayArrayInTable(Fertiliser_SourceData.Fertiliser_Products_Data1(),FertiliserProducts[[#Headers],[Include or Exclude]], 0,4)</f>
        <v/>
      </c>
      <c r="V121" s="199" t="str" cm="1">
        <f t="array" ref="V121">Common_InputFunctions.Utility_DisplayArrayInTable(Fertiliser_SourceData.Fertiliser_Products_Data1(),FertiliserProducts[[#Headers],[Include or Exclude]], 0,4)</f>
        <v/>
      </c>
      <c r="W121" s="199" t="str" cm="1">
        <f t="array" ref="W121">Common_InputFunctions.Utility_DisplayArrayInTable(Fertiliser_SourceData.Fertiliser_Products_Data1(),FertiliserProducts[[#Headers],[Include or Exclude]], 0,4)</f>
        <v/>
      </c>
      <c r="X121" s="199" t="str" cm="1">
        <f t="array" ref="X121">Common_InputFunctions.Utility_DisplayArrayInTable(Fertiliser_SourceData.Fertiliser_Products_Data1(),FertiliserProducts[[#Headers],[Include or Exclude]], 0,4)</f>
        <v/>
      </c>
      <c r="Y121" s="199" t="str" cm="1">
        <f t="array" ref="Y121">Common_InputFunctions.Utility_DisplayArrayInTable(Fertiliser_SourceData.Fertiliser_Products_Data1(),FertiliserProducts[[#Headers],[Include or Exclude]], 0,4)</f>
        <v/>
      </c>
      <c r="Z121" s="199" t="str" cm="1">
        <f t="array" ref="Z121">Common_InputFunctions.Utility_DisplayArrayInTable(Fertiliser_SourceData.Fertiliser_Products_Data1(),FertiliserProducts[[#Headers],[Include or Exclude]], 0,4)</f>
        <v/>
      </c>
      <c r="AA121" s="199" t="str" cm="1">
        <f t="array" ref="AA121">Common_InputFunctions.Utility_DisplayArrayInTable(Fertiliser_SourceData.Fertiliser_Products_Data1(),FertiliserProducts[[#Headers],[Include or Exclude]], 0,4)</f>
        <v/>
      </c>
      <c r="AB121" s="199" t="str" cm="1">
        <f t="array" ref="AB121">Common_InputFunctions.Utility_DisplayArrayInTable(Fertiliser_SourceData.Fertiliser_Products_Data1(),FertiliserProducts[[#Headers],[Include or Exclude]], 0,4)</f>
        <v/>
      </c>
      <c r="AC121" s="199" t="str" cm="1">
        <f t="array" ref="AC121">Common_InputFunctions.Utility_DisplayArrayInTable(Fertiliser_SourceData.Fertiliser_Products_Data1(),FertiliserProducts[[#Headers],[Include or Exclude]], 0,4)</f>
        <v/>
      </c>
      <c r="AD121" s="199" t="str" cm="1">
        <f t="array" ref="AD121">Common_InputFunctions.Utility_DisplayArrayInTable(Fertiliser_SourceData.Fertiliser_Products_Data1(),FertiliserProducts[[#Headers],[Include or Exclude]], 0,4)</f>
        <v/>
      </c>
      <c r="AE121" s="199" t="str" cm="1">
        <f t="array" ref="AE121">Common_InputFunctions.Utility_DisplayArrayInTable(Fertiliser_SourceData.Fertiliser_Products_Data1(),FertiliserProducts[[#Headers],[Include or Exclude]], 0,4)</f>
        <v/>
      </c>
    </row>
    <row r="122" spans="4:31" ht="20.100000000000001" customHeight="1" x14ac:dyDescent="0.25">
      <c r="D122" s="199" t="str" cm="1">
        <f t="array" ref="D122">Common_InputFunctions.Utility_DisplayArrayInTable(Fertiliser_SourceData.Fertiliser_Products_Data1(),FertiliserProducts[[#Headers],[Include or Exclude]], -1)</f>
        <v/>
      </c>
      <c r="E122" s="199" t="str" cm="1">
        <f t="array" ref="E122">Common_InputFunctions.Utility_DisplayArrayInTable(Fertiliser_SourceData.Fertiliser_Products_Data1(),FertiliserProducts[[#Headers],[Include or Exclude]], 0)</f>
        <v/>
      </c>
      <c r="F122" s="199" t="str" cm="1">
        <f t="array" ref="F122">Common_InputFunctions.Utility_DisplayArrayInTable(Fertiliser_SourceData.Fertiliser_Products_Data1(),FertiliserProducts[[#Headers],[Include or Exclude]], 0)</f>
        <v/>
      </c>
      <c r="G122" s="199" t="str" cm="1">
        <f t="array" ref="G122">Common_InputFunctions.Utility_DisplayArrayInTable(Fertiliser_SourceData.Fertiliser_Products_Data1(),FertiliserProducts[[#Headers],[Include or Exclude]], 0)</f>
        <v/>
      </c>
      <c r="H122" s="199" t="str" cm="1">
        <f t="array" ref="H122">Common_InputFunctions.Utility_DisplayArrayInTable(Fertiliser_SourceData.Fertiliser_Products_Data1(),FertiliserProducts[[#Headers],[Include or Exclude]], 0,4)</f>
        <v/>
      </c>
      <c r="I122" s="199" t="str" cm="1">
        <f t="array" ref="I122">Common_InputFunctions.Utility_DisplayArrayInTable(Fertiliser_SourceData.Fertiliser_Products_Data1(),FertiliserProducts[[#Headers],[Include or Exclude]], 0,4)</f>
        <v/>
      </c>
      <c r="J122" s="199" t="str" cm="1">
        <f t="array" ref="J122">Common_InputFunctions.Utility_DisplayArrayInTable(Fertiliser_SourceData.Fertiliser_Products_Data1(),FertiliserProducts[[#Headers],[Include or Exclude]], 0,4)</f>
        <v/>
      </c>
      <c r="K122" s="199" t="str" cm="1">
        <f t="array" ref="K122">Common_InputFunctions.Utility_DisplayArrayInTable(Fertiliser_SourceData.Fertiliser_Products_Data1(),FertiliserProducts[[#Headers],[Include or Exclude]], 0,4)</f>
        <v/>
      </c>
      <c r="L122" s="199" t="str" cm="1">
        <f t="array" ref="L122">Common_InputFunctions.Utility_DisplayArrayInTable(Fertiliser_SourceData.Fertiliser_Products_Data1(),FertiliserProducts[[#Headers],[Include or Exclude]], 0,4)</f>
        <v/>
      </c>
      <c r="M122" s="199" t="str" cm="1">
        <f t="array" ref="M122">Common_InputFunctions.Utility_DisplayArrayInTable(Fertiliser_SourceData.Fertiliser_Products_Data1(),FertiliserProducts[[#Headers],[Include or Exclude]], 0,4)</f>
        <v/>
      </c>
      <c r="N122" s="199" t="str" cm="1">
        <f t="array" ref="N122">Common_InputFunctions.Utility_DisplayArrayInTable(Fertiliser_SourceData.Fertiliser_Products_Data1(),FertiliserProducts[[#Headers],[Include or Exclude]], 0,4)</f>
        <v/>
      </c>
      <c r="O122" s="199" t="str" cm="1">
        <f t="array" ref="O122">Common_InputFunctions.Utility_DisplayArrayInTable(Fertiliser_SourceData.Fertiliser_Products_Data1(),FertiliserProducts[[#Headers],[Include or Exclude]], 0,4)</f>
        <v/>
      </c>
      <c r="P122" s="199" t="str" cm="1">
        <f t="array" ref="P122">Common_InputFunctions.Utility_DisplayArrayInTable(Fertiliser_SourceData.Fertiliser_Products_Data1(),FertiliserProducts[[#Headers],[Include or Exclude]], 0,4)</f>
        <v/>
      </c>
      <c r="Q122" s="199" t="str" cm="1">
        <f t="array" ref="Q122">Common_InputFunctions.Utility_DisplayArrayInTable(Fertiliser_SourceData.Fertiliser_Products_Data1(),FertiliserProducts[[#Headers],[Include or Exclude]], 0,4)</f>
        <v/>
      </c>
      <c r="R122" s="199" t="str" cm="1">
        <f t="array" ref="R122">Common_InputFunctions.Utility_DisplayArrayInTable(Fertiliser_SourceData.Fertiliser_Products_Data1(),FertiliserProducts[[#Headers],[Include or Exclude]], 0,4)</f>
        <v/>
      </c>
      <c r="S122" s="199" t="str" cm="1">
        <f t="array" ref="S122">Common_InputFunctions.Utility_DisplayArrayInTable(Fertiliser_SourceData.Fertiliser_Products_Data1(),FertiliserProducts[[#Headers],[Include or Exclude]], 0,4)</f>
        <v/>
      </c>
      <c r="T122" s="199" t="str" cm="1">
        <f t="array" ref="T122">Common_InputFunctions.Utility_DisplayArrayInTable(Fertiliser_SourceData.Fertiliser_Products_Data1(),FertiliserProducts[[#Headers],[Include or Exclude]], 0,4)</f>
        <v/>
      </c>
      <c r="U122" s="199" t="str" cm="1">
        <f t="array" ref="U122">Common_InputFunctions.Utility_DisplayArrayInTable(Fertiliser_SourceData.Fertiliser_Products_Data1(),FertiliserProducts[[#Headers],[Include or Exclude]], 0,4)</f>
        <v/>
      </c>
      <c r="V122" s="199" t="str" cm="1">
        <f t="array" ref="V122">Common_InputFunctions.Utility_DisplayArrayInTable(Fertiliser_SourceData.Fertiliser_Products_Data1(),FertiliserProducts[[#Headers],[Include or Exclude]], 0,4)</f>
        <v/>
      </c>
      <c r="W122" s="199" t="str" cm="1">
        <f t="array" ref="W122">Common_InputFunctions.Utility_DisplayArrayInTable(Fertiliser_SourceData.Fertiliser_Products_Data1(),FertiliserProducts[[#Headers],[Include or Exclude]], 0,4)</f>
        <v/>
      </c>
      <c r="X122" s="199" t="str" cm="1">
        <f t="array" ref="X122">Common_InputFunctions.Utility_DisplayArrayInTable(Fertiliser_SourceData.Fertiliser_Products_Data1(),FertiliserProducts[[#Headers],[Include or Exclude]], 0,4)</f>
        <v/>
      </c>
      <c r="Y122" s="199" t="str" cm="1">
        <f t="array" ref="Y122">Common_InputFunctions.Utility_DisplayArrayInTable(Fertiliser_SourceData.Fertiliser_Products_Data1(),FertiliserProducts[[#Headers],[Include or Exclude]], 0,4)</f>
        <v/>
      </c>
      <c r="Z122" s="199" t="str" cm="1">
        <f t="array" ref="Z122">Common_InputFunctions.Utility_DisplayArrayInTable(Fertiliser_SourceData.Fertiliser_Products_Data1(),FertiliserProducts[[#Headers],[Include or Exclude]], 0,4)</f>
        <v/>
      </c>
      <c r="AA122" s="199" t="str" cm="1">
        <f t="array" ref="AA122">Common_InputFunctions.Utility_DisplayArrayInTable(Fertiliser_SourceData.Fertiliser_Products_Data1(),FertiliserProducts[[#Headers],[Include or Exclude]], 0,4)</f>
        <v/>
      </c>
      <c r="AB122" s="199" t="str" cm="1">
        <f t="array" ref="AB122">Common_InputFunctions.Utility_DisplayArrayInTable(Fertiliser_SourceData.Fertiliser_Products_Data1(),FertiliserProducts[[#Headers],[Include or Exclude]], 0,4)</f>
        <v/>
      </c>
      <c r="AC122" s="199" t="str" cm="1">
        <f t="array" ref="AC122">Common_InputFunctions.Utility_DisplayArrayInTable(Fertiliser_SourceData.Fertiliser_Products_Data1(),FertiliserProducts[[#Headers],[Include or Exclude]], 0,4)</f>
        <v/>
      </c>
      <c r="AD122" s="199" t="str" cm="1">
        <f t="array" ref="AD122">Common_InputFunctions.Utility_DisplayArrayInTable(Fertiliser_SourceData.Fertiliser_Products_Data1(),FertiliserProducts[[#Headers],[Include or Exclude]], 0,4)</f>
        <v/>
      </c>
      <c r="AE122" s="199" t="str" cm="1">
        <f t="array" ref="AE122">Common_InputFunctions.Utility_DisplayArrayInTable(Fertiliser_SourceData.Fertiliser_Products_Data1(),FertiliserProducts[[#Headers],[Include or Exclude]], 0,4)</f>
        <v/>
      </c>
    </row>
    <row r="123" spans="4:31" ht="20.100000000000001" customHeight="1" x14ac:dyDescent="0.25">
      <c r="D123" s="199" t="str" cm="1">
        <f t="array" ref="D123">Common_InputFunctions.Utility_DisplayArrayInTable(Fertiliser_SourceData.Fertiliser_Products_Data1(),FertiliserProducts[[#Headers],[Include or Exclude]], -1)</f>
        <v/>
      </c>
      <c r="E123" s="199" t="str" cm="1">
        <f t="array" ref="E123">Common_InputFunctions.Utility_DisplayArrayInTable(Fertiliser_SourceData.Fertiliser_Products_Data1(),FertiliserProducts[[#Headers],[Include or Exclude]], 0)</f>
        <v/>
      </c>
      <c r="F123" s="199" t="str" cm="1">
        <f t="array" ref="F123">Common_InputFunctions.Utility_DisplayArrayInTable(Fertiliser_SourceData.Fertiliser_Products_Data1(),FertiliserProducts[[#Headers],[Include or Exclude]], 0)</f>
        <v/>
      </c>
      <c r="G123" s="199" t="str" cm="1">
        <f t="array" ref="G123">Common_InputFunctions.Utility_DisplayArrayInTable(Fertiliser_SourceData.Fertiliser_Products_Data1(),FertiliserProducts[[#Headers],[Include or Exclude]], 0)</f>
        <v/>
      </c>
      <c r="H123" s="199" t="str" cm="1">
        <f t="array" ref="H123">Common_InputFunctions.Utility_DisplayArrayInTable(Fertiliser_SourceData.Fertiliser_Products_Data1(),FertiliserProducts[[#Headers],[Include or Exclude]], 0,4)</f>
        <v/>
      </c>
      <c r="I123" s="199" t="str" cm="1">
        <f t="array" ref="I123">Common_InputFunctions.Utility_DisplayArrayInTable(Fertiliser_SourceData.Fertiliser_Products_Data1(),FertiliserProducts[[#Headers],[Include or Exclude]], 0,4)</f>
        <v/>
      </c>
      <c r="J123" s="199" t="str" cm="1">
        <f t="array" ref="J123">Common_InputFunctions.Utility_DisplayArrayInTable(Fertiliser_SourceData.Fertiliser_Products_Data1(),FertiliserProducts[[#Headers],[Include or Exclude]], 0,4)</f>
        <v/>
      </c>
      <c r="K123" s="199" t="str" cm="1">
        <f t="array" ref="K123">Common_InputFunctions.Utility_DisplayArrayInTable(Fertiliser_SourceData.Fertiliser_Products_Data1(),FertiliserProducts[[#Headers],[Include or Exclude]], 0,4)</f>
        <v/>
      </c>
      <c r="L123" s="199" t="str" cm="1">
        <f t="array" ref="L123">Common_InputFunctions.Utility_DisplayArrayInTable(Fertiliser_SourceData.Fertiliser_Products_Data1(),FertiliserProducts[[#Headers],[Include or Exclude]], 0,4)</f>
        <v/>
      </c>
      <c r="M123" s="199" t="str" cm="1">
        <f t="array" ref="M123">Common_InputFunctions.Utility_DisplayArrayInTable(Fertiliser_SourceData.Fertiliser_Products_Data1(),FertiliserProducts[[#Headers],[Include or Exclude]], 0,4)</f>
        <v/>
      </c>
      <c r="N123" s="199" t="str" cm="1">
        <f t="array" ref="N123">Common_InputFunctions.Utility_DisplayArrayInTable(Fertiliser_SourceData.Fertiliser_Products_Data1(),FertiliserProducts[[#Headers],[Include or Exclude]], 0,4)</f>
        <v/>
      </c>
      <c r="O123" s="199" t="str" cm="1">
        <f t="array" ref="O123">Common_InputFunctions.Utility_DisplayArrayInTable(Fertiliser_SourceData.Fertiliser_Products_Data1(),FertiliserProducts[[#Headers],[Include or Exclude]], 0,4)</f>
        <v/>
      </c>
      <c r="P123" s="199" t="str" cm="1">
        <f t="array" ref="P123">Common_InputFunctions.Utility_DisplayArrayInTable(Fertiliser_SourceData.Fertiliser_Products_Data1(),FertiliserProducts[[#Headers],[Include or Exclude]], 0,4)</f>
        <v/>
      </c>
      <c r="Q123" s="199" t="str" cm="1">
        <f t="array" ref="Q123">Common_InputFunctions.Utility_DisplayArrayInTable(Fertiliser_SourceData.Fertiliser_Products_Data1(),FertiliserProducts[[#Headers],[Include or Exclude]], 0,4)</f>
        <v/>
      </c>
      <c r="R123" s="199" t="str" cm="1">
        <f t="array" ref="R123">Common_InputFunctions.Utility_DisplayArrayInTable(Fertiliser_SourceData.Fertiliser_Products_Data1(),FertiliserProducts[[#Headers],[Include or Exclude]], 0,4)</f>
        <v/>
      </c>
      <c r="S123" s="199" t="str" cm="1">
        <f t="array" ref="S123">Common_InputFunctions.Utility_DisplayArrayInTable(Fertiliser_SourceData.Fertiliser_Products_Data1(),FertiliserProducts[[#Headers],[Include or Exclude]], 0,4)</f>
        <v/>
      </c>
      <c r="T123" s="199" t="str" cm="1">
        <f t="array" ref="T123">Common_InputFunctions.Utility_DisplayArrayInTable(Fertiliser_SourceData.Fertiliser_Products_Data1(),FertiliserProducts[[#Headers],[Include or Exclude]], 0,4)</f>
        <v/>
      </c>
      <c r="U123" s="199" t="str" cm="1">
        <f t="array" ref="U123">Common_InputFunctions.Utility_DisplayArrayInTable(Fertiliser_SourceData.Fertiliser_Products_Data1(),FertiliserProducts[[#Headers],[Include or Exclude]], 0,4)</f>
        <v/>
      </c>
      <c r="V123" s="199" t="str" cm="1">
        <f t="array" ref="V123">Common_InputFunctions.Utility_DisplayArrayInTable(Fertiliser_SourceData.Fertiliser_Products_Data1(),FertiliserProducts[[#Headers],[Include or Exclude]], 0,4)</f>
        <v/>
      </c>
      <c r="W123" s="199" t="str" cm="1">
        <f t="array" ref="W123">Common_InputFunctions.Utility_DisplayArrayInTable(Fertiliser_SourceData.Fertiliser_Products_Data1(),FertiliserProducts[[#Headers],[Include or Exclude]], 0,4)</f>
        <v/>
      </c>
      <c r="X123" s="199" t="str" cm="1">
        <f t="array" ref="X123">Common_InputFunctions.Utility_DisplayArrayInTable(Fertiliser_SourceData.Fertiliser_Products_Data1(),FertiliserProducts[[#Headers],[Include or Exclude]], 0,4)</f>
        <v/>
      </c>
      <c r="Y123" s="199" t="str" cm="1">
        <f t="array" ref="Y123">Common_InputFunctions.Utility_DisplayArrayInTable(Fertiliser_SourceData.Fertiliser_Products_Data1(),FertiliserProducts[[#Headers],[Include or Exclude]], 0,4)</f>
        <v/>
      </c>
      <c r="Z123" s="199" t="str" cm="1">
        <f t="array" ref="Z123">Common_InputFunctions.Utility_DisplayArrayInTable(Fertiliser_SourceData.Fertiliser_Products_Data1(),FertiliserProducts[[#Headers],[Include or Exclude]], 0,4)</f>
        <v/>
      </c>
      <c r="AA123" s="199" t="str" cm="1">
        <f t="array" ref="AA123">Common_InputFunctions.Utility_DisplayArrayInTable(Fertiliser_SourceData.Fertiliser_Products_Data1(),FertiliserProducts[[#Headers],[Include or Exclude]], 0,4)</f>
        <v/>
      </c>
      <c r="AB123" s="199" t="str" cm="1">
        <f t="array" ref="AB123">Common_InputFunctions.Utility_DisplayArrayInTable(Fertiliser_SourceData.Fertiliser_Products_Data1(),FertiliserProducts[[#Headers],[Include or Exclude]], 0,4)</f>
        <v/>
      </c>
      <c r="AC123" s="199" t="str" cm="1">
        <f t="array" ref="AC123">Common_InputFunctions.Utility_DisplayArrayInTable(Fertiliser_SourceData.Fertiliser_Products_Data1(),FertiliserProducts[[#Headers],[Include or Exclude]], 0,4)</f>
        <v/>
      </c>
      <c r="AD123" s="199" t="str" cm="1">
        <f t="array" ref="AD123">Common_InputFunctions.Utility_DisplayArrayInTable(Fertiliser_SourceData.Fertiliser_Products_Data1(),FertiliserProducts[[#Headers],[Include or Exclude]], 0,4)</f>
        <v/>
      </c>
      <c r="AE123" s="199" t="str" cm="1">
        <f t="array" ref="AE123">Common_InputFunctions.Utility_DisplayArrayInTable(Fertiliser_SourceData.Fertiliser_Products_Data1(),FertiliserProducts[[#Headers],[Include or Exclude]], 0,4)</f>
        <v/>
      </c>
    </row>
    <row r="124" spans="4:31" ht="20.100000000000001" customHeight="1" x14ac:dyDescent="0.25">
      <c r="D124" s="199" t="str" cm="1">
        <f t="array" ref="D124">Common_InputFunctions.Utility_DisplayArrayInTable(Fertiliser_SourceData.Fertiliser_Products_Data1(),FertiliserProducts[[#Headers],[Include or Exclude]], -1)</f>
        <v/>
      </c>
      <c r="E124" s="199" t="str" cm="1">
        <f t="array" ref="E124">Common_InputFunctions.Utility_DisplayArrayInTable(Fertiliser_SourceData.Fertiliser_Products_Data1(),FertiliserProducts[[#Headers],[Include or Exclude]], 0)</f>
        <v/>
      </c>
      <c r="F124" s="199" t="str" cm="1">
        <f t="array" ref="F124">Common_InputFunctions.Utility_DisplayArrayInTable(Fertiliser_SourceData.Fertiliser_Products_Data1(),FertiliserProducts[[#Headers],[Include or Exclude]], 0)</f>
        <v/>
      </c>
      <c r="G124" s="199" t="str" cm="1">
        <f t="array" ref="G124">Common_InputFunctions.Utility_DisplayArrayInTable(Fertiliser_SourceData.Fertiliser_Products_Data1(),FertiliserProducts[[#Headers],[Include or Exclude]], 0)</f>
        <v/>
      </c>
      <c r="H124" s="199" t="str" cm="1">
        <f t="array" ref="H124">Common_InputFunctions.Utility_DisplayArrayInTable(Fertiliser_SourceData.Fertiliser_Products_Data1(),FertiliserProducts[[#Headers],[Include or Exclude]], 0,4)</f>
        <v/>
      </c>
      <c r="I124" s="199" t="str" cm="1">
        <f t="array" ref="I124">Common_InputFunctions.Utility_DisplayArrayInTable(Fertiliser_SourceData.Fertiliser_Products_Data1(),FertiliserProducts[[#Headers],[Include or Exclude]], 0,4)</f>
        <v/>
      </c>
      <c r="J124" s="199" t="str" cm="1">
        <f t="array" ref="J124">Common_InputFunctions.Utility_DisplayArrayInTable(Fertiliser_SourceData.Fertiliser_Products_Data1(),FertiliserProducts[[#Headers],[Include or Exclude]], 0,4)</f>
        <v/>
      </c>
      <c r="K124" s="199" t="str" cm="1">
        <f t="array" ref="K124">Common_InputFunctions.Utility_DisplayArrayInTable(Fertiliser_SourceData.Fertiliser_Products_Data1(),FertiliserProducts[[#Headers],[Include or Exclude]], 0,4)</f>
        <v/>
      </c>
      <c r="L124" s="199" t="str" cm="1">
        <f t="array" ref="L124">Common_InputFunctions.Utility_DisplayArrayInTable(Fertiliser_SourceData.Fertiliser_Products_Data1(),FertiliserProducts[[#Headers],[Include or Exclude]], 0,4)</f>
        <v/>
      </c>
      <c r="M124" s="199" t="str" cm="1">
        <f t="array" ref="M124">Common_InputFunctions.Utility_DisplayArrayInTable(Fertiliser_SourceData.Fertiliser_Products_Data1(),FertiliserProducts[[#Headers],[Include or Exclude]], 0,4)</f>
        <v/>
      </c>
      <c r="N124" s="199" t="str" cm="1">
        <f t="array" ref="N124">Common_InputFunctions.Utility_DisplayArrayInTable(Fertiliser_SourceData.Fertiliser_Products_Data1(),FertiliserProducts[[#Headers],[Include or Exclude]], 0,4)</f>
        <v/>
      </c>
      <c r="O124" s="199" t="str" cm="1">
        <f t="array" ref="O124">Common_InputFunctions.Utility_DisplayArrayInTable(Fertiliser_SourceData.Fertiliser_Products_Data1(),FertiliserProducts[[#Headers],[Include or Exclude]], 0,4)</f>
        <v/>
      </c>
      <c r="P124" s="199" t="str" cm="1">
        <f t="array" ref="P124">Common_InputFunctions.Utility_DisplayArrayInTable(Fertiliser_SourceData.Fertiliser_Products_Data1(),FertiliserProducts[[#Headers],[Include or Exclude]], 0,4)</f>
        <v/>
      </c>
      <c r="Q124" s="199" t="str" cm="1">
        <f t="array" ref="Q124">Common_InputFunctions.Utility_DisplayArrayInTable(Fertiliser_SourceData.Fertiliser_Products_Data1(),FertiliserProducts[[#Headers],[Include or Exclude]], 0,4)</f>
        <v/>
      </c>
      <c r="R124" s="199" t="str" cm="1">
        <f t="array" ref="R124">Common_InputFunctions.Utility_DisplayArrayInTable(Fertiliser_SourceData.Fertiliser_Products_Data1(),FertiliserProducts[[#Headers],[Include or Exclude]], 0,4)</f>
        <v/>
      </c>
      <c r="S124" s="199" t="str" cm="1">
        <f t="array" ref="S124">Common_InputFunctions.Utility_DisplayArrayInTable(Fertiliser_SourceData.Fertiliser_Products_Data1(),FertiliserProducts[[#Headers],[Include or Exclude]], 0,4)</f>
        <v/>
      </c>
      <c r="T124" s="199" t="str" cm="1">
        <f t="array" ref="T124">Common_InputFunctions.Utility_DisplayArrayInTable(Fertiliser_SourceData.Fertiliser_Products_Data1(),FertiliserProducts[[#Headers],[Include or Exclude]], 0,4)</f>
        <v/>
      </c>
      <c r="U124" s="199" t="str" cm="1">
        <f t="array" ref="U124">Common_InputFunctions.Utility_DisplayArrayInTable(Fertiliser_SourceData.Fertiliser_Products_Data1(),FertiliserProducts[[#Headers],[Include or Exclude]], 0,4)</f>
        <v/>
      </c>
      <c r="V124" s="199" t="str" cm="1">
        <f t="array" ref="V124">Common_InputFunctions.Utility_DisplayArrayInTable(Fertiliser_SourceData.Fertiliser_Products_Data1(),FertiliserProducts[[#Headers],[Include or Exclude]], 0,4)</f>
        <v/>
      </c>
      <c r="W124" s="199" t="str" cm="1">
        <f t="array" ref="W124">Common_InputFunctions.Utility_DisplayArrayInTable(Fertiliser_SourceData.Fertiliser_Products_Data1(),FertiliserProducts[[#Headers],[Include or Exclude]], 0,4)</f>
        <v/>
      </c>
      <c r="X124" s="199" t="str" cm="1">
        <f t="array" ref="X124">Common_InputFunctions.Utility_DisplayArrayInTable(Fertiliser_SourceData.Fertiliser_Products_Data1(),FertiliserProducts[[#Headers],[Include or Exclude]], 0,4)</f>
        <v/>
      </c>
      <c r="Y124" s="199" t="str" cm="1">
        <f t="array" ref="Y124">Common_InputFunctions.Utility_DisplayArrayInTable(Fertiliser_SourceData.Fertiliser_Products_Data1(),FertiliserProducts[[#Headers],[Include or Exclude]], 0,4)</f>
        <v/>
      </c>
      <c r="Z124" s="199" t="str" cm="1">
        <f t="array" ref="Z124">Common_InputFunctions.Utility_DisplayArrayInTable(Fertiliser_SourceData.Fertiliser_Products_Data1(),FertiliserProducts[[#Headers],[Include or Exclude]], 0,4)</f>
        <v/>
      </c>
      <c r="AA124" s="199" t="str" cm="1">
        <f t="array" ref="AA124">Common_InputFunctions.Utility_DisplayArrayInTable(Fertiliser_SourceData.Fertiliser_Products_Data1(),FertiliserProducts[[#Headers],[Include or Exclude]], 0,4)</f>
        <v/>
      </c>
      <c r="AB124" s="199" t="str" cm="1">
        <f t="array" ref="AB124">Common_InputFunctions.Utility_DisplayArrayInTable(Fertiliser_SourceData.Fertiliser_Products_Data1(),FertiliserProducts[[#Headers],[Include or Exclude]], 0,4)</f>
        <v/>
      </c>
      <c r="AC124" s="199" t="str" cm="1">
        <f t="array" ref="AC124">Common_InputFunctions.Utility_DisplayArrayInTable(Fertiliser_SourceData.Fertiliser_Products_Data1(),FertiliserProducts[[#Headers],[Include or Exclude]], 0,4)</f>
        <v/>
      </c>
      <c r="AD124" s="199" t="str" cm="1">
        <f t="array" ref="AD124">Common_InputFunctions.Utility_DisplayArrayInTable(Fertiliser_SourceData.Fertiliser_Products_Data1(),FertiliserProducts[[#Headers],[Include or Exclude]], 0,4)</f>
        <v/>
      </c>
      <c r="AE124" s="199" t="str" cm="1">
        <f t="array" ref="AE124">Common_InputFunctions.Utility_DisplayArrayInTable(Fertiliser_SourceData.Fertiliser_Products_Data1(),FertiliserProducts[[#Headers],[Include or Exclude]], 0,4)</f>
        <v/>
      </c>
    </row>
    <row r="125" spans="4:31" ht="20.100000000000001" customHeight="1" x14ac:dyDescent="0.25">
      <c r="D125" s="199" t="str" cm="1">
        <f t="array" ref="D125">Common_InputFunctions.Utility_DisplayArrayInTable(Fertiliser_SourceData.Fertiliser_Products_Data1(),FertiliserProducts[[#Headers],[Include or Exclude]], -1)</f>
        <v/>
      </c>
      <c r="E125" s="199" t="str" cm="1">
        <f t="array" ref="E125">Common_InputFunctions.Utility_DisplayArrayInTable(Fertiliser_SourceData.Fertiliser_Products_Data1(),FertiliserProducts[[#Headers],[Include or Exclude]], 0)</f>
        <v/>
      </c>
      <c r="F125" s="199" t="str" cm="1">
        <f t="array" ref="F125">Common_InputFunctions.Utility_DisplayArrayInTable(Fertiliser_SourceData.Fertiliser_Products_Data1(),FertiliserProducts[[#Headers],[Include or Exclude]], 0)</f>
        <v/>
      </c>
      <c r="G125" s="199" t="str" cm="1">
        <f t="array" ref="G125">Common_InputFunctions.Utility_DisplayArrayInTable(Fertiliser_SourceData.Fertiliser_Products_Data1(),FertiliserProducts[[#Headers],[Include or Exclude]], 0)</f>
        <v/>
      </c>
      <c r="H125" s="199" t="str" cm="1">
        <f t="array" ref="H125">Common_InputFunctions.Utility_DisplayArrayInTable(Fertiliser_SourceData.Fertiliser_Products_Data1(),FertiliserProducts[[#Headers],[Include or Exclude]], 0,4)</f>
        <v/>
      </c>
      <c r="I125" s="199" t="str" cm="1">
        <f t="array" ref="I125">Common_InputFunctions.Utility_DisplayArrayInTable(Fertiliser_SourceData.Fertiliser_Products_Data1(),FertiliserProducts[[#Headers],[Include or Exclude]], 0,4)</f>
        <v/>
      </c>
      <c r="J125" s="199" t="str" cm="1">
        <f t="array" ref="J125">Common_InputFunctions.Utility_DisplayArrayInTable(Fertiliser_SourceData.Fertiliser_Products_Data1(),FertiliserProducts[[#Headers],[Include or Exclude]], 0,4)</f>
        <v/>
      </c>
      <c r="K125" s="199" t="str" cm="1">
        <f t="array" ref="K125">Common_InputFunctions.Utility_DisplayArrayInTable(Fertiliser_SourceData.Fertiliser_Products_Data1(),FertiliserProducts[[#Headers],[Include or Exclude]], 0,4)</f>
        <v/>
      </c>
      <c r="L125" s="199" t="str" cm="1">
        <f t="array" ref="L125">Common_InputFunctions.Utility_DisplayArrayInTable(Fertiliser_SourceData.Fertiliser_Products_Data1(),FertiliserProducts[[#Headers],[Include or Exclude]], 0,4)</f>
        <v/>
      </c>
      <c r="M125" s="199" t="str" cm="1">
        <f t="array" ref="M125">Common_InputFunctions.Utility_DisplayArrayInTable(Fertiliser_SourceData.Fertiliser_Products_Data1(),FertiliserProducts[[#Headers],[Include or Exclude]], 0,4)</f>
        <v/>
      </c>
      <c r="N125" s="199" t="str" cm="1">
        <f t="array" ref="N125">Common_InputFunctions.Utility_DisplayArrayInTable(Fertiliser_SourceData.Fertiliser_Products_Data1(),FertiliserProducts[[#Headers],[Include or Exclude]], 0,4)</f>
        <v/>
      </c>
      <c r="O125" s="199" t="str" cm="1">
        <f t="array" ref="O125">Common_InputFunctions.Utility_DisplayArrayInTable(Fertiliser_SourceData.Fertiliser_Products_Data1(),FertiliserProducts[[#Headers],[Include or Exclude]], 0,4)</f>
        <v/>
      </c>
      <c r="P125" s="199" t="str" cm="1">
        <f t="array" ref="P125">Common_InputFunctions.Utility_DisplayArrayInTable(Fertiliser_SourceData.Fertiliser_Products_Data1(),FertiliserProducts[[#Headers],[Include or Exclude]], 0,4)</f>
        <v/>
      </c>
      <c r="Q125" s="199" t="str" cm="1">
        <f t="array" ref="Q125">Common_InputFunctions.Utility_DisplayArrayInTable(Fertiliser_SourceData.Fertiliser_Products_Data1(),FertiliserProducts[[#Headers],[Include or Exclude]], 0,4)</f>
        <v/>
      </c>
      <c r="R125" s="199" t="str" cm="1">
        <f t="array" ref="R125">Common_InputFunctions.Utility_DisplayArrayInTable(Fertiliser_SourceData.Fertiliser_Products_Data1(),FertiliserProducts[[#Headers],[Include or Exclude]], 0,4)</f>
        <v/>
      </c>
      <c r="S125" s="199" t="str" cm="1">
        <f t="array" ref="S125">Common_InputFunctions.Utility_DisplayArrayInTable(Fertiliser_SourceData.Fertiliser_Products_Data1(),FertiliserProducts[[#Headers],[Include or Exclude]], 0,4)</f>
        <v/>
      </c>
      <c r="T125" s="199" t="str" cm="1">
        <f t="array" ref="T125">Common_InputFunctions.Utility_DisplayArrayInTable(Fertiliser_SourceData.Fertiliser_Products_Data1(),FertiliserProducts[[#Headers],[Include or Exclude]], 0,4)</f>
        <v/>
      </c>
      <c r="U125" s="199" t="str" cm="1">
        <f t="array" ref="U125">Common_InputFunctions.Utility_DisplayArrayInTable(Fertiliser_SourceData.Fertiliser_Products_Data1(),FertiliserProducts[[#Headers],[Include or Exclude]], 0,4)</f>
        <v/>
      </c>
      <c r="V125" s="199" t="str" cm="1">
        <f t="array" ref="V125">Common_InputFunctions.Utility_DisplayArrayInTable(Fertiliser_SourceData.Fertiliser_Products_Data1(),FertiliserProducts[[#Headers],[Include or Exclude]], 0,4)</f>
        <v/>
      </c>
      <c r="W125" s="199" t="str" cm="1">
        <f t="array" ref="W125">Common_InputFunctions.Utility_DisplayArrayInTable(Fertiliser_SourceData.Fertiliser_Products_Data1(),FertiliserProducts[[#Headers],[Include or Exclude]], 0,4)</f>
        <v/>
      </c>
      <c r="X125" s="199" t="str" cm="1">
        <f t="array" ref="X125">Common_InputFunctions.Utility_DisplayArrayInTable(Fertiliser_SourceData.Fertiliser_Products_Data1(),FertiliserProducts[[#Headers],[Include or Exclude]], 0,4)</f>
        <v/>
      </c>
      <c r="Y125" s="199" t="str" cm="1">
        <f t="array" ref="Y125">Common_InputFunctions.Utility_DisplayArrayInTable(Fertiliser_SourceData.Fertiliser_Products_Data1(),FertiliserProducts[[#Headers],[Include or Exclude]], 0,4)</f>
        <v/>
      </c>
      <c r="Z125" s="199" t="str" cm="1">
        <f t="array" ref="Z125">Common_InputFunctions.Utility_DisplayArrayInTable(Fertiliser_SourceData.Fertiliser_Products_Data1(),FertiliserProducts[[#Headers],[Include or Exclude]], 0,4)</f>
        <v/>
      </c>
      <c r="AA125" s="199" t="str" cm="1">
        <f t="array" ref="AA125">Common_InputFunctions.Utility_DisplayArrayInTable(Fertiliser_SourceData.Fertiliser_Products_Data1(),FertiliserProducts[[#Headers],[Include or Exclude]], 0,4)</f>
        <v/>
      </c>
      <c r="AB125" s="199" t="str" cm="1">
        <f t="array" ref="AB125">Common_InputFunctions.Utility_DisplayArrayInTable(Fertiliser_SourceData.Fertiliser_Products_Data1(),FertiliserProducts[[#Headers],[Include or Exclude]], 0,4)</f>
        <v/>
      </c>
      <c r="AC125" s="199" t="str" cm="1">
        <f t="array" ref="AC125">Common_InputFunctions.Utility_DisplayArrayInTable(Fertiliser_SourceData.Fertiliser_Products_Data1(),FertiliserProducts[[#Headers],[Include or Exclude]], 0,4)</f>
        <v/>
      </c>
      <c r="AD125" s="199" t="str" cm="1">
        <f t="array" ref="AD125">Common_InputFunctions.Utility_DisplayArrayInTable(Fertiliser_SourceData.Fertiliser_Products_Data1(),FertiliserProducts[[#Headers],[Include or Exclude]], 0,4)</f>
        <v/>
      </c>
      <c r="AE125" s="199" t="str" cm="1">
        <f t="array" ref="AE125">Common_InputFunctions.Utility_DisplayArrayInTable(Fertiliser_SourceData.Fertiliser_Products_Data1(),FertiliserProducts[[#Headers],[Include or Exclude]], 0,4)</f>
        <v/>
      </c>
    </row>
    <row r="126" spans="4:31" ht="20.100000000000001" customHeight="1" x14ac:dyDescent="0.25">
      <c r="D126" s="199" t="str" cm="1">
        <f t="array" ref="D126">Common_InputFunctions.Utility_DisplayArrayInTable(Fertiliser_SourceData.Fertiliser_Products_Data1(),FertiliserProducts[[#Headers],[Include or Exclude]], -1)</f>
        <v/>
      </c>
      <c r="E126" s="199" t="str" cm="1">
        <f t="array" ref="E126">Common_InputFunctions.Utility_DisplayArrayInTable(Fertiliser_SourceData.Fertiliser_Products_Data1(),FertiliserProducts[[#Headers],[Include or Exclude]], 0)</f>
        <v/>
      </c>
      <c r="F126" s="199" t="str" cm="1">
        <f t="array" ref="F126">Common_InputFunctions.Utility_DisplayArrayInTable(Fertiliser_SourceData.Fertiliser_Products_Data1(),FertiliserProducts[[#Headers],[Include or Exclude]], 0)</f>
        <v/>
      </c>
      <c r="G126" s="199" t="str" cm="1">
        <f t="array" ref="G126">Common_InputFunctions.Utility_DisplayArrayInTable(Fertiliser_SourceData.Fertiliser_Products_Data1(),FertiliserProducts[[#Headers],[Include or Exclude]], 0)</f>
        <v/>
      </c>
      <c r="H126" s="199" t="str" cm="1">
        <f t="array" ref="H126">Common_InputFunctions.Utility_DisplayArrayInTable(Fertiliser_SourceData.Fertiliser_Products_Data1(),FertiliserProducts[[#Headers],[Include or Exclude]], 0,4)</f>
        <v/>
      </c>
      <c r="I126" s="199" t="str" cm="1">
        <f t="array" ref="I126">Common_InputFunctions.Utility_DisplayArrayInTable(Fertiliser_SourceData.Fertiliser_Products_Data1(),FertiliserProducts[[#Headers],[Include or Exclude]], 0,4)</f>
        <v/>
      </c>
      <c r="J126" s="199" t="str" cm="1">
        <f t="array" ref="J126">Common_InputFunctions.Utility_DisplayArrayInTable(Fertiliser_SourceData.Fertiliser_Products_Data1(),FertiliserProducts[[#Headers],[Include or Exclude]], 0,4)</f>
        <v/>
      </c>
      <c r="K126" s="199" t="str" cm="1">
        <f t="array" ref="K126">Common_InputFunctions.Utility_DisplayArrayInTable(Fertiliser_SourceData.Fertiliser_Products_Data1(),FertiliserProducts[[#Headers],[Include or Exclude]], 0,4)</f>
        <v/>
      </c>
      <c r="L126" s="199" t="str" cm="1">
        <f t="array" ref="L126">Common_InputFunctions.Utility_DisplayArrayInTable(Fertiliser_SourceData.Fertiliser_Products_Data1(),FertiliserProducts[[#Headers],[Include or Exclude]], 0,4)</f>
        <v/>
      </c>
      <c r="M126" s="199" t="str" cm="1">
        <f t="array" ref="M126">Common_InputFunctions.Utility_DisplayArrayInTable(Fertiliser_SourceData.Fertiliser_Products_Data1(),FertiliserProducts[[#Headers],[Include or Exclude]], 0,4)</f>
        <v/>
      </c>
      <c r="N126" s="199" t="str" cm="1">
        <f t="array" ref="N126">Common_InputFunctions.Utility_DisplayArrayInTable(Fertiliser_SourceData.Fertiliser_Products_Data1(),FertiliserProducts[[#Headers],[Include or Exclude]], 0,4)</f>
        <v/>
      </c>
      <c r="O126" s="199" t="str" cm="1">
        <f t="array" ref="O126">Common_InputFunctions.Utility_DisplayArrayInTable(Fertiliser_SourceData.Fertiliser_Products_Data1(),FertiliserProducts[[#Headers],[Include or Exclude]], 0,4)</f>
        <v/>
      </c>
      <c r="P126" s="199" t="str" cm="1">
        <f t="array" ref="P126">Common_InputFunctions.Utility_DisplayArrayInTable(Fertiliser_SourceData.Fertiliser_Products_Data1(),FertiliserProducts[[#Headers],[Include or Exclude]], 0,4)</f>
        <v/>
      </c>
      <c r="Q126" s="199" t="str" cm="1">
        <f t="array" ref="Q126">Common_InputFunctions.Utility_DisplayArrayInTable(Fertiliser_SourceData.Fertiliser_Products_Data1(),FertiliserProducts[[#Headers],[Include or Exclude]], 0,4)</f>
        <v/>
      </c>
      <c r="R126" s="199" t="str" cm="1">
        <f t="array" ref="R126">Common_InputFunctions.Utility_DisplayArrayInTable(Fertiliser_SourceData.Fertiliser_Products_Data1(),FertiliserProducts[[#Headers],[Include or Exclude]], 0,4)</f>
        <v/>
      </c>
      <c r="S126" s="199" t="str" cm="1">
        <f t="array" ref="S126">Common_InputFunctions.Utility_DisplayArrayInTable(Fertiliser_SourceData.Fertiliser_Products_Data1(),FertiliserProducts[[#Headers],[Include or Exclude]], 0,4)</f>
        <v/>
      </c>
      <c r="T126" s="199" t="str" cm="1">
        <f t="array" ref="T126">Common_InputFunctions.Utility_DisplayArrayInTable(Fertiliser_SourceData.Fertiliser_Products_Data1(),FertiliserProducts[[#Headers],[Include or Exclude]], 0,4)</f>
        <v/>
      </c>
      <c r="U126" s="199" t="str" cm="1">
        <f t="array" ref="U126">Common_InputFunctions.Utility_DisplayArrayInTable(Fertiliser_SourceData.Fertiliser_Products_Data1(),FertiliserProducts[[#Headers],[Include or Exclude]], 0,4)</f>
        <v/>
      </c>
      <c r="V126" s="199" t="str" cm="1">
        <f t="array" ref="V126">Common_InputFunctions.Utility_DisplayArrayInTable(Fertiliser_SourceData.Fertiliser_Products_Data1(),FertiliserProducts[[#Headers],[Include or Exclude]], 0,4)</f>
        <v/>
      </c>
      <c r="W126" s="199" t="str" cm="1">
        <f t="array" ref="W126">Common_InputFunctions.Utility_DisplayArrayInTable(Fertiliser_SourceData.Fertiliser_Products_Data1(),FertiliserProducts[[#Headers],[Include or Exclude]], 0,4)</f>
        <v/>
      </c>
      <c r="X126" s="199" t="str" cm="1">
        <f t="array" ref="X126">Common_InputFunctions.Utility_DisplayArrayInTable(Fertiliser_SourceData.Fertiliser_Products_Data1(),FertiliserProducts[[#Headers],[Include or Exclude]], 0,4)</f>
        <v/>
      </c>
      <c r="Y126" s="199" t="str" cm="1">
        <f t="array" ref="Y126">Common_InputFunctions.Utility_DisplayArrayInTable(Fertiliser_SourceData.Fertiliser_Products_Data1(),FertiliserProducts[[#Headers],[Include or Exclude]], 0,4)</f>
        <v/>
      </c>
      <c r="Z126" s="199" t="str" cm="1">
        <f t="array" ref="Z126">Common_InputFunctions.Utility_DisplayArrayInTable(Fertiliser_SourceData.Fertiliser_Products_Data1(),FertiliserProducts[[#Headers],[Include or Exclude]], 0,4)</f>
        <v/>
      </c>
      <c r="AA126" s="199" t="str" cm="1">
        <f t="array" ref="AA126">Common_InputFunctions.Utility_DisplayArrayInTable(Fertiliser_SourceData.Fertiliser_Products_Data1(),FertiliserProducts[[#Headers],[Include or Exclude]], 0,4)</f>
        <v/>
      </c>
      <c r="AB126" s="199" t="str" cm="1">
        <f t="array" ref="AB126">Common_InputFunctions.Utility_DisplayArrayInTable(Fertiliser_SourceData.Fertiliser_Products_Data1(),FertiliserProducts[[#Headers],[Include or Exclude]], 0,4)</f>
        <v/>
      </c>
      <c r="AC126" s="199" t="str" cm="1">
        <f t="array" ref="AC126">Common_InputFunctions.Utility_DisplayArrayInTable(Fertiliser_SourceData.Fertiliser_Products_Data1(),FertiliserProducts[[#Headers],[Include or Exclude]], 0,4)</f>
        <v/>
      </c>
      <c r="AD126" s="199" t="str" cm="1">
        <f t="array" ref="AD126">Common_InputFunctions.Utility_DisplayArrayInTable(Fertiliser_SourceData.Fertiliser_Products_Data1(),FertiliserProducts[[#Headers],[Include or Exclude]], 0,4)</f>
        <v/>
      </c>
      <c r="AE126" s="199" t="str" cm="1">
        <f t="array" ref="AE126">Common_InputFunctions.Utility_DisplayArrayInTable(Fertiliser_SourceData.Fertiliser_Products_Data1(),FertiliserProducts[[#Headers],[Include or Exclude]], 0,4)</f>
        <v/>
      </c>
    </row>
    <row r="127" spans="4:31" ht="20.100000000000001" customHeight="1" x14ac:dyDescent="0.25">
      <c r="D127" s="199" t="str" cm="1">
        <f t="array" ref="D127">Common_InputFunctions.Utility_DisplayArrayInTable(Fertiliser_SourceData.Fertiliser_Products_Data1(),FertiliserProducts[[#Headers],[Include or Exclude]], -1)</f>
        <v/>
      </c>
      <c r="E127" s="199" t="str" cm="1">
        <f t="array" ref="E127">Common_InputFunctions.Utility_DisplayArrayInTable(Fertiliser_SourceData.Fertiliser_Products_Data1(),FertiliserProducts[[#Headers],[Include or Exclude]], 0)</f>
        <v/>
      </c>
      <c r="F127" s="199" t="str" cm="1">
        <f t="array" ref="F127">Common_InputFunctions.Utility_DisplayArrayInTable(Fertiliser_SourceData.Fertiliser_Products_Data1(),FertiliserProducts[[#Headers],[Include or Exclude]], 0)</f>
        <v/>
      </c>
      <c r="G127" s="199" t="str" cm="1">
        <f t="array" ref="G127">Common_InputFunctions.Utility_DisplayArrayInTable(Fertiliser_SourceData.Fertiliser_Products_Data1(),FertiliserProducts[[#Headers],[Include or Exclude]], 0)</f>
        <v/>
      </c>
      <c r="H127" s="199" t="str" cm="1">
        <f t="array" ref="H127">Common_InputFunctions.Utility_DisplayArrayInTable(Fertiliser_SourceData.Fertiliser_Products_Data1(),FertiliserProducts[[#Headers],[Include or Exclude]], 0,4)</f>
        <v/>
      </c>
      <c r="I127" s="199" t="str" cm="1">
        <f t="array" ref="I127">Common_InputFunctions.Utility_DisplayArrayInTable(Fertiliser_SourceData.Fertiliser_Products_Data1(),FertiliserProducts[[#Headers],[Include or Exclude]], 0,4)</f>
        <v/>
      </c>
      <c r="J127" s="199" t="str" cm="1">
        <f t="array" ref="J127">Common_InputFunctions.Utility_DisplayArrayInTable(Fertiliser_SourceData.Fertiliser_Products_Data1(),FertiliserProducts[[#Headers],[Include or Exclude]], 0,4)</f>
        <v/>
      </c>
      <c r="K127" s="199" t="str" cm="1">
        <f t="array" ref="K127">Common_InputFunctions.Utility_DisplayArrayInTable(Fertiliser_SourceData.Fertiliser_Products_Data1(),FertiliserProducts[[#Headers],[Include or Exclude]], 0,4)</f>
        <v/>
      </c>
      <c r="L127" s="199" t="str" cm="1">
        <f t="array" ref="L127">Common_InputFunctions.Utility_DisplayArrayInTable(Fertiliser_SourceData.Fertiliser_Products_Data1(),FertiliserProducts[[#Headers],[Include or Exclude]], 0,4)</f>
        <v/>
      </c>
      <c r="M127" s="199" t="str" cm="1">
        <f t="array" ref="M127">Common_InputFunctions.Utility_DisplayArrayInTable(Fertiliser_SourceData.Fertiliser_Products_Data1(),FertiliserProducts[[#Headers],[Include or Exclude]], 0,4)</f>
        <v/>
      </c>
      <c r="N127" s="199" t="str" cm="1">
        <f t="array" ref="N127">Common_InputFunctions.Utility_DisplayArrayInTable(Fertiliser_SourceData.Fertiliser_Products_Data1(),FertiliserProducts[[#Headers],[Include or Exclude]], 0,4)</f>
        <v/>
      </c>
      <c r="O127" s="199" t="str" cm="1">
        <f t="array" ref="O127">Common_InputFunctions.Utility_DisplayArrayInTable(Fertiliser_SourceData.Fertiliser_Products_Data1(),FertiliserProducts[[#Headers],[Include or Exclude]], 0,4)</f>
        <v/>
      </c>
      <c r="P127" s="199" t="str" cm="1">
        <f t="array" ref="P127">Common_InputFunctions.Utility_DisplayArrayInTable(Fertiliser_SourceData.Fertiliser_Products_Data1(),FertiliserProducts[[#Headers],[Include or Exclude]], 0,4)</f>
        <v/>
      </c>
      <c r="Q127" s="199" t="str" cm="1">
        <f t="array" ref="Q127">Common_InputFunctions.Utility_DisplayArrayInTable(Fertiliser_SourceData.Fertiliser_Products_Data1(),FertiliserProducts[[#Headers],[Include or Exclude]], 0,4)</f>
        <v/>
      </c>
      <c r="R127" s="199" t="str" cm="1">
        <f t="array" ref="R127">Common_InputFunctions.Utility_DisplayArrayInTable(Fertiliser_SourceData.Fertiliser_Products_Data1(),FertiliserProducts[[#Headers],[Include or Exclude]], 0,4)</f>
        <v/>
      </c>
      <c r="S127" s="199" t="str" cm="1">
        <f t="array" ref="S127">Common_InputFunctions.Utility_DisplayArrayInTable(Fertiliser_SourceData.Fertiliser_Products_Data1(),FertiliserProducts[[#Headers],[Include or Exclude]], 0,4)</f>
        <v/>
      </c>
      <c r="T127" s="199" t="str" cm="1">
        <f t="array" ref="T127">Common_InputFunctions.Utility_DisplayArrayInTable(Fertiliser_SourceData.Fertiliser_Products_Data1(),FertiliserProducts[[#Headers],[Include or Exclude]], 0,4)</f>
        <v/>
      </c>
      <c r="U127" s="199" t="str" cm="1">
        <f t="array" ref="U127">Common_InputFunctions.Utility_DisplayArrayInTable(Fertiliser_SourceData.Fertiliser_Products_Data1(),FertiliserProducts[[#Headers],[Include or Exclude]], 0,4)</f>
        <v/>
      </c>
      <c r="V127" s="199" t="str" cm="1">
        <f t="array" ref="V127">Common_InputFunctions.Utility_DisplayArrayInTable(Fertiliser_SourceData.Fertiliser_Products_Data1(),FertiliserProducts[[#Headers],[Include or Exclude]], 0,4)</f>
        <v/>
      </c>
      <c r="W127" s="199" t="str" cm="1">
        <f t="array" ref="W127">Common_InputFunctions.Utility_DisplayArrayInTable(Fertiliser_SourceData.Fertiliser_Products_Data1(),FertiliserProducts[[#Headers],[Include or Exclude]], 0,4)</f>
        <v/>
      </c>
      <c r="X127" s="199" t="str" cm="1">
        <f t="array" ref="X127">Common_InputFunctions.Utility_DisplayArrayInTable(Fertiliser_SourceData.Fertiliser_Products_Data1(),FertiliserProducts[[#Headers],[Include or Exclude]], 0,4)</f>
        <v/>
      </c>
      <c r="Y127" s="199" t="str" cm="1">
        <f t="array" ref="Y127">Common_InputFunctions.Utility_DisplayArrayInTable(Fertiliser_SourceData.Fertiliser_Products_Data1(),FertiliserProducts[[#Headers],[Include or Exclude]], 0,4)</f>
        <v/>
      </c>
      <c r="Z127" s="199" t="str" cm="1">
        <f t="array" ref="Z127">Common_InputFunctions.Utility_DisplayArrayInTable(Fertiliser_SourceData.Fertiliser_Products_Data1(),FertiliserProducts[[#Headers],[Include or Exclude]], 0,4)</f>
        <v/>
      </c>
      <c r="AA127" s="199" t="str" cm="1">
        <f t="array" ref="AA127">Common_InputFunctions.Utility_DisplayArrayInTable(Fertiliser_SourceData.Fertiliser_Products_Data1(),FertiliserProducts[[#Headers],[Include or Exclude]], 0,4)</f>
        <v/>
      </c>
      <c r="AB127" s="199" t="str" cm="1">
        <f t="array" ref="AB127">Common_InputFunctions.Utility_DisplayArrayInTable(Fertiliser_SourceData.Fertiliser_Products_Data1(),FertiliserProducts[[#Headers],[Include or Exclude]], 0,4)</f>
        <v/>
      </c>
      <c r="AC127" s="199" t="str" cm="1">
        <f t="array" ref="AC127">Common_InputFunctions.Utility_DisplayArrayInTable(Fertiliser_SourceData.Fertiliser_Products_Data1(),FertiliserProducts[[#Headers],[Include or Exclude]], 0,4)</f>
        <v/>
      </c>
      <c r="AD127" s="199" t="str" cm="1">
        <f t="array" ref="AD127">Common_InputFunctions.Utility_DisplayArrayInTable(Fertiliser_SourceData.Fertiliser_Products_Data1(),FertiliserProducts[[#Headers],[Include or Exclude]], 0,4)</f>
        <v/>
      </c>
      <c r="AE127" s="199" t="str" cm="1">
        <f t="array" ref="AE127">Common_InputFunctions.Utility_DisplayArrayInTable(Fertiliser_SourceData.Fertiliser_Products_Data1(),FertiliserProducts[[#Headers],[Include or Exclude]], 0,4)</f>
        <v/>
      </c>
    </row>
    <row r="128" spans="4:31" ht="20.100000000000001" customHeight="1" x14ac:dyDescent="0.25">
      <c r="D128" s="199" t="str" cm="1">
        <f t="array" ref="D128">Common_InputFunctions.Utility_DisplayArrayInTable(Fertiliser_SourceData.Fertiliser_Products_Data1(),FertiliserProducts[[#Headers],[Include or Exclude]], -1)</f>
        <v/>
      </c>
      <c r="E128" s="199" t="str" cm="1">
        <f t="array" ref="E128">Common_InputFunctions.Utility_DisplayArrayInTable(Fertiliser_SourceData.Fertiliser_Products_Data1(),FertiliserProducts[[#Headers],[Include or Exclude]], 0)</f>
        <v/>
      </c>
      <c r="F128" s="199" t="str" cm="1">
        <f t="array" ref="F128">Common_InputFunctions.Utility_DisplayArrayInTable(Fertiliser_SourceData.Fertiliser_Products_Data1(),FertiliserProducts[[#Headers],[Include or Exclude]], 0)</f>
        <v/>
      </c>
      <c r="G128" s="199" t="str" cm="1">
        <f t="array" ref="G128">Common_InputFunctions.Utility_DisplayArrayInTable(Fertiliser_SourceData.Fertiliser_Products_Data1(),FertiliserProducts[[#Headers],[Include or Exclude]], 0)</f>
        <v/>
      </c>
      <c r="H128" s="199" t="str" cm="1">
        <f t="array" ref="H128">Common_InputFunctions.Utility_DisplayArrayInTable(Fertiliser_SourceData.Fertiliser_Products_Data1(),FertiliserProducts[[#Headers],[Include or Exclude]], 0,4)</f>
        <v/>
      </c>
      <c r="I128" s="199" t="str" cm="1">
        <f t="array" ref="I128">Common_InputFunctions.Utility_DisplayArrayInTable(Fertiliser_SourceData.Fertiliser_Products_Data1(),FertiliserProducts[[#Headers],[Include or Exclude]], 0,4)</f>
        <v/>
      </c>
      <c r="J128" s="199" t="str" cm="1">
        <f t="array" ref="J128">Common_InputFunctions.Utility_DisplayArrayInTable(Fertiliser_SourceData.Fertiliser_Products_Data1(),FertiliserProducts[[#Headers],[Include or Exclude]], 0,4)</f>
        <v/>
      </c>
      <c r="K128" s="199" t="str" cm="1">
        <f t="array" ref="K128">Common_InputFunctions.Utility_DisplayArrayInTable(Fertiliser_SourceData.Fertiliser_Products_Data1(),FertiliserProducts[[#Headers],[Include or Exclude]], 0,4)</f>
        <v/>
      </c>
      <c r="L128" s="199" t="str" cm="1">
        <f t="array" ref="L128">Common_InputFunctions.Utility_DisplayArrayInTable(Fertiliser_SourceData.Fertiliser_Products_Data1(),FertiliserProducts[[#Headers],[Include or Exclude]], 0,4)</f>
        <v/>
      </c>
      <c r="M128" s="199" t="str" cm="1">
        <f t="array" ref="M128">Common_InputFunctions.Utility_DisplayArrayInTable(Fertiliser_SourceData.Fertiliser_Products_Data1(),FertiliserProducts[[#Headers],[Include or Exclude]], 0,4)</f>
        <v/>
      </c>
      <c r="N128" s="199" t="str" cm="1">
        <f t="array" ref="N128">Common_InputFunctions.Utility_DisplayArrayInTable(Fertiliser_SourceData.Fertiliser_Products_Data1(),FertiliserProducts[[#Headers],[Include or Exclude]], 0,4)</f>
        <v/>
      </c>
      <c r="O128" s="199" t="str" cm="1">
        <f t="array" ref="O128">Common_InputFunctions.Utility_DisplayArrayInTable(Fertiliser_SourceData.Fertiliser_Products_Data1(),FertiliserProducts[[#Headers],[Include or Exclude]], 0,4)</f>
        <v/>
      </c>
      <c r="P128" s="199" t="str" cm="1">
        <f t="array" ref="P128">Common_InputFunctions.Utility_DisplayArrayInTable(Fertiliser_SourceData.Fertiliser_Products_Data1(),FertiliserProducts[[#Headers],[Include or Exclude]], 0,4)</f>
        <v/>
      </c>
      <c r="Q128" s="199" t="str" cm="1">
        <f t="array" ref="Q128">Common_InputFunctions.Utility_DisplayArrayInTable(Fertiliser_SourceData.Fertiliser_Products_Data1(),FertiliserProducts[[#Headers],[Include or Exclude]], 0,4)</f>
        <v/>
      </c>
      <c r="R128" s="199" t="str" cm="1">
        <f t="array" ref="R128">Common_InputFunctions.Utility_DisplayArrayInTable(Fertiliser_SourceData.Fertiliser_Products_Data1(),FertiliserProducts[[#Headers],[Include or Exclude]], 0,4)</f>
        <v/>
      </c>
      <c r="S128" s="199" t="str" cm="1">
        <f t="array" ref="S128">Common_InputFunctions.Utility_DisplayArrayInTable(Fertiliser_SourceData.Fertiliser_Products_Data1(),FertiliserProducts[[#Headers],[Include or Exclude]], 0,4)</f>
        <v/>
      </c>
      <c r="T128" s="199" t="str" cm="1">
        <f t="array" ref="T128">Common_InputFunctions.Utility_DisplayArrayInTable(Fertiliser_SourceData.Fertiliser_Products_Data1(),FertiliserProducts[[#Headers],[Include or Exclude]], 0,4)</f>
        <v/>
      </c>
      <c r="U128" s="199" t="str" cm="1">
        <f t="array" ref="U128">Common_InputFunctions.Utility_DisplayArrayInTable(Fertiliser_SourceData.Fertiliser_Products_Data1(),FertiliserProducts[[#Headers],[Include or Exclude]], 0,4)</f>
        <v/>
      </c>
      <c r="V128" s="199" t="str" cm="1">
        <f t="array" ref="V128">Common_InputFunctions.Utility_DisplayArrayInTable(Fertiliser_SourceData.Fertiliser_Products_Data1(),FertiliserProducts[[#Headers],[Include or Exclude]], 0,4)</f>
        <v/>
      </c>
      <c r="W128" s="199" t="str" cm="1">
        <f t="array" ref="W128">Common_InputFunctions.Utility_DisplayArrayInTable(Fertiliser_SourceData.Fertiliser_Products_Data1(),FertiliserProducts[[#Headers],[Include or Exclude]], 0,4)</f>
        <v/>
      </c>
      <c r="X128" s="199" t="str" cm="1">
        <f t="array" ref="X128">Common_InputFunctions.Utility_DisplayArrayInTable(Fertiliser_SourceData.Fertiliser_Products_Data1(),FertiliserProducts[[#Headers],[Include or Exclude]], 0,4)</f>
        <v/>
      </c>
      <c r="Y128" s="199" t="str" cm="1">
        <f t="array" ref="Y128">Common_InputFunctions.Utility_DisplayArrayInTable(Fertiliser_SourceData.Fertiliser_Products_Data1(),FertiliserProducts[[#Headers],[Include or Exclude]], 0,4)</f>
        <v/>
      </c>
      <c r="Z128" s="199" t="str" cm="1">
        <f t="array" ref="Z128">Common_InputFunctions.Utility_DisplayArrayInTable(Fertiliser_SourceData.Fertiliser_Products_Data1(),FertiliserProducts[[#Headers],[Include or Exclude]], 0,4)</f>
        <v/>
      </c>
      <c r="AA128" s="199" t="str" cm="1">
        <f t="array" ref="AA128">Common_InputFunctions.Utility_DisplayArrayInTable(Fertiliser_SourceData.Fertiliser_Products_Data1(),FertiliserProducts[[#Headers],[Include or Exclude]], 0,4)</f>
        <v/>
      </c>
      <c r="AB128" s="199" t="str" cm="1">
        <f t="array" ref="AB128">Common_InputFunctions.Utility_DisplayArrayInTable(Fertiliser_SourceData.Fertiliser_Products_Data1(),FertiliserProducts[[#Headers],[Include or Exclude]], 0,4)</f>
        <v/>
      </c>
      <c r="AC128" s="199" t="str" cm="1">
        <f t="array" ref="AC128">Common_InputFunctions.Utility_DisplayArrayInTable(Fertiliser_SourceData.Fertiliser_Products_Data1(),FertiliserProducts[[#Headers],[Include or Exclude]], 0,4)</f>
        <v/>
      </c>
      <c r="AD128" s="199" t="str" cm="1">
        <f t="array" ref="AD128">Common_InputFunctions.Utility_DisplayArrayInTable(Fertiliser_SourceData.Fertiliser_Products_Data1(),FertiliserProducts[[#Headers],[Include or Exclude]], 0,4)</f>
        <v/>
      </c>
      <c r="AE128" s="199" t="str" cm="1">
        <f t="array" ref="AE128">Common_InputFunctions.Utility_DisplayArrayInTable(Fertiliser_SourceData.Fertiliser_Products_Data1(),FertiliserProducts[[#Headers],[Include or Exclude]], 0,4)</f>
        <v/>
      </c>
    </row>
    <row r="129" spans="4:31" ht="20.100000000000001" customHeight="1" x14ac:dyDescent="0.25">
      <c r="D129" s="199" t="str" cm="1">
        <f t="array" ref="D129">Common_InputFunctions.Utility_DisplayArrayInTable(Fertiliser_SourceData.Fertiliser_Products_Data1(),FertiliserProducts[[#Headers],[Include or Exclude]], -1)</f>
        <v/>
      </c>
      <c r="E129" s="199" t="str" cm="1">
        <f t="array" ref="E129">Common_InputFunctions.Utility_DisplayArrayInTable(Fertiliser_SourceData.Fertiliser_Products_Data1(),FertiliserProducts[[#Headers],[Include or Exclude]], 0)</f>
        <v/>
      </c>
      <c r="F129" s="199" t="str" cm="1">
        <f t="array" ref="F129">Common_InputFunctions.Utility_DisplayArrayInTable(Fertiliser_SourceData.Fertiliser_Products_Data1(),FertiliserProducts[[#Headers],[Include or Exclude]], 0)</f>
        <v/>
      </c>
      <c r="G129" s="199" t="str" cm="1">
        <f t="array" ref="G129">Common_InputFunctions.Utility_DisplayArrayInTable(Fertiliser_SourceData.Fertiliser_Products_Data1(),FertiliserProducts[[#Headers],[Include or Exclude]], 0)</f>
        <v/>
      </c>
      <c r="H129" s="199" t="str" cm="1">
        <f t="array" ref="H129">Common_InputFunctions.Utility_DisplayArrayInTable(Fertiliser_SourceData.Fertiliser_Products_Data1(),FertiliserProducts[[#Headers],[Include or Exclude]], 0,4)</f>
        <v/>
      </c>
      <c r="I129" s="199" t="str" cm="1">
        <f t="array" ref="I129">Common_InputFunctions.Utility_DisplayArrayInTable(Fertiliser_SourceData.Fertiliser_Products_Data1(),FertiliserProducts[[#Headers],[Include or Exclude]], 0,4)</f>
        <v/>
      </c>
      <c r="J129" s="199" t="str" cm="1">
        <f t="array" ref="J129">Common_InputFunctions.Utility_DisplayArrayInTable(Fertiliser_SourceData.Fertiliser_Products_Data1(),FertiliserProducts[[#Headers],[Include or Exclude]], 0,4)</f>
        <v/>
      </c>
      <c r="K129" s="199" t="str" cm="1">
        <f t="array" ref="K129">Common_InputFunctions.Utility_DisplayArrayInTable(Fertiliser_SourceData.Fertiliser_Products_Data1(),FertiliserProducts[[#Headers],[Include or Exclude]], 0,4)</f>
        <v/>
      </c>
      <c r="L129" s="199" t="str" cm="1">
        <f t="array" ref="L129">Common_InputFunctions.Utility_DisplayArrayInTable(Fertiliser_SourceData.Fertiliser_Products_Data1(),FertiliserProducts[[#Headers],[Include or Exclude]], 0,4)</f>
        <v/>
      </c>
      <c r="M129" s="199" t="str" cm="1">
        <f t="array" ref="M129">Common_InputFunctions.Utility_DisplayArrayInTable(Fertiliser_SourceData.Fertiliser_Products_Data1(),FertiliserProducts[[#Headers],[Include or Exclude]], 0,4)</f>
        <v/>
      </c>
      <c r="N129" s="199" t="str" cm="1">
        <f t="array" ref="N129">Common_InputFunctions.Utility_DisplayArrayInTable(Fertiliser_SourceData.Fertiliser_Products_Data1(),FertiliserProducts[[#Headers],[Include or Exclude]], 0,4)</f>
        <v/>
      </c>
      <c r="O129" s="199" t="str" cm="1">
        <f t="array" ref="O129">Common_InputFunctions.Utility_DisplayArrayInTable(Fertiliser_SourceData.Fertiliser_Products_Data1(),FertiliserProducts[[#Headers],[Include or Exclude]], 0,4)</f>
        <v/>
      </c>
      <c r="P129" s="199" t="str" cm="1">
        <f t="array" ref="P129">Common_InputFunctions.Utility_DisplayArrayInTable(Fertiliser_SourceData.Fertiliser_Products_Data1(),FertiliserProducts[[#Headers],[Include or Exclude]], 0,4)</f>
        <v/>
      </c>
      <c r="Q129" s="199" t="str" cm="1">
        <f t="array" ref="Q129">Common_InputFunctions.Utility_DisplayArrayInTable(Fertiliser_SourceData.Fertiliser_Products_Data1(),FertiliserProducts[[#Headers],[Include or Exclude]], 0,4)</f>
        <v/>
      </c>
      <c r="R129" s="199" t="str" cm="1">
        <f t="array" ref="R129">Common_InputFunctions.Utility_DisplayArrayInTable(Fertiliser_SourceData.Fertiliser_Products_Data1(),FertiliserProducts[[#Headers],[Include or Exclude]], 0,4)</f>
        <v/>
      </c>
      <c r="S129" s="199" t="str" cm="1">
        <f t="array" ref="S129">Common_InputFunctions.Utility_DisplayArrayInTable(Fertiliser_SourceData.Fertiliser_Products_Data1(),FertiliserProducts[[#Headers],[Include or Exclude]], 0,4)</f>
        <v/>
      </c>
      <c r="T129" s="199" t="str" cm="1">
        <f t="array" ref="T129">Common_InputFunctions.Utility_DisplayArrayInTable(Fertiliser_SourceData.Fertiliser_Products_Data1(),FertiliserProducts[[#Headers],[Include or Exclude]], 0,4)</f>
        <v/>
      </c>
      <c r="U129" s="199" t="str" cm="1">
        <f t="array" ref="U129">Common_InputFunctions.Utility_DisplayArrayInTable(Fertiliser_SourceData.Fertiliser_Products_Data1(),FertiliserProducts[[#Headers],[Include or Exclude]], 0,4)</f>
        <v/>
      </c>
      <c r="V129" s="199" t="str" cm="1">
        <f t="array" ref="V129">Common_InputFunctions.Utility_DisplayArrayInTable(Fertiliser_SourceData.Fertiliser_Products_Data1(),FertiliserProducts[[#Headers],[Include or Exclude]], 0,4)</f>
        <v/>
      </c>
      <c r="W129" s="199" t="str" cm="1">
        <f t="array" ref="W129">Common_InputFunctions.Utility_DisplayArrayInTable(Fertiliser_SourceData.Fertiliser_Products_Data1(),FertiliserProducts[[#Headers],[Include or Exclude]], 0,4)</f>
        <v/>
      </c>
      <c r="X129" s="199" t="str" cm="1">
        <f t="array" ref="X129">Common_InputFunctions.Utility_DisplayArrayInTable(Fertiliser_SourceData.Fertiliser_Products_Data1(),FertiliserProducts[[#Headers],[Include or Exclude]], 0,4)</f>
        <v/>
      </c>
      <c r="Y129" s="199" t="str" cm="1">
        <f t="array" ref="Y129">Common_InputFunctions.Utility_DisplayArrayInTable(Fertiliser_SourceData.Fertiliser_Products_Data1(),FertiliserProducts[[#Headers],[Include or Exclude]], 0,4)</f>
        <v/>
      </c>
      <c r="Z129" s="199" t="str" cm="1">
        <f t="array" ref="Z129">Common_InputFunctions.Utility_DisplayArrayInTable(Fertiliser_SourceData.Fertiliser_Products_Data1(),FertiliserProducts[[#Headers],[Include or Exclude]], 0,4)</f>
        <v/>
      </c>
      <c r="AA129" s="199" t="str" cm="1">
        <f t="array" ref="AA129">Common_InputFunctions.Utility_DisplayArrayInTable(Fertiliser_SourceData.Fertiliser_Products_Data1(),FertiliserProducts[[#Headers],[Include or Exclude]], 0,4)</f>
        <v/>
      </c>
      <c r="AB129" s="199" t="str" cm="1">
        <f t="array" ref="AB129">Common_InputFunctions.Utility_DisplayArrayInTable(Fertiliser_SourceData.Fertiliser_Products_Data1(),FertiliserProducts[[#Headers],[Include or Exclude]], 0,4)</f>
        <v/>
      </c>
      <c r="AC129" s="199" t="str" cm="1">
        <f t="array" ref="AC129">Common_InputFunctions.Utility_DisplayArrayInTable(Fertiliser_SourceData.Fertiliser_Products_Data1(),FertiliserProducts[[#Headers],[Include or Exclude]], 0,4)</f>
        <v/>
      </c>
      <c r="AD129" s="199" t="str" cm="1">
        <f t="array" ref="AD129">Common_InputFunctions.Utility_DisplayArrayInTable(Fertiliser_SourceData.Fertiliser_Products_Data1(),FertiliserProducts[[#Headers],[Include or Exclude]], 0,4)</f>
        <v/>
      </c>
      <c r="AE129" s="199" t="str" cm="1">
        <f t="array" ref="AE129">Common_InputFunctions.Utility_DisplayArrayInTable(Fertiliser_SourceData.Fertiliser_Products_Data1(),FertiliserProducts[[#Headers],[Include or Exclude]], 0,4)</f>
        <v/>
      </c>
    </row>
    <row r="130" spans="4:31" ht="20.100000000000001" customHeight="1" x14ac:dyDescent="0.25">
      <c r="D130" s="199" t="str" cm="1">
        <f t="array" ref="D130">Common_InputFunctions.Utility_DisplayArrayInTable(Fertiliser_SourceData.Fertiliser_Products_Data1(),FertiliserProducts[[#Headers],[Include or Exclude]], -1)</f>
        <v/>
      </c>
      <c r="E130" s="199" t="str" cm="1">
        <f t="array" ref="E130">Common_InputFunctions.Utility_DisplayArrayInTable(Fertiliser_SourceData.Fertiliser_Products_Data1(),FertiliserProducts[[#Headers],[Include or Exclude]], 0)</f>
        <v/>
      </c>
      <c r="F130" s="199" t="str" cm="1">
        <f t="array" ref="F130">Common_InputFunctions.Utility_DisplayArrayInTable(Fertiliser_SourceData.Fertiliser_Products_Data1(),FertiliserProducts[[#Headers],[Include or Exclude]], 0)</f>
        <v/>
      </c>
      <c r="G130" s="199" t="str" cm="1">
        <f t="array" ref="G130">Common_InputFunctions.Utility_DisplayArrayInTable(Fertiliser_SourceData.Fertiliser_Products_Data1(),FertiliserProducts[[#Headers],[Include or Exclude]], 0)</f>
        <v/>
      </c>
      <c r="H130" s="199" t="str" cm="1">
        <f t="array" ref="H130">Common_InputFunctions.Utility_DisplayArrayInTable(Fertiliser_SourceData.Fertiliser_Products_Data1(),FertiliserProducts[[#Headers],[Include or Exclude]], 0,4)</f>
        <v/>
      </c>
      <c r="I130" s="199" t="str" cm="1">
        <f t="array" ref="I130">Common_InputFunctions.Utility_DisplayArrayInTable(Fertiliser_SourceData.Fertiliser_Products_Data1(),FertiliserProducts[[#Headers],[Include or Exclude]], 0,4)</f>
        <v/>
      </c>
      <c r="J130" s="199" t="str" cm="1">
        <f t="array" ref="J130">Common_InputFunctions.Utility_DisplayArrayInTable(Fertiliser_SourceData.Fertiliser_Products_Data1(),FertiliserProducts[[#Headers],[Include or Exclude]], 0,4)</f>
        <v/>
      </c>
      <c r="K130" s="199" t="str" cm="1">
        <f t="array" ref="K130">Common_InputFunctions.Utility_DisplayArrayInTable(Fertiliser_SourceData.Fertiliser_Products_Data1(),FertiliserProducts[[#Headers],[Include or Exclude]], 0,4)</f>
        <v/>
      </c>
      <c r="L130" s="199" t="str" cm="1">
        <f t="array" ref="L130">Common_InputFunctions.Utility_DisplayArrayInTable(Fertiliser_SourceData.Fertiliser_Products_Data1(),FertiliserProducts[[#Headers],[Include or Exclude]], 0,4)</f>
        <v/>
      </c>
      <c r="M130" s="199" t="str" cm="1">
        <f t="array" ref="M130">Common_InputFunctions.Utility_DisplayArrayInTable(Fertiliser_SourceData.Fertiliser_Products_Data1(),FertiliserProducts[[#Headers],[Include or Exclude]], 0,4)</f>
        <v/>
      </c>
      <c r="N130" s="199" t="str" cm="1">
        <f t="array" ref="N130">Common_InputFunctions.Utility_DisplayArrayInTable(Fertiliser_SourceData.Fertiliser_Products_Data1(),FertiliserProducts[[#Headers],[Include or Exclude]], 0,4)</f>
        <v/>
      </c>
      <c r="O130" s="199" t="str" cm="1">
        <f t="array" ref="O130">Common_InputFunctions.Utility_DisplayArrayInTable(Fertiliser_SourceData.Fertiliser_Products_Data1(),FertiliserProducts[[#Headers],[Include or Exclude]], 0,4)</f>
        <v/>
      </c>
      <c r="P130" s="199" t="str" cm="1">
        <f t="array" ref="P130">Common_InputFunctions.Utility_DisplayArrayInTable(Fertiliser_SourceData.Fertiliser_Products_Data1(),FertiliserProducts[[#Headers],[Include or Exclude]], 0,4)</f>
        <v/>
      </c>
      <c r="Q130" s="199" t="str" cm="1">
        <f t="array" ref="Q130">Common_InputFunctions.Utility_DisplayArrayInTable(Fertiliser_SourceData.Fertiliser_Products_Data1(),FertiliserProducts[[#Headers],[Include or Exclude]], 0,4)</f>
        <v/>
      </c>
      <c r="R130" s="199" t="str" cm="1">
        <f t="array" ref="R130">Common_InputFunctions.Utility_DisplayArrayInTable(Fertiliser_SourceData.Fertiliser_Products_Data1(),FertiliserProducts[[#Headers],[Include or Exclude]], 0,4)</f>
        <v/>
      </c>
      <c r="S130" s="199" t="str" cm="1">
        <f t="array" ref="S130">Common_InputFunctions.Utility_DisplayArrayInTable(Fertiliser_SourceData.Fertiliser_Products_Data1(),FertiliserProducts[[#Headers],[Include or Exclude]], 0,4)</f>
        <v/>
      </c>
      <c r="T130" s="199" t="str" cm="1">
        <f t="array" ref="T130">Common_InputFunctions.Utility_DisplayArrayInTable(Fertiliser_SourceData.Fertiliser_Products_Data1(),FertiliserProducts[[#Headers],[Include or Exclude]], 0,4)</f>
        <v/>
      </c>
      <c r="U130" s="199" t="str" cm="1">
        <f t="array" ref="U130">Common_InputFunctions.Utility_DisplayArrayInTable(Fertiliser_SourceData.Fertiliser_Products_Data1(),FertiliserProducts[[#Headers],[Include or Exclude]], 0,4)</f>
        <v/>
      </c>
      <c r="V130" s="199" t="str" cm="1">
        <f t="array" ref="V130">Common_InputFunctions.Utility_DisplayArrayInTable(Fertiliser_SourceData.Fertiliser_Products_Data1(),FertiliserProducts[[#Headers],[Include or Exclude]], 0,4)</f>
        <v/>
      </c>
      <c r="W130" s="199" t="str" cm="1">
        <f t="array" ref="W130">Common_InputFunctions.Utility_DisplayArrayInTable(Fertiliser_SourceData.Fertiliser_Products_Data1(),FertiliserProducts[[#Headers],[Include or Exclude]], 0,4)</f>
        <v/>
      </c>
      <c r="X130" s="199" t="str" cm="1">
        <f t="array" ref="X130">Common_InputFunctions.Utility_DisplayArrayInTable(Fertiliser_SourceData.Fertiliser_Products_Data1(),FertiliserProducts[[#Headers],[Include or Exclude]], 0,4)</f>
        <v/>
      </c>
      <c r="Y130" s="199" t="str" cm="1">
        <f t="array" ref="Y130">Common_InputFunctions.Utility_DisplayArrayInTable(Fertiliser_SourceData.Fertiliser_Products_Data1(),FertiliserProducts[[#Headers],[Include or Exclude]], 0,4)</f>
        <v/>
      </c>
      <c r="Z130" s="199" t="str" cm="1">
        <f t="array" ref="Z130">Common_InputFunctions.Utility_DisplayArrayInTable(Fertiliser_SourceData.Fertiliser_Products_Data1(),FertiliserProducts[[#Headers],[Include or Exclude]], 0,4)</f>
        <v/>
      </c>
      <c r="AA130" s="199" t="str" cm="1">
        <f t="array" ref="AA130">Common_InputFunctions.Utility_DisplayArrayInTable(Fertiliser_SourceData.Fertiliser_Products_Data1(),FertiliserProducts[[#Headers],[Include or Exclude]], 0,4)</f>
        <v/>
      </c>
      <c r="AB130" s="199" t="str" cm="1">
        <f t="array" ref="AB130">Common_InputFunctions.Utility_DisplayArrayInTable(Fertiliser_SourceData.Fertiliser_Products_Data1(),FertiliserProducts[[#Headers],[Include or Exclude]], 0,4)</f>
        <v/>
      </c>
      <c r="AC130" s="199" t="str" cm="1">
        <f t="array" ref="AC130">Common_InputFunctions.Utility_DisplayArrayInTable(Fertiliser_SourceData.Fertiliser_Products_Data1(),FertiliserProducts[[#Headers],[Include or Exclude]], 0,4)</f>
        <v/>
      </c>
      <c r="AD130" s="199" t="str" cm="1">
        <f t="array" ref="AD130">Common_InputFunctions.Utility_DisplayArrayInTable(Fertiliser_SourceData.Fertiliser_Products_Data1(),FertiliserProducts[[#Headers],[Include or Exclude]], 0,4)</f>
        <v/>
      </c>
      <c r="AE130" s="199" t="str" cm="1">
        <f t="array" ref="AE130">Common_InputFunctions.Utility_DisplayArrayInTable(Fertiliser_SourceData.Fertiliser_Products_Data1(),FertiliserProducts[[#Headers],[Include or Exclude]], 0,4)</f>
        <v/>
      </c>
    </row>
    <row r="131" spans="4:31" ht="20.100000000000001" customHeight="1" x14ac:dyDescent="0.25">
      <c r="D131" s="199" t="str" cm="1">
        <f t="array" ref="D131">Common_InputFunctions.Utility_DisplayArrayInTable(Fertiliser_SourceData.Fertiliser_Products_Data1(),FertiliserProducts[[#Headers],[Include or Exclude]], -1)</f>
        <v/>
      </c>
      <c r="E131" s="199" t="str" cm="1">
        <f t="array" ref="E131">Common_InputFunctions.Utility_DisplayArrayInTable(Fertiliser_SourceData.Fertiliser_Products_Data1(),FertiliserProducts[[#Headers],[Include or Exclude]], 0)</f>
        <v/>
      </c>
      <c r="F131" s="199" t="str" cm="1">
        <f t="array" ref="F131">Common_InputFunctions.Utility_DisplayArrayInTable(Fertiliser_SourceData.Fertiliser_Products_Data1(),FertiliserProducts[[#Headers],[Include or Exclude]], 0)</f>
        <v/>
      </c>
      <c r="G131" s="199" t="str" cm="1">
        <f t="array" ref="G131">Common_InputFunctions.Utility_DisplayArrayInTable(Fertiliser_SourceData.Fertiliser_Products_Data1(),FertiliserProducts[[#Headers],[Include or Exclude]], 0)</f>
        <v/>
      </c>
      <c r="H131" s="199" t="str" cm="1">
        <f t="array" ref="H131">Common_InputFunctions.Utility_DisplayArrayInTable(Fertiliser_SourceData.Fertiliser_Products_Data1(),FertiliserProducts[[#Headers],[Include or Exclude]], 0,4)</f>
        <v/>
      </c>
      <c r="I131" s="199" t="str" cm="1">
        <f t="array" ref="I131">Common_InputFunctions.Utility_DisplayArrayInTable(Fertiliser_SourceData.Fertiliser_Products_Data1(),FertiliserProducts[[#Headers],[Include or Exclude]], 0,4)</f>
        <v/>
      </c>
      <c r="J131" s="199" t="str" cm="1">
        <f t="array" ref="J131">Common_InputFunctions.Utility_DisplayArrayInTable(Fertiliser_SourceData.Fertiliser_Products_Data1(),FertiliserProducts[[#Headers],[Include or Exclude]], 0,4)</f>
        <v/>
      </c>
      <c r="K131" s="199" t="str" cm="1">
        <f t="array" ref="K131">Common_InputFunctions.Utility_DisplayArrayInTable(Fertiliser_SourceData.Fertiliser_Products_Data1(),FertiliserProducts[[#Headers],[Include or Exclude]], 0,4)</f>
        <v/>
      </c>
      <c r="L131" s="199" t="str" cm="1">
        <f t="array" ref="L131">Common_InputFunctions.Utility_DisplayArrayInTable(Fertiliser_SourceData.Fertiliser_Products_Data1(),FertiliserProducts[[#Headers],[Include or Exclude]], 0,4)</f>
        <v/>
      </c>
      <c r="M131" s="199" t="str" cm="1">
        <f t="array" ref="M131">Common_InputFunctions.Utility_DisplayArrayInTable(Fertiliser_SourceData.Fertiliser_Products_Data1(),FertiliserProducts[[#Headers],[Include or Exclude]], 0,4)</f>
        <v/>
      </c>
      <c r="N131" s="199" t="str" cm="1">
        <f t="array" ref="N131">Common_InputFunctions.Utility_DisplayArrayInTable(Fertiliser_SourceData.Fertiliser_Products_Data1(),FertiliserProducts[[#Headers],[Include or Exclude]], 0,4)</f>
        <v/>
      </c>
      <c r="O131" s="199" t="str" cm="1">
        <f t="array" ref="O131">Common_InputFunctions.Utility_DisplayArrayInTable(Fertiliser_SourceData.Fertiliser_Products_Data1(),FertiliserProducts[[#Headers],[Include or Exclude]], 0,4)</f>
        <v/>
      </c>
      <c r="P131" s="199" t="str" cm="1">
        <f t="array" ref="P131">Common_InputFunctions.Utility_DisplayArrayInTable(Fertiliser_SourceData.Fertiliser_Products_Data1(),FertiliserProducts[[#Headers],[Include or Exclude]], 0,4)</f>
        <v/>
      </c>
      <c r="Q131" s="199" t="str" cm="1">
        <f t="array" ref="Q131">Common_InputFunctions.Utility_DisplayArrayInTable(Fertiliser_SourceData.Fertiliser_Products_Data1(),FertiliserProducts[[#Headers],[Include or Exclude]], 0,4)</f>
        <v/>
      </c>
      <c r="R131" s="199" t="str" cm="1">
        <f t="array" ref="R131">Common_InputFunctions.Utility_DisplayArrayInTable(Fertiliser_SourceData.Fertiliser_Products_Data1(),FertiliserProducts[[#Headers],[Include or Exclude]], 0,4)</f>
        <v/>
      </c>
      <c r="S131" s="199" t="str" cm="1">
        <f t="array" ref="S131">Common_InputFunctions.Utility_DisplayArrayInTable(Fertiliser_SourceData.Fertiliser_Products_Data1(),FertiliserProducts[[#Headers],[Include or Exclude]], 0,4)</f>
        <v/>
      </c>
      <c r="T131" s="199" t="str" cm="1">
        <f t="array" ref="T131">Common_InputFunctions.Utility_DisplayArrayInTable(Fertiliser_SourceData.Fertiliser_Products_Data1(),FertiliserProducts[[#Headers],[Include or Exclude]], 0,4)</f>
        <v/>
      </c>
      <c r="U131" s="199" t="str" cm="1">
        <f t="array" ref="U131">Common_InputFunctions.Utility_DisplayArrayInTable(Fertiliser_SourceData.Fertiliser_Products_Data1(),FertiliserProducts[[#Headers],[Include or Exclude]], 0,4)</f>
        <v/>
      </c>
      <c r="V131" s="199" t="str" cm="1">
        <f t="array" ref="V131">Common_InputFunctions.Utility_DisplayArrayInTable(Fertiliser_SourceData.Fertiliser_Products_Data1(),FertiliserProducts[[#Headers],[Include or Exclude]], 0,4)</f>
        <v/>
      </c>
      <c r="W131" s="199" t="str" cm="1">
        <f t="array" ref="W131">Common_InputFunctions.Utility_DisplayArrayInTable(Fertiliser_SourceData.Fertiliser_Products_Data1(),FertiliserProducts[[#Headers],[Include or Exclude]], 0,4)</f>
        <v/>
      </c>
      <c r="X131" s="199" t="str" cm="1">
        <f t="array" ref="X131">Common_InputFunctions.Utility_DisplayArrayInTable(Fertiliser_SourceData.Fertiliser_Products_Data1(),FertiliserProducts[[#Headers],[Include or Exclude]], 0,4)</f>
        <v/>
      </c>
      <c r="Y131" s="199" t="str" cm="1">
        <f t="array" ref="Y131">Common_InputFunctions.Utility_DisplayArrayInTable(Fertiliser_SourceData.Fertiliser_Products_Data1(),FertiliserProducts[[#Headers],[Include or Exclude]], 0,4)</f>
        <v/>
      </c>
      <c r="Z131" s="199" t="str" cm="1">
        <f t="array" ref="Z131">Common_InputFunctions.Utility_DisplayArrayInTable(Fertiliser_SourceData.Fertiliser_Products_Data1(),FertiliserProducts[[#Headers],[Include or Exclude]], 0,4)</f>
        <v/>
      </c>
      <c r="AA131" s="199" t="str" cm="1">
        <f t="array" ref="AA131">Common_InputFunctions.Utility_DisplayArrayInTable(Fertiliser_SourceData.Fertiliser_Products_Data1(),FertiliserProducts[[#Headers],[Include or Exclude]], 0,4)</f>
        <v/>
      </c>
      <c r="AB131" s="199" t="str" cm="1">
        <f t="array" ref="AB131">Common_InputFunctions.Utility_DisplayArrayInTable(Fertiliser_SourceData.Fertiliser_Products_Data1(),FertiliserProducts[[#Headers],[Include or Exclude]], 0,4)</f>
        <v/>
      </c>
      <c r="AC131" s="199" t="str" cm="1">
        <f t="array" ref="AC131">Common_InputFunctions.Utility_DisplayArrayInTable(Fertiliser_SourceData.Fertiliser_Products_Data1(),FertiliserProducts[[#Headers],[Include or Exclude]], 0,4)</f>
        <v/>
      </c>
      <c r="AD131" s="199" t="str" cm="1">
        <f t="array" ref="AD131">Common_InputFunctions.Utility_DisplayArrayInTable(Fertiliser_SourceData.Fertiliser_Products_Data1(),FertiliserProducts[[#Headers],[Include or Exclude]], 0,4)</f>
        <v/>
      </c>
      <c r="AE131" s="199" t="str" cm="1">
        <f t="array" ref="AE131">Common_InputFunctions.Utility_DisplayArrayInTable(Fertiliser_SourceData.Fertiliser_Products_Data1(),FertiliserProducts[[#Headers],[Include or Exclude]], 0,4)</f>
        <v/>
      </c>
    </row>
    <row r="132" spans="4:31" ht="20.100000000000001" customHeight="1" x14ac:dyDescent="0.25">
      <c r="D132" s="199" t="str" cm="1">
        <f t="array" ref="D132">Common_InputFunctions.Utility_DisplayArrayInTable(Fertiliser_SourceData.Fertiliser_Products_Data1(),FertiliserProducts[[#Headers],[Include or Exclude]], -1)</f>
        <v/>
      </c>
      <c r="E132" s="199" t="str" cm="1">
        <f t="array" ref="E132">Common_InputFunctions.Utility_DisplayArrayInTable(Fertiliser_SourceData.Fertiliser_Products_Data1(),FertiliserProducts[[#Headers],[Include or Exclude]], 0)</f>
        <v/>
      </c>
      <c r="F132" s="199" t="str" cm="1">
        <f t="array" ref="F132">Common_InputFunctions.Utility_DisplayArrayInTable(Fertiliser_SourceData.Fertiliser_Products_Data1(),FertiliserProducts[[#Headers],[Include or Exclude]], 0)</f>
        <v/>
      </c>
      <c r="G132" s="199" t="str" cm="1">
        <f t="array" ref="G132">Common_InputFunctions.Utility_DisplayArrayInTable(Fertiliser_SourceData.Fertiliser_Products_Data1(),FertiliserProducts[[#Headers],[Include or Exclude]], 0)</f>
        <v/>
      </c>
      <c r="H132" s="199" t="str" cm="1">
        <f t="array" ref="H132">Common_InputFunctions.Utility_DisplayArrayInTable(Fertiliser_SourceData.Fertiliser_Products_Data1(),FertiliserProducts[[#Headers],[Include or Exclude]], 0,4)</f>
        <v/>
      </c>
      <c r="I132" s="199" t="str" cm="1">
        <f t="array" ref="I132">Common_InputFunctions.Utility_DisplayArrayInTable(Fertiliser_SourceData.Fertiliser_Products_Data1(),FertiliserProducts[[#Headers],[Include or Exclude]], 0,4)</f>
        <v/>
      </c>
      <c r="J132" s="199" t="str" cm="1">
        <f t="array" ref="J132">Common_InputFunctions.Utility_DisplayArrayInTable(Fertiliser_SourceData.Fertiliser_Products_Data1(),FertiliserProducts[[#Headers],[Include or Exclude]], 0,4)</f>
        <v/>
      </c>
      <c r="K132" s="199" t="str" cm="1">
        <f t="array" ref="K132">Common_InputFunctions.Utility_DisplayArrayInTable(Fertiliser_SourceData.Fertiliser_Products_Data1(),FertiliserProducts[[#Headers],[Include or Exclude]], 0,4)</f>
        <v/>
      </c>
      <c r="L132" s="199" t="str" cm="1">
        <f t="array" ref="L132">Common_InputFunctions.Utility_DisplayArrayInTable(Fertiliser_SourceData.Fertiliser_Products_Data1(),FertiliserProducts[[#Headers],[Include or Exclude]], 0,4)</f>
        <v/>
      </c>
      <c r="M132" s="199" t="str" cm="1">
        <f t="array" ref="M132">Common_InputFunctions.Utility_DisplayArrayInTable(Fertiliser_SourceData.Fertiliser_Products_Data1(),FertiliserProducts[[#Headers],[Include or Exclude]], 0,4)</f>
        <v/>
      </c>
      <c r="N132" s="199" t="str" cm="1">
        <f t="array" ref="N132">Common_InputFunctions.Utility_DisplayArrayInTable(Fertiliser_SourceData.Fertiliser_Products_Data1(),FertiliserProducts[[#Headers],[Include or Exclude]], 0,4)</f>
        <v/>
      </c>
      <c r="O132" s="199" t="str" cm="1">
        <f t="array" ref="O132">Common_InputFunctions.Utility_DisplayArrayInTable(Fertiliser_SourceData.Fertiliser_Products_Data1(),FertiliserProducts[[#Headers],[Include or Exclude]], 0,4)</f>
        <v/>
      </c>
      <c r="P132" s="199" t="str" cm="1">
        <f t="array" ref="P132">Common_InputFunctions.Utility_DisplayArrayInTable(Fertiliser_SourceData.Fertiliser_Products_Data1(),FertiliserProducts[[#Headers],[Include or Exclude]], 0,4)</f>
        <v/>
      </c>
      <c r="Q132" s="199" t="str" cm="1">
        <f t="array" ref="Q132">Common_InputFunctions.Utility_DisplayArrayInTable(Fertiliser_SourceData.Fertiliser_Products_Data1(),FertiliserProducts[[#Headers],[Include or Exclude]], 0,4)</f>
        <v/>
      </c>
      <c r="R132" s="199" t="str" cm="1">
        <f t="array" ref="R132">Common_InputFunctions.Utility_DisplayArrayInTable(Fertiliser_SourceData.Fertiliser_Products_Data1(),FertiliserProducts[[#Headers],[Include or Exclude]], 0,4)</f>
        <v/>
      </c>
      <c r="S132" s="199" t="str" cm="1">
        <f t="array" ref="S132">Common_InputFunctions.Utility_DisplayArrayInTable(Fertiliser_SourceData.Fertiliser_Products_Data1(),FertiliserProducts[[#Headers],[Include or Exclude]], 0,4)</f>
        <v/>
      </c>
      <c r="T132" s="199" t="str" cm="1">
        <f t="array" ref="T132">Common_InputFunctions.Utility_DisplayArrayInTable(Fertiliser_SourceData.Fertiliser_Products_Data1(),FertiliserProducts[[#Headers],[Include or Exclude]], 0,4)</f>
        <v/>
      </c>
      <c r="U132" s="199" t="str" cm="1">
        <f t="array" ref="U132">Common_InputFunctions.Utility_DisplayArrayInTable(Fertiliser_SourceData.Fertiliser_Products_Data1(),FertiliserProducts[[#Headers],[Include or Exclude]], 0,4)</f>
        <v/>
      </c>
      <c r="V132" s="199" t="str" cm="1">
        <f t="array" ref="V132">Common_InputFunctions.Utility_DisplayArrayInTable(Fertiliser_SourceData.Fertiliser_Products_Data1(),FertiliserProducts[[#Headers],[Include or Exclude]], 0,4)</f>
        <v/>
      </c>
      <c r="W132" s="199" t="str" cm="1">
        <f t="array" ref="W132">Common_InputFunctions.Utility_DisplayArrayInTable(Fertiliser_SourceData.Fertiliser_Products_Data1(),FertiliserProducts[[#Headers],[Include or Exclude]], 0,4)</f>
        <v/>
      </c>
      <c r="X132" s="199" t="str" cm="1">
        <f t="array" ref="X132">Common_InputFunctions.Utility_DisplayArrayInTable(Fertiliser_SourceData.Fertiliser_Products_Data1(),FertiliserProducts[[#Headers],[Include or Exclude]], 0,4)</f>
        <v/>
      </c>
      <c r="Y132" s="199" t="str" cm="1">
        <f t="array" ref="Y132">Common_InputFunctions.Utility_DisplayArrayInTable(Fertiliser_SourceData.Fertiliser_Products_Data1(),FertiliserProducts[[#Headers],[Include or Exclude]], 0,4)</f>
        <v/>
      </c>
      <c r="Z132" s="199" t="str" cm="1">
        <f t="array" ref="Z132">Common_InputFunctions.Utility_DisplayArrayInTable(Fertiliser_SourceData.Fertiliser_Products_Data1(),FertiliserProducts[[#Headers],[Include or Exclude]], 0,4)</f>
        <v/>
      </c>
      <c r="AA132" s="199" t="str" cm="1">
        <f t="array" ref="AA132">Common_InputFunctions.Utility_DisplayArrayInTable(Fertiliser_SourceData.Fertiliser_Products_Data1(),FertiliserProducts[[#Headers],[Include or Exclude]], 0,4)</f>
        <v/>
      </c>
      <c r="AB132" s="199" t="str" cm="1">
        <f t="array" ref="AB132">Common_InputFunctions.Utility_DisplayArrayInTable(Fertiliser_SourceData.Fertiliser_Products_Data1(),FertiliserProducts[[#Headers],[Include or Exclude]], 0,4)</f>
        <v/>
      </c>
      <c r="AC132" s="199" t="str" cm="1">
        <f t="array" ref="AC132">Common_InputFunctions.Utility_DisplayArrayInTable(Fertiliser_SourceData.Fertiliser_Products_Data1(),FertiliserProducts[[#Headers],[Include or Exclude]], 0,4)</f>
        <v/>
      </c>
      <c r="AD132" s="199" t="str" cm="1">
        <f t="array" ref="AD132">Common_InputFunctions.Utility_DisplayArrayInTable(Fertiliser_SourceData.Fertiliser_Products_Data1(),FertiliserProducts[[#Headers],[Include or Exclude]], 0,4)</f>
        <v/>
      </c>
      <c r="AE132" s="199" t="str" cm="1">
        <f t="array" ref="AE132">Common_InputFunctions.Utility_DisplayArrayInTable(Fertiliser_SourceData.Fertiliser_Products_Data1(),FertiliserProducts[[#Headers],[Include or Exclude]], 0,4)</f>
        <v/>
      </c>
    </row>
    <row r="133" spans="4:31" ht="20.100000000000001" customHeight="1" x14ac:dyDescent="0.25">
      <c r="D133" s="199" t="str" cm="1">
        <f t="array" ref="D133">Common_InputFunctions.Utility_DisplayArrayInTable(Fertiliser_SourceData.Fertiliser_Products_Data1(),FertiliserProducts[[#Headers],[Include or Exclude]], -1)</f>
        <v/>
      </c>
      <c r="E133" s="199" t="str" cm="1">
        <f t="array" ref="E133">Common_InputFunctions.Utility_DisplayArrayInTable(Fertiliser_SourceData.Fertiliser_Products_Data1(),FertiliserProducts[[#Headers],[Include or Exclude]], 0)</f>
        <v/>
      </c>
      <c r="F133" s="199" t="str" cm="1">
        <f t="array" ref="F133">Common_InputFunctions.Utility_DisplayArrayInTable(Fertiliser_SourceData.Fertiliser_Products_Data1(),FertiliserProducts[[#Headers],[Include or Exclude]], 0)</f>
        <v/>
      </c>
      <c r="G133" s="199" t="str" cm="1">
        <f t="array" ref="G133">Common_InputFunctions.Utility_DisplayArrayInTable(Fertiliser_SourceData.Fertiliser_Products_Data1(),FertiliserProducts[[#Headers],[Include or Exclude]], 0)</f>
        <v/>
      </c>
      <c r="H133" s="199" t="str" cm="1">
        <f t="array" ref="H133">Common_InputFunctions.Utility_DisplayArrayInTable(Fertiliser_SourceData.Fertiliser_Products_Data1(),FertiliserProducts[[#Headers],[Include or Exclude]], 0,4)</f>
        <v/>
      </c>
      <c r="I133" s="199" t="str" cm="1">
        <f t="array" ref="I133">Common_InputFunctions.Utility_DisplayArrayInTable(Fertiliser_SourceData.Fertiliser_Products_Data1(),FertiliserProducts[[#Headers],[Include or Exclude]], 0,4)</f>
        <v/>
      </c>
      <c r="J133" s="199" t="str" cm="1">
        <f t="array" ref="J133">Common_InputFunctions.Utility_DisplayArrayInTable(Fertiliser_SourceData.Fertiliser_Products_Data1(),FertiliserProducts[[#Headers],[Include or Exclude]], 0,4)</f>
        <v/>
      </c>
      <c r="K133" s="199" t="str" cm="1">
        <f t="array" ref="K133">Common_InputFunctions.Utility_DisplayArrayInTable(Fertiliser_SourceData.Fertiliser_Products_Data1(),FertiliserProducts[[#Headers],[Include or Exclude]], 0,4)</f>
        <v/>
      </c>
      <c r="L133" s="199" t="str" cm="1">
        <f t="array" ref="L133">Common_InputFunctions.Utility_DisplayArrayInTable(Fertiliser_SourceData.Fertiliser_Products_Data1(),FertiliserProducts[[#Headers],[Include or Exclude]], 0,4)</f>
        <v/>
      </c>
      <c r="M133" s="199" t="str" cm="1">
        <f t="array" ref="M133">Common_InputFunctions.Utility_DisplayArrayInTable(Fertiliser_SourceData.Fertiliser_Products_Data1(),FertiliserProducts[[#Headers],[Include or Exclude]], 0,4)</f>
        <v/>
      </c>
      <c r="N133" s="199" t="str" cm="1">
        <f t="array" ref="N133">Common_InputFunctions.Utility_DisplayArrayInTable(Fertiliser_SourceData.Fertiliser_Products_Data1(),FertiliserProducts[[#Headers],[Include or Exclude]], 0,4)</f>
        <v/>
      </c>
      <c r="O133" s="199" t="str" cm="1">
        <f t="array" ref="O133">Common_InputFunctions.Utility_DisplayArrayInTable(Fertiliser_SourceData.Fertiliser_Products_Data1(),FertiliserProducts[[#Headers],[Include or Exclude]], 0,4)</f>
        <v/>
      </c>
      <c r="P133" s="199" t="str" cm="1">
        <f t="array" ref="P133">Common_InputFunctions.Utility_DisplayArrayInTable(Fertiliser_SourceData.Fertiliser_Products_Data1(),FertiliserProducts[[#Headers],[Include or Exclude]], 0,4)</f>
        <v/>
      </c>
      <c r="Q133" s="199" t="str" cm="1">
        <f t="array" ref="Q133">Common_InputFunctions.Utility_DisplayArrayInTable(Fertiliser_SourceData.Fertiliser_Products_Data1(),FertiliserProducts[[#Headers],[Include or Exclude]], 0,4)</f>
        <v/>
      </c>
      <c r="R133" s="199" t="str" cm="1">
        <f t="array" ref="R133">Common_InputFunctions.Utility_DisplayArrayInTable(Fertiliser_SourceData.Fertiliser_Products_Data1(),FertiliserProducts[[#Headers],[Include or Exclude]], 0,4)</f>
        <v/>
      </c>
      <c r="S133" s="199" t="str" cm="1">
        <f t="array" ref="S133">Common_InputFunctions.Utility_DisplayArrayInTable(Fertiliser_SourceData.Fertiliser_Products_Data1(),FertiliserProducts[[#Headers],[Include or Exclude]], 0,4)</f>
        <v/>
      </c>
      <c r="T133" s="199" t="str" cm="1">
        <f t="array" ref="T133">Common_InputFunctions.Utility_DisplayArrayInTable(Fertiliser_SourceData.Fertiliser_Products_Data1(),FertiliserProducts[[#Headers],[Include or Exclude]], 0,4)</f>
        <v/>
      </c>
      <c r="U133" s="199" t="str" cm="1">
        <f t="array" ref="U133">Common_InputFunctions.Utility_DisplayArrayInTable(Fertiliser_SourceData.Fertiliser_Products_Data1(),FertiliserProducts[[#Headers],[Include or Exclude]], 0,4)</f>
        <v/>
      </c>
      <c r="V133" s="199" t="str" cm="1">
        <f t="array" ref="V133">Common_InputFunctions.Utility_DisplayArrayInTable(Fertiliser_SourceData.Fertiliser_Products_Data1(),FertiliserProducts[[#Headers],[Include or Exclude]], 0,4)</f>
        <v/>
      </c>
      <c r="W133" s="199" t="str" cm="1">
        <f t="array" ref="W133">Common_InputFunctions.Utility_DisplayArrayInTable(Fertiliser_SourceData.Fertiliser_Products_Data1(),FertiliserProducts[[#Headers],[Include or Exclude]], 0,4)</f>
        <v/>
      </c>
      <c r="X133" s="199" t="str" cm="1">
        <f t="array" ref="X133">Common_InputFunctions.Utility_DisplayArrayInTable(Fertiliser_SourceData.Fertiliser_Products_Data1(),FertiliserProducts[[#Headers],[Include or Exclude]], 0,4)</f>
        <v/>
      </c>
      <c r="Y133" s="199" t="str" cm="1">
        <f t="array" ref="Y133">Common_InputFunctions.Utility_DisplayArrayInTable(Fertiliser_SourceData.Fertiliser_Products_Data1(),FertiliserProducts[[#Headers],[Include or Exclude]], 0,4)</f>
        <v/>
      </c>
      <c r="Z133" s="199" t="str" cm="1">
        <f t="array" ref="Z133">Common_InputFunctions.Utility_DisplayArrayInTable(Fertiliser_SourceData.Fertiliser_Products_Data1(),FertiliserProducts[[#Headers],[Include or Exclude]], 0,4)</f>
        <v/>
      </c>
      <c r="AA133" s="199" t="str" cm="1">
        <f t="array" ref="AA133">Common_InputFunctions.Utility_DisplayArrayInTable(Fertiliser_SourceData.Fertiliser_Products_Data1(),FertiliserProducts[[#Headers],[Include or Exclude]], 0,4)</f>
        <v/>
      </c>
      <c r="AB133" s="199" t="str" cm="1">
        <f t="array" ref="AB133">Common_InputFunctions.Utility_DisplayArrayInTable(Fertiliser_SourceData.Fertiliser_Products_Data1(),FertiliserProducts[[#Headers],[Include or Exclude]], 0,4)</f>
        <v/>
      </c>
      <c r="AC133" s="199" t="str" cm="1">
        <f t="array" ref="AC133">Common_InputFunctions.Utility_DisplayArrayInTable(Fertiliser_SourceData.Fertiliser_Products_Data1(),FertiliserProducts[[#Headers],[Include or Exclude]], 0,4)</f>
        <v/>
      </c>
      <c r="AD133" s="199" t="str" cm="1">
        <f t="array" ref="AD133">Common_InputFunctions.Utility_DisplayArrayInTable(Fertiliser_SourceData.Fertiliser_Products_Data1(),FertiliserProducts[[#Headers],[Include or Exclude]], 0,4)</f>
        <v/>
      </c>
      <c r="AE133" s="199" t="str" cm="1">
        <f t="array" ref="AE133">Common_InputFunctions.Utility_DisplayArrayInTable(Fertiliser_SourceData.Fertiliser_Products_Data1(),FertiliserProducts[[#Headers],[Include or Exclude]], 0,4)</f>
        <v/>
      </c>
    </row>
    <row r="134" spans="4:31" ht="20.100000000000001" customHeight="1" x14ac:dyDescent="0.25">
      <c r="D134" s="199" t="str" cm="1">
        <f t="array" ref="D134">Common_InputFunctions.Utility_DisplayArrayInTable(Fertiliser_SourceData.Fertiliser_Products_Data1(),FertiliserProducts[[#Headers],[Include or Exclude]], -1)</f>
        <v/>
      </c>
      <c r="E134" s="199" t="str" cm="1">
        <f t="array" ref="E134">Common_InputFunctions.Utility_DisplayArrayInTable(Fertiliser_SourceData.Fertiliser_Products_Data1(),FertiliserProducts[[#Headers],[Include or Exclude]], 0)</f>
        <v/>
      </c>
      <c r="F134" s="199" t="str" cm="1">
        <f t="array" ref="F134">Common_InputFunctions.Utility_DisplayArrayInTable(Fertiliser_SourceData.Fertiliser_Products_Data1(),FertiliserProducts[[#Headers],[Include or Exclude]], 0)</f>
        <v/>
      </c>
      <c r="G134" s="199" t="str" cm="1">
        <f t="array" ref="G134">Common_InputFunctions.Utility_DisplayArrayInTable(Fertiliser_SourceData.Fertiliser_Products_Data1(),FertiliserProducts[[#Headers],[Include or Exclude]], 0)</f>
        <v/>
      </c>
      <c r="H134" s="199" t="str" cm="1">
        <f t="array" ref="H134">Common_InputFunctions.Utility_DisplayArrayInTable(Fertiliser_SourceData.Fertiliser_Products_Data1(),FertiliserProducts[[#Headers],[Include or Exclude]], 0,4)</f>
        <v/>
      </c>
      <c r="I134" s="199" t="str" cm="1">
        <f t="array" ref="I134">Common_InputFunctions.Utility_DisplayArrayInTable(Fertiliser_SourceData.Fertiliser_Products_Data1(),FertiliserProducts[[#Headers],[Include or Exclude]], 0,4)</f>
        <v/>
      </c>
      <c r="J134" s="199" t="str" cm="1">
        <f t="array" ref="J134">Common_InputFunctions.Utility_DisplayArrayInTable(Fertiliser_SourceData.Fertiliser_Products_Data1(),FertiliserProducts[[#Headers],[Include or Exclude]], 0,4)</f>
        <v/>
      </c>
      <c r="K134" s="199" t="str" cm="1">
        <f t="array" ref="K134">Common_InputFunctions.Utility_DisplayArrayInTable(Fertiliser_SourceData.Fertiliser_Products_Data1(),FertiliserProducts[[#Headers],[Include or Exclude]], 0,4)</f>
        <v/>
      </c>
      <c r="L134" s="199" t="str" cm="1">
        <f t="array" ref="L134">Common_InputFunctions.Utility_DisplayArrayInTable(Fertiliser_SourceData.Fertiliser_Products_Data1(),FertiliserProducts[[#Headers],[Include or Exclude]], 0,4)</f>
        <v/>
      </c>
      <c r="M134" s="199" t="str" cm="1">
        <f t="array" ref="M134">Common_InputFunctions.Utility_DisplayArrayInTable(Fertiliser_SourceData.Fertiliser_Products_Data1(),FertiliserProducts[[#Headers],[Include or Exclude]], 0,4)</f>
        <v/>
      </c>
      <c r="N134" s="199" t="str" cm="1">
        <f t="array" ref="N134">Common_InputFunctions.Utility_DisplayArrayInTable(Fertiliser_SourceData.Fertiliser_Products_Data1(),FertiliserProducts[[#Headers],[Include or Exclude]], 0,4)</f>
        <v/>
      </c>
      <c r="O134" s="199" t="str" cm="1">
        <f t="array" ref="O134">Common_InputFunctions.Utility_DisplayArrayInTable(Fertiliser_SourceData.Fertiliser_Products_Data1(),FertiliserProducts[[#Headers],[Include or Exclude]], 0,4)</f>
        <v/>
      </c>
      <c r="P134" s="199" t="str" cm="1">
        <f t="array" ref="P134">Common_InputFunctions.Utility_DisplayArrayInTable(Fertiliser_SourceData.Fertiliser_Products_Data1(),FertiliserProducts[[#Headers],[Include or Exclude]], 0,4)</f>
        <v/>
      </c>
      <c r="Q134" s="199" t="str" cm="1">
        <f t="array" ref="Q134">Common_InputFunctions.Utility_DisplayArrayInTable(Fertiliser_SourceData.Fertiliser_Products_Data1(),FertiliserProducts[[#Headers],[Include or Exclude]], 0,4)</f>
        <v/>
      </c>
      <c r="R134" s="199" t="str" cm="1">
        <f t="array" ref="R134">Common_InputFunctions.Utility_DisplayArrayInTable(Fertiliser_SourceData.Fertiliser_Products_Data1(),FertiliserProducts[[#Headers],[Include or Exclude]], 0,4)</f>
        <v/>
      </c>
      <c r="S134" s="199" t="str" cm="1">
        <f t="array" ref="S134">Common_InputFunctions.Utility_DisplayArrayInTable(Fertiliser_SourceData.Fertiliser_Products_Data1(),FertiliserProducts[[#Headers],[Include or Exclude]], 0,4)</f>
        <v/>
      </c>
      <c r="T134" s="199" t="str" cm="1">
        <f t="array" ref="T134">Common_InputFunctions.Utility_DisplayArrayInTable(Fertiliser_SourceData.Fertiliser_Products_Data1(),FertiliserProducts[[#Headers],[Include or Exclude]], 0,4)</f>
        <v/>
      </c>
      <c r="U134" s="199" t="str" cm="1">
        <f t="array" ref="U134">Common_InputFunctions.Utility_DisplayArrayInTable(Fertiliser_SourceData.Fertiliser_Products_Data1(),FertiliserProducts[[#Headers],[Include or Exclude]], 0,4)</f>
        <v/>
      </c>
      <c r="V134" s="199" t="str" cm="1">
        <f t="array" ref="V134">Common_InputFunctions.Utility_DisplayArrayInTable(Fertiliser_SourceData.Fertiliser_Products_Data1(),FertiliserProducts[[#Headers],[Include or Exclude]], 0,4)</f>
        <v/>
      </c>
      <c r="W134" s="199" t="str" cm="1">
        <f t="array" ref="W134">Common_InputFunctions.Utility_DisplayArrayInTable(Fertiliser_SourceData.Fertiliser_Products_Data1(),FertiliserProducts[[#Headers],[Include or Exclude]], 0,4)</f>
        <v/>
      </c>
      <c r="X134" s="199" t="str" cm="1">
        <f t="array" ref="X134">Common_InputFunctions.Utility_DisplayArrayInTable(Fertiliser_SourceData.Fertiliser_Products_Data1(),FertiliserProducts[[#Headers],[Include or Exclude]], 0,4)</f>
        <v/>
      </c>
      <c r="Y134" s="199" t="str" cm="1">
        <f t="array" ref="Y134">Common_InputFunctions.Utility_DisplayArrayInTable(Fertiliser_SourceData.Fertiliser_Products_Data1(),FertiliserProducts[[#Headers],[Include or Exclude]], 0,4)</f>
        <v/>
      </c>
      <c r="Z134" s="199" t="str" cm="1">
        <f t="array" ref="Z134">Common_InputFunctions.Utility_DisplayArrayInTable(Fertiliser_SourceData.Fertiliser_Products_Data1(),FertiliserProducts[[#Headers],[Include or Exclude]], 0,4)</f>
        <v/>
      </c>
      <c r="AA134" s="199" t="str" cm="1">
        <f t="array" ref="AA134">Common_InputFunctions.Utility_DisplayArrayInTable(Fertiliser_SourceData.Fertiliser_Products_Data1(),FertiliserProducts[[#Headers],[Include or Exclude]], 0,4)</f>
        <v/>
      </c>
      <c r="AB134" s="199" t="str" cm="1">
        <f t="array" ref="AB134">Common_InputFunctions.Utility_DisplayArrayInTable(Fertiliser_SourceData.Fertiliser_Products_Data1(),FertiliserProducts[[#Headers],[Include or Exclude]], 0,4)</f>
        <v/>
      </c>
      <c r="AC134" s="199" t="str" cm="1">
        <f t="array" ref="AC134">Common_InputFunctions.Utility_DisplayArrayInTable(Fertiliser_SourceData.Fertiliser_Products_Data1(),FertiliserProducts[[#Headers],[Include or Exclude]], 0,4)</f>
        <v/>
      </c>
      <c r="AD134" s="199" t="str" cm="1">
        <f t="array" ref="AD134">Common_InputFunctions.Utility_DisplayArrayInTable(Fertiliser_SourceData.Fertiliser_Products_Data1(),FertiliserProducts[[#Headers],[Include or Exclude]], 0,4)</f>
        <v/>
      </c>
      <c r="AE134" s="199" t="str" cm="1">
        <f t="array" ref="AE134">Common_InputFunctions.Utility_DisplayArrayInTable(Fertiliser_SourceData.Fertiliser_Products_Data1(),FertiliserProducts[[#Headers],[Include or Exclude]], 0,4)</f>
        <v/>
      </c>
    </row>
    <row r="135" spans="4:31" ht="20.100000000000001" customHeight="1" x14ac:dyDescent="0.25">
      <c r="D135" s="199" t="str" cm="1">
        <f t="array" ref="D135">Common_InputFunctions.Utility_DisplayArrayInTable(Fertiliser_SourceData.Fertiliser_Products_Data1(),FertiliserProducts[[#Headers],[Include or Exclude]], -1)</f>
        <v/>
      </c>
      <c r="E135" s="199" t="str" cm="1">
        <f t="array" ref="E135">Common_InputFunctions.Utility_DisplayArrayInTable(Fertiliser_SourceData.Fertiliser_Products_Data1(),FertiliserProducts[[#Headers],[Include or Exclude]], 0)</f>
        <v/>
      </c>
      <c r="F135" s="199" t="str" cm="1">
        <f t="array" ref="F135">Common_InputFunctions.Utility_DisplayArrayInTable(Fertiliser_SourceData.Fertiliser_Products_Data1(),FertiliserProducts[[#Headers],[Include or Exclude]], 0)</f>
        <v/>
      </c>
      <c r="G135" s="199" t="str" cm="1">
        <f t="array" ref="G135">Common_InputFunctions.Utility_DisplayArrayInTable(Fertiliser_SourceData.Fertiliser_Products_Data1(),FertiliserProducts[[#Headers],[Include or Exclude]], 0)</f>
        <v/>
      </c>
      <c r="H135" s="199" t="str" cm="1">
        <f t="array" ref="H135">Common_InputFunctions.Utility_DisplayArrayInTable(Fertiliser_SourceData.Fertiliser_Products_Data1(),FertiliserProducts[[#Headers],[Include or Exclude]], 0,4)</f>
        <v/>
      </c>
      <c r="I135" s="199" t="str" cm="1">
        <f t="array" ref="I135">Common_InputFunctions.Utility_DisplayArrayInTable(Fertiliser_SourceData.Fertiliser_Products_Data1(),FertiliserProducts[[#Headers],[Include or Exclude]], 0,4)</f>
        <v/>
      </c>
      <c r="J135" s="199" t="str" cm="1">
        <f t="array" ref="J135">Common_InputFunctions.Utility_DisplayArrayInTable(Fertiliser_SourceData.Fertiliser_Products_Data1(),FertiliserProducts[[#Headers],[Include or Exclude]], 0,4)</f>
        <v/>
      </c>
      <c r="K135" s="199" t="str" cm="1">
        <f t="array" ref="K135">Common_InputFunctions.Utility_DisplayArrayInTable(Fertiliser_SourceData.Fertiliser_Products_Data1(),FertiliserProducts[[#Headers],[Include or Exclude]], 0,4)</f>
        <v/>
      </c>
      <c r="L135" s="199" t="str" cm="1">
        <f t="array" ref="L135">Common_InputFunctions.Utility_DisplayArrayInTable(Fertiliser_SourceData.Fertiliser_Products_Data1(),FertiliserProducts[[#Headers],[Include or Exclude]], 0,4)</f>
        <v/>
      </c>
      <c r="M135" s="199" t="str" cm="1">
        <f t="array" ref="M135">Common_InputFunctions.Utility_DisplayArrayInTable(Fertiliser_SourceData.Fertiliser_Products_Data1(),FertiliserProducts[[#Headers],[Include or Exclude]], 0,4)</f>
        <v/>
      </c>
      <c r="N135" s="199" t="str" cm="1">
        <f t="array" ref="N135">Common_InputFunctions.Utility_DisplayArrayInTable(Fertiliser_SourceData.Fertiliser_Products_Data1(),FertiliserProducts[[#Headers],[Include or Exclude]], 0,4)</f>
        <v/>
      </c>
      <c r="O135" s="199" t="str" cm="1">
        <f t="array" ref="O135">Common_InputFunctions.Utility_DisplayArrayInTable(Fertiliser_SourceData.Fertiliser_Products_Data1(),FertiliserProducts[[#Headers],[Include or Exclude]], 0,4)</f>
        <v/>
      </c>
      <c r="P135" s="199" t="str" cm="1">
        <f t="array" ref="P135">Common_InputFunctions.Utility_DisplayArrayInTable(Fertiliser_SourceData.Fertiliser_Products_Data1(),FertiliserProducts[[#Headers],[Include or Exclude]], 0,4)</f>
        <v/>
      </c>
      <c r="Q135" s="199" t="str" cm="1">
        <f t="array" ref="Q135">Common_InputFunctions.Utility_DisplayArrayInTable(Fertiliser_SourceData.Fertiliser_Products_Data1(),FertiliserProducts[[#Headers],[Include or Exclude]], 0,4)</f>
        <v/>
      </c>
      <c r="R135" s="199" t="str" cm="1">
        <f t="array" ref="R135">Common_InputFunctions.Utility_DisplayArrayInTable(Fertiliser_SourceData.Fertiliser_Products_Data1(),FertiliserProducts[[#Headers],[Include or Exclude]], 0,4)</f>
        <v/>
      </c>
      <c r="S135" s="199" t="str" cm="1">
        <f t="array" ref="S135">Common_InputFunctions.Utility_DisplayArrayInTable(Fertiliser_SourceData.Fertiliser_Products_Data1(),FertiliserProducts[[#Headers],[Include or Exclude]], 0,4)</f>
        <v/>
      </c>
      <c r="T135" s="199" t="str" cm="1">
        <f t="array" ref="T135">Common_InputFunctions.Utility_DisplayArrayInTable(Fertiliser_SourceData.Fertiliser_Products_Data1(),FertiliserProducts[[#Headers],[Include or Exclude]], 0,4)</f>
        <v/>
      </c>
      <c r="U135" s="199" t="str" cm="1">
        <f t="array" ref="U135">Common_InputFunctions.Utility_DisplayArrayInTable(Fertiliser_SourceData.Fertiliser_Products_Data1(),FertiliserProducts[[#Headers],[Include or Exclude]], 0,4)</f>
        <v/>
      </c>
      <c r="V135" s="199" t="str" cm="1">
        <f t="array" ref="V135">Common_InputFunctions.Utility_DisplayArrayInTable(Fertiliser_SourceData.Fertiliser_Products_Data1(),FertiliserProducts[[#Headers],[Include or Exclude]], 0,4)</f>
        <v/>
      </c>
      <c r="W135" s="199" t="str" cm="1">
        <f t="array" ref="W135">Common_InputFunctions.Utility_DisplayArrayInTable(Fertiliser_SourceData.Fertiliser_Products_Data1(),FertiliserProducts[[#Headers],[Include or Exclude]], 0,4)</f>
        <v/>
      </c>
      <c r="X135" s="199" t="str" cm="1">
        <f t="array" ref="X135">Common_InputFunctions.Utility_DisplayArrayInTable(Fertiliser_SourceData.Fertiliser_Products_Data1(),FertiliserProducts[[#Headers],[Include or Exclude]], 0,4)</f>
        <v/>
      </c>
      <c r="Y135" s="199" t="str" cm="1">
        <f t="array" ref="Y135">Common_InputFunctions.Utility_DisplayArrayInTable(Fertiliser_SourceData.Fertiliser_Products_Data1(),FertiliserProducts[[#Headers],[Include or Exclude]], 0,4)</f>
        <v/>
      </c>
      <c r="Z135" s="199" t="str" cm="1">
        <f t="array" ref="Z135">Common_InputFunctions.Utility_DisplayArrayInTable(Fertiliser_SourceData.Fertiliser_Products_Data1(),FertiliserProducts[[#Headers],[Include or Exclude]], 0,4)</f>
        <v/>
      </c>
      <c r="AA135" s="199" t="str" cm="1">
        <f t="array" ref="AA135">Common_InputFunctions.Utility_DisplayArrayInTable(Fertiliser_SourceData.Fertiliser_Products_Data1(),FertiliserProducts[[#Headers],[Include or Exclude]], 0,4)</f>
        <v/>
      </c>
      <c r="AB135" s="199" t="str" cm="1">
        <f t="array" ref="AB135">Common_InputFunctions.Utility_DisplayArrayInTable(Fertiliser_SourceData.Fertiliser_Products_Data1(),FertiliserProducts[[#Headers],[Include or Exclude]], 0,4)</f>
        <v/>
      </c>
      <c r="AC135" s="199" t="str" cm="1">
        <f t="array" ref="AC135">Common_InputFunctions.Utility_DisplayArrayInTable(Fertiliser_SourceData.Fertiliser_Products_Data1(),FertiliserProducts[[#Headers],[Include or Exclude]], 0,4)</f>
        <v/>
      </c>
      <c r="AD135" s="199" t="str" cm="1">
        <f t="array" ref="AD135">Common_InputFunctions.Utility_DisplayArrayInTable(Fertiliser_SourceData.Fertiliser_Products_Data1(),FertiliserProducts[[#Headers],[Include or Exclude]], 0,4)</f>
        <v/>
      </c>
      <c r="AE135" s="199" t="str" cm="1">
        <f t="array" ref="AE135">Common_InputFunctions.Utility_DisplayArrayInTable(Fertiliser_SourceData.Fertiliser_Products_Data1(),FertiliserProducts[[#Headers],[Include or Exclude]], 0,4)</f>
        <v/>
      </c>
    </row>
    <row r="136" spans="4:31" ht="20.100000000000001" customHeight="1" x14ac:dyDescent="0.25">
      <c r="D136" s="199" t="str" cm="1">
        <f t="array" ref="D136">Common_InputFunctions.Utility_DisplayArrayInTable(Fertiliser_SourceData.Fertiliser_Products_Data1(),FertiliserProducts[[#Headers],[Include or Exclude]], -1)</f>
        <v/>
      </c>
      <c r="E136" s="199" t="str" cm="1">
        <f t="array" ref="E136">Common_InputFunctions.Utility_DisplayArrayInTable(Fertiliser_SourceData.Fertiliser_Products_Data1(),FertiliserProducts[[#Headers],[Include or Exclude]], 0)</f>
        <v/>
      </c>
      <c r="F136" s="199" t="str" cm="1">
        <f t="array" ref="F136">Common_InputFunctions.Utility_DisplayArrayInTable(Fertiliser_SourceData.Fertiliser_Products_Data1(),FertiliserProducts[[#Headers],[Include or Exclude]], 0)</f>
        <v/>
      </c>
      <c r="G136" s="199" t="str" cm="1">
        <f t="array" ref="G136">Common_InputFunctions.Utility_DisplayArrayInTable(Fertiliser_SourceData.Fertiliser_Products_Data1(),FertiliserProducts[[#Headers],[Include or Exclude]], 0)</f>
        <v/>
      </c>
      <c r="H136" s="199" t="str" cm="1">
        <f t="array" ref="H136">Common_InputFunctions.Utility_DisplayArrayInTable(Fertiliser_SourceData.Fertiliser_Products_Data1(),FertiliserProducts[[#Headers],[Include or Exclude]], 0,4)</f>
        <v/>
      </c>
      <c r="I136" s="199" t="str" cm="1">
        <f t="array" ref="I136">Common_InputFunctions.Utility_DisplayArrayInTable(Fertiliser_SourceData.Fertiliser_Products_Data1(),FertiliserProducts[[#Headers],[Include or Exclude]], 0,4)</f>
        <v/>
      </c>
      <c r="J136" s="199" t="str" cm="1">
        <f t="array" ref="J136">Common_InputFunctions.Utility_DisplayArrayInTable(Fertiliser_SourceData.Fertiliser_Products_Data1(),FertiliserProducts[[#Headers],[Include or Exclude]], 0,4)</f>
        <v/>
      </c>
      <c r="K136" s="199" t="str" cm="1">
        <f t="array" ref="K136">Common_InputFunctions.Utility_DisplayArrayInTable(Fertiliser_SourceData.Fertiliser_Products_Data1(),FertiliserProducts[[#Headers],[Include or Exclude]], 0,4)</f>
        <v/>
      </c>
      <c r="L136" s="199" t="str" cm="1">
        <f t="array" ref="L136">Common_InputFunctions.Utility_DisplayArrayInTable(Fertiliser_SourceData.Fertiliser_Products_Data1(),FertiliserProducts[[#Headers],[Include or Exclude]], 0,4)</f>
        <v/>
      </c>
      <c r="M136" s="199" t="str" cm="1">
        <f t="array" ref="M136">Common_InputFunctions.Utility_DisplayArrayInTable(Fertiliser_SourceData.Fertiliser_Products_Data1(),FertiliserProducts[[#Headers],[Include or Exclude]], 0,4)</f>
        <v/>
      </c>
      <c r="N136" s="199" t="str" cm="1">
        <f t="array" ref="N136">Common_InputFunctions.Utility_DisplayArrayInTable(Fertiliser_SourceData.Fertiliser_Products_Data1(),FertiliserProducts[[#Headers],[Include or Exclude]], 0,4)</f>
        <v/>
      </c>
      <c r="O136" s="199" t="str" cm="1">
        <f t="array" ref="O136">Common_InputFunctions.Utility_DisplayArrayInTable(Fertiliser_SourceData.Fertiliser_Products_Data1(),FertiliserProducts[[#Headers],[Include or Exclude]], 0,4)</f>
        <v/>
      </c>
      <c r="P136" s="199" t="str" cm="1">
        <f t="array" ref="P136">Common_InputFunctions.Utility_DisplayArrayInTable(Fertiliser_SourceData.Fertiliser_Products_Data1(),FertiliserProducts[[#Headers],[Include or Exclude]], 0,4)</f>
        <v/>
      </c>
      <c r="Q136" s="199" t="str" cm="1">
        <f t="array" ref="Q136">Common_InputFunctions.Utility_DisplayArrayInTable(Fertiliser_SourceData.Fertiliser_Products_Data1(),FertiliserProducts[[#Headers],[Include or Exclude]], 0,4)</f>
        <v/>
      </c>
      <c r="R136" s="199" t="str" cm="1">
        <f t="array" ref="R136">Common_InputFunctions.Utility_DisplayArrayInTable(Fertiliser_SourceData.Fertiliser_Products_Data1(),FertiliserProducts[[#Headers],[Include or Exclude]], 0,4)</f>
        <v/>
      </c>
      <c r="S136" s="199" t="str" cm="1">
        <f t="array" ref="S136">Common_InputFunctions.Utility_DisplayArrayInTable(Fertiliser_SourceData.Fertiliser_Products_Data1(),FertiliserProducts[[#Headers],[Include or Exclude]], 0,4)</f>
        <v/>
      </c>
      <c r="T136" s="199" t="str" cm="1">
        <f t="array" ref="T136">Common_InputFunctions.Utility_DisplayArrayInTable(Fertiliser_SourceData.Fertiliser_Products_Data1(),FertiliserProducts[[#Headers],[Include or Exclude]], 0,4)</f>
        <v/>
      </c>
      <c r="U136" s="199" t="str" cm="1">
        <f t="array" ref="U136">Common_InputFunctions.Utility_DisplayArrayInTable(Fertiliser_SourceData.Fertiliser_Products_Data1(),FertiliserProducts[[#Headers],[Include or Exclude]], 0,4)</f>
        <v/>
      </c>
      <c r="V136" s="199" t="str" cm="1">
        <f t="array" ref="V136">Common_InputFunctions.Utility_DisplayArrayInTable(Fertiliser_SourceData.Fertiliser_Products_Data1(),FertiliserProducts[[#Headers],[Include or Exclude]], 0,4)</f>
        <v/>
      </c>
      <c r="W136" s="199" t="str" cm="1">
        <f t="array" ref="W136">Common_InputFunctions.Utility_DisplayArrayInTable(Fertiliser_SourceData.Fertiliser_Products_Data1(),FertiliserProducts[[#Headers],[Include or Exclude]], 0,4)</f>
        <v/>
      </c>
      <c r="X136" s="199" t="str" cm="1">
        <f t="array" ref="X136">Common_InputFunctions.Utility_DisplayArrayInTable(Fertiliser_SourceData.Fertiliser_Products_Data1(),FertiliserProducts[[#Headers],[Include or Exclude]], 0,4)</f>
        <v/>
      </c>
      <c r="Y136" s="199" t="str" cm="1">
        <f t="array" ref="Y136">Common_InputFunctions.Utility_DisplayArrayInTable(Fertiliser_SourceData.Fertiliser_Products_Data1(),FertiliserProducts[[#Headers],[Include or Exclude]], 0,4)</f>
        <v/>
      </c>
      <c r="Z136" s="199" t="str" cm="1">
        <f t="array" ref="Z136">Common_InputFunctions.Utility_DisplayArrayInTable(Fertiliser_SourceData.Fertiliser_Products_Data1(),FertiliserProducts[[#Headers],[Include or Exclude]], 0,4)</f>
        <v/>
      </c>
      <c r="AA136" s="199" t="str" cm="1">
        <f t="array" ref="AA136">Common_InputFunctions.Utility_DisplayArrayInTable(Fertiliser_SourceData.Fertiliser_Products_Data1(),FertiliserProducts[[#Headers],[Include or Exclude]], 0,4)</f>
        <v/>
      </c>
      <c r="AB136" s="199" t="str" cm="1">
        <f t="array" ref="AB136">Common_InputFunctions.Utility_DisplayArrayInTable(Fertiliser_SourceData.Fertiliser_Products_Data1(),FertiliserProducts[[#Headers],[Include or Exclude]], 0,4)</f>
        <v/>
      </c>
      <c r="AC136" s="199" t="str" cm="1">
        <f t="array" ref="AC136">Common_InputFunctions.Utility_DisplayArrayInTable(Fertiliser_SourceData.Fertiliser_Products_Data1(),FertiliserProducts[[#Headers],[Include or Exclude]], 0,4)</f>
        <v/>
      </c>
      <c r="AD136" s="199" t="str" cm="1">
        <f t="array" ref="AD136">Common_InputFunctions.Utility_DisplayArrayInTable(Fertiliser_SourceData.Fertiliser_Products_Data1(),FertiliserProducts[[#Headers],[Include or Exclude]], 0,4)</f>
        <v/>
      </c>
      <c r="AE136" s="199" t="str" cm="1">
        <f t="array" ref="AE136">Common_InputFunctions.Utility_DisplayArrayInTable(Fertiliser_SourceData.Fertiliser_Products_Data1(),FertiliserProducts[[#Headers],[Include or Exclude]], 0,4)</f>
        <v/>
      </c>
    </row>
    <row r="137" spans="4:31" ht="20.100000000000001" customHeight="1" x14ac:dyDescent="0.25">
      <c r="D137" s="199" t="str" cm="1">
        <f t="array" ref="D137">Common_InputFunctions.Utility_DisplayArrayInTable(Fertiliser_SourceData.Fertiliser_Products_Data1(),FertiliserProducts[[#Headers],[Include or Exclude]], -1)</f>
        <v/>
      </c>
      <c r="E137" s="199" t="str" cm="1">
        <f t="array" ref="E137">Common_InputFunctions.Utility_DisplayArrayInTable(Fertiliser_SourceData.Fertiliser_Products_Data1(),FertiliserProducts[[#Headers],[Include or Exclude]], 0)</f>
        <v/>
      </c>
      <c r="F137" s="199" t="str" cm="1">
        <f t="array" ref="F137">Common_InputFunctions.Utility_DisplayArrayInTable(Fertiliser_SourceData.Fertiliser_Products_Data1(),FertiliserProducts[[#Headers],[Include or Exclude]], 0)</f>
        <v/>
      </c>
      <c r="G137" s="199" t="str" cm="1">
        <f t="array" ref="G137">Common_InputFunctions.Utility_DisplayArrayInTable(Fertiliser_SourceData.Fertiliser_Products_Data1(),FertiliserProducts[[#Headers],[Include or Exclude]], 0)</f>
        <v/>
      </c>
      <c r="H137" s="199" t="str" cm="1">
        <f t="array" ref="H137">Common_InputFunctions.Utility_DisplayArrayInTable(Fertiliser_SourceData.Fertiliser_Products_Data1(),FertiliserProducts[[#Headers],[Include or Exclude]], 0,4)</f>
        <v/>
      </c>
      <c r="I137" s="199" t="str" cm="1">
        <f t="array" ref="I137">Common_InputFunctions.Utility_DisplayArrayInTable(Fertiliser_SourceData.Fertiliser_Products_Data1(),FertiliserProducts[[#Headers],[Include or Exclude]], 0,4)</f>
        <v/>
      </c>
      <c r="J137" s="199" t="str" cm="1">
        <f t="array" ref="J137">Common_InputFunctions.Utility_DisplayArrayInTable(Fertiliser_SourceData.Fertiliser_Products_Data1(),FertiliserProducts[[#Headers],[Include or Exclude]], 0,4)</f>
        <v/>
      </c>
      <c r="K137" s="199" t="str" cm="1">
        <f t="array" ref="K137">Common_InputFunctions.Utility_DisplayArrayInTable(Fertiliser_SourceData.Fertiliser_Products_Data1(),FertiliserProducts[[#Headers],[Include or Exclude]], 0,4)</f>
        <v/>
      </c>
      <c r="L137" s="199" t="str" cm="1">
        <f t="array" ref="L137">Common_InputFunctions.Utility_DisplayArrayInTable(Fertiliser_SourceData.Fertiliser_Products_Data1(),FertiliserProducts[[#Headers],[Include or Exclude]], 0,4)</f>
        <v/>
      </c>
      <c r="M137" s="199" t="str" cm="1">
        <f t="array" ref="M137">Common_InputFunctions.Utility_DisplayArrayInTable(Fertiliser_SourceData.Fertiliser_Products_Data1(),FertiliserProducts[[#Headers],[Include or Exclude]], 0,4)</f>
        <v/>
      </c>
      <c r="N137" s="199" t="str" cm="1">
        <f t="array" ref="N137">Common_InputFunctions.Utility_DisplayArrayInTable(Fertiliser_SourceData.Fertiliser_Products_Data1(),FertiliserProducts[[#Headers],[Include or Exclude]], 0,4)</f>
        <v/>
      </c>
      <c r="O137" s="199" t="str" cm="1">
        <f t="array" ref="O137">Common_InputFunctions.Utility_DisplayArrayInTable(Fertiliser_SourceData.Fertiliser_Products_Data1(),FertiliserProducts[[#Headers],[Include or Exclude]], 0,4)</f>
        <v/>
      </c>
      <c r="P137" s="199" t="str" cm="1">
        <f t="array" ref="P137">Common_InputFunctions.Utility_DisplayArrayInTable(Fertiliser_SourceData.Fertiliser_Products_Data1(),FertiliserProducts[[#Headers],[Include or Exclude]], 0,4)</f>
        <v/>
      </c>
      <c r="Q137" s="199" t="str" cm="1">
        <f t="array" ref="Q137">Common_InputFunctions.Utility_DisplayArrayInTable(Fertiliser_SourceData.Fertiliser_Products_Data1(),FertiliserProducts[[#Headers],[Include or Exclude]], 0,4)</f>
        <v/>
      </c>
      <c r="R137" s="199" t="str" cm="1">
        <f t="array" ref="R137">Common_InputFunctions.Utility_DisplayArrayInTable(Fertiliser_SourceData.Fertiliser_Products_Data1(),FertiliserProducts[[#Headers],[Include or Exclude]], 0,4)</f>
        <v/>
      </c>
      <c r="S137" s="199" t="str" cm="1">
        <f t="array" ref="S137">Common_InputFunctions.Utility_DisplayArrayInTable(Fertiliser_SourceData.Fertiliser_Products_Data1(),FertiliserProducts[[#Headers],[Include or Exclude]], 0,4)</f>
        <v/>
      </c>
      <c r="T137" s="199" t="str" cm="1">
        <f t="array" ref="T137">Common_InputFunctions.Utility_DisplayArrayInTable(Fertiliser_SourceData.Fertiliser_Products_Data1(),FertiliserProducts[[#Headers],[Include or Exclude]], 0,4)</f>
        <v/>
      </c>
      <c r="U137" s="199" t="str" cm="1">
        <f t="array" ref="U137">Common_InputFunctions.Utility_DisplayArrayInTable(Fertiliser_SourceData.Fertiliser_Products_Data1(),FertiliserProducts[[#Headers],[Include or Exclude]], 0,4)</f>
        <v/>
      </c>
      <c r="V137" s="199" t="str" cm="1">
        <f t="array" ref="V137">Common_InputFunctions.Utility_DisplayArrayInTable(Fertiliser_SourceData.Fertiliser_Products_Data1(),FertiliserProducts[[#Headers],[Include or Exclude]], 0,4)</f>
        <v/>
      </c>
      <c r="W137" s="199" t="str" cm="1">
        <f t="array" ref="W137">Common_InputFunctions.Utility_DisplayArrayInTable(Fertiliser_SourceData.Fertiliser_Products_Data1(),FertiliserProducts[[#Headers],[Include or Exclude]], 0,4)</f>
        <v/>
      </c>
      <c r="X137" s="199" t="str" cm="1">
        <f t="array" ref="X137">Common_InputFunctions.Utility_DisplayArrayInTable(Fertiliser_SourceData.Fertiliser_Products_Data1(),FertiliserProducts[[#Headers],[Include or Exclude]], 0,4)</f>
        <v/>
      </c>
      <c r="Y137" s="199" t="str" cm="1">
        <f t="array" ref="Y137">Common_InputFunctions.Utility_DisplayArrayInTable(Fertiliser_SourceData.Fertiliser_Products_Data1(),FertiliserProducts[[#Headers],[Include or Exclude]], 0,4)</f>
        <v/>
      </c>
      <c r="Z137" s="199" t="str" cm="1">
        <f t="array" ref="Z137">Common_InputFunctions.Utility_DisplayArrayInTable(Fertiliser_SourceData.Fertiliser_Products_Data1(),FertiliserProducts[[#Headers],[Include or Exclude]], 0,4)</f>
        <v/>
      </c>
      <c r="AA137" s="199" t="str" cm="1">
        <f t="array" ref="AA137">Common_InputFunctions.Utility_DisplayArrayInTable(Fertiliser_SourceData.Fertiliser_Products_Data1(),FertiliserProducts[[#Headers],[Include or Exclude]], 0,4)</f>
        <v/>
      </c>
      <c r="AB137" s="199" t="str" cm="1">
        <f t="array" ref="AB137">Common_InputFunctions.Utility_DisplayArrayInTable(Fertiliser_SourceData.Fertiliser_Products_Data1(),FertiliserProducts[[#Headers],[Include or Exclude]], 0,4)</f>
        <v/>
      </c>
      <c r="AC137" s="199" t="str" cm="1">
        <f t="array" ref="AC137">Common_InputFunctions.Utility_DisplayArrayInTable(Fertiliser_SourceData.Fertiliser_Products_Data1(),FertiliserProducts[[#Headers],[Include or Exclude]], 0,4)</f>
        <v/>
      </c>
      <c r="AD137" s="199" t="str" cm="1">
        <f t="array" ref="AD137">Common_InputFunctions.Utility_DisplayArrayInTable(Fertiliser_SourceData.Fertiliser_Products_Data1(),FertiliserProducts[[#Headers],[Include or Exclude]], 0,4)</f>
        <v/>
      </c>
      <c r="AE137" s="199" t="str" cm="1">
        <f t="array" ref="AE137">Common_InputFunctions.Utility_DisplayArrayInTable(Fertiliser_SourceData.Fertiliser_Products_Data1(),FertiliserProducts[[#Headers],[Include or Exclude]], 0,4)</f>
        <v/>
      </c>
    </row>
    <row r="138" spans="4:31" ht="20.100000000000001" customHeight="1" x14ac:dyDescent="0.25">
      <c r="D138" s="199" t="str" cm="1">
        <f t="array" ref="D138">Common_InputFunctions.Utility_DisplayArrayInTable(Fertiliser_SourceData.Fertiliser_Products_Data1(),FertiliserProducts[[#Headers],[Include or Exclude]], -1)</f>
        <v/>
      </c>
      <c r="E138" s="199" t="str" cm="1">
        <f t="array" ref="E138">Common_InputFunctions.Utility_DisplayArrayInTable(Fertiliser_SourceData.Fertiliser_Products_Data1(),FertiliserProducts[[#Headers],[Include or Exclude]], 0)</f>
        <v/>
      </c>
      <c r="F138" s="199" t="str" cm="1">
        <f t="array" ref="F138">Common_InputFunctions.Utility_DisplayArrayInTable(Fertiliser_SourceData.Fertiliser_Products_Data1(),FertiliserProducts[[#Headers],[Include or Exclude]], 0)</f>
        <v/>
      </c>
      <c r="G138" s="199" t="str" cm="1">
        <f t="array" ref="G138">Common_InputFunctions.Utility_DisplayArrayInTable(Fertiliser_SourceData.Fertiliser_Products_Data1(),FertiliserProducts[[#Headers],[Include or Exclude]], 0)</f>
        <v/>
      </c>
      <c r="H138" s="199" t="str" cm="1">
        <f t="array" ref="H138">Common_InputFunctions.Utility_DisplayArrayInTable(Fertiliser_SourceData.Fertiliser_Products_Data1(),FertiliserProducts[[#Headers],[Include or Exclude]], 0,4)</f>
        <v/>
      </c>
      <c r="I138" s="199" t="str" cm="1">
        <f t="array" ref="I138">Common_InputFunctions.Utility_DisplayArrayInTable(Fertiliser_SourceData.Fertiliser_Products_Data1(),FertiliserProducts[[#Headers],[Include or Exclude]], 0,4)</f>
        <v/>
      </c>
      <c r="J138" s="199" t="str" cm="1">
        <f t="array" ref="J138">Common_InputFunctions.Utility_DisplayArrayInTable(Fertiliser_SourceData.Fertiliser_Products_Data1(),FertiliserProducts[[#Headers],[Include or Exclude]], 0,4)</f>
        <v/>
      </c>
      <c r="K138" s="199" t="str" cm="1">
        <f t="array" ref="K138">Common_InputFunctions.Utility_DisplayArrayInTable(Fertiliser_SourceData.Fertiliser_Products_Data1(),FertiliserProducts[[#Headers],[Include or Exclude]], 0,4)</f>
        <v/>
      </c>
      <c r="L138" s="199" t="str" cm="1">
        <f t="array" ref="L138">Common_InputFunctions.Utility_DisplayArrayInTable(Fertiliser_SourceData.Fertiliser_Products_Data1(),FertiliserProducts[[#Headers],[Include or Exclude]], 0,4)</f>
        <v/>
      </c>
      <c r="M138" s="199" t="str" cm="1">
        <f t="array" ref="M138">Common_InputFunctions.Utility_DisplayArrayInTable(Fertiliser_SourceData.Fertiliser_Products_Data1(),FertiliserProducts[[#Headers],[Include or Exclude]], 0,4)</f>
        <v/>
      </c>
      <c r="N138" s="199" t="str" cm="1">
        <f t="array" ref="N138">Common_InputFunctions.Utility_DisplayArrayInTable(Fertiliser_SourceData.Fertiliser_Products_Data1(),FertiliserProducts[[#Headers],[Include or Exclude]], 0,4)</f>
        <v/>
      </c>
      <c r="O138" s="199" t="str" cm="1">
        <f t="array" ref="O138">Common_InputFunctions.Utility_DisplayArrayInTable(Fertiliser_SourceData.Fertiliser_Products_Data1(),FertiliserProducts[[#Headers],[Include or Exclude]], 0,4)</f>
        <v/>
      </c>
      <c r="P138" s="199" t="str" cm="1">
        <f t="array" ref="P138">Common_InputFunctions.Utility_DisplayArrayInTable(Fertiliser_SourceData.Fertiliser_Products_Data1(),FertiliserProducts[[#Headers],[Include or Exclude]], 0,4)</f>
        <v/>
      </c>
      <c r="Q138" s="199" t="str" cm="1">
        <f t="array" ref="Q138">Common_InputFunctions.Utility_DisplayArrayInTable(Fertiliser_SourceData.Fertiliser_Products_Data1(),FertiliserProducts[[#Headers],[Include or Exclude]], 0,4)</f>
        <v/>
      </c>
      <c r="R138" s="199" t="str" cm="1">
        <f t="array" ref="R138">Common_InputFunctions.Utility_DisplayArrayInTable(Fertiliser_SourceData.Fertiliser_Products_Data1(),FertiliserProducts[[#Headers],[Include or Exclude]], 0,4)</f>
        <v/>
      </c>
      <c r="S138" s="199" t="str" cm="1">
        <f t="array" ref="S138">Common_InputFunctions.Utility_DisplayArrayInTable(Fertiliser_SourceData.Fertiliser_Products_Data1(),FertiliserProducts[[#Headers],[Include or Exclude]], 0,4)</f>
        <v/>
      </c>
      <c r="T138" s="199" t="str" cm="1">
        <f t="array" ref="T138">Common_InputFunctions.Utility_DisplayArrayInTable(Fertiliser_SourceData.Fertiliser_Products_Data1(),FertiliserProducts[[#Headers],[Include or Exclude]], 0,4)</f>
        <v/>
      </c>
      <c r="U138" s="199" t="str" cm="1">
        <f t="array" ref="U138">Common_InputFunctions.Utility_DisplayArrayInTable(Fertiliser_SourceData.Fertiliser_Products_Data1(),FertiliserProducts[[#Headers],[Include or Exclude]], 0,4)</f>
        <v/>
      </c>
      <c r="V138" s="199" t="str" cm="1">
        <f t="array" ref="V138">Common_InputFunctions.Utility_DisplayArrayInTable(Fertiliser_SourceData.Fertiliser_Products_Data1(),FertiliserProducts[[#Headers],[Include or Exclude]], 0,4)</f>
        <v/>
      </c>
      <c r="W138" s="199" t="str" cm="1">
        <f t="array" ref="W138">Common_InputFunctions.Utility_DisplayArrayInTable(Fertiliser_SourceData.Fertiliser_Products_Data1(),FertiliserProducts[[#Headers],[Include or Exclude]], 0,4)</f>
        <v/>
      </c>
      <c r="X138" s="199" t="str" cm="1">
        <f t="array" ref="X138">Common_InputFunctions.Utility_DisplayArrayInTable(Fertiliser_SourceData.Fertiliser_Products_Data1(),FertiliserProducts[[#Headers],[Include or Exclude]], 0,4)</f>
        <v/>
      </c>
      <c r="Y138" s="199" t="str" cm="1">
        <f t="array" ref="Y138">Common_InputFunctions.Utility_DisplayArrayInTable(Fertiliser_SourceData.Fertiliser_Products_Data1(),FertiliserProducts[[#Headers],[Include or Exclude]], 0,4)</f>
        <v/>
      </c>
      <c r="Z138" s="199" t="str" cm="1">
        <f t="array" ref="Z138">Common_InputFunctions.Utility_DisplayArrayInTable(Fertiliser_SourceData.Fertiliser_Products_Data1(),FertiliserProducts[[#Headers],[Include or Exclude]], 0,4)</f>
        <v/>
      </c>
      <c r="AA138" s="199" t="str" cm="1">
        <f t="array" ref="AA138">Common_InputFunctions.Utility_DisplayArrayInTable(Fertiliser_SourceData.Fertiliser_Products_Data1(),FertiliserProducts[[#Headers],[Include or Exclude]], 0,4)</f>
        <v/>
      </c>
      <c r="AB138" s="199" t="str" cm="1">
        <f t="array" ref="AB138">Common_InputFunctions.Utility_DisplayArrayInTable(Fertiliser_SourceData.Fertiliser_Products_Data1(),FertiliserProducts[[#Headers],[Include or Exclude]], 0,4)</f>
        <v/>
      </c>
      <c r="AC138" s="199" t="str" cm="1">
        <f t="array" ref="AC138">Common_InputFunctions.Utility_DisplayArrayInTable(Fertiliser_SourceData.Fertiliser_Products_Data1(),FertiliserProducts[[#Headers],[Include or Exclude]], 0,4)</f>
        <v/>
      </c>
      <c r="AD138" s="199" t="str" cm="1">
        <f t="array" ref="AD138">Common_InputFunctions.Utility_DisplayArrayInTable(Fertiliser_SourceData.Fertiliser_Products_Data1(),FertiliserProducts[[#Headers],[Include or Exclude]], 0,4)</f>
        <v/>
      </c>
      <c r="AE138" s="199" t="str" cm="1">
        <f t="array" ref="AE138">Common_InputFunctions.Utility_DisplayArrayInTable(Fertiliser_SourceData.Fertiliser_Products_Data1(),FertiliserProducts[[#Headers],[Include or Exclude]], 0,4)</f>
        <v/>
      </c>
    </row>
    <row r="139" spans="4:31" ht="20.100000000000001" customHeight="1" x14ac:dyDescent="0.25">
      <c r="D139" s="199" t="str" cm="1">
        <f t="array" ref="D139">Common_InputFunctions.Utility_DisplayArrayInTable(Fertiliser_SourceData.Fertiliser_Products_Data1(),FertiliserProducts[[#Headers],[Include or Exclude]], -1)</f>
        <v/>
      </c>
      <c r="E139" s="199" t="str" cm="1">
        <f t="array" ref="E139">Common_InputFunctions.Utility_DisplayArrayInTable(Fertiliser_SourceData.Fertiliser_Products_Data1(),FertiliserProducts[[#Headers],[Include or Exclude]], 0)</f>
        <v/>
      </c>
      <c r="F139" s="199" t="str" cm="1">
        <f t="array" ref="F139">Common_InputFunctions.Utility_DisplayArrayInTable(Fertiliser_SourceData.Fertiliser_Products_Data1(),FertiliserProducts[[#Headers],[Include or Exclude]], 0)</f>
        <v/>
      </c>
      <c r="G139" s="199" t="str" cm="1">
        <f t="array" ref="G139">Common_InputFunctions.Utility_DisplayArrayInTable(Fertiliser_SourceData.Fertiliser_Products_Data1(),FertiliserProducts[[#Headers],[Include or Exclude]], 0)</f>
        <v/>
      </c>
      <c r="H139" s="199" t="str" cm="1">
        <f t="array" ref="H139">Common_InputFunctions.Utility_DisplayArrayInTable(Fertiliser_SourceData.Fertiliser_Products_Data1(),FertiliserProducts[[#Headers],[Include or Exclude]], 0,4)</f>
        <v/>
      </c>
      <c r="I139" s="199" t="str" cm="1">
        <f t="array" ref="I139">Common_InputFunctions.Utility_DisplayArrayInTable(Fertiliser_SourceData.Fertiliser_Products_Data1(),FertiliserProducts[[#Headers],[Include or Exclude]], 0,4)</f>
        <v/>
      </c>
      <c r="J139" s="199" t="str" cm="1">
        <f t="array" ref="J139">Common_InputFunctions.Utility_DisplayArrayInTable(Fertiliser_SourceData.Fertiliser_Products_Data1(),FertiliserProducts[[#Headers],[Include or Exclude]], 0,4)</f>
        <v/>
      </c>
      <c r="K139" s="199" t="str" cm="1">
        <f t="array" ref="K139">Common_InputFunctions.Utility_DisplayArrayInTable(Fertiliser_SourceData.Fertiliser_Products_Data1(),FertiliserProducts[[#Headers],[Include or Exclude]], 0,4)</f>
        <v/>
      </c>
      <c r="L139" s="199" t="str" cm="1">
        <f t="array" ref="L139">Common_InputFunctions.Utility_DisplayArrayInTable(Fertiliser_SourceData.Fertiliser_Products_Data1(),FertiliserProducts[[#Headers],[Include or Exclude]], 0,4)</f>
        <v/>
      </c>
      <c r="M139" s="199" t="str" cm="1">
        <f t="array" ref="M139">Common_InputFunctions.Utility_DisplayArrayInTable(Fertiliser_SourceData.Fertiliser_Products_Data1(),FertiliserProducts[[#Headers],[Include or Exclude]], 0,4)</f>
        <v/>
      </c>
      <c r="N139" s="199" t="str" cm="1">
        <f t="array" ref="N139">Common_InputFunctions.Utility_DisplayArrayInTable(Fertiliser_SourceData.Fertiliser_Products_Data1(),FertiliserProducts[[#Headers],[Include or Exclude]], 0,4)</f>
        <v/>
      </c>
      <c r="O139" s="199" t="str" cm="1">
        <f t="array" ref="O139">Common_InputFunctions.Utility_DisplayArrayInTable(Fertiliser_SourceData.Fertiliser_Products_Data1(),FertiliserProducts[[#Headers],[Include or Exclude]], 0,4)</f>
        <v/>
      </c>
      <c r="P139" s="199" t="str" cm="1">
        <f t="array" ref="P139">Common_InputFunctions.Utility_DisplayArrayInTable(Fertiliser_SourceData.Fertiliser_Products_Data1(),FertiliserProducts[[#Headers],[Include or Exclude]], 0,4)</f>
        <v/>
      </c>
      <c r="Q139" s="199" t="str" cm="1">
        <f t="array" ref="Q139">Common_InputFunctions.Utility_DisplayArrayInTable(Fertiliser_SourceData.Fertiliser_Products_Data1(),FertiliserProducts[[#Headers],[Include or Exclude]], 0,4)</f>
        <v/>
      </c>
      <c r="R139" s="199" t="str" cm="1">
        <f t="array" ref="R139">Common_InputFunctions.Utility_DisplayArrayInTable(Fertiliser_SourceData.Fertiliser_Products_Data1(),FertiliserProducts[[#Headers],[Include or Exclude]], 0,4)</f>
        <v/>
      </c>
      <c r="S139" s="199" t="str" cm="1">
        <f t="array" ref="S139">Common_InputFunctions.Utility_DisplayArrayInTable(Fertiliser_SourceData.Fertiliser_Products_Data1(),FertiliserProducts[[#Headers],[Include or Exclude]], 0,4)</f>
        <v/>
      </c>
      <c r="T139" s="199" t="str" cm="1">
        <f t="array" ref="T139">Common_InputFunctions.Utility_DisplayArrayInTable(Fertiliser_SourceData.Fertiliser_Products_Data1(),FertiliserProducts[[#Headers],[Include or Exclude]], 0,4)</f>
        <v/>
      </c>
      <c r="U139" s="199" t="str" cm="1">
        <f t="array" ref="U139">Common_InputFunctions.Utility_DisplayArrayInTable(Fertiliser_SourceData.Fertiliser_Products_Data1(),FertiliserProducts[[#Headers],[Include or Exclude]], 0,4)</f>
        <v/>
      </c>
      <c r="V139" s="199" t="str" cm="1">
        <f t="array" ref="V139">Common_InputFunctions.Utility_DisplayArrayInTable(Fertiliser_SourceData.Fertiliser_Products_Data1(),FertiliserProducts[[#Headers],[Include or Exclude]], 0,4)</f>
        <v/>
      </c>
      <c r="W139" s="199" t="str" cm="1">
        <f t="array" ref="W139">Common_InputFunctions.Utility_DisplayArrayInTable(Fertiliser_SourceData.Fertiliser_Products_Data1(),FertiliserProducts[[#Headers],[Include or Exclude]], 0,4)</f>
        <v/>
      </c>
      <c r="X139" s="199" t="str" cm="1">
        <f t="array" ref="X139">Common_InputFunctions.Utility_DisplayArrayInTable(Fertiliser_SourceData.Fertiliser_Products_Data1(),FertiliserProducts[[#Headers],[Include or Exclude]], 0,4)</f>
        <v/>
      </c>
      <c r="Y139" s="199" t="str" cm="1">
        <f t="array" ref="Y139">Common_InputFunctions.Utility_DisplayArrayInTable(Fertiliser_SourceData.Fertiliser_Products_Data1(),FertiliserProducts[[#Headers],[Include or Exclude]], 0,4)</f>
        <v/>
      </c>
      <c r="Z139" s="199" t="str" cm="1">
        <f t="array" ref="Z139">Common_InputFunctions.Utility_DisplayArrayInTable(Fertiliser_SourceData.Fertiliser_Products_Data1(),FertiliserProducts[[#Headers],[Include or Exclude]], 0,4)</f>
        <v/>
      </c>
      <c r="AA139" s="199" t="str" cm="1">
        <f t="array" ref="AA139">Common_InputFunctions.Utility_DisplayArrayInTable(Fertiliser_SourceData.Fertiliser_Products_Data1(),FertiliserProducts[[#Headers],[Include or Exclude]], 0,4)</f>
        <v/>
      </c>
      <c r="AB139" s="199" t="str" cm="1">
        <f t="array" ref="AB139">Common_InputFunctions.Utility_DisplayArrayInTable(Fertiliser_SourceData.Fertiliser_Products_Data1(),FertiliserProducts[[#Headers],[Include or Exclude]], 0,4)</f>
        <v/>
      </c>
      <c r="AC139" s="199" t="str" cm="1">
        <f t="array" ref="AC139">Common_InputFunctions.Utility_DisplayArrayInTable(Fertiliser_SourceData.Fertiliser_Products_Data1(),FertiliserProducts[[#Headers],[Include or Exclude]], 0,4)</f>
        <v/>
      </c>
      <c r="AD139" s="199" t="str" cm="1">
        <f t="array" ref="AD139">Common_InputFunctions.Utility_DisplayArrayInTable(Fertiliser_SourceData.Fertiliser_Products_Data1(),FertiliserProducts[[#Headers],[Include or Exclude]], 0,4)</f>
        <v/>
      </c>
      <c r="AE139" s="199" t="str" cm="1">
        <f t="array" ref="AE139">Common_InputFunctions.Utility_DisplayArrayInTable(Fertiliser_SourceData.Fertiliser_Products_Data1(),FertiliserProducts[[#Headers],[Include or Exclude]], 0,4)</f>
        <v/>
      </c>
    </row>
    <row r="140" spans="4:31" ht="20.100000000000001" customHeight="1" x14ac:dyDescent="0.25">
      <c r="D140" s="199" t="str" cm="1">
        <f t="array" ref="D140">Common_InputFunctions.Utility_DisplayArrayInTable(Fertiliser_SourceData.Fertiliser_Products_Data1(),FertiliserProducts[[#Headers],[Include or Exclude]], -1)</f>
        <v/>
      </c>
      <c r="E140" s="199" t="str" cm="1">
        <f t="array" ref="E140">Common_InputFunctions.Utility_DisplayArrayInTable(Fertiliser_SourceData.Fertiliser_Products_Data1(),FertiliserProducts[[#Headers],[Include or Exclude]], 0)</f>
        <v/>
      </c>
      <c r="F140" s="199" t="str" cm="1">
        <f t="array" ref="F140">Common_InputFunctions.Utility_DisplayArrayInTable(Fertiliser_SourceData.Fertiliser_Products_Data1(),FertiliserProducts[[#Headers],[Include or Exclude]], 0)</f>
        <v/>
      </c>
      <c r="G140" s="199" t="str" cm="1">
        <f t="array" ref="G140">Common_InputFunctions.Utility_DisplayArrayInTable(Fertiliser_SourceData.Fertiliser_Products_Data1(),FertiliserProducts[[#Headers],[Include or Exclude]], 0)</f>
        <v/>
      </c>
      <c r="H140" s="199" t="str" cm="1">
        <f t="array" ref="H140">Common_InputFunctions.Utility_DisplayArrayInTable(Fertiliser_SourceData.Fertiliser_Products_Data1(),FertiliserProducts[[#Headers],[Include or Exclude]], 0,4)</f>
        <v/>
      </c>
      <c r="I140" s="199" t="str" cm="1">
        <f t="array" ref="I140">Common_InputFunctions.Utility_DisplayArrayInTable(Fertiliser_SourceData.Fertiliser_Products_Data1(),FertiliserProducts[[#Headers],[Include or Exclude]], 0,4)</f>
        <v/>
      </c>
      <c r="J140" s="199" t="str" cm="1">
        <f t="array" ref="J140">Common_InputFunctions.Utility_DisplayArrayInTable(Fertiliser_SourceData.Fertiliser_Products_Data1(),FertiliserProducts[[#Headers],[Include or Exclude]], 0,4)</f>
        <v/>
      </c>
      <c r="K140" s="199" t="str" cm="1">
        <f t="array" ref="K140">Common_InputFunctions.Utility_DisplayArrayInTable(Fertiliser_SourceData.Fertiliser_Products_Data1(),FertiliserProducts[[#Headers],[Include or Exclude]], 0,4)</f>
        <v/>
      </c>
      <c r="L140" s="199" t="str" cm="1">
        <f t="array" ref="L140">Common_InputFunctions.Utility_DisplayArrayInTable(Fertiliser_SourceData.Fertiliser_Products_Data1(),FertiliserProducts[[#Headers],[Include or Exclude]], 0,4)</f>
        <v/>
      </c>
      <c r="M140" s="199" t="str" cm="1">
        <f t="array" ref="M140">Common_InputFunctions.Utility_DisplayArrayInTable(Fertiliser_SourceData.Fertiliser_Products_Data1(),FertiliserProducts[[#Headers],[Include or Exclude]], 0,4)</f>
        <v/>
      </c>
      <c r="N140" s="199" t="str" cm="1">
        <f t="array" ref="N140">Common_InputFunctions.Utility_DisplayArrayInTable(Fertiliser_SourceData.Fertiliser_Products_Data1(),FertiliserProducts[[#Headers],[Include or Exclude]], 0,4)</f>
        <v/>
      </c>
      <c r="O140" s="199" t="str" cm="1">
        <f t="array" ref="O140">Common_InputFunctions.Utility_DisplayArrayInTable(Fertiliser_SourceData.Fertiliser_Products_Data1(),FertiliserProducts[[#Headers],[Include or Exclude]], 0,4)</f>
        <v/>
      </c>
      <c r="P140" s="199" t="str" cm="1">
        <f t="array" ref="P140">Common_InputFunctions.Utility_DisplayArrayInTable(Fertiliser_SourceData.Fertiliser_Products_Data1(),FertiliserProducts[[#Headers],[Include or Exclude]], 0,4)</f>
        <v/>
      </c>
      <c r="Q140" s="199" t="str" cm="1">
        <f t="array" ref="Q140">Common_InputFunctions.Utility_DisplayArrayInTable(Fertiliser_SourceData.Fertiliser_Products_Data1(),FertiliserProducts[[#Headers],[Include or Exclude]], 0,4)</f>
        <v/>
      </c>
      <c r="R140" s="199" t="str" cm="1">
        <f t="array" ref="R140">Common_InputFunctions.Utility_DisplayArrayInTable(Fertiliser_SourceData.Fertiliser_Products_Data1(),FertiliserProducts[[#Headers],[Include or Exclude]], 0,4)</f>
        <v/>
      </c>
      <c r="S140" s="199" t="str" cm="1">
        <f t="array" ref="S140">Common_InputFunctions.Utility_DisplayArrayInTable(Fertiliser_SourceData.Fertiliser_Products_Data1(),FertiliserProducts[[#Headers],[Include or Exclude]], 0,4)</f>
        <v/>
      </c>
      <c r="T140" s="199" t="str" cm="1">
        <f t="array" ref="T140">Common_InputFunctions.Utility_DisplayArrayInTable(Fertiliser_SourceData.Fertiliser_Products_Data1(),FertiliserProducts[[#Headers],[Include or Exclude]], 0,4)</f>
        <v/>
      </c>
      <c r="U140" s="199" t="str" cm="1">
        <f t="array" ref="U140">Common_InputFunctions.Utility_DisplayArrayInTable(Fertiliser_SourceData.Fertiliser_Products_Data1(),FertiliserProducts[[#Headers],[Include or Exclude]], 0,4)</f>
        <v/>
      </c>
      <c r="V140" s="199" t="str" cm="1">
        <f t="array" ref="V140">Common_InputFunctions.Utility_DisplayArrayInTable(Fertiliser_SourceData.Fertiliser_Products_Data1(),FertiliserProducts[[#Headers],[Include or Exclude]], 0,4)</f>
        <v/>
      </c>
      <c r="W140" s="199" t="str" cm="1">
        <f t="array" ref="W140">Common_InputFunctions.Utility_DisplayArrayInTable(Fertiliser_SourceData.Fertiliser_Products_Data1(),FertiliserProducts[[#Headers],[Include or Exclude]], 0,4)</f>
        <v/>
      </c>
      <c r="X140" s="199" t="str" cm="1">
        <f t="array" ref="X140">Common_InputFunctions.Utility_DisplayArrayInTable(Fertiliser_SourceData.Fertiliser_Products_Data1(),FertiliserProducts[[#Headers],[Include or Exclude]], 0,4)</f>
        <v/>
      </c>
      <c r="Y140" s="199" t="str" cm="1">
        <f t="array" ref="Y140">Common_InputFunctions.Utility_DisplayArrayInTable(Fertiliser_SourceData.Fertiliser_Products_Data1(),FertiliserProducts[[#Headers],[Include or Exclude]], 0,4)</f>
        <v/>
      </c>
      <c r="Z140" s="199" t="str" cm="1">
        <f t="array" ref="Z140">Common_InputFunctions.Utility_DisplayArrayInTable(Fertiliser_SourceData.Fertiliser_Products_Data1(),FertiliserProducts[[#Headers],[Include or Exclude]], 0,4)</f>
        <v/>
      </c>
      <c r="AA140" s="199" t="str" cm="1">
        <f t="array" ref="AA140">Common_InputFunctions.Utility_DisplayArrayInTable(Fertiliser_SourceData.Fertiliser_Products_Data1(),FertiliserProducts[[#Headers],[Include or Exclude]], 0,4)</f>
        <v/>
      </c>
      <c r="AB140" s="199" t="str" cm="1">
        <f t="array" ref="AB140">Common_InputFunctions.Utility_DisplayArrayInTable(Fertiliser_SourceData.Fertiliser_Products_Data1(),FertiliserProducts[[#Headers],[Include or Exclude]], 0,4)</f>
        <v/>
      </c>
      <c r="AC140" s="199" t="str" cm="1">
        <f t="array" ref="AC140">Common_InputFunctions.Utility_DisplayArrayInTable(Fertiliser_SourceData.Fertiliser_Products_Data1(),FertiliserProducts[[#Headers],[Include or Exclude]], 0,4)</f>
        <v/>
      </c>
      <c r="AD140" s="199" t="str" cm="1">
        <f t="array" ref="AD140">Common_InputFunctions.Utility_DisplayArrayInTable(Fertiliser_SourceData.Fertiliser_Products_Data1(),FertiliserProducts[[#Headers],[Include or Exclude]], 0,4)</f>
        <v/>
      </c>
      <c r="AE140" s="199" t="str" cm="1">
        <f t="array" ref="AE140">Common_InputFunctions.Utility_DisplayArrayInTable(Fertiliser_SourceData.Fertiliser_Products_Data1(),FertiliserProducts[[#Headers],[Include or Exclude]], 0,4)</f>
        <v/>
      </c>
    </row>
    <row r="141" spans="4:31" ht="20.100000000000001" customHeight="1" x14ac:dyDescent="0.25">
      <c r="D141" s="199" t="str" cm="1">
        <f t="array" ref="D141">Common_InputFunctions.Utility_DisplayArrayInTable(Fertiliser_SourceData.Fertiliser_Products_Data1(),FertiliserProducts[[#Headers],[Include or Exclude]], -1)</f>
        <v/>
      </c>
      <c r="E141" s="199" t="str" cm="1">
        <f t="array" ref="E141">Common_InputFunctions.Utility_DisplayArrayInTable(Fertiliser_SourceData.Fertiliser_Products_Data1(),FertiliserProducts[[#Headers],[Include or Exclude]], 0)</f>
        <v/>
      </c>
      <c r="F141" s="199" t="str" cm="1">
        <f t="array" ref="F141">Common_InputFunctions.Utility_DisplayArrayInTable(Fertiliser_SourceData.Fertiliser_Products_Data1(),FertiliserProducts[[#Headers],[Include or Exclude]], 0)</f>
        <v/>
      </c>
      <c r="G141" s="199" t="str" cm="1">
        <f t="array" ref="G141">Common_InputFunctions.Utility_DisplayArrayInTable(Fertiliser_SourceData.Fertiliser_Products_Data1(),FertiliserProducts[[#Headers],[Include or Exclude]], 0)</f>
        <v/>
      </c>
      <c r="H141" s="199" t="str" cm="1">
        <f t="array" ref="H141">Common_InputFunctions.Utility_DisplayArrayInTable(Fertiliser_SourceData.Fertiliser_Products_Data1(),FertiliserProducts[[#Headers],[Include or Exclude]], 0,4)</f>
        <v/>
      </c>
      <c r="I141" s="199" t="str" cm="1">
        <f t="array" ref="I141">Common_InputFunctions.Utility_DisplayArrayInTable(Fertiliser_SourceData.Fertiliser_Products_Data1(),FertiliserProducts[[#Headers],[Include or Exclude]], 0,4)</f>
        <v/>
      </c>
      <c r="J141" s="199" t="str" cm="1">
        <f t="array" ref="J141">Common_InputFunctions.Utility_DisplayArrayInTable(Fertiliser_SourceData.Fertiliser_Products_Data1(),FertiliserProducts[[#Headers],[Include or Exclude]], 0,4)</f>
        <v/>
      </c>
      <c r="K141" s="199" t="str" cm="1">
        <f t="array" ref="K141">Common_InputFunctions.Utility_DisplayArrayInTable(Fertiliser_SourceData.Fertiliser_Products_Data1(),FertiliserProducts[[#Headers],[Include or Exclude]], 0,4)</f>
        <v/>
      </c>
      <c r="L141" s="199" t="str" cm="1">
        <f t="array" ref="L141">Common_InputFunctions.Utility_DisplayArrayInTable(Fertiliser_SourceData.Fertiliser_Products_Data1(),FertiliserProducts[[#Headers],[Include or Exclude]], 0,4)</f>
        <v/>
      </c>
      <c r="M141" s="199" t="str" cm="1">
        <f t="array" ref="M141">Common_InputFunctions.Utility_DisplayArrayInTable(Fertiliser_SourceData.Fertiliser_Products_Data1(),FertiliserProducts[[#Headers],[Include or Exclude]], 0,4)</f>
        <v/>
      </c>
      <c r="N141" s="199" t="str" cm="1">
        <f t="array" ref="N141">Common_InputFunctions.Utility_DisplayArrayInTable(Fertiliser_SourceData.Fertiliser_Products_Data1(),FertiliserProducts[[#Headers],[Include or Exclude]], 0,4)</f>
        <v/>
      </c>
      <c r="O141" s="199" t="str" cm="1">
        <f t="array" ref="O141">Common_InputFunctions.Utility_DisplayArrayInTable(Fertiliser_SourceData.Fertiliser_Products_Data1(),FertiliserProducts[[#Headers],[Include or Exclude]], 0,4)</f>
        <v/>
      </c>
      <c r="P141" s="199" t="str" cm="1">
        <f t="array" ref="P141">Common_InputFunctions.Utility_DisplayArrayInTable(Fertiliser_SourceData.Fertiliser_Products_Data1(),FertiliserProducts[[#Headers],[Include or Exclude]], 0,4)</f>
        <v/>
      </c>
      <c r="Q141" s="199" t="str" cm="1">
        <f t="array" ref="Q141">Common_InputFunctions.Utility_DisplayArrayInTable(Fertiliser_SourceData.Fertiliser_Products_Data1(),FertiliserProducts[[#Headers],[Include or Exclude]], 0,4)</f>
        <v/>
      </c>
      <c r="R141" s="199" t="str" cm="1">
        <f t="array" ref="R141">Common_InputFunctions.Utility_DisplayArrayInTable(Fertiliser_SourceData.Fertiliser_Products_Data1(),FertiliserProducts[[#Headers],[Include or Exclude]], 0,4)</f>
        <v/>
      </c>
      <c r="S141" s="199" t="str" cm="1">
        <f t="array" ref="S141">Common_InputFunctions.Utility_DisplayArrayInTable(Fertiliser_SourceData.Fertiliser_Products_Data1(),FertiliserProducts[[#Headers],[Include or Exclude]], 0,4)</f>
        <v/>
      </c>
      <c r="T141" s="199" t="str" cm="1">
        <f t="array" ref="T141">Common_InputFunctions.Utility_DisplayArrayInTable(Fertiliser_SourceData.Fertiliser_Products_Data1(),FertiliserProducts[[#Headers],[Include or Exclude]], 0,4)</f>
        <v/>
      </c>
      <c r="U141" s="199" t="str" cm="1">
        <f t="array" ref="U141">Common_InputFunctions.Utility_DisplayArrayInTable(Fertiliser_SourceData.Fertiliser_Products_Data1(),FertiliserProducts[[#Headers],[Include or Exclude]], 0,4)</f>
        <v/>
      </c>
      <c r="V141" s="199" t="str" cm="1">
        <f t="array" ref="V141">Common_InputFunctions.Utility_DisplayArrayInTable(Fertiliser_SourceData.Fertiliser_Products_Data1(),FertiliserProducts[[#Headers],[Include or Exclude]], 0,4)</f>
        <v/>
      </c>
      <c r="W141" s="199" t="str" cm="1">
        <f t="array" ref="W141">Common_InputFunctions.Utility_DisplayArrayInTable(Fertiliser_SourceData.Fertiliser_Products_Data1(),FertiliserProducts[[#Headers],[Include or Exclude]], 0,4)</f>
        <v/>
      </c>
      <c r="X141" s="199" t="str" cm="1">
        <f t="array" ref="X141">Common_InputFunctions.Utility_DisplayArrayInTable(Fertiliser_SourceData.Fertiliser_Products_Data1(),FertiliserProducts[[#Headers],[Include or Exclude]], 0,4)</f>
        <v/>
      </c>
      <c r="Y141" s="199" t="str" cm="1">
        <f t="array" ref="Y141">Common_InputFunctions.Utility_DisplayArrayInTable(Fertiliser_SourceData.Fertiliser_Products_Data1(),FertiliserProducts[[#Headers],[Include or Exclude]], 0,4)</f>
        <v/>
      </c>
      <c r="Z141" s="199" t="str" cm="1">
        <f t="array" ref="Z141">Common_InputFunctions.Utility_DisplayArrayInTable(Fertiliser_SourceData.Fertiliser_Products_Data1(),FertiliserProducts[[#Headers],[Include or Exclude]], 0,4)</f>
        <v/>
      </c>
      <c r="AA141" s="199" t="str" cm="1">
        <f t="array" ref="AA141">Common_InputFunctions.Utility_DisplayArrayInTable(Fertiliser_SourceData.Fertiliser_Products_Data1(),FertiliserProducts[[#Headers],[Include or Exclude]], 0,4)</f>
        <v/>
      </c>
      <c r="AB141" s="199" t="str" cm="1">
        <f t="array" ref="AB141">Common_InputFunctions.Utility_DisplayArrayInTable(Fertiliser_SourceData.Fertiliser_Products_Data1(),FertiliserProducts[[#Headers],[Include or Exclude]], 0,4)</f>
        <v/>
      </c>
      <c r="AC141" s="199" t="str" cm="1">
        <f t="array" ref="AC141">Common_InputFunctions.Utility_DisplayArrayInTable(Fertiliser_SourceData.Fertiliser_Products_Data1(),FertiliserProducts[[#Headers],[Include or Exclude]], 0,4)</f>
        <v/>
      </c>
      <c r="AD141" s="199" t="str" cm="1">
        <f t="array" ref="AD141">Common_InputFunctions.Utility_DisplayArrayInTable(Fertiliser_SourceData.Fertiliser_Products_Data1(),FertiliserProducts[[#Headers],[Include or Exclude]], 0,4)</f>
        <v/>
      </c>
      <c r="AE141" s="199" t="str" cm="1">
        <f t="array" ref="AE141">Common_InputFunctions.Utility_DisplayArrayInTable(Fertiliser_SourceData.Fertiliser_Products_Data1(),FertiliserProducts[[#Headers],[Include or Exclude]], 0,4)</f>
        <v/>
      </c>
    </row>
    <row r="142" spans="4:31" ht="20.100000000000001" customHeight="1" x14ac:dyDescent="0.25">
      <c r="D142" s="199" t="str" cm="1">
        <f t="array" ref="D142">Common_InputFunctions.Utility_DisplayArrayInTable(Fertiliser_SourceData.Fertiliser_Products_Data1(),FertiliserProducts[[#Headers],[Include or Exclude]], -1)</f>
        <v/>
      </c>
      <c r="E142" s="199" t="str" cm="1">
        <f t="array" ref="E142">Common_InputFunctions.Utility_DisplayArrayInTable(Fertiliser_SourceData.Fertiliser_Products_Data1(),FertiliserProducts[[#Headers],[Include or Exclude]], 0)</f>
        <v/>
      </c>
      <c r="F142" s="199" t="str" cm="1">
        <f t="array" ref="F142">Common_InputFunctions.Utility_DisplayArrayInTable(Fertiliser_SourceData.Fertiliser_Products_Data1(),FertiliserProducts[[#Headers],[Include or Exclude]], 0)</f>
        <v/>
      </c>
      <c r="G142" s="199" t="str" cm="1">
        <f t="array" ref="G142">Common_InputFunctions.Utility_DisplayArrayInTable(Fertiliser_SourceData.Fertiliser_Products_Data1(),FertiliserProducts[[#Headers],[Include or Exclude]], 0)</f>
        <v/>
      </c>
      <c r="H142" s="199" t="str" cm="1">
        <f t="array" ref="H142">Common_InputFunctions.Utility_DisplayArrayInTable(Fertiliser_SourceData.Fertiliser_Products_Data1(),FertiliserProducts[[#Headers],[Include or Exclude]], 0,4)</f>
        <v/>
      </c>
      <c r="I142" s="199" t="str" cm="1">
        <f t="array" ref="I142">Common_InputFunctions.Utility_DisplayArrayInTable(Fertiliser_SourceData.Fertiliser_Products_Data1(),FertiliserProducts[[#Headers],[Include or Exclude]], 0,4)</f>
        <v/>
      </c>
      <c r="J142" s="199" t="str" cm="1">
        <f t="array" ref="J142">Common_InputFunctions.Utility_DisplayArrayInTable(Fertiliser_SourceData.Fertiliser_Products_Data1(),FertiliserProducts[[#Headers],[Include or Exclude]], 0,4)</f>
        <v/>
      </c>
      <c r="K142" s="199" t="str" cm="1">
        <f t="array" ref="K142">Common_InputFunctions.Utility_DisplayArrayInTable(Fertiliser_SourceData.Fertiliser_Products_Data1(),FertiliserProducts[[#Headers],[Include or Exclude]], 0,4)</f>
        <v/>
      </c>
      <c r="L142" s="199" t="str" cm="1">
        <f t="array" ref="L142">Common_InputFunctions.Utility_DisplayArrayInTable(Fertiliser_SourceData.Fertiliser_Products_Data1(),FertiliserProducts[[#Headers],[Include or Exclude]], 0,4)</f>
        <v/>
      </c>
      <c r="M142" s="199" t="str" cm="1">
        <f t="array" ref="M142">Common_InputFunctions.Utility_DisplayArrayInTable(Fertiliser_SourceData.Fertiliser_Products_Data1(),FertiliserProducts[[#Headers],[Include or Exclude]], 0,4)</f>
        <v/>
      </c>
      <c r="N142" s="199" t="str" cm="1">
        <f t="array" ref="N142">Common_InputFunctions.Utility_DisplayArrayInTable(Fertiliser_SourceData.Fertiliser_Products_Data1(),FertiliserProducts[[#Headers],[Include or Exclude]], 0,4)</f>
        <v/>
      </c>
      <c r="O142" s="199" t="str" cm="1">
        <f t="array" ref="O142">Common_InputFunctions.Utility_DisplayArrayInTable(Fertiliser_SourceData.Fertiliser_Products_Data1(),FertiliserProducts[[#Headers],[Include or Exclude]], 0,4)</f>
        <v/>
      </c>
      <c r="P142" s="199" t="str" cm="1">
        <f t="array" ref="P142">Common_InputFunctions.Utility_DisplayArrayInTable(Fertiliser_SourceData.Fertiliser_Products_Data1(),FertiliserProducts[[#Headers],[Include or Exclude]], 0,4)</f>
        <v/>
      </c>
      <c r="Q142" s="199" t="str" cm="1">
        <f t="array" ref="Q142">Common_InputFunctions.Utility_DisplayArrayInTable(Fertiliser_SourceData.Fertiliser_Products_Data1(),FertiliserProducts[[#Headers],[Include or Exclude]], 0,4)</f>
        <v/>
      </c>
      <c r="R142" s="199" t="str" cm="1">
        <f t="array" ref="R142">Common_InputFunctions.Utility_DisplayArrayInTable(Fertiliser_SourceData.Fertiliser_Products_Data1(),FertiliserProducts[[#Headers],[Include or Exclude]], 0,4)</f>
        <v/>
      </c>
      <c r="S142" s="199" t="str" cm="1">
        <f t="array" ref="S142">Common_InputFunctions.Utility_DisplayArrayInTable(Fertiliser_SourceData.Fertiliser_Products_Data1(),FertiliserProducts[[#Headers],[Include or Exclude]], 0,4)</f>
        <v/>
      </c>
      <c r="T142" s="199" t="str" cm="1">
        <f t="array" ref="T142">Common_InputFunctions.Utility_DisplayArrayInTable(Fertiliser_SourceData.Fertiliser_Products_Data1(),FertiliserProducts[[#Headers],[Include or Exclude]], 0,4)</f>
        <v/>
      </c>
      <c r="U142" s="199" t="str" cm="1">
        <f t="array" ref="U142">Common_InputFunctions.Utility_DisplayArrayInTable(Fertiliser_SourceData.Fertiliser_Products_Data1(),FertiliserProducts[[#Headers],[Include or Exclude]], 0,4)</f>
        <v/>
      </c>
      <c r="V142" s="199" t="str" cm="1">
        <f t="array" ref="V142">Common_InputFunctions.Utility_DisplayArrayInTable(Fertiliser_SourceData.Fertiliser_Products_Data1(),FertiliserProducts[[#Headers],[Include or Exclude]], 0,4)</f>
        <v/>
      </c>
      <c r="W142" s="199" t="str" cm="1">
        <f t="array" ref="W142">Common_InputFunctions.Utility_DisplayArrayInTable(Fertiliser_SourceData.Fertiliser_Products_Data1(),FertiliserProducts[[#Headers],[Include or Exclude]], 0,4)</f>
        <v/>
      </c>
      <c r="X142" s="199" t="str" cm="1">
        <f t="array" ref="X142">Common_InputFunctions.Utility_DisplayArrayInTable(Fertiliser_SourceData.Fertiliser_Products_Data1(),FertiliserProducts[[#Headers],[Include or Exclude]], 0,4)</f>
        <v/>
      </c>
      <c r="Y142" s="199" t="str" cm="1">
        <f t="array" ref="Y142">Common_InputFunctions.Utility_DisplayArrayInTable(Fertiliser_SourceData.Fertiliser_Products_Data1(),FertiliserProducts[[#Headers],[Include or Exclude]], 0,4)</f>
        <v/>
      </c>
      <c r="Z142" s="199" t="str" cm="1">
        <f t="array" ref="Z142">Common_InputFunctions.Utility_DisplayArrayInTable(Fertiliser_SourceData.Fertiliser_Products_Data1(),FertiliserProducts[[#Headers],[Include or Exclude]], 0,4)</f>
        <v/>
      </c>
      <c r="AA142" s="199" t="str" cm="1">
        <f t="array" ref="AA142">Common_InputFunctions.Utility_DisplayArrayInTable(Fertiliser_SourceData.Fertiliser_Products_Data1(),FertiliserProducts[[#Headers],[Include or Exclude]], 0,4)</f>
        <v/>
      </c>
      <c r="AB142" s="199" t="str" cm="1">
        <f t="array" ref="AB142">Common_InputFunctions.Utility_DisplayArrayInTable(Fertiliser_SourceData.Fertiliser_Products_Data1(),FertiliserProducts[[#Headers],[Include or Exclude]], 0,4)</f>
        <v/>
      </c>
      <c r="AC142" s="199" t="str" cm="1">
        <f t="array" ref="AC142">Common_InputFunctions.Utility_DisplayArrayInTable(Fertiliser_SourceData.Fertiliser_Products_Data1(),FertiliserProducts[[#Headers],[Include or Exclude]], 0,4)</f>
        <v/>
      </c>
      <c r="AD142" s="199" t="str" cm="1">
        <f t="array" ref="AD142">Common_InputFunctions.Utility_DisplayArrayInTable(Fertiliser_SourceData.Fertiliser_Products_Data1(),FertiliserProducts[[#Headers],[Include or Exclude]], 0,4)</f>
        <v/>
      </c>
      <c r="AE142" s="199" t="str" cm="1">
        <f t="array" ref="AE142">Common_InputFunctions.Utility_DisplayArrayInTable(Fertiliser_SourceData.Fertiliser_Products_Data1(),FertiliserProducts[[#Headers],[Include or Exclude]], 0,4)</f>
        <v/>
      </c>
    </row>
    <row r="143" spans="4:31" ht="20.100000000000001" customHeight="1" x14ac:dyDescent="0.25">
      <c r="D143" s="199" t="str" cm="1">
        <f t="array" ref="D143">Common_InputFunctions.Utility_DisplayArrayInTable(Fertiliser_SourceData.Fertiliser_Products_Data1(),FertiliserProducts[[#Headers],[Include or Exclude]], -1)</f>
        <v/>
      </c>
      <c r="E143" s="199" t="str" cm="1">
        <f t="array" ref="E143">Common_InputFunctions.Utility_DisplayArrayInTable(Fertiliser_SourceData.Fertiliser_Products_Data1(),FertiliserProducts[[#Headers],[Include or Exclude]], 0)</f>
        <v/>
      </c>
      <c r="F143" s="199" t="str" cm="1">
        <f t="array" ref="F143">Common_InputFunctions.Utility_DisplayArrayInTable(Fertiliser_SourceData.Fertiliser_Products_Data1(),FertiliserProducts[[#Headers],[Include or Exclude]], 0)</f>
        <v/>
      </c>
      <c r="G143" s="199" t="str" cm="1">
        <f t="array" ref="G143">Common_InputFunctions.Utility_DisplayArrayInTable(Fertiliser_SourceData.Fertiliser_Products_Data1(),FertiliserProducts[[#Headers],[Include or Exclude]], 0)</f>
        <v/>
      </c>
      <c r="H143" s="199" t="str" cm="1">
        <f t="array" ref="H143">Common_InputFunctions.Utility_DisplayArrayInTable(Fertiliser_SourceData.Fertiliser_Products_Data1(),FertiliserProducts[[#Headers],[Include or Exclude]], 0,4)</f>
        <v/>
      </c>
      <c r="I143" s="199" t="str" cm="1">
        <f t="array" ref="I143">Common_InputFunctions.Utility_DisplayArrayInTable(Fertiliser_SourceData.Fertiliser_Products_Data1(),FertiliserProducts[[#Headers],[Include or Exclude]], 0,4)</f>
        <v/>
      </c>
      <c r="J143" s="199" t="str" cm="1">
        <f t="array" ref="J143">Common_InputFunctions.Utility_DisplayArrayInTable(Fertiliser_SourceData.Fertiliser_Products_Data1(),FertiliserProducts[[#Headers],[Include or Exclude]], 0,4)</f>
        <v/>
      </c>
      <c r="K143" s="199" t="str" cm="1">
        <f t="array" ref="K143">Common_InputFunctions.Utility_DisplayArrayInTable(Fertiliser_SourceData.Fertiliser_Products_Data1(),FertiliserProducts[[#Headers],[Include or Exclude]], 0,4)</f>
        <v/>
      </c>
      <c r="L143" s="199" t="str" cm="1">
        <f t="array" ref="L143">Common_InputFunctions.Utility_DisplayArrayInTable(Fertiliser_SourceData.Fertiliser_Products_Data1(),FertiliserProducts[[#Headers],[Include or Exclude]], 0,4)</f>
        <v/>
      </c>
      <c r="M143" s="199" t="str" cm="1">
        <f t="array" ref="M143">Common_InputFunctions.Utility_DisplayArrayInTable(Fertiliser_SourceData.Fertiliser_Products_Data1(),FertiliserProducts[[#Headers],[Include or Exclude]], 0,4)</f>
        <v/>
      </c>
      <c r="N143" s="199" t="str" cm="1">
        <f t="array" ref="N143">Common_InputFunctions.Utility_DisplayArrayInTable(Fertiliser_SourceData.Fertiliser_Products_Data1(),FertiliserProducts[[#Headers],[Include or Exclude]], 0,4)</f>
        <v/>
      </c>
      <c r="O143" s="199" t="str" cm="1">
        <f t="array" ref="O143">Common_InputFunctions.Utility_DisplayArrayInTable(Fertiliser_SourceData.Fertiliser_Products_Data1(),FertiliserProducts[[#Headers],[Include or Exclude]], 0,4)</f>
        <v/>
      </c>
      <c r="P143" s="199" t="str" cm="1">
        <f t="array" ref="P143">Common_InputFunctions.Utility_DisplayArrayInTable(Fertiliser_SourceData.Fertiliser_Products_Data1(),FertiliserProducts[[#Headers],[Include or Exclude]], 0,4)</f>
        <v/>
      </c>
      <c r="Q143" s="199" t="str" cm="1">
        <f t="array" ref="Q143">Common_InputFunctions.Utility_DisplayArrayInTable(Fertiliser_SourceData.Fertiliser_Products_Data1(),FertiliserProducts[[#Headers],[Include or Exclude]], 0,4)</f>
        <v/>
      </c>
      <c r="R143" s="199" t="str" cm="1">
        <f t="array" ref="R143">Common_InputFunctions.Utility_DisplayArrayInTable(Fertiliser_SourceData.Fertiliser_Products_Data1(),FertiliserProducts[[#Headers],[Include or Exclude]], 0,4)</f>
        <v/>
      </c>
      <c r="S143" s="199" t="str" cm="1">
        <f t="array" ref="S143">Common_InputFunctions.Utility_DisplayArrayInTable(Fertiliser_SourceData.Fertiliser_Products_Data1(),FertiliserProducts[[#Headers],[Include or Exclude]], 0,4)</f>
        <v/>
      </c>
      <c r="T143" s="199" t="str" cm="1">
        <f t="array" ref="T143">Common_InputFunctions.Utility_DisplayArrayInTable(Fertiliser_SourceData.Fertiliser_Products_Data1(),FertiliserProducts[[#Headers],[Include or Exclude]], 0,4)</f>
        <v/>
      </c>
      <c r="U143" s="199" t="str" cm="1">
        <f t="array" ref="U143">Common_InputFunctions.Utility_DisplayArrayInTable(Fertiliser_SourceData.Fertiliser_Products_Data1(),FertiliserProducts[[#Headers],[Include or Exclude]], 0,4)</f>
        <v/>
      </c>
      <c r="V143" s="199" t="str" cm="1">
        <f t="array" ref="V143">Common_InputFunctions.Utility_DisplayArrayInTable(Fertiliser_SourceData.Fertiliser_Products_Data1(),FertiliserProducts[[#Headers],[Include or Exclude]], 0,4)</f>
        <v/>
      </c>
      <c r="W143" s="199" t="str" cm="1">
        <f t="array" ref="W143">Common_InputFunctions.Utility_DisplayArrayInTable(Fertiliser_SourceData.Fertiliser_Products_Data1(),FertiliserProducts[[#Headers],[Include or Exclude]], 0,4)</f>
        <v/>
      </c>
      <c r="X143" s="199" t="str" cm="1">
        <f t="array" ref="X143">Common_InputFunctions.Utility_DisplayArrayInTable(Fertiliser_SourceData.Fertiliser_Products_Data1(),FertiliserProducts[[#Headers],[Include or Exclude]], 0,4)</f>
        <v/>
      </c>
      <c r="Y143" s="199" t="str" cm="1">
        <f t="array" ref="Y143">Common_InputFunctions.Utility_DisplayArrayInTable(Fertiliser_SourceData.Fertiliser_Products_Data1(),FertiliserProducts[[#Headers],[Include or Exclude]], 0,4)</f>
        <v/>
      </c>
      <c r="Z143" s="199" t="str" cm="1">
        <f t="array" ref="Z143">Common_InputFunctions.Utility_DisplayArrayInTable(Fertiliser_SourceData.Fertiliser_Products_Data1(),FertiliserProducts[[#Headers],[Include or Exclude]], 0,4)</f>
        <v/>
      </c>
      <c r="AA143" s="199" t="str" cm="1">
        <f t="array" ref="AA143">Common_InputFunctions.Utility_DisplayArrayInTable(Fertiliser_SourceData.Fertiliser_Products_Data1(),FertiliserProducts[[#Headers],[Include or Exclude]], 0,4)</f>
        <v/>
      </c>
      <c r="AB143" s="199" t="str" cm="1">
        <f t="array" ref="AB143">Common_InputFunctions.Utility_DisplayArrayInTable(Fertiliser_SourceData.Fertiliser_Products_Data1(),FertiliserProducts[[#Headers],[Include or Exclude]], 0,4)</f>
        <v/>
      </c>
      <c r="AC143" s="199" t="str" cm="1">
        <f t="array" ref="AC143">Common_InputFunctions.Utility_DisplayArrayInTable(Fertiliser_SourceData.Fertiliser_Products_Data1(),FertiliserProducts[[#Headers],[Include or Exclude]], 0,4)</f>
        <v/>
      </c>
      <c r="AD143" s="199" t="str" cm="1">
        <f t="array" ref="AD143">Common_InputFunctions.Utility_DisplayArrayInTable(Fertiliser_SourceData.Fertiliser_Products_Data1(),FertiliserProducts[[#Headers],[Include or Exclude]], 0,4)</f>
        <v/>
      </c>
      <c r="AE143" s="199" t="str" cm="1">
        <f t="array" ref="AE143">Common_InputFunctions.Utility_DisplayArrayInTable(Fertiliser_SourceData.Fertiliser_Products_Data1(),FertiliserProducts[[#Headers],[Include or Exclude]], 0,4)</f>
        <v/>
      </c>
    </row>
    <row r="144" spans="4:31" ht="20.100000000000001" customHeight="1" x14ac:dyDescent="0.25">
      <c r="D144" s="199" t="str" cm="1">
        <f t="array" ref="D144">Common_InputFunctions.Utility_DisplayArrayInTable(Fertiliser_SourceData.Fertiliser_Products_Data1(),FertiliserProducts[[#Headers],[Include or Exclude]], -1)</f>
        <v/>
      </c>
      <c r="E144" s="199" t="str" cm="1">
        <f t="array" ref="E144">Common_InputFunctions.Utility_DisplayArrayInTable(Fertiliser_SourceData.Fertiliser_Products_Data1(),FertiliserProducts[[#Headers],[Include or Exclude]], 0)</f>
        <v/>
      </c>
      <c r="F144" s="199" t="str" cm="1">
        <f t="array" ref="F144">Common_InputFunctions.Utility_DisplayArrayInTable(Fertiliser_SourceData.Fertiliser_Products_Data1(),FertiliserProducts[[#Headers],[Include or Exclude]], 0)</f>
        <v/>
      </c>
      <c r="G144" s="199" t="str" cm="1">
        <f t="array" ref="G144">Common_InputFunctions.Utility_DisplayArrayInTable(Fertiliser_SourceData.Fertiliser_Products_Data1(),FertiliserProducts[[#Headers],[Include or Exclude]], 0)</f>
        <v/>
      </c>
      <c r="H144" s="199" t="str" cm="1">
        <f t="array" ref="H144">Common_InputFunctions.Utility_DisplayArrayInTable(Fertiliser_SourceData.Fertiliser_Products_Data1(),FertiliserProducts[[#Headers],[Include or Exclude]], 0,4)</f>
        <v/>
      </c>
      <c r="I144" s="199" t="str" cm="1">
        <f t="array" ref="I144">Common_InputFunctions.Utility_DisplayArrayInTable(Fertiliser_SourceData.Fertiliser_Products_Data1(),FertiliserProducts[[#Headers],[Include or Exclude]], 0,4)</f>
        <v/>
      </c>
      <c r="J144" s="199" t="str" cm="1">
        <f t="array" ref="J144">Common_InputFunctions.Utility_DisplayArrayInTable(Fertiliser_SourceData.Fertiliser_Products_Data1(),FertiliserProducts[[#Headers],[Include or Exclude]], 0,4)</f>
        <v/>
      </c>
      <c r="K144" s="199" t="str" cm="1">
        <f t="array" ref="K144">Common_InputFunctions.Utility_DisplayArrayInTable(Fertiliser_SourceData.Fertiliser_Products_Data1(),FertiliserProducts[[#Headers],[Include or Exclude]], 0,4)</f>
        <v/>
      </c>
      <c r="L144" s="199" t="str" cm="1">
        <f t="array" ref="L144">Common_InputFunctions.Utility_DisplayArrayInTable(Fertiliser_SourceData.Fertiliser_Products_Data1(),FertiliserProducts[[#Headers],[Include or Exclude]], 0,4)</f>
        <v/>
      </c>
      <c r="M144" s="199" t="str" cm="1">
        <f t="array" ref="M144">Common_InputFunctions.Utility_DisplayArrayInTable(Fertiliser_SourceData.Fertiliser_Products_Data1(),FertiliserProducts[[#Headers],[Include or Exclude]], 0,4)</f>
        <v/>
      </c>
      <c r="N144" s="199" t="str" cm="1">
        <f t="array" ref="N144">Common_InputFunctions.Utility_DisplayArrayInTable(Fertiliser_SourceData.Fertiliser_Products_Data1(),FertiliserProducts[[#Headers],[Include or Exclude]], 0,4)</f>
        <v/>
      </c>
      <c r="O144" s="199" t="str" cm="1">
        <f t="array" ref="O144">Common_InputFunctions.Utility_DisplayArrayInTable(Fertiliser_SourceData.Fertiliser_Products_Data1(),FertiliserProducts[[#Headers],[Include or Exclude]], 0,4)</f>
        <v/>
      </c>
      <c r="P144" s="199" t="str" cm="1">
        <f t="array" ref="P144">Common_InputFunctions.Utility_DisplayArrayInTable(Fertiliser_SourceData.Fertiliser_Products_Data1(),FertiliserProducts[[#Headers],[Include or Exclude]], 0,4)</f>
        <v/>
      </c>
      <c r="Q144" s="199" t="str" cm="1">
        <f t="array" ref="Q144">Common_InputFunctions.Utility_DisplayArrayInTable(Fertiliser_SourceData.Fertiliser_Products_Data1(),FertiliserProducts[[#Headers],[Include or Exclude]], 0,4)</f>
        <v/>
      </c>
      <c r="R144" s="199" t="str" cm="1">
        <f t="array" ref="R144">Common_InputFunctions.Utility_DisplayArrayInTable(Fertiliser_SourceData.Fertiliser_Products_Data1(),FertiliserProducts[[#Headers],[Include or Exclude]], 0,4)</f>
        <v/>
      </c>
      <c r="S144" s="199" t="str" cm="1">
        <f t="array" ref="S144">Common_InputFunctions.Utility_DisplayArrayInTable(Fertiliser_SourceData.Fertiliser_Products_Data1(),FertiliserProducts[[#Headers],[Include or Exclude]], 0,4)</f>
        <v/>
      </c>
      <c r="T144" s="199" t="str" cm="1">
        <f t="array" ref="T144">Common_InputFunctions.Utility_DisplayArrayInTable(Fertiliser_SourceData.Fertiliser_Products_Data1(),FertiliserProducts[[#Headers],[Include or Exclude]], 0,4)</f>
        <v/>
      </c>
      <c r="U144" s="199" t="str" cm="1">
        <f t="array" ref="U144">Common_InputFunctions.Utility_DisplayArrayInTable(Fertiliser_SourceData.Fertiliser_Products_Data1(),FertiliserProducts[[#Headers],[Include or Exclude]], 0,4)</f>
        <v/>
      </c>
      <c r="V144" s="199" t="str" cm="1">
        <f t="array" ref="V144">Common_InputFunctions.Utility_DisplayArrayInTable(Fertiliser_SourceData.Fertiliser_Products_Data1(),FertiliserProducts[[#Headers],[Include or Exclude]], 0,4)</f>
        <v/>
      </c>
      <c r="W144" s="199" t="str" cm="1">
        <f t="array" ref="W144">Common_InputFunctions.Utility_DisplayArrayInTable(Fertiliser_SourceData.Fertiliser_Products_Data1(),FertiliserProducts[[#Headers],[Include or Exclude]], 0,4)</f>
        <v/>
      </c>
      <c r="X144" s="199" t="str" cm="1">
        <f t="array" ref="X144">Common_InputFunctions.Utility_DisplayArrayInTable(Fertiliser_SourceData.Fertiliser_Products_Data1(),FertiliserProducts[[#Headers],[Include or Exclude]], 0,4)</f>
        <v/>
      </c>
      <c r="Y144" s="199" t="str" cm="1">
        <f t="array" ref="Y144">Common_InputFunctions.Utility_DisplayArrayInTable(Fertiliser_SourceData.Fertiliser_Products_Data1(),FertiliserProducts[[#Headers],[Include or Exclude]], 0,4)</f>
        <v/>
      </c>
      <c r="Z144" s="199" t="str" cm="1">
        <f t="array" ref="Z144">Common_InputFunctions.Utility_DisplayArrayInTable(Fertiliser_SourceData.Fertiliser_Products_Data1(),FertiliserProducts[[#Headers],[Include or Exclude]], 0,4)</f>
        <v/>
      </c>
      <c r="AA144" s="199" t="str" cm="1">
        <f t="array" ref="AA144">Common_InputFunctions.Utility_DisplayArrayInTable(Fertiliser_SourceData.Fertiliser_Products_Data1(),FertiliserProducts[[#Headers],[Include or Exclude]], 0,4)</f>
        <v/>
      </c>
      <c r="AB144" s="199" t="str" cm="1">
        <f t="array" ref="AB144">Common_InputFunctions.Utility_DisplayArrayInTable(Fertiliser_SourceData.Fertiliser_Products_Data1(),FertiliserProducts[[#Headers],[Include or Exclude]], 0,4)</f>
        <v/>
      </c>
      <c r="AC144" s="199" t="str" cm="1">
        <f t="array" ref="AC144">Common_InputFunctions.Utility_DisplayArrayInTable(Fertiliser_SourceData.Fertiliser_Products_Data1(),FertiliserProducts[[#Headers],[Include or Exclude]], 0,4)</f>
        <v/>
      </c>
      <c r="AD144" s="199" t="str" cm="1">
        <f t="array" ref="AD144">Common_InputFunctions.Utility_DisplayArrayInTable(Fertiliser_SourceData.Fertiliser_Products_Data1(),FertiliserProducts[[#Headers],[Include or Exclude]], 0,4)</f>
        <v/>
      </c>
      <c r="AE144" s="199" t="str" cm="1">
        <f t="array" ref="AE144">Common_InputFunctions.Utility_DisplayArrayInTable(Fertiliser_SourceData.Fertiliser_Products_Data1(),FertiliserProducts[[#Headers],[Include or Exclude]], 0,4)</f>
        <v/>
      </c>
    </row>
    <row r="145" spans="4:31" ht="20.100000000000001" customHeight="1" x14ac:dyDescent="0.25">
      <c r="D145" s="199" t="str" cm="1">
        <f t="array" ref="D145">Common_InputFunctions.Utility_DisplayArrayInTable(Fertiliser_SourceData.Fertiliser_Products_Data1(),FertiliserProducts[[#Headers],[Include or Exclude]], -1)</f>
        <v/>
      </c>
      <c r="E145" s="199" t="str" cm="1">
        <f t="array" ref="E145">Common_InputFunctions.Utility_DisplayArrayInTable(Fertiliser_SourceData.Fertiliser_Products_Data1(),FertiliserProducts[[#Headers],[Include or Exclude]], 0)</f>
        <v/>
      </c>
      <c r="F145" s="199" t="str" cm="1">
        <f t="array" ref="F145">Common_InputFunctions.Utility_DisplayArrayInTable(Fertiliser_SourceData.Fertiliser_Products_Data1(),FertiliserProducts[[#Headers],[Include or Exclude]], 0)</f>
        <v/>
      </c>
      <c r="G145" s="199" t="str" cm="1">
        <f t="array" ref="G145">Common_InputFunctions.Utility_DisplayArrayInTable(Fertiliser_SourceData.Fertiliser_Products_Data1(),FertiliserProducts[[#Headers],[Include or Exclude]], 0)</f>
        <v/>
      </c>
      <c r="H145" s="199" t="str" cm="1">
        <f t="array" ref="H145">Common_InputFunctions.Utility_DisplayArrayInTable(Fertiliser_SourceData.Fertiliser_Products_Data1(),FertiliserProducts[[#Headers],[Include or Exclude]], 0,4)</f>
        <v/>
      </c>
      <c r="I145" s="199" t="str" cm="1">
        <f t="array" ref="I145">Common_InputFunctions.Utility_DisplayArrayInTable(Fertiliser_SourceData.Fertiliser_Products_Data1(),FertiliserProducts[[#Headers],[Include or Exclude]], 0,4)</f>
        <v/>
      </c>
      <c r="J145" s="199" t="str" cm="1">
        <f t="array" ref="J145">Common_InputFunctions.Utility_DisplayArrayInTable(Fertiliser_SourceData.Fertiliser_Products_Data1(),FertiliserProducts[[#Headers],[Include or Exclude]], 0,4)</f>
        <v/>
      </c>
      <c r="K145" s="199" t="str" cm="1">
        <f t="array" ref="K145">Common_InputFunctions.Utility_DisplayArrayInTable(Fertiliser_SourceData.Fertiliser_Products_Data1(),FertiliserProducts[[#Headers],[Include or Exclude]], 0,4)</f>
        <v/>
      </c>
      <c r="L145" s="199" t="str" cm="1">
        <f t="array" ref="L145">Common_InputFunctions.Utility_DisplayArrayInTable(Fertiliser_SourceData.Fertiliser_Products_Data1(),FertiliserProducts[[#Headers],[Include or Exclude]], 0,4)</f>
        <v/>
      </c>
      <c r="M145" s="199" t="str" cm="1">
        <f t="array" ref="M145">Common_InputFunctions.Utility_DisplayArrayInTable(Fertiliser_SourceData.Fertiliser_Products_Data1(),FertiliserProducts[[#Headers],[Include or Exclude]], 0,4)</f>
        <v/>
      </c>
      <c r="N145" s="199" t="str" cm="1">
        <f t="array" ref="N145">Common_InputFunctions.Utility_DisplayArrayInTable(Fertiliser_SourceData.Fertiliser_Products_Data1(),FertiliserProducts[[#Headers],[Include or Exclude]], 0,4)</f>
        <v/>
      </c>
      <c r="O145" s="199" t="str" cm="1">
        <f t="array" ref="O145">Common_InputFunctions.Utility_DisplayArrayInTable(Fertiliser_SourceData.Fertiliser_Products_Data1(),FertiliserProducts[[#Headers],[Include or Exclude]], 0,4)</f>
        <v/>
      </c>
      <c r="P145" s="199" t="str" cm="1">
        <f t="array" ref="P145">Common_InputFunctions.Utility_DisplayArrayInTable(Fertiliser_SourceData.Fertiliser_Products_Data1(),FertiliserProducts[[#Headers],[Include or Exclude]], 0,4)</f>
        <v/>
      </c>
      <c r="Q145" s="199" t="str" cm="1">
        <f t="array" ref="Q145">Common_InputFunctions.Utility_DisplayArrayInTable(Fertiliser_SourceData.Fertiliser_Products_Data1(),FertiliserProducts[[#Headers],[Include or Exclude]], 0,4)</f>
        <v/>
      </c>
      <c r="R145" s="199" t="str" cm="1">
        <f t="array" ref="R145">Common_InputFunctions.Utility_DisplayArrayInTable(Fertiliser_SourceData.Fertiliser_Products_Data1(),FertiliserProducts[[#Headers],[Include or Exclude]], 0,4)</f>
        <v/>
      </c>
      <c r="S145" s="199" t="str" cm="1">
        <f t="array" ref="S145">Common_InputFunctions.Utility_DisplayArrayInTable(Fertiliser_SourceData.Fertiliser_Products_Data1(),FertiliserProducts[[#Headers],[Include or Exclude]], 0,4)</f>
        <v/>
      </c>
      <c r="T145" s="199" t="str" cm="1">
        <f t="array" ref="T145">Common_InputFunctions.Utility_DisplayArrayInTable(Fertiliser_SourceData.Fertiliser_Products_Data1(),FertiliserProducts[[#Headers],[Include or Exclude]], 0,4)</f>
        <v/>
      </c>
      <c r="U145" s="199" t="str" cm="1">
        <f t="array" ref="U145">Common_InputFunctions.Utility_DisplayArrayInTable(Fertiliser_SourceData.Fertiliser_Products_Data1(),FertiliserProducts[[#Headers],[Include or Exclude]], 0,4)</f>
        <v/>
      </c>
      <c r="V145" s="199" t="str" cm="1">
        <f t="array" ref="V145">Common_InputFunctions.Utility_DisplayArrayInTable(Fertiliser_SourceData.Fertiliser_Products_Data1(),FertiliserProducts[[#Headers],[Include or Exclude]], 0,4)</f>
        <v/>
      </c>
      <c r="W145" s="199" t="str" cm="1">
        <f t="array" ref="W145">Common_InputFunctions.Utility_DisplayArrayInTable(Fertiliser_SourceData.Fertiliser_Products_Data1(),FertiliserProducts[[#Headers],[Include or Exclude]], 0,4)</f>
        <v/>
      </c>
      <c r="X145" s="199" t="str" cm="1">
        <f t="array" ref="X145">Common_InputFunctions.Utility_DisplayArrayInTable(Fertiliser_SourceData.Fertiliser_Products_Data1(),FertiliserProducts[[#Headers],[Include or Exclude]], 0,4)</f>
        <v/>
      </c>
      <c r="Y145" s="199" t="str" cm="1">
        <f t="array" ref="Y145">Common_InputFunctions.Utility_DisplayArrayInTable(Fertiliser_SourceData.Fertiliser_Products_Data1(),FertiliserProducts[[#Headers],[Include or Exclude]], 0,4)</f>
        <v/>
      </c>
      <c r="Z145" s="199" t="str" cm="1">
        <f t="array" ref="Z145">Common_InputFunctions.Utility_DisplayArrayInTable(Fertiliser_SourceData.Fertiliser_Products_Data1(),FertiliserProducts[[#Headers],[Include or Exclude]], 0,4)</f>
        <v/>
      </c>
      <c r="AA145" s="199" t="str" cm="1">
        <f t="array" ref="AA145">Common_InputFunctions.Utility_DisplayArrayInTable(Fertiliser_SourceData.Fertiliser_Products_Data1(),FertiliserProducts[[#Headers],[Include or Exclude]], 0,4)</f>
        <v/>
      </c>
      <c r="AB145" s="199" t="str" cm="1">
        <f t="array" ref="AB145">Common_InputFunctions.Utility_DisplayArrayInTable(Fertiliser_SourceData.Fertiliser_Products_Data1(),FertiliserProducts[[#Headers],[Include or Exclude]], 0,4)</f>
        <v/>
      </c>
      <c r="AC145" s="199" t="str" cm="1">
        <f t="array" ref="AC145">Common_InputFunctions.Utility_DisplayArrayInTable(Fertiliser_SourceData.Fertiliser_Products_Data1(),FertiliserProducts[[#Headers],[Include or Exclude]], 0,4)</f>
        <v/>
      </c>
      <c r="AD145" s="199" t="str" cm="1">
        <f t="array" ref="AD145">Common_InputFunctions.Utility_DisplayArrayInTable(Fertiliser_SourceData.Fertiliser_Products_Data1(),FertiliserProducts[[#Headers],[Include or Exclude]], 0,4)</f>
        <v/>
      </c>
      <c r="AE145" s="199" t="str" cm="1">
        <f t="array" ref="AE145">Common_InputFunctions.Utility_DisplayArrayInTable(Fertiliser_SourceData.Fertiliser_Products_Data1(),FertiliserProducts[[#Headers],[Include or Exclude]], 0,4)</f>
        <v/>
      </c>
    </row>
    <row r="146" spans="4:31" ht="20.100000000000001" customHeight="1" x14ac:dyDescent="0.25">
      <c r="D146" s="199" t="str" cm="1">
        <f t="array" ref="D146">Common_InputFunctions.Utility_DisplayArrayInTable(Fertiliser_SourceData.Fertiliser_Products_Data1(),FertiliserProducts[[#Headers],[Include or Exclude]], -1)</f>
        <v/>
      </c>
      <c r="E146" s="199" t="str" cm="1">
        <f t="array" ref="E146">Common_InputFunctions.Utility_DisplayArrayInTable(Fertiliser_SourceData.Fertiliser_Products_Data1(),FertiliserProducts[[#Headers],[Include or Exclude]], 0)</f>
        <v/>
      </c>
      <c r="F146" s="199" t="str" cm="1">
        <f t="array" ref="F146">Common_InputFunctions.Utility_DisplayArrayInTable(Fertiliser_SourceData.Fertiliser_Products_Data1(),FertiliserProducts[[#Headers],[Include or Exclude]], 0)</f>
        <v/>
      </c>
      <c r="G146" s="199" t="str" cm="1">
        <f t="array" ref="G146">Common_InputFunctions.Utility_DisplayArrayInTable(Fertiliser_SourceData.Fertiliser_Products_Data1(),FertiliserProducts[[#Headers],[Include or Exclude]], 0)</f>
        <v/>
      </c>
      <c r="H146" s="199" t="str" cm="1">
        <f t="array" ref="H146">Common_InputFunctions.Utility_DisplayArrayInTable(Fertiliser_SourceData.Fertiliser_Products_Data1(),FertiliserProducts[[#Headers],[Include or Exclude]], 0,4)</f>
        <v/>
      </c>
      <c r="I146" s="199" t="str" cm="1">
        <f t="array" ref="I146">Common_InputFunctions.Utility_DisplayArrayInTable(Fertiliser_SourceData.Fertiliser_Products_Data1(),FertiliserProducts[[#Headers],[Include or Exclude]], 0,4)</f>
        <v/>
      </c>
      <c r="J146" s="199" t="str" cm="1">
        <f t="array" ref="J146">Common_InputFunctions.Utility_DisplayArrayInTable(Fertiliser_SourceData.Fertiliser_Products_Data1(),FertiliserProducts[[#Headers],[Include or Exclude]], 0,4)</f>
        <v/>
      </c>
      <c r="K146" s="199" t="str" cm="1">
        <f t="array" ref="K146">Common_InputFunctions.Utility_DisplayArrayInTable(Fertiliser_SourceData.Fertiliser_Products_Data1(),FertiliserProducts[[#Headers],[Include or Exclude]], 0,4)</f>
        <v/>
      </c>
      <c r="L146" s="199" t="str" cm="1">
        <f t="array" ref="L146">Common_InputFunctions.Utility_DisplayArrayInTable(Fertiliser_SourceData.Fertiliser_Products_Data1(),FertiliserProducts[[#Headers],[Include or Exclude]], 0,4)</f>
        <v/>
      </c>
      <c r="M146" s="199" t="str" cm="1">
        <f t="array" ref="M146">Common_InputFunctions.Utility_DisplayArrayInTable(Fertiliser_SourceData.Fertiliser_Products_Data1(),FertiliserProducts[[#Headers],[Include or Exclude]], 0,4)</f>
        <v/>
      </c>
      <c r="N146" s="199" t="str" cm="1">
        <f t="array" ref="N146">Common_InputFunctions.Utility_DisplayArrayInTable(Fertiliser_SourceData.Fertiliser_Products_Data1(),FertiliserProducts[[#Headers],[Include or Exclude]], 0,4)</f>
        <v/>
      </c>
      <c r="O146" s="199" t="str" cm="1">
        <f t="array" ref="O146">Common_InputFunctions.Utility_DisplayArrayInTable(Fertiliser_SourceData.Fertiliser_Products_Data1(),FertiliserProducts[[#Headers],[Include or Exclude]], 0,4)</f>
        <v/>
      </c>
      <c r="P146" s="199" t="str" cm="1">
        <f t="array" ref="P146">Common_InputFunctions.Utility_DisplayArrayInTable(Fertiliser_SourceData.Fertiliser_Products_Data1(),FertiliserProducts[[#Headers],[Include or Exclude]], 0,4)</f>
        <v/>
      </c>
      <c r="Q146" s="199" t="str" cm="1">
        <f t="array" ref="Q146">Common_InputFunctions.Utility_DisplayArrayInTable(Fertiliser_SourceData.Fertiliser_Products_Data1(),FertiliserProducts[[#Headers],[Include or Exclude]], 0,4)</f>
        <v/>
      </c>
      <c r="R146" s="199" t="str" cm="1">
        <f t="array" ref="R146">Common_InputFunctions.Utility_DisplayArrayInTable(Fertiliser_SourceData.Fertiliser_Products_Data1(),FertiliserProducts[[#Headers],[Include or Exclude]], 0,4)</f>
        <v/>
      </c>
      <c r="S146" s="199" t="str" cm="1">
        <f t="array" ref="S146">Common_InputFunctions.Utility_DisplayArrayInTable(Fertiliser_SourceData.Fertiliser_Products_Data1(),FertiliserProducts[[#Headers],[Include or Exclude]], 0,4)</f>
        <v/>
      </c>
      <c r="T146" s="199" t="str" cm="1">
        <f t="array" ref="T146">Common_InputFunctions.Utility_DisplayArrayInTable(Fertiliser_SourceData.Fertiliser_Products_Data1(),FertiliserProducts[[#Headers],[Include or Exclude]], 0,4)</f>
        <v/>
      </c>
      <c r="U146" s="199" t="str" cm="1">
        <f t="array" ref="U146">Common_InputFunctions.Utility_DisplayArrayInTable(Fertiliser_SourceData.Fertiliser_Products_Data1(),FertiliserProducts[[#Headers],[Include or Exclude]], 0,4)</f>
        <v/>
      </c>
      <c r="V146" s="199" t="str" cm="1">
        <f t="array" ref="V146">Common_InputFunctions.Utility_DisplayArrayInTable(Fertiliser_SourceData.Fertiliser_Products_Data1(),FertiliserProducts[[#Headers],[Include or Exclude]], 0,4)</f>
        <v/>
      </c>
      <c r="W146" s="199" t="str" cm="1">
        <f t="array" ref="W146">Common_InputFunctions.Utility_DisplayArrayInTable(Fertiliser_SourceData.Fertiliser_Products_Data1(),FertiliserProducts[[#Headers],[Include or Exclude]], 0,4)</f>
        <v/>
      </c>
      <c r="X146" s="199" t="str" cm="1">
        <f t="array" ref="X146">Common_InputFunctions.Utility_DisplayArrayInTable(Fertiliser_SourceData.Fertiliser_Products_Data1(),FertiliserProducts[[#Headers],[Include or Exclude]], 0,4)</f>
        <v/>
      </c>
      <c r="Y146" s="199" t="str" cm="1">
        <f t="array" ref="Y146">Common_InputFunctions.Utility_DisplayArrayInTable(Fertiliser_SourceData.Fertiliser_Products_Data1(),FertiliserProducts[[#Headers],[Include or Exclude]], 0,4)</f>
        <v/>
      </c>
      <c r="Z146" s="199" t="str" cm="1">
        <f t="array" ref="Z146">Common_InputFunctions.Utility_DisplayArrayInTable(Fertiliser_SourceData.Fertiliser_Products_Data1(),FertiliserProducts[[#Headers],[Include or Exclude]], 0,4)</f>
        <v/>
      </c>
      <c r="AA146" s="199" t="str" cm="1">
        <f t="array" ref="AA146">Common_InputFunctions.Utility_DisplayArrayInTable(Fertiliser_SourceData.Fertiliser_Products_Data1(),FertiliserProducts[[#Headers],[Include or Exclude]], 0,4)</f>
        <v/>
      </c>
      <c r="AB146" s="199" t="str" cm="1">
        <f t="array" ref="AB146">Common_InputFunctions.Utility_DisplayArrayInTable(Fertiliser_SourceData.Fertiliser_Products_Data1(),FertiliserProducts[[#Headers],[Include or Exclude]], 0,4)</f>
        <v/>
      </c>
      <c r="AC146" s="199" t="str" cm="1">
        <f t="array" ref="AC146">Common_InputFunctions.Utility_DisplayArrayInTable(Fertiliser_SourceData.Fertiliser_Products_Data1(),FertiliserProducts[[#Headers],[Include or Exclude]], 0,4)</f>
        <v/>
      </c>
      <c r="AD146" s="199" t="str" cm="1">
        <f t="array" ref="AD146">Common_InputFunctions.Utility_DisplayArrayInTable(Fertiliser_SourceData.Fertiliser_Products_Data1(),FertiliserProducts[[#Headers],[Include or Exclude]], 0,4)</f>
        <v/>
      </c>
      <c r="AE146" s="199" t="str" cm="1">
        <f t="array" ref="AE146">Common_InputFunctions.Utility_DisplayArrayInTable(Fertiliser_SourceData.Fertiliser_Products_Data1(),FertiliserProducts[[#Headers],[Include or Exclude]], 0,4)</f>
        <v/>
      </c>
    </row>
    <row r="147" spans="4:31" ht="20.100000000000001" customHeight="1" x14ac:dyDescent="0.25">
      <c r="D147" s="199" t="str" cm="1">
        <f t="array" ref="D147">Common_InputFunctions.Utility_DisplayArrayInTable(Fertiliser_SourceData.Fertiliser_Products_Data1(),FertiliserProducts[[#Headers],[Include or Exclude]], -1)</f>
        <v/>
      </c>
      <c r="E147" s="199" t="str" cm="1">
        <f t="array" ref="E147">Common_InputFunctions.Utility_DisplayArrayInTable(Fertiliser_SourceData.Fertiliser_Products_Data1(),FertiliserProducts[[#Headers],[Include or Exclude]], 0)</f>
        <v/>
      </c>
      <c r="F147" s="199" t="str" cm="1">
        <f t="array" ref="F147">Common_InputFunctions.Utility_DisplayArrayInTable(Fertiliser_SourceData.Fertiliser_Products_Data1(),FertiliserProducts[[#Headers],[Include or Exclude]], 0)</f>
        <v/>
      </c>
      <c r="G147" s="199" t="str" cm="1">
        <f t="array" ref="G147">Common_InputFunctions.Utility_DisplayArrayInTable(Fertiliser_SourceData.Fertiliser_Products_Data1(),FertiliserProducts[[#Headers],[Include or Exclude]], 0)</f>
        <v/>
      </c>
      <c r="H147" s="199" t="str" cm="1">
        <f t="array" ref="H147">Common_InputFunctions.Utility_DisplayArrayInTable(Fertiliser_SourceData.Fertiliser_Products_Data1(),FertiliserProducts[[#Headers],[Include or Exclude]], 0,4)</f>
        <v/>
      </c>
      <c r="I147" s="199" t="str" cm="1">
        <f t="array" ref="I147">Common_InputFunctions.Utility_DisplayArrayInTable(Fertiliser_SourceData.Fertiliser_Products_Data1(),FertiliserProducts[[#Headers],[Include or Exclude]], 0,4)</f>
        <v/>
      </c>
      <c r="J147" s="199" t="str" cm="1">
        <f t="array" ref="J147">Common_InputFunctions.Utility_DisplayArrayInTable(Fertiliser_SourceData.Fertiliser_Products_Data1(),FertiliserProducts[[#Headers],[Include or Exclude]], 0,4)</f>
        <v/>
      </c>
      <c r="K147" s="199" t="str" cm="1">
        <f t="array" ref="K147">Common_InputFunctions.Utility_DisplayArrayInTable(Fertiliser_SourceData.Fertiliser_Products_Data1(),FertiliserProducts[[#Headers],[Include or Exclude]], 0,4)</f>
        <v/>
      </c>
      <c r="L147" s="199" t="str" cm="1">
        <f t="array" ref="L147">Common_InputFunctions.Utility_DisplayArrayInTable(Fertiliser_SourceData.Fertiliser_Products_Data1(),FertiliserProducts[[#Headers],[Include or Exclude]], 0,4)</f>
        <v/>
      </c>
      <c r="M147" s="199" t="str" cm="1">
        <f t="array" ref="M147">Common_InputFunctions.Utility_DisplayArrayInTable(Fertiliser_SourceData.Fertiliser_Products_Data1(),FertiliserProducts[[#Headers],[Include or Exclude]], 0,4)</f>
        <v/>
      </c>
      <c r="N147" s="199" t="str" cm="1">
        <f t="array" ref="N147">Common_InputFunctions.Utility_DisplayArrayInTable(Fertiliser_SourceData.Fertiliser_Products_Data1(),FertiliserProducts[[#Headers],[Include or Exclude]], 0,4)</f>
        <v/>
      </c>
      <c r="O147" s="199" t="str" cm="1">
        <f t="array" ref="O147">Common_InputFunctions.Utility_DisplayArrayInTable(Fertiliser_SourceData.Fertiliser_Products_Data1(),FertiliserProducts[[#Headers],[Include or Exclude]], 0,4)</f>
        <v/>
      </c>
      <c r="P147" s="199" t="str" cm="1">
        <f t="array" ref="P147">Common_InputFunctions.Utility_DisplayArrayInTable(Fertiliser_SourceData.Fertiliser_Products_Data1(),FertiliserProducts[[#Headers],[Include or Exclude]], 0,4)</f>
        <v/>
      </c>
      <c r="Q147" s="199" t="str" cm="1">
        <f t="array" ref="Q147">Common_InputFunctions.Utility_DisplayArrayInTable(Fertiliser_SourceData.Fertiliser_Products_Data1(),FertiliserProducts[[#Headers],[Include or Exclude]], 0,4)</f>
        <v/>
      </c>
      <c r="R147" s="199" t="str" cm="1">
        <f t="array" ref="R147">Common_InputFunctions.Utility_DisplayArrayInTable(Fertiliser_SourceData.Fertiliser_Products_Data1(),FertiliserProducts[[#Headers],[Include or Exclude]], 0,4)</f>
        <v/>
      </c>
      <c r="S147" s="199" t="str" cm="1">
        <f t="array" ref="S147">Common_InputFunctions.Utility_DisplayArrayInTable(Fertiliser_SourceData.Fertiliser_Products_Data1(),FertiliserProducts[[#Headers],[Include or Exclude]], 0,4)</f>
        <v/>
      </c>
      <c r="T147" s="199" t="str" cm="1">
        <f t="array" ref="T147">Common_InputFunctions.Utility_DisplayArrayInTable(Fertiliser_SourceData.Fertiliser_Products_Data1(),FertiliserProducts[[#Headers],[Include or Exclude]], 0,4)</f>
        <v/>
      </c>
      <c r="U147" s="199" t="str" cm="1">
        <f t="array" ref="U147">Common_InputFunctions.Utility_DisplayArrayInTable(Fertiliser_SourceData.Fertiliser_Products_Data1(),FertiliserProducts[[#Headers],[Include or Exclude]], 0,4)</f>
        <v/>
      </c>
      <c r="V147" s="199" t="str" cm="1">
        <f t="array" ref="V147">Common_InputFunctions.Utility_DisplayArrayInTable(Fertiliser_SourceData.Fertiliser_Products_Data1(),FertiliserProducts[[#Headers],[Include or Exclude]], 0,4)</f>
        <v/>
      </c>
      <c r="W147" s="199" t="str" cm="1">
        <f t="array" ref="W147">Common_InputFunctions.Utility_DisplayArrayInTable(Fertiliser_SourceData.Fertiliser_Products_Data1(),FertiliserProducts[[#Headers],[Include or Exclude]], 0,4)</f>
        <v/>
      </c>
      <c r="X147" s="199" t="str" cm="1">
        <f t="array" ref="X147">Common_InputFunctions.Utility_DisplayArrayInTable(Fertiliser_SourceData.Fertiliser_Products_Data1(),FertiliserProducts[[#Headers],[Include or Exclude]], 0,4)</f>
        <v/>
      </c>
      <c r="Y147" s="199" t="str" cm="1">
        <f t="array" ref="Y147">Common_InputFunctions.Utility_DisplayArrayInTable(Fertiliser_SourceData.Fertiliser_Products_Data1(),FertiliserProducts[[#Headers],[Include or Exclude]], 0,4)</f>
        <v/>
      </c>
      <c r="Z147" s="199" t="str" cm="1">
        <f t="array" ref="Z147">Common_InputFunctions.Utility_DisplayArrayInTable(Fertiliser_SourceData.Fertiliser_Products_Data1(),FertiliserProducts[[#Headers],[Include or Exclude]], 0,4)</f>
        <v/>
      </c>
      <c r="AA147" s="199" t="str" cm="1">
        <f t="array" ref="AA147">Common_InputFunctions.Utility_DisplayArrayInTable(Fertiliser_SourceData.Fertiliser_Products_Data1(),FertiliserProducts[[#Headers],[Include or Exclude]], 0,4)</f>
        <v/>
      </c>
      <c r="AB147" s="199" t="str" cm="1">
        <f t="array" ref="AB147">Common_InputFunctions.Utility_DisplayArrayInTable(Fertiliser_SourceData.Fertiliser_Products_Data1(),FertiliserProducts[[#Headers],[Include or Exclude]], 0,4)</f>
        <v/>
      </c>
      <c r="AC147" s="199" t="str" cm="1">
        <f t="array" ref="AC147">Common_InputFunctions.Utility_DisplayArrayInTable(Fertiliser_SourceData.Fertiliser_Products_Data1(),FertiliserProducts[[#Headers],[Include or Exclude]], 0,4)</f>
        <v/>
      </c>
      <c r="AD147" s="199" t="str" cm="1">
        <f t="array" ref="AD147">Common_InputFunctions.Utility_DisplayArrayInTable(Fertiliser_SourceData.Fertiliser_Products_Data1(),FertiliserProducts[[#Headers],[Include or Exclude]], 0,4)</f>
        <v/>
      </c>
      <c r="AE147" s="199" t="str" cm="1">
        <f t="array" ref="AE147">Common_InputFunctions.Utility_DisplayArrayInTable(Fertiliser_SourceData.Fertiliser_Products_Data1(),FertiliserProducts[[#Headers],[Include or Exclude]], 0,4)</f>
        <v/>
      </c>
    </row>
    <row r="148" spans="4:31" ht="20.100000000000001" customHeight="1" x14ac:dyDescent="0.25">
      <c r="D148" s="199" t="str" cm="1">
        <f t="array" ref="D148">Common_InputFunctions.Utility_DisplayArrayInTable(Fertiliser_SourceData.Fertiliser_Products_Data1(),FertiliserProducts[[#Headers],[Include or Exclude]], -1)</f>
        <v/>
      </c>
      <c r="E148" s="199" t="str" cm="1">
        <f t="array" ref="E148">Common_InputFunctions.Utility_DisplayArrayInTable(Fertiliser_SourceData.Fertiliser_Products_Data1(),FertiliserProducts[[#Headers],[Include or Exclude]], 0)</f>
        <v/>
      </c>
      <c r="F148" s="199" t="str" cm="1">
        <f t="array" ref="F148">Common_InputFunctions.Utility_DisplayArrayInTable(Fertiliser_SourceData.Fertiliser_Products_Data1(),FertiliserProducts[[#Headers],[Include or Exclude]], 0)</f>
        <v/>
      </c>
      <c r="G148" s="199" t="str" cm="1">
        <f t="array" ref="G148">Common_InputFunctions.Utility_DisplayArrayInTable(Fertiliser_SourceData.Fertiliser_Products_Data1(),FertiliserProducts[[#Headers],[Include or Exclude]], 0)</f>
        <v/>
      </c>
      <c r="H148" s="199" t="str" cm="1">
        <f t="array" ref="H148">Common_InputFunctions.Utility_DisplayArrayInTable(Fertiliser_SourceData.Fertiliser_Products_Data1(),FertiliserProducts[[#Headers],[Include or Exclude]], 0,4)</f>
        <v/>
      </c>
      <c r="I148" s="199" t="str" cm="1">
        <f t="array" ref="I148">Common_InputFunctions.Utility_DisplayArrayInTable(Fertiliser_SourceData.Fertiliser_Products_Data1(),FertiliserProducts[[#Headers],[Include or Exclude]], 0,4)</f>
        <v/>
      </c>
      <c r="J148" s="199" t="str" cm="1">
        <f t="array" ref="J148">Common_InputFunctions.Utility_DisplayArrayInTable(Fertiliser_SourceData.Fertiliser_Products_Data1(),FertiliserProducts[[#Headers],[Include or Exclude]], 0,4)</f>
        <v/>
      </c>
      <c r="K148" s="199" t="str" cm="1">
        <f t="array" ref="K148">Common_InputFunctions.Utility_DisplayArrayInTable(Fertiliser_SourceData.Fertiliser_Products_Data1(),FertiliserProducts[[#Headers],[Include or Exclude]], 0,4)</f>
        <v/>
      </c>
      <c r="L148" s="199" t="str" cm="1">
        <f t="array" ref="L148">Common_InputFunctions.Utility_DisplayArrayInTable(Fertiliser_SourceData.Fertiliser_Products_Data1(),FertiliserProducts[[#Headers],[Include or Exclude]], 0,4)</f>
        <v/>
      </c>
      <c r="M148" s="199" t="str" cm="1">
        <f t="array" ref="M148">Common_InputFunctions.Utility_DisplayArrayInTable(Fertiliser_SourceData.Fertiliser_Products_Data1(),FertiliserProducts[[#Headers],[Include or Exclude]], 0,4)</f>
        <v/>
      </c>
      <c r="N148" s="199" t="str" cm="1">
        <f t="array" ref="N148">Common_InputFunctions.Utility_DisplayArrayInTable(Fertiliser_SourceData.Fertiliser_Products_Data1(),FertiliserProducts[[#Headers],[Include or Exclude]], 0,4)</f>
        <v/>
      </c>
      <c r="O148" s="199" t="str" cm="1">
        <f t="array" ref="O148">Common_InputFunctions.Utility_DisplayArrayInTable(Fertiliser_SourceData.Fertiliser_Products_Data1(),FertiliserProducts[[#Headers],[Include or Exclude]], 0,4)</f>
        <v/>
      </c>
      <c r="P148" s="199" t="str" cm="1">
        <f t="array" ref="P148">Common_InputFunctions.Utility_DisplayArrayInTable(Fertiliser_SourceData.Fertiliser_Products_Data1(),FertiliserProducts[[#Headers],[Include or Exclude]], 0,4)</f>
        <v/>
      </c>
      <c r="Q148" s="199" t="str" cm="1">
        <f t="array" ref="Q148">Common_InputFunctions.Utility_DisplayArrayInTable(Fertiliser_SourceData.Fertiliser_Products_Data1(),FertiliserProducts[[#Headers],[Include or Exclude]], 0,4)</f>
        <v/>
      </c>
      <c r="R148" s="199" t="str" cm="1">
        <f t="array" ref="R148">Common_InputFunctions.Utility_DisplayArrayInTable(Fertiliser_SourceData.Fertiliser_Products_Data1(),FertiliserProducts[[#Headers],[Include or Exclude]], 0,4)</f>
        <v/>
      </c>
      <c r="S148" s="199" t="str" cm="1">
        <f t="array" ref="S148">Common_InputFunctions.Utility_DisplayArrayInTable(Fertiliser_SourceData.Fertiliser_Products_Data1(),FertiliserProducts[[#Headers],[Include or Exclude]], 0,4)</f>
        <v/>
      </c>
      <c r="T148" s="199" t="str" cm="1">
        <f t="array" ref="T148">Common_InputFunctions.Utility_DisplayArrayInTable(Fertiliser_SourceData.Fertiliser_Products_Data1(),FertiliserProducts[[#Headers],[Include or Exclude]], 0,4)</f>
        <v/>
      </c>
      <c r="U148" s="199" t="str" cm="1">
        <f t="array" ref="U148">Common_InputFunctions.Utility_DisplayArrayInTable(Fertiliser_SourceData.Fertiliser_Products_Data1(),FertiliserProducts[[#Headers],[Include or Exclude]], 0,4)</f>
        <v/>
      </c>
      <c r="V148" s="199" t="str" cm="1">
        <f t="array" ref="V148">Common_InputFunctions.Utility_DisplayArrayInTable(Fertiliser_SourceData.Fertiliser_Products_Data1(),FertiliserProducts[[#Headers],[Include or Exclude]], 0,4)</f>
        <v/>
      </c>
      <c r="W148" s="199" t="str" cm="1">
        <f t="array" ref="W148">Common_InputFunctions.Utility_DisplayArrayInTable(Fertiliser_SourceData.Fertiliser_Products_Data1(),FertiliserProducts[[#Headers],[Include or Exclude]], 0,4)</f>
        <v/>
      </c>
      <c r="X148" s="199" t="str" cm="1">
        <f t="array" ref="X148">Common_InputFunctions.Utility_DisplayArrayInTable(Fertiliser_SourceData.Fertiliser_Products_Data1(),FertiliserProducts[[#Headers],[Include or Exclude]], 0,4)</f>
        <v/>
      </c>
      <c r="Y148" s="199" t="str" cm="1">
        <f t="array" ref="Y148">Common_InputFunctions.Utility_DisplayArrayInTable(Fertiliser_SourceData.Fertiliser_Products_Data1(),FertiliserProducts[[#Headers],[Include or Exclude]], 0,4)</f>
        <v/>
      </c>
      <c r="Z148" s="199" t="str" cm="1">
        <f t="array" ref="Z148">Common_InputFunctions.Utility_DisplayArrayInTable(Fertiliser_SourceData.Fertiliser_Products_Data1(),FertiliserProducts[[#Headers],[Include or Exclude]], 0,4)</f>
        <v/>
      </c>
      <c r="AA148" s="199" t="str" cm="1">
        <f t="array" ref="AA148">Common_InputFunctions.Utility_DisplayArrayInTable(Fertiliser_SourceData.Fertiliser_Products_Data1(),FertiliserProducts[[#Headers],[Include or Exclude]], 0,4)</f>
        <v/>
      </c>
      <c r="AB148" s="199" t="str" cm="1">
        <f t="array" ref="AB148">Common_InputFunctions.Utility_DisplayArrayInTable(Fertiliser_SourceData.Fertiliser_Products_Data1(),FertiliserProducts[[#Headers],[Include or Exclude]], 0,4)</f>
        <v/>
      </c>
      <c r="AC148" s="199" t="str" cm="1">
        <f t="array" ref="AC148">Common_InputFunctions.Utility_DisplayArrayInTable(Fertiliser_SourceData.Fertiliser_Products_Data1(),FertiliserProducts[[#Headers],[Include or Exclude]], 0,4)</f>
        <v/>
      </c>
      <c r="AD148" s="199" t="str" cm="1">
        <f t="array" ref="AD148">Common_InputFunctions.Utility_DisplayArrayInTable(Fertiliser_SourceData.Fertiliser_Products_Data1(),FertiliserProducts[[#Headers],[Include or Exclude]], 0,4)</f>
        <v/>
      </c>
      <c r="AE148" s="199" t="str" cm="1">
        <f t="array" ref="AE148">Common_InputFunctions.Utility_DisplayArrayInTable(Fertiliser_SourceData.Fertiliser_Products_Data1(),FertiliserProducts[[#Headers],[Include or Exclude]], 0,4)</f>
        <v/>
      </c>
    </row>
    <row r="149" spans="4:31" ht="20.100000000000001" customHeight="1" x14ac:dyDescent="0.25">
      <c r="D149" s="199" t="str" cm="1">
        <f t="array" ref="D149">Common_InputFunctions.Utility_DisplayArrayInTable(Fertiliser_SourceData.Fertiliser_Products_Data1(),FertiliserProducts[[#Headers],[Include or Exclude]], -1)</f>
        <v/>
      </c>
      <c r="E149" s="199" t="str" cm="1">
        <f t="array" ref="E149">Common_InputFunctions.Utility_DisplayArrayInTable(Fertiliser_SourceData.Fertiliser_Products_Data1(),FertiliserProducts[[#Headers],[Include or Exclude]], 0)</f>
        <v/>
      </c>
      <c r="F149" s="199" t="str" cm="1">
        <f t="array" ref="F149">Common_InputFunctions.Utility_DisplayArrayInTable(Fertiliser_SourceData.Fertiliser_Products_Data1(),FertiliserProducts[[#Headers],[Include or Exclude]], 0)</f>
        <v/>
      </c>
      <c r="G149" s="199" t="str" cm="1">
        <f t="array" ref="G149">Common_InputFunctions.Utility_DisplayArrayInTable(Fertiliser_SourceData.Fertiliser_Products_Data1(),FertiliserProducts[[#Headers],[Include or Exclude]], 0)</f>
        <v/>
      </c>
      <c r="H149" s="199" t="str" cm="1">
        <f t="array" ref="H149">Common_InputFunctions.Utility_DisplayArrayInTable(Fertiliser_SourceData.Fertiliser_Products_Data1(),FertiliserProducts[[#Headers],[Include or Exclude]], 0,4)</f>
        <v/>
      </c>
      <c r="I149" s="199" t="str" cm="1">
        <f t="array" ref="I149">Common_InputFunctions.Utility_DisplayArrayInTable(Fertiliser_SourceData.Fertiliser_Products_Data1(),FertiliserProducts[[#Headers],[Include or Exclude]], 0,4)</f>
        <v/>
      </c>
      <c r="J149" s="199" t="str" cm="1">
        <f t="array" ref="J149">Common_InputFunctions.Utility_DisplayArrayInTable(Fertiliser_SourceData.Fertiliser_Products_Data1(),FertiliserProducts[[#Headers],[Include or Exclude]], 0,4)</f>
        <v/>
      </c>
      <c r="K149" s="199" t="str" cm="1">
        <f t="array" ref="K149">Common_InputFunctions.Utility_DisplayArrayInTable(Fertiliser_SourceData.Fertiliser_Products_Data1(),FertiliserProducts[[#Headers],[Include or Exclude]], 0,4)</f>
        <v/>
      </c>
      <c r="L149" s="199" t="str" cm="1">
        <f t="array" ref="L149">Common_InputFunctions.Utility_DisplayArrayInTable(Fertiliser_SourceData.Fertiliser_Products_Data1(),FertiliserProducts[[#Headers],[Include or Exclude]], 0,4)</f>
        <v/>
      </c>
      <c r="M149" s="199" t="str" cm="1">
        <f t="array" ref="M149">Common_InputFunctions.Utility_DisplayArrayInTable(Fertiliser_SourceData.Fertiliser_Products_Data1(),FertiliserProducts[[#Headers],[Include or Exclude]], 0,4)</f>
        <v/>
      </c>
      <c r="N149" s="199" t="str" cm="1">
        <f t="array" ref="N149">Common_InputFunctions.Utility_DisplayArrayInTable(Fertiliser_SourceData.Fertiliser_Products_Data1(),FertiliserProducts[[#Headers],[Include or Exclude]], 0,4)</f>
        <v/>
      </c>
      <c r="O149" s="199" t="str" cm="1">
        <f t="array" ref="O149">Common_InputFunctions.Utility_DisplayArrayInTable(Fertiliser_SourceData.Fertiliser_Products_Data1(),FertiliserProducts[[#Headers],[Include or Exclude]], 0,4)</f>
        <v/>
      </c>
      <c r="P149" s="199" t="str" cm="1">
        <f t="array" ref="P149">Common_InputFunctions.Utility_DisplayArrayInTable(Fertiliser_SourceData.Fertiliser_Products_Data1(),FertiliserProducts[[#Headers],[Include or Exclude]], 0,4)</f>
        <v/>
      </c>
      <c r="Q149" s="199" t="str" cm="1">
        <f t="array" ref="Q149">Common_InputFunctions.Utility_DisplayArrayInTable(Fertiliser_SourceData.Fertiliser_Products_Data1(),FertiliserProducts[[#Headers],[Include or Exclude]], 0,4)</f>
        <v/>
      </c>
      <c r="R149" s="199" t="str" cm="1">
        <f t="array" ref="R149">Common_InputFunctions.Utility_DisplayArrayInTable(Fertiliser_SourceData.Fertiliser_Products_Data1(),FertiliserProducts[[#Headers],[Include or Exclude]], 0,4)</f>
        <v/>
      </c>
      <c r="S149" s="199" t="str" cm="1">
        <f t="array" ref="S149">Common_InputFunctions.Utility_DisplayArrayInTable(Fertiliser_SourceData.Fertiliser_Products_Data1(),FertiliserProducts[[#Headers],[Include or Exclude]], 0,4)</f>
        <v/>
      </c>
      <c r="T149" s="199" t="str" cm="1">
        <f t="array" ref="T149">Common_InputFunctions.Utility_DisplayArrayInTable(Fertiliser_SourceData.Fertiliser_Products_Data1(),FertiliserProducts[[#Headers],[Include or Exclude]], 0,4)</f>
        <v/>
      </c>
      <c r="U149" s="199" t="str" cm="1">
        <f t="array" ref="U149">Common_InputFunctions.Utility_DisplayArrayInTable(Fertiliser_SourceData.Fertiliser_Products_Data1(),FertiliserProducts[[#Headers],[Include or Exclude]], 0,4)</f>
        <v/>
      </c>
      <c r="V149" s="199" t="str" cm="1">
        <f t="array" ref="V149">Common_InputFunctions.Utility_DisplayArrayInTable(Fertiliser_SourceData.Fertiliser_Products_Data1(),FertiliserProducts[[#Headers],[Include or Exclude]], 0,4)</f>
        <v/>
      </c>
      <c r="W149" s="199" t="str" cm="1">
        <f t="array" ref="W149">Common_InputFunctions.Utility_DisplayArrayInTable(Fertiliser_SourceData.Fertiliser_Products_Data1(),FertiliserProducts[[#Headers],[Include or Exclude]], 0,4)</f>
        <v/>
      </c>
      <c r="X149" s="199" t="str" cm="1">
        <f t="array" ref="X149">Common_InputFunctions.Utility_DisplayArrayInTable(Fertiliser_SourceData.Fertiliser_Products_Data1(),FertiliserProducts[[#Headers],[Include or Exclude]], 0,4)</f>
        <v/>
      </c>
      <c r="Y149" s="199" t="str" cm="1">
        <f t="array" ref="Y149">Common_InputFunctions.Utility_DisplayArrayInTable(Fertiliser_SourceData.Fertiliser_Products_Data1(),FertiliserProducts[[#Headers],[Include or Exclude]], 0,4)</f>
        <v/>
      </c>
      <c r="Z149" s="199" t="str" cm="1">
        <f t="array" ref="Z149">Common_InputFunctions.Utility_DisplayArrayInTable(Fertiliser_SourceData.Fertiliser_Products_Data1(),FertiliserProducts[[#Headers],[Include or Exclude]], 0,4)</f>
        <v/>
      </c>
      <c r="AA149" s="199" t="str" cm="1">
        <f t="array" ref="AA149">Common_InputFunctions.Utility_DisplayArrayInTable(Fertiliser_SourceData.Fertiliser_Products_Data1(),FertiliserProducts[[#Headers],[Include or Exclude]], 0,4)</f>
        <v/>
      </c>
      <c r="AB149" s="199" t="str" cm="1">
        <f t="array" ref="AB149">Common_InputFunctions.Utility_DisplayArrayInTable(Fertiliser_SourceData.Fertiliser_Products_Data1(),FertiliserProducts[[#Headers],[Include or Exclude]], 0,4)</f>
        <v/>
      </c>
      <c r="AC149" s="199" t="str" cm="1">
        <f t="array" ref="AC149">Common_InputFunctions.Utility_DisplayArrayInTable(Fertiliser_SourceData.Fertiliser_Products_Data1(),FertiliserProducts[[#Headers],[Include or Exclude]], 0,4)</f>
        <v/>
      </c>
      <c r="AD149" s="199" t="str" cm="1">
        <f t="array" ref="AD149">Common_InputFunctions.Utility_DisplayArrayInTable(Fertiliser_SourceData.Fertiliser_Products_Data1(),FertiliserProducts[[#Headers],[Include or Exclude]], 0,4)</f>
        <v/>
      </c>
      <c r="AE149" s="199" t="str" cm="1">
        <f t="array" ref="AE149">Common_InputFunctions.Utility_DisplayArrayInTable(Fertiliser_SourceData.Fertiliser_Products_Data1(),FertiliserProducts[[#Headers],[Include or Exclude]], 0,4)</f>
        <v/>
      </c>
    </row>
    <row r="150" spans="4:31" ht="20.100000000000001" customHeight="1" x14ac:dyDescent="0.25">
      <c r="D150" s="199" t="str" cm="1">
        <f t="array" ref="D150">Common_InputFunctions.Utility_DisplayArrayInTable(Fertiliser_SourceData.Fertiliser_Products_Data1(),FertiliserProducts[[#Headers],[Include or Exclude]], -1)</f>
        <v/>
      </c>
      <c r="E150" s="199" t="str" cm="1">
        <f t="array" ref="E150">Common_InputFunctions.Utility_DisplayArrayInTable(Fertiliser_SourceData.Fertiliser_Products_Data1(),FertiliserProducts[[#Headers],[Include or Exclude]], 0)</f>
        <v/>
      </c>
      <c r="F150" s="199" t="str" cm="1">
        <f t="array" ref="F150">Common_InputFunctions.Utility_DisplayArrayInTable(Fertiliser_SourceData.Fertiliser_Products_Data1(),FertiliserProducts[[#Headers],[Include or Exclude]], 0)</f>
        <v/>
      </c>
      <c r="G150" s="199" t="str" cm="1">
        <f t="array" ref="G150">Common_InputFunctions.Utility_DisplayArrayInTable(Fertiliser_SourceData.Fertiliser_Products_Data1(),FertiliserProducts[[#Headers],[Include or Exclude]], 0)</f>
        <v/>
      </c>
      <c r="H150" s="199" t="str" cm="1">
        <f t="array" ref="H150">Common_InputFunctions.Utility_DisplayArrayInTable(Fertiliser_SourceData.Fertiliser_Products_Data1(),FertiliserProducts[[#Headers],[Include or Exclude]], 0,4)</f>
        <v/>
      </c>
      <c r="I150" s="199" t="str" cm="1">
        <f t="array" ref="I150">Common_InputFunctions.Utility_DisplayArrayInTable(Fertiliser_SourceData.Fertiliser_Products_Data1(),FertiliserProducts[[#Headers],[Include or Exclude]], 0,4)</f>
        <v/>
      </c>
      <c r="J150" s="199" t="str" cm="1">
        <f t="array" ref="J150">Common_InputFunctions.Utility_DisplayArrayInTable(Fertiliser_SourceData.Fertiliser_Products_Data1(),FertiliserProducts[[#Headers],[Include or Exclude]], 0,4)</f>
        <v/>
      </c>
      <c r="K150" s="199" t="str" cm="1">
        <f t="array" ref="K150">Common_InputFunctions.Utility_DisplayArrayInTable(Fertiliser_SourceData.Fertiliser_Products_Data1(),FertiliserProducts[[#Headers],[Include or Exclude]], 0,4)</f>
        <v/>
      </c>
      <c r="L150" s="199" t="str" cm="1">
        <f t="array" ref="L150">Common_InputFunctions.Utility_DisplayArrayInTable(Fertiliser_SourceData.Fertiliser_Products_Data1(),FertiliserProducts[[#Headers],[Include or Exclude]], 0,4)</f>
        <v/>
      </c>
      <c r="M150" s="199" t="str" cm="1">
        <f t="array" ref="M150">Common_InputFunctions.Utility_DisplayArrayInTable(Fertiliser_SourceData.Fertiliser_Products_Data1(),FertiliserProducts[[#Headers],[Include or Exclude]], 0,4)</f>
        <v/>
      </c>
      <c r="N150" s="199" t="str" cm="1">
        <f t="array" ref="N150">Common_InputFunctions.Utility_DisplayArrayInTable(Fertiliser_SourceData.Fertiliser_Products_Data1(),FertiliserProducts[[#Headers],[Include or Exclude]], 0,4)</f>
        <v/>
      </c>
      <c r="O150" s="199" t="str" cm="1">
        <f t="array" ref="O150">Common_InputFunctions.Utility_DisplayArrayInTable(Fertiliser_SourceData.Fertiliser_Products_Data1(),FertiliserProducts[[#Headers],[Include or Exclude]], 0,4)</f>
        <v/>
      </c>
      <c r="P150" s="199" t="str" cm="1">
        <f t="array" ref="P150">Common_InputFunctions.Utility_DisplayArrayInTable(Fertiliser_SourceData.Fertiliser_Products_Data1(),FertiliserProducts[[#Headers],[Include or Exclude]], 0,4)</f>
        <v/>
      </c>
      <c r="Q150" s="199" t="str" cm="1">
        <f t="array" ref="Q150">Common_InputFunctions.Utility_DisplayArrayInTable(Fertiliser_SourceData.Fertiliser_Products_Data1(),FertiliserProducts[[#Headers],[Include or Exclude]], 0,4)</f>
        <v/>
      </c>
      <c r="R150" s="199" t="str" cm="1">
        <f t="array" ref="R150">Common_InputFunctions.Utility_DisplayArrayInTable(Fertiliser_SourceData.Fertiliser_Products_Data1(),FertiliserProducts[[#Headers],[Include or Exclude]], 0,4)</f>
        <v/>
      </c>
      <c r="S150" s="199" t="str" cm="1">
        <f t="array" ref="S150">Common_InputFunctions.Utility_DisplayArrayInTable(Fertiliser_SourceData.Fertiliser_Products_Data1(),FertiliserProducts[[#Headers],[Include or Exclude]], 0,4)</f>
        <v/>
      </c>
      <c r="T150" s="199" t="str" cm="1">
        <f t="array" ref="T150">Common_InputFunctions.Utility_DisplayArrayInTable(Fertiliser_SourceData.Fertiliser_Products_Data1(),FertiliserProducts[[#Headers],[Include or Exclude]], 0,4)</f>
        <v/>
      </c>
      <c r="U150" s="199" t="str" cm="1">
        <f t="array" ref="U150">Common_InputFunctions.Utility_DisplayArrayInTable(Fertiliser_SourceData.Fertiliser_Products_Data1(),FertiliserProducts[[#Headers],[Include or Exclude]], 0,4)</f>
        <v/>
      </c>
      <c r="V150" s="199" t="str" cm="1">
        <f t="array" ref="V150">Common_InputFunctions.Utility_DisplayArrayInTable(Fertiliser_SourceData.Fertiliser_Products_Data1(),FertiliserProducts[[#Headers],[Include or Exclude]], 0,4)</f>
        <v/>
      </c>
      <c r="W150" s="199" t="str" cm="1">
        <f t="array" ref="W150">Common_InputFunctions.Utility_DisplayArrayInTable(Fertiliser_SourceData.Fertiliser_Products_Data1(),FertiliserProducts[[#Headers],[Include or Exclude]], 0,4)</f>
        <v/>
      </c>
      <c r="X150" s="199" t="str" cm="1">
        <f t="array" ref="X150">Common_InputFunctions.Utility_DisplayArrayInTable(Fertiliser_SourceData.Fertiliser_Products_Data1(),FertiliserProducts[[#Headers],[Include or Exclude]], 0,4)</f>
        <v/>
      </c>
      <c r="Y150" s="199" t="str" cm="1">
        <f t="array" ref="Y150">Common_InputFunctions.Utility_DisplayArrayInTable(Fertiliser_SourceData.Fertiliser_Products_Data1(),FertiliserProducts[[#Headers],[Include or Exclude]], 0,4)</f>
        <v/>
      </c>
      <c r="Z150" s="199" t="str" cm="1">
        <f t="array" ref="Z150">Common_InputFunctions.Utility_DisplayArrayInTable(Fertiliser_SourceData.Fertiliser_Products_Data1(),FertiliserProducts[[#Headers],[Include or Exclude]], 0,4)</f>
        <v/>
      </c>
      <c r="AA150" s="199" t="str" cm="1">
        <f t="array" ref="AA150">Common_InputFunctions.Utility_DisplayArrayInTable(Fertiliser_SourceData.Fertiliser_Products_Data1(),FertiliserProducts[[#Headers],[Include or Exclude]], 0,4)</f>
        <v/>
      </c>
      <c r="AB150" s="199" t="str" cm="1">
        <f t="array" ref="AB150">Common_InputFunctions.Utility_DisplayArrayInTable(Fertiliser_SourceData.Fertiliser_Products_Data1(),FertiliserProducts[[#Headers],[Include or Exclude]], 0,4)</f>
        <v/>
      </c>
      <c r="AC150" s="199" t="str" cm="1">
        <f t="array" ref="AC150">Common_InputFunctions.Utility_DisplayArrayInTable(Fertiliser_SourceData.Fertiliser_Products_Data1(),FertiliserProducts[[#Headers],[Include or Exclude]], 0,4)</f>
        <v/>
      </c>
      <c r="AD150" s="199" t="str" cm="1">
        <f t="array" ref="AD150">Common_InputFunctions.Utility_DisplayArrayInTable(Fertiliser_SourceData.Fertiliser_Products_Data1(),FertiliserProducts[[#Headers],[Include or Exclude]], 0,4)</f>
        <v/>
      </c>
      <c r="AE150" s="199" t="str" cm="1">
        <f t="array" ref="AE150">Common_InputFunctions.Utility_DisplayArrayInTable(Fertiliser_SourceData.Fertiliser_Products_Data1(),FertiliserProducts[[#Headers],[Include or Exclude]], 0,4)</f>
        <v/>
      </c>
    </row>
    <row r="151" spans="4:31" ht="20.100000000000001" customHeight="1" x14ac:dyDescent="0.25">
      <c r="D151" s="199" t="str" cm="1">
        <f t="array" ref="D151">Common_InputFunctions.Utility_DisplayArrayInTable(Fertiliser_SourceData.Fertiliser_Products_Data1(),FertiliserProducts[[#Headers],[Include or Exclude]], -1)</f>
        <v/>
      </c>
      <c r="E151" s="199" t="str" cm="1">
        <f t="array" ref="E151">Common_InputFunctions.Utility_DisplayArrayInTable(Fertiliser_SourceData.Fertiliser_Products_Data1(),FertiliserProducts[[#Headers],[Include or Exclude]], 0)</f>
        <v/>
      </c>
      <c r="F151" s="199" t="str" cm="1">
        <f t="array" ref="F151">Common_InputFunctions.Utility_DisplayArrayInTable(Fertiliser_SourceData.Fertiliser_Products_Data1(),FertiliserProducts[[#Headers],[Include or Exclude]], 0)</f>
        <v/>
      </c>
      <c r="G151" s="199" t="str" cm="1">
        <f t="array" ref="G151">Common_InputFunctions.Utility_DisplayArrayInTable(Fertiliser_SourceData.Fertiliser_Products_Data1(),FertiliserProducts[[#Headers],[Include or Exclude]], 0)</f>
        <v/>
      </c>
      <c r="H151" s="199" t="str" cm="1">
        <f t="array" ref="H151">Common_InputFunctions.Utility_DisplayArrayInTable(Fertiliser_SourceData.Fertiliser_Products_Data1(),FertiliserProducts[[#Headers],[Include or Exclude]], 0,4)</f>
        <v/>
      </c>
      <c r="I151" s="199" t="str" cm="1">
        <f t="array" ref="I151">Common_InputFunctions.Utility_DisplayArrayInTable(Fertiliser_SourceData.Fertiliser_Products_Data1(),FertiliserProducts[[#Headers],[Include or Exclude]], 0,4)</f>
        <v/>
      </c>
      <c r="J151" s="199" t="str" cm="1">
        <f t="array" ref="J151">Common_InputFunctions.Utility_DisplayArrayInTable(Fertiliser_SourceData.Fertiliser_Products_Data1(),FertiliserProducts[[#Headers],[Include or Exclude]], 0,4)</f>
        <v/>
      </c>
      <c r="K151" s="199" t="str" cm="1">
        <f t="array" ref="K151">Common_InputFunctions.Utility_DisplayArrayInTable(Fertiliser_SourceData.Fertiliser_Products_Data1(),FertiliserProducts[[#Headers],[Include or Exclude]], 0,4)</f>
        <v/>
      </c>
      <c r="L151" s="199" t="str" cm="1">
        <f t="array" ref="L151">Common_InputFunctions.Utility_DisplayArrayInTable(Fertiliser_SourceData.Fertiliser_Products_Data1(),FertiliserProducts[[#Headers],[Include or Exclude]], 0,4)</f>
        <v/>
      </c>
      <c r="M151" s="199" t="str" cm="1">
        <f t="array" ref="M151">Common_InputFunctions.Utility_DisplayArrayInTable(Fertiliser_SourceData.Fertiliser_Products_Data1(),FertiliserProducts[[#Headers],[Include or Exclude]], 0,4)</f>
        <v/>
      </c>
      <c r="N151" s="199" t="str" cm="1">
        <f t="array" ref="N151">Common_InputFunctions.Utility_DisplayArrayInTable(Fertiliser_SourceData.Fertiliser_Products_Data1(),FertiliserProducts[[#Headers],[Include or Exclude]], 0,4)</f>
        <v/>
      </c>
      <c r="O151" s="199" t="str" cm="1">
        <f t="array" ref="O151">Common_InputFunctions.Utility_DisplayArrayInTable(Fertiliser_SourceData.Fertiliser_Products_Data1(),FertiliserProducts[[#Headers],[Include or Exclude]], 0,4)</f>
        <v/>
      </c>
      <c r="P151" s="199" t="str" cm="1">
        <f t="array" ref="P151">Common_InputFunctions.Utility_DisplayArrayInTable(Fertiliser_SourceData.Fertiliser_Products_Data1(),FertiliserProducts[[#Headers],[Include or Exclude]], 0,4)</f>
        <v/>
      </c>
      <c r="Q151" s="199" t="str" cm="1">
        <f t="array" ref="Q151">Common_InputFunctions.Utility_DisplayArrayInTable(Fertiliser_SourceData.Fertiliser_Products_Data1(),FertiliserProducts[[#Headers],[Include or Exclude]], 0,4)</f>
        <v/>
      </c>
      <c r="R151" s="199" t="str" cm="1">
        <f t="array" ref="R151">Common_InputFunctions.Utility_DisplayArrayInTable(Fertiliser_SourceData.Fertiliser_Products_Data1(),FertiliserProducts[[#Headers],[Include or Exclude]], 0,4)</f>
        <v/>
      </c>
      <c r="S151" s="199" t="str" cm="1">
        <f t="array" ref="S151">Common_InputFunctions.Utility_DisplayArrayInTable(Fertiliser_SourceData.Fertiliser_Products_Data1(),FertiliserProducts[[#Headers],[Include or Exclude]], 0,4)</f>
        <v/>
      </c>
      <c r="T151" s="199" t="str" cm="1">
        <f t="array" ref="T151">Common_InputFunctions.Utility_DisplayArrayInTable(Fertiliser_SourceData.Fertiliser_Products_Data1(),FertiliserProducts[[#Headers],[Include or Exclude]], 0,4)</f>
        <v/>
      </c>
      <c r="U151" s="199" t="str" cm="1">
        <f t="array" ref="U151">Common_InputFunctions.Utility_DisplayArrayInTable(Fertiliser_SourceData.Fertiliser_Products_Data1(),FertiliserProducts[[#Headers],[Include or Exclude]], 0,4)</f>
        <v/>
      </c>
      <c r="V151" s="199" t="str" cm="1">
        <f t="array" ref="V151">Common_InputFunctions.Utility_DisplayArrayInTable(Fertiliser_SourceData.Fertiliser_Products_Data1(),FertiliserProducts[[#Headers],[Include or Exclude]], 0,4)</f>
        <v/>
      </c>
      <c r="W151" s="199" t="str" cm="1">
        <f t="array" ref="W151">Common_InputFunctions.Utility_DisplayArrayInTable(Fertiliser_SourceData.Fertiliser_Products_Data1(),FertiliserProducts[[#Headers],[Include or Exclude]], 0,4)</f>
        <v/>
      </c>
      <c r="X151" s="199" t="str" cm="1">
        <f t="array" ref="X151">Common_InputFunctions.Utility_DisplayArrayInTable(Fertiliser_SourceData.Fertiliser_Products_Data1(),FertiliserProducts[[#Headers],[Include or Exclude]], 0,4)</f>
        <v/>
      </c>
      <c r="Y151" s="199" t="str" cm="1">
        <f t="array" ref="Y151">Common_InputFunctions.Utility_DisplayArrayInTable(Fertiliser_SourceData.Fertiliser_Products_Data1(),FertiliserProducts[[#Headers],[Include or Exclude]], 0,4)</f>
        <v/>
      </c>
      <c r="Z151" s="199" t="str" cm="1">
        <f t="array" ref="Z151">Common_InputFunctions.Utility_DisplayArrayInTable(Fertiliser_SourceData.Fertiliser_Products_Data1(),FertiliserProducts[[#Headers],[Include or Exclude]], 0,4)</f>
        <v/>
      </c>
      <c r="AA151" s="199" t="str" cm="1">
        <f t="array" ref="AA151">Common_InputFunctions.Utility_DisplayArrayInTable(Fertiliser_SourceData.Fertiliser_Products_Data1(),FertiliserProducts[[#Headers],[Include or Exclude]], 0,4)</f>
        <v/>
      </c>
      <c r="AB151" s="199" t="str" cm="1">
        <f t="array" ref="AB151">Common_InputFunctions.Utility_DisplayArrayInTable(Fertiliser_SourceData.Fertiliser_Products_Data1(),FertiliserProducts[[#Headers],[Include or Exclude]], 0,4)</f>
        <v/>
      </c>
      <c r="AC151" s="199" t="str" cm="1">
        <f t="array" ref="AC151">Common_InputFunctions.Utility_DisplayArrayInTable(Fertiliser_SourceData.Fertiliser_Products_Data1(),FertiliserProducts[[#Headers],[Include or Exclude]], 0,4)</f>
        <v/>
      </c>
      <c r="AD151" s="199" t="str" cm="1">
        <f t="array" ref="AD151">Common_InputFunctions.Utility_DisplayArrayInTable(Fertiliser_SourceData.Fertiliser_Products_Data1(),FertiliserProducts[[#Headers],[Include or Exclude]], 0,4)</f>
        <v/>
      </c>
      <c r="AE151" s="199" t="str" cm="1">
        <f t="array" ref="AE151">Common_InputFunctions.Utility_DisplayArrayInTable(Fertiliser_SourceData.Fertiliser_Products_Data1(),FertiliserProducts[[#Headers],[Include or Exclude]], 0,4)</f>
        <v/>
      </c>
    </row>
    <row r="152" spans="4:31" ht="20.100000000000001" customHeight="1" x14ac:dyDescent="0.25">
      <c r="D152" s="199" t="str" cm="1">
        <f t="array" ref="D152">Common_InputFunctions.Utility_DisplayArrayInTable(Fertiliser_SourceData.Fertiliser_Products_Data1(),FertiliserProducts[[#Headers],[Include or Exclude]], -1)</f>
        <v/>
      </c>
      <c r="E152" s="199" t="str" cm="1">
        <f t="array" ref="E152">Common_InputFunctions.Utility_DisplayArrayInTable(Fertiliser_SourceData.Fertiliser_Products_Data1(),FertiliserProducts[[#Headers],[Include or Exclude]], 0)</f>
        <v/>
      </c>
      <c r="F152" s="199" t="str" cm="1">
        <f t="array" ref="F152">Common_InputFunctions.Utility_DisplayArrayInTable(Fertiliser_SourceData.Fertiliser_Products_Data1(),FertiliserProducts[[#Headers],[Include or Exclude]], 0)</f>
        <v/>
      </c>
      <c r="G152" s="199" t="str" cm="1">
        <f t="array" ref="G152">Common_InputFunctions.Utility_DisplayArrayInTable(Fertiliser_SourceData.Fertiliser_Products_Data1(),FertiliserProducts[[#Headers],[Include or Exclude]], 0)</f>
        <v/>
      </c>
      <c r="H152" s="199" t="str" cm="1">
        <f t="array" ref="H152">Common_InputFunctions.Utility_DisplayArrayInTable(Fertiliser_SourceData.Fertiliser_Products_Data1(),FertiliserProducts[[#Headers],[Include or Exclude]], 0,4)</f>
        <v/>
      </c>
      <c r="I152" s="199" t="str" cm="1">
        <f t="array" ref="I152">Common_InputFunctions.Utility_DisplayArrayInTable(Fertiliser_SourceData.Fertiliser_Products_Data1(),FertiliserProducts[[#Headers],[Include or Exclude]], 0,4)</f>
        <v/>
      </c>
      <c r="J152" s="199" t="str" cm="1">
        <f t="array" ref="J152">Common_InputFunctions.Utility_DisplayArrayInTable(Fertiliser_SourceData.Fertiliser_Products_Data1(),FertiliserProducts[[#Headers],[Include or Exclude]], 0,4)</f>
        <v/>
      </c>
      <c r="K152" s="199" t="str" cm="1">
        <f t="array" ref="K152">Common_InputFunctions.Utility_DisplayArrayInTable(Fertiliser_SourceData.Fertiliser_Products_Data1(),FertiliserProducts[[#Headers],[Include or Exclude]], 0,4)</f>
        <v/>
      </c>
      <c r="L152" s="199" t="str" cm="1">
        <f t="array" ref="L152">Common_InputFunctions.Utility_DisplayArrayInTable(Fertiliser_SourceData.Fertiliser_Products_Data1(),FertiliserProducts[[#Headers],[Include or Exclude]], 0,4)</f>
        <v/>
      </c>
      <c r="M152" s="199" t="str" cm="1">
        <f t="array" ref="M152">Common_InputFunctions.Utility_DisplayArrayInTable(Fertiliser_SourceData.Fertiliser_Products_Data1(),FertiliserProducts[[#Headers],[Include or Exclude]], 0,4)</f>
        <v/>
      </c>
      <c r="N152" s="199" t="str" cm="1">
        <f t="array" ref="N152">Common_InputFunctions.Utility_DisplayArrayInTable(Fertiliser_SourceData.Fertiliser_Products_Data1(),FertiliserProducts[[#Headers],[Include or Exclude]], 0,4)</f>
        <v/>
      </c>
      <c r="O152" s="199" t="str" cm="1">
        <f t="array" ref="O152">Common_InputFunctions.Utility_DisplayArrayInTable(Fertiliser_SourceData.Fertiliser_Products_Data1(),FertiliserProducts[[#Headers],[Include or Exclude]], 0,4)</f>
        <v/>
      </c>
      <c r="P152" s="199" t="str" cm="1">
        <f t="array" ref="P152">Common_InputFunctions.Utility_DisplayArrayInTable(Fertiliser_SourceData.Fertiliser_Products_Data1(),FertiliserProducts[[#Headers],[Include or Exclude]], 0,4)</f>
        <v/>
      </c>
      <c r="Q152" s="199" t="str" cm="1">
        <f t="array" ref="Q152">Common_InputFunctions.Utility_DisplayArrayInTable(Fertiliser_SourceData.Fertiliser_Products_Data1(),FertiliserProducts[[#Headers],[Include or Exclude]], 0,4)</f>
        <v/>
      </c>
      <c r="R152" s="199" t="str" cm="1">
        <f t="array" ref="R152">Common_InputFunctions.Utility_DisplayArrayInTable(Fertiliser_SourceData.Fertiliser_Products_Data1(),FertiliserProducts[[#Headers],[Include or Exclude]], 0,4)</f>
        <v/>
      </c>
      <c r="S152" s="199" t="str" cm="1">
        <f t="array" ref="S152">Common_InputFunctions.Utility_DisplayArrayInTable(Fertiliser_SourceData.Fertiliser_Products_Data1(),FertiliserProducts[[#Headers],[Include or Exclude]], 0,4)</f>
        <v/>
      </c>
      <c r="T152" s="199" t="str" cm="1">
        <f t="array" ref="T152">Common_InputFunctions.Utility_DisplayArrayInTable(Fertiliser_SourceData.Fertiliser_Products_Data1(),FertiliserProducts[[#Headers],[Include or Exclude]], 0,4)</f>
        <v/>
      </c>
      <c r="U152" s="199" t="str" cm="1">
        <f t="array" ref="U152">Common_InputFunctions.Utility_DisplayArrayInTable(Fertiliser_SourceData.Fertiliser_Products_Data1(),FertiliserProducts[[#Headers],[Include or Exclude]], 0,4)</f>
        <v/>
      </c>
      <c r="V152" s="199" t="str" cm="1">
        <f t="array" ref="V152">Common_InputFunctions.Utility_DisplayArrayInTable(Fertiliser_SourceData.Fertiliser_Products_Data1(),FertiliserProducts[[#Headers],[Include or Exclude]], 0,4)</f>
        <v/>
      </c>
      <c r="W152" s="199" t="str" cm="1">
        <f t="array" ref="W152">Common_InputFunctions.Utility_DisplayArrayInTable(Fertiliser_SourceData.Fertiliser_Products_Data1(),FertiliserProducts[[#Headers],[Include or Exclude]], 0,4)</f>
        <v/>
      </c>
      <c r="X152" s="199" t="str" cm="1">
        <f t="array" ref="X152">Common_InputFunctions.Utility_DisplayArrayInTable(Fertiliser_SourceData.Fertiliser_Products_Data1(),FertiliserProducts[[#Headers],[Include or Exclude]], 0,4)</f>
        <v/>
      </c>
      <c r="Y152" s="199" t="str" cm="1">
        <f t="array" ref="Y152">Common_InputFunctions.Utility_DisplayArrayInTable(Fertiliser_SourceData.Fertiliser_Products_Data1(),FertiliserProducts[[#Headers],[Include or Exclude]], 0,4)</f>
        <v/>
      </c>
      <c r="Z152" s="199" t="str" cm="1">
        <f t="array" ref="Z152">Common_InputFunctions.Utility_DisplayArrayInTable(Fertiliser_SourceData.Fertiliser_Products_Data1(),FertiliserProducts[[#Headers],[Include or Exclude]], 0,4)</f>
        <v/>
      </c>
      <c r="AA152" s="199" t="str" cm="1">
        <f t="array" ref="AA152">Common_InputFunctions.Utility_DisplayArrayInTable(Fertiliser_SourceData.Fertiliser_Products_Data1(),FertiliserProducts[[#Headers],[Include or Exclude]], 0,4)</f>
        <v/>
      </c>
      <c r="AB152" s="199" t="str" cm="1">
        <f t="array" ref="AB152">Common_InputFunctions.Utility_DisplayArrayInTable(Fertiliser_SourceData.Fertiliser_Products_Data1(),FertiliserProducts[[#Headers],[Include or Exclude]], 0,4)</f>
        <v/>
      </c>
      <c r="AC152" s="199" t="str" cm="1">
        <f t="array" ref="AC152">Common_InputFunctions.Utility_DisplayArrayInTable(Fertiliser_SourceData.Fertiliser_Products_Data1(),FertiliserProducts[[#Headers],[Include or Exclude]], 0,4)</f>
        <v/>
      </c>
      <c r="AD152" s="199" t="str" cm="1">
        <f t="array" ref="AD152">Common_InputFunctions.Utility_DisplayArrayInTable(Fertiliser_SourceData.Fertiliser_Products_Data1(),FertiliserProducts[[#Headers],[Include or Exclude]], 0,4)</f>
        <v/>
      </c>
      <c r="AE152" s="199" t="str" cm="1">
        <f t="array" ref="AE152">Common_InputFunctions.Utility_DisplayArrayInTable(Fertiliser_SourceData.Fertiliser_Products_Data1(),FertiliserProducts[[#Headers],[Include or Exclude]], 0,4)</f>
        <v/>
      </c>
    </row>
    <row r="153" spans="4:31" ht="20.100000000000001" customHeight="1" x14ac:dyDescent="0.25">
      <c r="D153" s="199" t="str" cm="1">
        <f t="array" ref="D153">Common_InputFunctions.Utility_DisplayArrayInTable(Fertiliser_SourceData.Fertiliser_Products_Data1(),FertiliserProducts[[#Headers],[Include or Exclude]], -1)</f>
        <v/>
      </c>
      <c r="E153" s="199" t="str" cm="1">
        <f t="array" ref="E153">Common_InputFunctions.Utility_DisplayArrayInTable(Fertiliser_SourceData.Fertiliser_Products_Data1(),FertiliserProducts[[#Headers],[Include or Exclude]], 0)</f>
        <v/>
      </c>
      <c r="F153" s="199" t="str" cm="1">
        <f t="array" ref="F153">Common_InputFunctions.Utility_DisplayArrayInTable(Fertiliser_SourceData.Fertiliser_Products_Data1(),FertiliserProducts[[#Headers],[Include or Exclude]], 0)</f>
        <v/>
      </c>
      <c r="G153" s="199" t="str" cm="1">
        <f t="array" ref="G153">Common_InputFunctions.Utility_DisplayArrayInTable(Fertiliser_SourceData.Fertiliser_Products_Data1(),FertiliserProducts[[#Headers],[Include or Exclude]], 0)</f>
        <v/>
      </c>
      <c r="H153" s="199" t="str" cm="1">
        <f t="array" ref="H153">Common_InputFunctions.Utility_DisplayArrayInTable(Fertiliser_SourceData.Fertiliser_Products_Data1(),FertiliserProducts[[#Headers],[Include or Exclude]], 0,4)</f>
        <v/>
      </c>
      <c r="I153" s="199" t="str" cm="1">
        <f t="array" ref="I153">Common_InputFunctions.Utility_DisplayArrayInTable(Fertiliser_SourceData.Fertiliser_Products_Data1(),FertiliserProducts[[#Headers],[Include or Exclude]], 0,4)</f>
        <v/>
      </c>
      <c r="J153" s="199" t="str" cm="1">
        <f t="array" ref="J153">Common_InputFunctions.Utility_DisplayArrayInTable(Fertiliser_SourceData.Fertiliser_Products_Data1(),FertiliserProducts[[#Headers],[Include or Exclude]], 0,4)</f>
        <v/>
      </c>
      <c r="K153" s="199" t="str" cm="1">
        <f t="array" ref="K153">Common_InputFunctions.Utility_DisplayArrayInTable(Fertiliser_SourceData.Fertiliser_Products_Data1(),FertiliserProducts[[#Headers],[Include or Exclude]], 0,4)</f>
        <v/>
      </c>
      <c r="L153" s="199" t="str" cm="1">
        <f t="array" ref="L153">Common_InputFunctions.Utility_DisplayArrayInTable(Fertiliser_SourceData.Fertiliser_Products_Data1(),FertiliserProducts[[#Headers],[Include or Exclude]], 0,4)</f>
        <v/>
      </c>
      <c r="M153" s="199" t="str" cm="1">
        <f t="array" ref="M153">Common_InputFunctions.Utility_DisplayArrayInTable(Fertiliser_SourceData.Fertiliser_Products_Data1(),FertiliserProducts[[#Headers],[Include or Exclude]], 0,4)</f>
        <v/>
      </c>
      <c r="N153" s="199" t="str" cm="1">
        <f t="array" ref="N153">Common_InputFunctions.Utility_DisplayArrayInTable(Fertiliser_SourceData.Fertiliser_Products_Data1(),FertiliserProducts[[#Headers],[Include or Exclude]], 0,4)</f>
        <v/>
      </c>
      <c r="O153" s="199" t="str" cm="1">
        <f t="array" ref="O153">Common_InputFunctions.Utility_DisplayArrayInTable(Fertiliser_SourceData.Fertiliser_Products_Data1(),FertiliserProducts[[#Headers],[Include or Exclude]], 0,4)</f>
        <v/>
      </c>
      <c r="P153" s="199" t="str" cm="1">
        <f t="array" ref="P153">Common_InputFunctions.Utility_DisplayArrayInTable(Fertiliser_SourceData.Fertiliser_Products_Data1(),FertiliserProducts[[#Headers],[Include or Exclude]], 0,4)</f>
        <v/>
      </c>
      <c r="Q153" s="199" t="str" cm="1">
        <f t="array" ref="Q153">Common_InputFunctions.Utility_DisplayArrayInTable(Fertiliser_SourceData.Fertiliser_Products_Data1(),FertiliserProducts[[#Headers],[Include or Exclude]], 0,4)</f>
        <v/>
      </c>
      <c r="R153" s="199" t="str" cm="1">
        <f t="array" ref="R153">Common_InputFunctions.Utility_DisplayArrayInTable(Fertiliser_SourceData.Fertiliser_Products_Data1(),FertiliserProducts[[#Headers],[Include or Exclude]], 0,4)</f>
        <v/>
      </c>
      <c r="S153" s="199" t="str" cm="1">
        <f t="array" ref="S153">Common_InputFunctions.Utility_DisplayArrayInTable(Fertiliser_SourceData.Fertiliser_Products_Data1(),FertiliserProducts[[#Headers],[Include or Exclude]], 0,4)</f>
        <v/>
      </c>
      <c r="T153" s="199" t="str" cm="1">
        <f t="array" ref="T153">Common_InputFunctions.Utility_DisplayArrayInTable(Fertiliser_SourceData.Fertiliser_Products_Data1(),FertiliserProducts[[#Headers],[Include or Exclude]], 0,4)</f>
        <v/>
      </c>
      <c r="U153" s="199" t="str" cm="1">
        <f t="array" ref="U153">Common_InputFunctions.Utility_DisplayArrayInTable(Fertiliser_SourceData.Fertiliser_Products_Data1(),FertiliserProducts[[#Headers],[Include or Exclude]], 0,4)</f>
        <v/>
      </c>
      <c r="V153" s="199" t="str" cm="1">
        <f t="array" ref="V153">Common_InputFunctions.Utility_DisplayArrayInTable(Fertiliser_SourceData.Fertiliser_Products_Data1(),FertiliserProducts[[#Headers],[Include or Exclude]], 0,4)</f>
        <v/>
      </c>
      <c r="W153" s="199" t="str" cm="1">
        <f t="array" ref="W153">Common_InputFunctions.Utility_DisplayArrayInTable(Fertiliser_SourceData.Fertiliser_Products_Data1(),FertiliserProducts[[#Headers],[Include or Exclude]], 0,4)</f>
        <v/>
      </c>
      <c r="X153" s="199" t="str" cm="1">
        <f t="array" ref="X153">Common_InputFunctions.Utility_DisplayArrayInTable(Fertiliser_SourceData.Fertiliser_Products_Data1(),FertiliserProducts[[#Headers],[Include or Exclude]], 0,4)</f>
        <v/>
      </c>
      <c r="Y153" s="199" t="str" cm="1">
        <f t="array" ref="Y153">Common_InputFunctions.Utility_DisplayArrayInTable(Fertiliser_SourceData.Fertiliser_Products_Data1(),FertiliserProducts[[#Headers],[Include or Exclude]], 0,4)</f>
        <v/>
      </c>
      <c r="Z153" s="199" t="str" cm="1">
        <f t="array" ref="Z153">Common_InputFunctions.Utility_DisplayArrayInTable(Fertiliser_SourceData.Fertiliser_Products_Data1(),FertiliserProducts[[#Headers],[Include or Exclude]], 0,4)</f>
        <v/>
      </c>
      <c r="AA153" s="199" t="str" cm="1">
        <f t="array" ref="AA153">Common_InputFunctions.Utility_DisplayArrayInTable(Fertiliser_SourceData.Fertiliser_Products_Data1(),FertiliserProducts[[#Headers],[Include or Exclude]], 0,4)</f>
        <v/>
      </c>
      <c r="AB153" s="199" t="str" cm="1">
        <f t="array" ref="AB153">Common_InputFunctions.Utility_DisplayArrayInTable(Fertiliser_SourceData.Fertiliser_Products_Data1(),FertiliserProducts[[#Headers],[Include or Exclude]], 0,4)</f>
        <v/>
      </c>
      <c r="AC153" s="199" t="str" cm="1">
        <f t="array" ref="AC153">Common_InputFunctions.Utility_DisplayArrayInTable(Fertiliser_SourceData.Fertiliser_Products_Data1(),FertiliserProducts[[#Headers],[Include or Exclude]], 0,4)</f>
        <v/>
      </c>
      <c r="AD153" s="199" t="str" cm="1">
        <f t="array" ref="AD153">Common_InputFunctions.Utility_DisplayArrayInTable(Fertiliser_SourceData.Fertiliser_Products_Data1(),FertiliserProducts[[#Headers],[Include or Exclude]], 0,4)</f>
        <v/>
      </c>
      <c r="AE153" s="199"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8C029-F6EB-4A38-9AEA-86EFAED6F5FF}">
  <dimension ref="A1:AI165"/>
  <sheetViews>
    <sheetView showGridLines="0" topLeftCell="A138"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0" customFormat="1" ht="30" customHeight="1" x14ac:dyDescent="0.35">
      <c r="A1" s="16" t="e" vm="1">
        <v>#VALUE!</v>
      </c>
      <c r="C1" s="30" t="s">
        <v>833</v>
      </c>
      <c r="AG1"/>
      <c r="AH1"/>
      <c r="AI1"/>
    </row>
    <row r="2" spans="1:35" s="3" customFormat="1" ht="20.100000000000001" customHeight="1" x14ac:dyDescent="0.25">
      <c r="A2"/>
      <c r="AG2"/>
      <c r="AH2"/>
      <c r="AI2"/>
    </row>
    <row r="3" spans="1:35" ht="20.100000000000001" customHeight="1" x14ac:dyDescent="0.25">
      <c r="A3" s="5" t="str">
        <f>HYPERLINK("#'Home'!A1", "Home")</f>
        <v>Home</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Fuel_SourceData.Fuel_Scope1Scope3EmissionFactorsTransport_Title()</f>
        <v>Fuel scope 1 and 3 emission factors - Transport</v>
      </c>
      <c r="E5" s="191"/>
      <c r="F5" s="191"/>
      <c r="G5" s="191"/>
      <c r="H5" s="191"/>
      <c r="I5" s="191"/>
      <c r="J5" s="191"/>
      <c r="K5" s="191"/>
      <c r="L5" s="191"/>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91"/>
      <c r="F6" s="191"/>
      <c r="G6" s="191"/>
      <c r="H6" s="191"/>
      <c r="I6" s="191"/>
      <c r="J6" s="191"/>
      <c r="K6" s="191"/>
      <c r="L6" s="191"/>
    </row>
    <row r="7" spans="1:35" ht="20.100000000000001" customHeight="1" x14ac:dyDescent="0.25">
      <c r="D7" s="27" t="str" cm="1">
        <f t="array" ref="D7">Fuel_SourceData.Fuel_Scope1Scope3EmissionFactorsTransport_Source()</f>
        <v>Australian National Greenhouse Accounts Factors 2025 - Table 9</v>
      </c>
      <c r="E7" s="191"/>
      <c r="F7" s="191"/>
      <c r="G7" s="191"/>
      <c r="H7" s="191"/>
      <c r="I7" s="191"/>
      <c r="J7" s="191"/>
      <c r="K7" s="191"/>
      <c r="L7" s="191"/>
    </row>
    <row r="8" spans="1:35" ht="20.100000000000001" customHeight="1" x14ac:dyDescent="0.25">
      <c r="A8" s="7" t="s">
        <v>0</v>
      </c>
      <c r="D8" s="35" t="str" cm="1">
        <f t="array" ref="D8">"⚠️" &amp; Fuel_SourceData.Fuel_Scope1Scope3EmissionFactorsTransport_Variation()</f>
        <v>⚠️VARIATION OF SOURCE DATA: 'NE' values returned as zero for calculations.</v>
      </c>
      <c r="E8" s="191"/>
      <c r="F8" s="191"/>
      <c r="G8" s="191"/>
      <c r="H8" s="191"/>
      <c r="I8" s="191"/>
      <c r="J8" s="191"/>
      <c r="K8" s="191"/>
      <c r="L8" s="191"/>
    </row>
    <row r="9" spans="1:35" ht="20.100000000000001" customHeight="1" x14ac:dyDescent="0.25">
      <c r="A9" s="5" t="str">
        <f>HYPERLINK("#'Input - Enterprise'!A1", "Enterprise")</f>
        <v>Enterprise</v>
      </c>
      <c r="D9" s="240" t="s">
        <v>834</v>
      </c>
      <c r="E9" s="240" t="s">
        <v>835</v>
      </c>
      <c r="F9" s="240" t="s">
        <v>836</v>
      </c>
      <c r="G9" s="240" t="s">
        <v>837</v>
      </c>
      <c r="H9" s="240" t="s">
        <v>838</v>
      </c>
      <c r="I9" s="240" t="s">
        <v>839</v>
      </c>
      <c r="J9" s="240" t="s">
        <v>840</v>
      </c>
      <c r="K9" s="240" t="s">
        <v>841</v>
      </c>
      <c r="L9" s="240" t="s">
        <v>842</v>
      </c>
    </row>
    <row r="10" spans="1:35" ht="20.100000000000001" customHeight="1" x14ac:dyDescent="0.25">
      <c r="A10" s="5" t="str">
        <f>HYPERLINK("#'Input - Site'!A1", "Site")</f>
        <v>Site</v>
      </c>
      <c r="D10" s="241" t="str" cm="1">
        <f t="array" ref="D10">Common_InputFunctions.Utility_DisplayArrayInTable(Fuel_SourceData.Fuel_Scope1Scope3EmissionFactorsTransport_Data(), Table_Fuel_EFs_Transport[[#Headers],[Transport type]], 0)</f>
        <v>Cars and light commercial vehicles</v>
      </c>
      <c r="E10" s="241" t="str" cm="1">
        <f t="array" ref="E10">Common_InputFunctions.Utility_DisplayArrayInTable(Fuel_SourceData.Fuel_Scope1Scope3EmissionFactorsTransport_Data(), Table_Fuel_EFs_Transport[[#Headers],[Transport type]], 0)</f>
        <v>Gasoline</v>
      </c>
      <c r="F10" s="241" cm="1">
        <f t="array" ref="F10">Common_InputFunctions.Utility_DisplayArrayInTable(Fuel_SourceData.Fuel_Scope1Scope3EmissionFactorsTransport_Data(), Table_Fuel_EFs_Transport[[#Headers],[Transport type]], 0)</f>
        <v>34.200000000000003</v>
      </c>
      <c r="G10" s="241" t="str" cm="1">
        <f t="array" ref="G10">Common_InputFunctions.Utility_DisplayArrayInTable(Fuel_SourceData.Fuel_Scope1Scope3EmissionFactorsTransport_Data(), Table_Fuel_EFs_Transport[[#Headers],[Transport type]], 0)</f>
        <v>kl</v>
      </c>
      <c r="H10" s="241" cm="1">
        <f t="array" ref="H10">Common_InputFunctions.Utility_DisplayArrayInTable(Fuel_SourceData.Fuel_Scope1Scope3EmissionFactorsTransport_Data(), Table_Fuel_EFs_Transport[[#Headers],[Transport type]], 0)</f>
        <v>67.400000000000006</v>
      </c>
      <c r="I10" s="241" cm="1">
        <f t="array" ref="I10">Common_InputFunctions.Utility_DisplayArrayInTable(Fuel_SourceData.Fuel_Scope1Scope3EmissionFactorsTransport_Data(), Table_Fuel_EFs_Transport[[#Headers],[Transport type]], 0)</f>
        <v>0.02</v>
      </c>
      <c r="J10" s="241" cm="1">
        <f t="array" ref="J10">Common_InputFunctions.Utility_DisplayArrayInTable(Fuel_SourceData.Fuel_Scope1Scope3EmissionFactorsTransport_Data(), Table_Fuel_EFs_Transport[[#Headers],[Transport type]], 0)</f>
        <v>0.2</v>
      </c>
      <c r="K10" s="241" cm="1">
        <f t="array" ref="K10">Common_InputFunctions.Utility_DisplayArrayInTable(Fuel_SourceData.Fuel_Scope1Scope3EmissionFactorsTransport_Data(), Table_Fuel_EFs_Transport[[#Headers],[Transport type]], 0)</f>
        <v>67.62</v>
      </c>
      <c r="L10" s="241"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Dairy'!A1", "Dairy")</f>
        <v>Dairy</v>
      </c>
      <c r="D11" s="241" t="str" cm="1">
        <f t="array" ref="D11">Common_InputFunctions.Utility_DisplayArrayInTable(Fuel_SourceData.Fuel_Scope1Scope3EmissionFactorsTransport_Data(), Table_Fuel_EFs_Transport[[#Headers],[Transport type]], 0)</f>
        <v>Cars and light commercial vehicles</v>
      </c>
      <c r="E11" s="241" t="str" cm="1">
        <f t="array" ref="E11">Common_InputFunctions.Utility_DisplayArrayInTable(Fuel_SourceData.Fuel_Scope1Scope3EmissionFactorsTransport_Data(), Table_Fuel_EFs_Transport[[#Headers],[Transport type]], 0)</f>
        <v>Diesel oil</v>
      </c>
      <c r="F11" s="241" cm="1">
        <f t="array" ref="F11">Common_InputFunctions.Utility_DisplayArrayInTable(Fuel_SourceData.Fuel_Scope1Scope3EmissionFactorsTransport_Data(), Table_Fuel_EFs_Transport[[#Headers],[Transport type]], 0)</f>
        <v>38.6</v>
      </c>
      <c r="G11" s="241" t="str" cm="1">
        <f t="array" ref="G11">Common_InputFunctions.Utility_DisplayArrayInTable(Fuel_SourceData.Fuel_Scope1Scope3EmissionFactorsTransport_Data(), Table_Fuel_EFs_Transport[[#Headers],[Transport type]], 0)</f>
        <v>kl</v>
      </c>
      <c r="H11" s="241" cm="1">
        <f t="array" ref="H11">Common_InputFunctions.Utility_DisplayArrayInTable(Fuel_SourceData.Fuel_Scope1Scope3EmissionFactorsTransport_Data(), Table_Fuel_EFs_Transport[[#Headers],[Transport type]], 0)</f>
        <v>69.900000000000006</v>
      </c>
      <c r="I11" s="241" cm="1">
        <f t="array" ref="I11">Common_InputFunctions.Utility_DisplayArrayInTable(Fuel_SourceData.Fuel_Scope1Scope3EmissionFactorsTransport_Data(), Table_Fuel_EFs_Transport[[#Headers],[Transport type]], 0)</f>
        <v>0.01</v>
      </c>
      <c r="J11" s="241" cm="1">
        <f t="array" ref="J11">Common_InputFunctions.Utility_DisplayArrayInTable(Fuel_SourceData.Fuel_Scope1Scope3EmissionFactorsTransport_Data(), Table_Fuel_EFs_Transport[[#Headers],[Transport type]], 0)</f>
        <v>0.5</v>
      </c>
      <c r="K11" s="241" cm="1">
        <f t="array" ref="K11">Common_InputFunctions.Utility_DisplayArrayInTable(Fuel_SourceData.Fuel_Scope1Scope3EmissionFactorsTransport_Data(), Table_Fuel_EFs_Transport[[#Headers],[Transport type]], 0)</f>
        <v>70.41</v>
      </c>
      <c r="L11" s="241"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Dairy (Enteric)'!A1", "Dairy (Enteric)")</f>
        <v>Dairy (Enteric)</v>
      </c>
      <c r="D12" s="241" t="str" cm="1">
        <f t="array" ref="D12">Common_InputFunctions.Utility_DisplayArrayInTable(Fuel_SourceData.Fuel_Scope1Scope3EmissionFactorsTransport_Data(), Table_Fuel_EFs_Transport[[#Headers],[Transport type]], 0)</f>
        <v>Cars and light commercial vehicles</v>
      </c>
      <c r="E12" s="241" t="str" cm="1">
        <f t="array" ref="E12">Common_InputFunctions.Utility_DisplayArrayInTable(Fuel_SourceData.Fuel_Scope1Scope3EmissionFactorsTransport_Data(), Table_Fuel_EFs_Transport[[#Headers],[Transport type]], 0)</f>
        <v>Liquefied petroleum gas (LPG)</v>
      </c>
      <c r="F12" s="241" cm="1">
        <f t="array" ref="F12">Common_InputFunctions.Utility_DisplayArrayInTable(Fuel_SourceData.Fuel_Scope1Scope3EmissionFactorsTransport_Data(), Table_Fuel_EFs_Transport[[#Headers],[Transport type]], 0)</f>
        <v>26.2</v>
      </c>
      <c r="G12" s="241" t="str" cm="1">
        <f t="array" ref="G12">Common_InputFunctions.Utility_DisplayArrayInTable(Fuel_SourceData.Fuel_Scope1Scope3EmissionFactorsTransport_Data(), Table_Fuel_EFs_Transport[[#Headers],[Transport type]], 0)</f>
        <v>kl</v>
      </c>
      <c r="H12" s="241" cm="1">
        <f t="array" ref="H12">Common_InputFunctions.Utility_DisplayArrayInTable(Fuel_SourceData.Fuel_Scope1Scope3EmissionFactorsTransport_Data(), Table_Fuel_EFs_Transport[[#Headers],[Transport type]], 0)</f>
        <v>60.2</v>
      </c>
      <c r="I12" s="241" cm="1">
        <f t="array" ref="I12">Common_InputFunctions.Utility_DisplayArrayInTable(Fuel_SourceData.Fuel_Scope1Scope3EmissionFactorsTransport_Data(), Table_Fuel_EFs_Transport[[#Headers],[Transport type]], 0)</f>
        <v>0.5</v>
      </c>
      <c r="J12" s="241" cm="1">
        <f t="array" ref="J12">Common_InputFunctions.Utility_DisplayArrayInTable(Fuel_SourceData.Fuel_Scope1Scope3EmissionFactorsTransport_Data(), Table_Fuel_EFs_Transport[[#Headers],[Transport type]], 0)</f>
        <v>0.3</v>
      </c>
      <c r="K12" s="241" cm="1">
        <f t="array" ref="K12">Common_InputFunctions.Utility_DisplayArrayInTable(Fuel_SourceData.Fuel_Scope1Scope3EmissionFactorsTransport_Data(), Table_Fuel_EFs_Transport[[#Headers],[Transport type]], 0)</f>
        <v>61</v>
      </c>
      <c r="L12" s="241"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Livestock sales'!A1", "Livestock sales")</f>
        <v>Livestock sales</v>
      </c>
      <c r="D13" s="241" t="str" cm="1">
        <f t="array" ref="D13">Common_InputFunctions.Utility_DisplayArrayInTable(Fuel_SourceData.Fuel_Scope1Scope3EmissionFactorsTransport_Data(), Table_Fuel_EFs_Transport[[#Headers],[Transport type]], 0)</f>
        <v>Cars and light commercial vehicles</v>
      </c>
      <c r="E13" s="241" t="str" cm="1">
        <f t="array" ref="E13">Common_InputFunctions.Utility_DisplayArrayInTable(Fuel_SourceData.Fuel_Scope1Scope3EmissionFactorsTransport_Data(), Table_Fuel_EFs_Transport[[#Headers],[Transport type]], 0)</f>
        <v>Fuel oil</v>
      </c>
      <c r="F13" s="241" cm="1">
        <f t="array" ref="F13">Common_InputFunctions.Utility_DisplayArrayInTable(Fuel_SourceData.Fuel_Scope1Scope3EmissionFactorsTransport_Data(), Table_Fuel_EFs_Transport[[#Headers],[Transport type]], 0)</f>
        <v>39.700000000000003</v>
      </c>
      <c r="G13" s="241" t="str" cm="1">
        <f t="array" ref="G13">Common_InputFunctions.Utility_DisplayArrayInTable(Fuel_SourceData.Fuel_Scope1Scope3EmissionFactorsTransport_Data(), Table_Fuel_EFs_Transport[[#Headers],[Transport type]], 0)</f>
        <v>kl</v>
      </c>
      <c r="H13" s="241" cm="1">
        <f t="array" ref="H13">Common_InputFunctions.Utility_DisplayArrayInTable(Fuel_SourceData.Fuel_Scope1Scope3EmissionFactorsTransport_Data(), Table_Fuel_EFs_Transport[[#Headers],[Transport type]], 0)</f>
        <v>73.599999999999994</v>
      </c>
      <c r="I13" s="241" cm="1">
        <f t="array" ref="I13">Common_InputFunctions.Utility_DisplayArrayInTable(Fuel_SourceData.Fuel_Scope1Scope3EmissionFactorsTransport_Data(), Table_Fuel_EFs_Transport[[#Headers],[Transport type]], 0)</f>
        <v>0.08</v>
      </c>
      <c r="J13" s="241" cm="1">
        <f t="array" ref="J13">Common_InputFunctions.Utility_DisplayArrayInTable(Fuel_SourceData.Fuel_Scope1Scope3EmissionFactorsTransport_Data(), Table_Fuel_EFs_Transport[[#Headers],[Transport type]], 0)</f>
        <v>0.5</v>
      </c>
      <c r="K13" s="241" cm="1">
        <f t="array" ref="K13">Common_InputFunctions.Utility_DisplayArrayInTable(Fuel_SourceData.Fuel_Scope1Scope3EmissionFactorsTransport_Data(), Table_Fuel_EFs_Transport[[#Headers],[Transport type]], 0)</f>
        <v>74.180000000000007</v>
      </c>
      <c r="L13" s="241"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Dairy cattle purchases'!A1", "Dairy cattle purchases")</f>
        <v>Dairy cattle purchases</v>
      </c>
      <c r="D14" s="241" t="str" cm="1">
        <f t="array" ref="D14">Common_InputFunctions.Utility_DisplayArrayInTable(Fuel_SourceData.Fuel_Scope1Scope3EmissionFactorsTransport_Data(), Table_Fuel_EFs_Transport[[#Headers],[Transport type]], 0)</f>
        <v>Cars and light commercial vehicles</v>
      </c>
      <c r="E14" s="241" t="str" cm="1">
        <f t="array" ref="E14">Common_InputFunctions.Utility_DisplayArrayInTable(Fuel_SourceData.Fuel_Scope1Scope3EmissionFactorsTransport_Data(), Table_Fuel_EFs_Transport[[#Headers],[Transport type]], 0)</f>
        <v>Ethanol</v>
      </c>
      <c r="F14" s="241" cm="1">
        <f t="array" ref="F14">Common_InputFunctions.Utility_DisplayArrayInTable(Fuel_SourceData.Fuel_Scope1Scope3EmissionFactorsTransport_Data(), Table_Fuel_EFs_Transport[[#Headers],[Transport type]], 0)</f>
        <v>23.4</v>
      </c>
      <c r="G14" s="241" t="str" cm="1">
        <f t="array" ref="G14">Common_InputFunctions.Utility_DisplayArrayInTable(Fuel_SourceData.Fuel_Scope1Scope3EmissionFactorsTransport_Data(), Table_Fuel_EFs_Transport[[#Headers],[Transport type]], 0)</f>
        <v>kl</v>
      </c>
      <c r="H14" s="241" cm="1">
        <f t="array" ref="H14">Common_InputFunctions.Utility_DisplayArrayInTable(Fuel_SourceData.Fuel_Scope1Scope3EmissionFactorsTransport_Data(), Table_Fuel_EFs_Transport[[#Headers],[Transport type]], 0)</f>
        <v>0</v>
      </c>
      <c r="I14" s="241" cm="1">
        <f t="array" ref="I14">Common_InputFunctions.Utility_DisplayArrayInTable(Fuel_SourceData.Fuel_Scope1Scope3EmissionFactorsTransport_Data(), Table_Fuel_EFs_Transport[[#Headers],[Transport type]], 0)</f>
        <v>0.2</v>
      </c>
      <c r="J14" s="241" cm="1">
        <f t="array" ref="J14">Common_InputFunctions.Utility_DisplayArrayInTable(Fuel_SourceData.Fuel_Scope1Scope3EmissionFactorsTransport_Data(), Table_Fuel_EFs_Transport[[#Headers],[Transport type]], 0)</f>
        <v>0.2</v>
      </c>
      <c r="K14" s="241" cm="1">
        <f t="array" ref="K14">Common_InputFunctions.Utility_DisplayArrayInTable(Fuel_SourceData.Fuel_Scope1Scope3EmissionFactorsTransport_Data(), Table_Fuel_EFs_Transport[[#Headers],[Transport type]], 0)</f>
        <v>0.4</v>
      </c>
      <c r="L14" s="241"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Pasture'!A1", "Pasture")</f>
        <v>Pasture</v>
      </c>
      <c r="D15" s="241" t="str" cm="1">
        <f t="array" ref="D15">Common_InputFunctions.Utility_DisplayArrayInTable(Fuel_SourceData.Fuel_Scope1Scope3EmissionFactorsTransport_Data(), Table_Fuel_EFs_Transport[[#Headers],[Transport type]], 0)</f>
        <v>Cars and light commercial vehicles</v>
      </c>
      <c r="E15" s="241" t="str" cm="1">
        <f t="array" ref="E15">Common_InputFunctions.Utility_DisplayArrayInTable(Fuel_SourceData.Fuel_Scope1Scope3EmissionFactorsTransport_Data(), Table_Fuel_EFs_Transport[[#Headers],[Transport type]], 0)</f>
        <v>Biodiesel</v>
      </c>
      <c r="F15" s="241" cm="1">
        <f t="array" ref="F15">Common_InputFunctions.Utility_DisplayArrayInTable(Fuel_SourceData.Fuel_Scope1Scope3EmissionFactorsTransport_Data(), Table_Fuel_EFs_Transport[[#Headers],[Transport type]], 0)</f>
        <v>34.6</v>
      </c>
      <c r="G15" s="241" t="str" cm="1">
        <f t="array" ref="G15">Common_InputFunctions.Utility_DisplayArrayInTable(Fuel_SourceData.Fuel_Scope1Scope3EmissionFactorsTransport_Data(), Table_Fuel_EFs_Transport[[#Headers],[Transport type]], 0)</f>
        <v>kl</v>
      </c>
      <c r="H15" s="241" cm="1">
        <f t="array" ref="H15">Common_InputFunctions.Utility_DisplayArrayInTable(Fuel_SourceData.Fuel_Scope1Scope3EmissionFactorsTransport_Data(), Table_Fuel_EFs_Transport[[#Headers],[Transport type]], 0)</f>
        <v>0</v>
      </c>
      <c r="I15" s="241" cm="1">
        <f t="array" ref="I15">Common_InputFunctions.Utility_DisplayArrayInTable(Fuel_SourceData.Fuel_Scope1Scope3EmissionFactorsTransport_Data(), Table_Fuel_EFs_Transport[[#Headers],[Transport type]], 0)</f>
        <v>0.8</v>
      </c>
      <c r="J15" s="241" cm="1">
        <f t="array" ref="J15">Common_InputFunctions.Utility_DisplayArrayInTable(Fuel_SourceData.Fuel_Scope1Scope3EmissionFactorsTransport_Data(), Table_Fuel_EFs_Transport[[#Headers],[Transport type]], 0)</f>
        <v>1.7</v>
      </c>
      <c r="K15" s="241" cm="1">
        <f t="array" ref="K15">Common_InputFunctions.Utility_DisplayArrayInTable(Fuel_SourceData.Fuel_Scope1Scope3EmissionFactorsTransport_Data(), Table_Fuel_EFs_Transport[[#Headers],[Transport type]], 0)</f>
        <v>2.5</v>
      </c>
      <c r="L15" s="241" t="str" cm="1">
        <f t="array" ref="L15">Common_InputFunctions.Utility_DisplayArrayInTable(Fuel_SourceData.Fuel_Scope1Scope3EmissionFactorsTransport_Data(), Table_Fuel_EFs_Transport[[#Headers],[Transport type]], 0)</f>
        <v>NE</v>
      </c>
    </row>
    <row r="16" spans="1:35" ht="20.100000000000001" customHeight="1" x14ac:dyDescent="0.25">
      <c r="A16" s="5" t="str">
        <f>HYPERLINK("#'Input - Fert Prod System'!A1", "Fert Prod System")</f>
        <v>Fert Prod System</v>
      </c>
      <c r="D16" s="241" t="str" cm="1">
        <f t="array" ref="D16">Common_InputFunctions.Utility_DisplayArrayInTable(Fuel_SourceData.Fuel_Scope1Scope3EmissionFactorsTransport_Data(), Table_Fuel_EFs_Transport[[#Headers],[Transport type]], 0)</f>
        <v>Cars and light commercial vehicles</v>
      </c>
      <c r="E16" s="241" t="str" cm="1">
        <f t="array" ref="E16">Common_InputFunctions.Utility_DisplayArrayInTable(Fuel_SourceData.Fuel_Scope1Scope3EmissionFactorsTransport_Data(), Table_Fuel_EFs_Transport[[#Headers],[Transport type]], 0)</f>
        <v>Renewable diesel</v>
      </c>
      <c r="F16" s="241" cm="1">
        <f t="array" ref="F16">Common_InputFunctions.Utility_DisplayArrayInTable(Fuel_SourceData.Fuel_Scope1Scope3EmissionFactorsTransport_Data(), Table_Fuel_EFs_Transport[[#Headers],[Transport type]], 0)</f>
        <v>38.6</v>
      </c>
      <c r="G16" s="241" t="str" cm="1">
        <f t="array" ref="G16">Common_InputFunctions.Utility_DisplayArrayInTable(Fuel_SourceData.Fuel_Scope1Scope3EmissionFactorsTransport_Data(), Table_Fuel_EFs_Transport[[#Headers],[Transport type]], 0)</f>
        <v>kl</v>
      </c>
      <c r="H16" s="241" cm="1">
        <f t="array" ref="H16">Common_InputFunctions.Utility_DisplayArrayInTable(Fuel_SourceData.Fuel_Scope1Scope3EmissionFactorsTransport_Data(), Table_Fuel_EFs_Transport[[#Headers],[Transport type]], 0)</f>
        <v>0</v>
      </c>
      <c r="I16" s="241" cm="1">
        <f t="array" ref="I16">Common_InputFunctions.Utility_DisplayArrayInTable(Fuel_SourceData.Fuel_Scope1Scope3EmissionFactorsTransport_Data(), Table_Fuel_EFs_Transport[[#Headers],[Transport type]], 0)</f>
        <v>0.01</v>
      </c>
      <c r="J16" s="241" cm="1">
        <f t="array" ref="J16">Common_InputFunctions.Utility_DisplayArrayInTable(Fuel_SourceData.Fuel_Scope1Scope3EmissionFactorsTransport_Data(), Table_Fuel_EFs_Transport[[#Headers],[Transport type]], 0)</f>
        <v>0.5</v>
      </c>
      <c r="K16" s="241" cm="1">
        <f t="array" ref="K16">Common_InputFunctions.Utility_DisplayArrayInTable(Fuel_SourceData.Fuel_Scope1Scope3EmissionFactorsTransport_Data(), Table_Fuel_EFs_Transport[[#Headers],[Transport type]], 0)</f>
        <v>0.51</v>
      </c>
      <c r="L16" s="241" t="str" cm="1">
        <f t="array" ref="L16">Common_InputFunctions.Utility_DisplayArrayInTable(Fuel_SourceData.Fuel_Scope1Scope3EmissionFactorsTransport_Data(), Table_Fuel_EFs_Transport[[#Headers],[Transport type]], 0)</f>
        <v>NE</v>
      </c>
    </row>
    <row r="17" spans="1:12" ht="20.100000000000001" customHeight="1" x14ac:dyDescent="0.25">
      <c r="A17" s="5" t="str">
        <f>HYPERLINK("#'Input - Fertiliser'!A1", "Fertiliser")</f>
        <v>Fertiliser</v>
      </c>
      <c r="D17" s="241" t="str" cm="1">
        <f t="array" ref="D17">Common_InputFunctions.Utility_DisplayArrayInTable(Fuel_SourceData.Fuel_Scope1Scope3EmissionFactorsTransport_Data(), Table_Fuel_EFs_Transport[[#Headers],[Transport type]], 0)</f>
        <v>Cars and light commercial vehicles</v>
      </c>
      <c r="E17" s="241" t="str" cm="1">
        <f t="array" ref="E17">Common_InputFunctions.Utility_DisplayArrayInTable(Fuel_SourceData.Fuel_Scope1Scope3EmissionFactorsTransport_Data(), Table_Fuel_EFs_Transport[[#Headers],[Transport type]], 0)</f>
        <v>Other biofuels</v>
      </c>
      <c r="F17" s="241" cm="1">
        <f t="array" ref="F17">Common_InputFunctions.Utility_DisplayArrayInTable(Fuel_SourceData.Fuel_Scope1Scope3EmissionFactorsTransport_Data(), Table_Fuel_EFs_Transport[[#Headers],[Transport type]], 0)</f>
        <v>23.4</v>
      </c>
      <c r="G17" s="241" t="str" cm="1">
        <f t="array" ref="G17">Common_InputFunctions.Utility_DisplayArrayInTable(Fuel_SourceData.Fuel_Scope1Scope3EmissionFactorsTransport_Data(), Table_Fuel_EFs_Transport[[#Headers],[Transport type]], 0)</f>
        <v>kl</v>
      </c>
      <c r="H17" s="241" cm="1">
        <f t="array" ref="H17">Common_InputFunctions.Utility_DisplayArrayInTable(Fuel_SourceData.Fuel_Scope1Scope3EmissionFactorsTransport_Data(), Table_Fuel_EFs_Transport[[#Headers],[Transport type]], 0)</f>
        <v>0</v>
      </c>
      <c r="I17" s="241" cm="1">
        <f t="array" ref="I17">Common_InputFunctions.Utility_DisplayArrayInTable(Fuel_SourceData.Fuel_Scope1Scope3EmissionFactorsTransport_Data(), Table_Fuel_EFs_Transport[[#Headers],[Transport type]], 0)</f>
        <v>0.8</v>
      </c>
      <c r="J17" s="241" cm="1">
        <f t="array" ref="J17">Common_InputFunctions.Utility_DisplayArrayInTable(Fuel_SourceData.Fuel_Scope1Scope3EmissionFactorsTransport_Data(), Table_Fuel_EFs_Transport[[#Headers],[Transport type]], 0)</f>
        <v>1.7</v>
      </c>
      <c r="K17" s="241" cm="1">
        <f t="array" ref="K17">Common_InputFunctions.Utility_DisplayArrayInTable(Fuel_SourceData.Fuel_Scope1Scope3EmissionFactorsTransport_Data(), Table_Fuel_EFs_Transport[[#Headers],[Transport type]], 0)</f>
        <v>2.5</v>
      </c>
      <c r="L17" s="241" t="str" cm="1">
        <f t="array" ref="L17">Common_InputFunctions.Utility_DisplayArrayInTable(Fuel_SourceData.Fuel_Scope1Scope3EmissionFactorsTransport_Data(), Table_Fuel_EFs_Transport[[#Headers],[Transport type]], 0)</f>
        <v>NE</v>
      </c>
    </row>
    <row r="18" spans="1:12" ht="20.100000000000001" customHeight="1" x14ac:dyDescent="0.25">
      <c r="A18" s="5" t="str">
        <f>HYPERLINK("#'Input - Fuel'!A1", "Fuel")</f>
        <v>Fuel</v>
      </c>
      <c r="D18" s="241" t="str" cm="1">
        <f t="array" ref="D18">Common_InputFunctions.Utility_DisplayArrayInTable(Fuel_SourceData.Fuel_Scope1Scope3EmissionFactorsTransport_Data(), Table_Fuel_EFs_Transport[[#Headers],[Transport type]], 0)</f>
        <v>Light duty vehicles</v>
      </c>
      <c r="E18" s="241" t="str" cm="1">
        <f t="array" ref="E18">Common_InputFunctions.Utility_DisplayArrayInTable(Fuel_SourceData.Fuel_Scope1Scope3EmissionFactorsTransport_Data(), Table_Fuel_EFs_Transport[[#Headers],[Transport type]], 0)</f>
        <v>Compressed natural gas</v>
      </c>
      <c r="F18" s="241" cm="1">
        <f t="array" ref="F18">Common_InputFunctions.Utility_DisplayArrayInTable(Fuel_SourceData.Fuel_Scope1Scope3EmissionFactorsTransport_Data(), Table_Fuel_EFs_Transport[[#Headers],[Transport type]], 0)</f>
        <v>3.9300000000000002E-2</v>
      </c>
      <c r="G18" s="241" t="str" cm="1">
        <f t="array" ref="G18">Common_InputFunctions.Utility_DisplayArrayInTable(Fuel_SourceData.Fuel_Scope1Scope3EmissionFactorsTransport_Data(), Table_Fuel_EFs_Transport[[#Headers],[Transport type]], 0)</f>
        <v>m3</v>
      </c>
      <c r="H18" s="241" cm="1">
        <f t="array" ref="H18">Common_InputFunctions.Utility_DisplayArrayInTable(Fuel_SourceData.Fuel_Scope1Scope3EmissionFactorsTransport_Data(), Table_Fuel_EFs_Transport[[#Headers],[Transport type]], 0)</f>
        <v>51.4</v>
      </c>
      <c r="I18" s="241" cm="1">
        <f t="array" ref="I18">Common_InputFunctions.Utility_DisplayArrayInTable(Fuel_SourceData.Fuel_Scope1Scope3EmissionFactorsTransport_Data(), Table_Fuel_EFs_Transport[[#Headers],[Transport type]], 0)</f>
        <v>7.3</v>
      </c>
      <c r="J18" s="241" cm="1">
        <f t="array" ref="J18">Common_InputFunctions.Utility_DisplayArrayInTable(Fuel_SourceData.Fuel_Scope1Scope3EmissionFactorsTransport_Data(), Table_Fuel_EFs_Transport[[#Headers],[Transport type]], 0)</f>
        <v>0.3</v>
      </c>
      <c r="K18" s="241" cm="1">
        <f t="array" ref="K18">Common_InputFunctions.Utility_DisplayArrayInTable(Fuel_SourceData.Fuel_Scope1Scope3EmissionFactorsTransport_Data(), Table_Fuel_EFs_Transport[[#Headers],[Transport type]], 0)</f>
        <v>59</v>
      </c>
      <c r="L18" s="241"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HYPERLINK("#'Input - Electricity'!A1", "Electricity")</f>
        <v>Electricity</v>
      </c>
      <c r="D19" s="241" t="str" cm="1">
        <f t="array" ref="D19">Common_InputFunctions.Utility_DisplayArrayInTable(Fuel_SourceData.Fuel_Scope1Scope3EmissionFactorsTransport_Data(), Table_Fuel_EFs_Transport[[#Headers],[Transport type]], 0)</f>
        <v>Light duty vehicles</v>
      </c>
      <c r="E19" s="241" t="str" cm="1">
        <f t="array" ref="E19">Common_InputFunctions.Utility_DisplayArrayInTable(Fuel_SourceData.Fuel_Scope1Scope3EmissionFactorsTransport_Data(), Table_Fuel_EFs_Transport[[#Headers],[Transport type]], 0)</f>
        <v>Liquefied natural gas</v>
      </c>
      <c r="F19" s="241" cm="1">
        <f t="array" ref="F19">Common_InputFunctions.Utility_DisplayArrayInTable(Fuel_SourceData.Fuel_Scope1Scope3EmissionFactorsTransport_Data(), Table_Fuel_EFs_Transport[[#Headers],[Transport type]], 0)</f>
        <v>25.3</v>
      </c>
      <c r="G19" s="241" t="str" cm="1">
        <f t="array" ref="G19">Common_InputFunctions.Utility_DisplayArrayInTable(Fuel_SourceData.Fuel_Scope1Scope3EmissionFactorsTransport_Data(), Table_Fuel_EFs_Transport[[#Headers],[Transport type]], 0)</f>
        <v>kl</v>
      </c>
      <c r="H19" s="241" cm="1">
        <f t="array" ref="H19">Common_InputFunctions.Utility_DisplayArrayInTable(Fuel_SourceData.Fuel_Scope1Scope3EmissionFactorsTransport_Data(), Table_Fuel_EFs_Transport[[#Headers],[Transport type]], 0)</f>
        <v>51.4</v>
      </c>
      <c r="I19" s="241" cm="1">
        <f t="array" ref="I19">Common_InputFunctions.Utility_DisplayArrayInTable(Fuel_SourceData.Fuel_Scope1Scope3EmissionFactorsTransport_Data(), Table_Fuel_EFs_Transport[[#Headers],[Transport type]], 0)</f>
        <v>7.3</v>
      </c>
      <c r="J19" s="241" cm="1">
        <f t="array" ref="J19">Common_InputFunctions.Utility_DisplayArrayInTable(Fuel_SourceData.Fuel_Scope1Scope3EmissionFactorsTransport_Data(), Table_Fuel_EFs_Transport[[#Headers],[Transport type]], 0)</f>
        <v>0.3</v>
      </c>
      <c r="K19" s="241" cm="1">
        <f t="array" ref="K19">Common_InputFunctions.Utility_DisplayArrayInTable(Fuel_SourceData.Fuel_Scope1Scope3EmissionFactorsTransport_Data(), Table_Fuel_EFs_Transport[[#Headers],[Transport type]], 0)</f>
        <v>59</v>
      </c>
      <c r="L19" s="241"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HYPERLINK("#'Input - Farm Inputs'!A1", "Farm Inputs")</f>
        <v>Farm Inputs</v>
      </c>
      <c r="D20" s="241" t="str" cm="1">
        <f t="array" ref="D20">Common_InputFunctions.Utility_DisplayArrayInTable(Fuel_SourceData.Fuel_Scope1Scope3EmissionFactorsTransport_Data(), Table_Fuel_EFs_Transport[[#Headers],[Transport type]], 0)</f>
        <v>Heavy duty vehicles</v>
      </c>
      <c r="E20" s="241" t="str" cm="1">
        <f t="array" ref="E20">Common_InputFunctions.Utility_DisplayArrayInTable(Fuel_SourceData.Fuel_Scope1Scope3EmissionFactorsTransport_Data(), Table_Fuel_EFs_Transport[[#Headers],[Transport type]], 0)</f>
        <v>Compressed natural gas</v>
      </c>
      <c r="F20" s="241" cm="1">
        <f t="array" ref="F20">Common_InputFunctions.Utility_DisplayArrayInTable(Fuel_SourceData.Fuel_Scope1Scope3EmissionFactorsTransport_Data(), Table_Fuel_EFs_Transport[[#Headers],[Transport type]], 0)</f>
        <v>3.9300000000000002E-2</v>
      </c>
      <c r="G20" s="241" t="str" cm="1">
        <f t="array" ref="G20">Common_InputFunctions.Utility_DisplayArrayInTable(Fuel_SourceData.Fuel_Scope1Scope3EmissionFactorsTransport_Data(), Table_Fuel_EFs_Transport[[#Headers],[Transport type]], 0)</f>
        <v>m3</v>
      </c>
      <c r="H20" s="241" cm="1">
        <f t="array" ref="H20">Common_InputFunctions.Utility_DisplayArrayInTable(Fuel_SourceData.Fuel_Scope1Scope3EmissionFactorsTransport_Data(), Table_Fuel_EFs_Transport[[#Headers],[Transport type]], 0)</f>
        <v>51.4</v>
      </c>
      <c r="I20" s="241" cm="1">
        <f t="array" ref="I20">Common_InputFunctions.Utility_DisplayArrayInTable(Fuel_SourceData.Fuel_Scope1Scope3EmissionFactorsTransport_Data(), Table_Fuel_EFs_Transport[[#Headers],[Transport type]], 0)</f>
        <v>2.8</v>
      </c>
      <c r="J20" s="241" cm="1">
        <f t="array" ref="J20">Common_InputFunctions.Utility_DisplayArrayInTable(Fuel_SourceData.Fuel_Scope1Scope3EmissionFactorsTransport_Data(), Table_Fuel_EFs_Transport[[#Headers],[Transport type]], 0)</f>
        <v>0.3</v>
      </c>
      <c r="K20" s="241" cm="1">
        <f t="array" ref="K20">Common_InputFunctions.Utility_DisplayArrayInTable(Fuel_SourceData.Fuel_Scope1Scope3EmissionFactorsTransport_Data(), Table_Fuel_EFs_Transport[[#Headers],[Transport type]], 0)</f>
        <v>54.5</v>
      </c>
      <c r="L20" s="241"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HYPERLINK("#'Input - Freight'!A1", "Freight")</f>
        <v>Freight</v>
      </c>
      <c r="D21" s="241" t="str" cm="1">
        <f t="array" ref="D21">Common_InputFunctions.Utility_DisplayArrayInTable(Fuel_SourceData.Fuel_Scope1Scope3EmissionFactorsTransport_Data(), Table_Fuel_EFs_Transport[[#Headers],[Transport type]], 0)</f>
        <v>Heavy duty vehicles</v>
      </c>
      <c r="E21" s="241" t="str" cm="1">
        <f t="array" ref="E21">Common_InputFunctions.Utility_DisplayArrayInTable(Fuel_SourceData.Fuel_Scope1Scope3EmissionFactorsTransport_Data(), Table_Fuel_EFs_Transport[[#Headers],[Transport type]], 0)</f>
        <v>Liquefied natural gas</v>
      </c>
      <c r="F21" s="241" cm="1">
        <f t="array" ref="F21">Common_InputFunctions.Utility_DisplayArrayInTable(Fuel_SourceData.Fuel_Scope1Scope3EmissionFactorsTransport_Data(), Table_Fuel_EFs_Transport[[#Headers],[Transport type]], 0)</f>
        <v>25.3</v>
      </c>
      <c r="G21" s="241" t="str" cm="1">
        <f t="array" ref="G21">Common_InputFunctions.Utility_DisplayArrayInTable(Fuel_SourceData.Fuel_Scope1Scope3EmissionFactorsTransport_Data(), Table_Fuel_EFs_Transport[[#Headers],[Transport type]], 0)</f>
        <v>kl</v>
      </c>
      <c r="H21" s="241" cm="1">
        <f t="array" ref="H21">Common_InputFunctions.Utility_DisplayArrayInTable(Fuel_SourceData.Fuel_Scope1Scope3EmissionFactorsTransport_Data(), Table_Fuel_EFs_Transport[[#Headers],[Transport type]], 0)</f>
        <v>51.4</v>
      </c>
      <c r="I21" s="241" cm="1">
        <f t="array" ref="I21">Common_InputFunctions.Utility_DisplayArrayInTable(Fuel_SourceData.Fuel_Scope1Scope3EmissionFactorsTransport_Data(), Table_Fuel_EFs_Transport[[#Headers],[Transport type]], 0)</f>
        <v>2.8</v>
      </c>
      <c r="J21" s="241" cm="1">
        <f t="array" ref="J21">Common_InputFunctions.Utility_DisplayArrayInTable(Fuel_SourceData.Fuel_Scope1Scope3EmissionFactorsTransport_Data(), Table_Fuel_EFs_Transport[[#Headers],[Transport type]], 0)</f>
        <v>0.3</v>
      </c>
      <c r="K21" s="241" cm="1">
        <f t="array" ref="K21">Common_InputFunctions.Utility_DisplayArrayInTable(Fuel_SourceData.Fuel_Scope1Scope3EmissionFactorsTransport_Data(), Table_Fuel_EFs_Transport[[#Headers],[Transport type]], 0)</f>
        <v>54.5</v>
      </c>
      <c r="L21" s="241"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HYPERLINK("#'Input - Manure sent off-site'!A1", "Manure sent off-site")</f>
        <v>Manure sent off-site</v>
      </c>
      <c r="D22" s="241" t="str" cm="1">
        <f t="array" ref="D22">Common_InputFunctions.Utility_DisplayArrayInTable(Fuel_SourceData.Fuel_Scope1Scope3EmissionFactorsTransport_Data(), Table_Fuel_EFs_Transport[[#Headers],[Transport type]], 0)</f>
        <v>Heavy duty vehicles</v>
      </c>
      <c r="E22" s="241" t="str" cm="1">
        <f t="array" ref="E22">Common_InputFunctions.Utility_DisplayArrayInTable(Fuel_SourceData.Fuel_Scope1Scope3EmissionFactorsTransport_Data(), Table_Fuel_EFs_Transport[[#Headers],[Transport type]], 0)</f>
        <v>Diesel oil - Euro iv or higher</v>
      </c>
      <c r="F22" s="241" cm="1">
        <f t="array" ref="F22">Common_InputFunctions.Utility_DisplayArrayInTable(Fuel_SourceData.Fuel_Scope1Scope3EmissionFactorsTransport_Data(), Table_Fuel_EFs_Transport[[#Headers],[Transport type]], 0)</f>
        <v>38.6</v>
      </c>
      <c r="G22" s="241" t="str" cm="1">
        <f t="array" ref="G22">Common_InputFunctions.Utility_DisplayArrayInTable(Fuel_SourceData.Fuel_Scope1Scope3EmissionFactorsTransport_Data(), Table_Fuel_EFs_Transport[[#Headers],[Transport type]], 0)</f>
        <v>kl</v>
      </c>
      <c r="H22" s="241" cm="1">
        <f t="array" ref="H22">Common_InputFunctions.Utility_DisplayArrayInTable(Fuel_SourceData.Fuel_Scope1Scope3EmissionFactorsTransport_Data(), Table_Fuel_EFs_Transport[[#Headers],[Transport type]], 0)</f>
        <v>69.900000000000006</v>
      </c>
      <c r="I22" s="241" cm="1">
        <f t="array" ref="I22">Common_InputFunctions.Utility_DisplayArrayInTable(Fuel_SourceData.Fuel_Scope1Scope3EmissionFactorsTransport_Data(), Table_Fuel_EFs_Transport[[#Headers],[Transport type]], 0)</f>
        <v>7.0000000000000007E-2</v>
      </c>
      <c r="J22" s="241" cm="1">
        <f t="array" ref="J22">Common_InputFunctions.Utility_DisplayArrayInTable(Fuel_SourceData.Fuel_Scope1Scope3EmissionFactorsTransport_Data(), Table_Fuel_EFs_Transport[[#Headers],[Transport type]], 0)</f>
        <v>0.4</v>
      </c>
      <c r="K22" s="241" cm="1">
        <f t="array" ref="K22">Common_InputFunctions.Utility_DisplayArrayInTable(Fuel_SourceData.Fuel_Scope1Scope3EmissionFactorsTransport_Data(), Table_Fuel_EFs_Transport[[#Headers],[Transport type]], 0)</f>
        <v>70.37</v>
      </c>
      <c r="L22" s="241"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HYPERLINK("#'Input - Solid waste'!A1", "Solid waste")</f>
        <v>Solid waste</v>
      </c>
      <c r="D23" s="241" t="str" cm="1">
        <f t="array" ref="D23">Common_InputFunctions.Utility_DisplayArrayInTable(Fuel_SourceData.Fuel_Scope1Scope3EmissionFactorsTransport_Data(), Table_Fuel_EFs_Transport[[#Headers],[Transport type]], 0)</f>
        <v>Heavy duty vehicles</v>
      </c>
      <c r="E23" s="241" t="str" cm="1">
        <f t="array" ref="E23">Common_InputFunctions.Utility_DisplayArrayInTable(Fuel_SourceData.Fuel_Scope1Scope3EmissionFactorsTransport_Data(), Table_Fuel_EFs_Transport[[#Headers],[Transport type]], 0)</f>
        <v>Diesel oil - Euro iii</v>
      </c>
      <c r="F23" s="241" cm="1">
        <f t="array" ref="F23">Common_InputFunctions.Utility_DisplayArrayInTable(Fuel_SourceData.Fuel_Scope1Scope3EmissionFactorsTransport_Data(), Table_Fuel_EFs_Transport[[#Headers],[Transport type]], 0)</f>
        <v>38.6</v>
      </c>
      <c r="G23" s="241" t="str" cm="1">
        <f t="array" ref="G23">Common_InputFunctions.Utility_DisplayArrayInTable(Fuel_SourceData.Fuel_Scope1Scope3EmissionFactorsTransport_Data(), Table_Fuel_EFs_Transport[[#Headers],[Transport type]], 0)</f>
        <v>kl</v>
      </c>
      <c r="H23" s="241" cm="1">
        <f t="array" ref="H23">Common_InputFunctions.Utility_DisplayArrayInTable(Fuel_SourceData.Fuel_Scope1Scope3EmissionFactorsTransport_Data(), Table_Fuel_EFs_Transport[[#Headers],[Transport type]], 0)</f>
        <v>69.900000000000006</v>
      </c>
      <c r="I23" s="241" cm="1">
        <f t="array" ref="I23">Common_InputFunctions.Utility_DisplayArrayInTable(Fuel_SourceData.Fuel_Scope1Scope3EmissionFactorsTransport_Data(), Table_Fuel_EFs_Transport[[#Headers],[Transport type]], 0)</f>
        <v>0.1</v>
      </c>
      <c r="J23" s="241" cm="1">
        <f t="array" ref="J23">Common_InputFunctions.Utility_DisplayArrayInTable(Fuel_SourceData.Fuel_Scope1Scope3EmissionFactorsTransport_Data(), Table_Fuel_EFs_Transport[[#Headers],[Transport type]], 0)</f>
        <v>0.4</v>
      </c>
      <c r="K23" s="241" cm="1">
        <f t="array" ref="K23">Common_InputFunctions.Utility_DisplayArrayInTable(Fuel_SourceData.Fuel_Scope1Scope3EmissionFactorsTransport_Data(), Table_Fuel_EFs_Transport[[#Headers],[Transport type]], 0)</f>
        <v>70.400000000000006</v>
      </c>
      <c r="L23" s="241"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HYPERLINK("#'Input - Data quality'!A1", "Data quality")</f>
        <v>Data quality</v>
      </c>
      <c r="D24" s="241" t="str" cm="1">
        <f t="array" ref="D24">Common_InputFunctions.Utility_DisplayArrayInTable(Fuel_SourceData.Fuel_Scope1Scope3EmissionFactorsTransport_Data(), Table_Fuel_EFs_Transport[[#Headers],[Transport type]], 0)</f>
        <v>Heavy duty vehicles</v>
      </c>
      <c r="E24" s="241" t="str" cm="1">
        <f t="array" ref="E24">Common_InputFunctions.Utility_DisplayArrayInTable(Fuel_SourceData.Fuel_Scope1Scope3EmissionFactorsTransport_Data(), Table_Fuel_EFs_Transport[[#Headers],[Transport type]], 0)</f>
        <v>Diesel oil - Euro i</v>
      </c>
      <c r="F24" s="241" cm="1">
        <f t="array" ref="F24">Common_InputFunctions.Utility_DisplayArrayInTable(Fuel_SourceData.Fuel_Scope1Scope3EmissionFactorsTransport_Data(), Table_Fuel_EFs_Transport[[#Headers],[Transport type]], 0)</f>
        <v>38.6</v>
      </c>
      <c r="G24" s="241" t="str" cm="1">
        <f t="array" ref="G24">Common_InputFunctions.Utility_DisplayArrayInTable(Fuel_SourceData.Fuel_Scope1Scope3EmissionFactorsTransport_Data(), Table_Fuel_EFs_Transport[[#Headers],[Transport type]], 0)</f>
        <v>kl</v>
      </c>
      <c r="H24" s="241" cm="1">
        <f t="array" ref="H24">Common_InputFunctions.Utility_DisplayArrayInTable(Fuel_SourceData.Fuel_Scope1Scope3EmissionFactorsTransport_Data(), Table_Fuel_EFs_Transport[[#Headers],[Transport type]], 0)</f>
        <v>69.900000000000006</v>
      </c>
      <c r="I24" s="241" cm="1">
        <f t="array" ref="I24">Common_InputFunctions.Utility_DisplayArrayInTable(Fuel_SourceData.Fuel_Scope1Scope3EmissionFactorsTransport_Data(), Table_Fuel_EFs_Transport[[#Headers],[Transport type]], 0)</f>
        <v>0.2</v>
      </c>
      <c r="J24" s="241" cm="1">
        <f t="array" ref="J24">Common_InputFunctions.Utility_DisplayArrayInTable(Fuel_SourceData.Fuel_Scope1Scope3EmissionFactorsTransport_Data(), Table_Fuel_EFs_Transport[[#Headers],[Transport type]], 0)</f>
        <v>0.4</v>
      </c>
      <c r="K24" s="241" cm="1">
        <f t="array" ref="K24">Common_InputFunctions.Utility_DisplayArrayInTable(Fuel_SourceData.Fuel_Scope1Scope3EmissionFactorsTransport_Data(), Table_Fuel_EFs_Transport[[#Headers],[Transport type]], 0)</f>
        <v>70.5</v>
      </c>
      <c r="L24" s="241" cm="1">
        <f t="array" ref="L24">Common_InputFunctions.Utility_DisplayArrayInTable(Fuel_SourceData.Fuel_Scope1Scope3EmissionFactorsTransport_Data(), Table_Fuel_EFs_Transport[[#Headers],[Transport type]], 0)</f>
        <v>17.3</v>
      </c>
    </row>
    <row r="25" spans="1:12" ht="20.100000000000001" customHeight="1" x14ac:dyDescent="0.25">
      <c r="D25" s="241" t="str" cm="1">
        <f t="array" ref="D25">Common_InputFunctions.Utility_DisplayArrayInTable(Fuel_SourceData.Fuel_Scope1Scope3EmissionFactorsTransport_Data(), Table_Fuel_EFs_Transport[[#Headers],[Transport type]], 0)</f>
        <v>Heavy duty vehicles</v>
      </c>
      <c r="E25" s="241" t="str" cm="1">
        <f t="array" ref="E25">Common_InputFunctions.Utility_DisplayArrayInTable(Fuel_SourceData.Fuel_Scope1Scope3EmissionFactorsTransport_Data(), Table_Fuel_EFs_Transport[[#Headers],[Transport type]], 0)</f>
        <v>Renewable diesel – Euro iv or higher</v>
      </c>
      <c r="F25" s="241" cm="1">
        <f t="array" ref="F25">Common_InputFunctions.Utility_DisplayArrayInTable(Fuel_SourceData.Fuel_Scope1Scope3EmissionFactorsTransport_Data(), Table_Fuel_EFs_Transport[[#Headers],[Transport type]], 0)</f>
        <v>38.6</v>
      </c>
      <c r="G25" s="241" t="str" cm="1">
        <f t="array" ref="G25">Common_InputFunctions.Utility_DisplayArrayInTable(Fuel_SourceData.Fuel_Scope1Scope3EmissionFactorsTransport_Data(), Table_Fuel_EFs_Transport[[#Headers],[Transport type]], 0)</f>
        <v>kl</v>
      </c>
      <c r="H25" s="241" cm="1">
        <f t="array" ref="H25">Common_InputFunctions.Utility_DisplayArrayInTable(Fuel_SourceData.Fuel_Scope1Scope3EmissionFactorsTransport_Data(), Table_Fuel_EFs_Transport[[#Headers],[Transport type]], 0)</f>
        <v>0</v>
      </c>
      <c r="I25" s="241" cm="1">
        <f t="array" ref="I25">Common_InputFunctions.Utility_DisplayArrayInTable(Fuel_SourceData.Fuel_Scope1Scope3EmissionFactorsTransport_Data(), Table_Fuel_EFs_Transport[[#Headers],[Transport type]], 0)</f>
        <v>7.0000000000000007E-2</v>
      </c>
      <c r="J25" s="241" cm="1">
        <f t="array" ref="J25">Common_InputFunctions.Utility_DisplayArrayInTable(Fuel_SourceData.Fuel_Scope1Scope3EmissionFactorsTransport_Data(), Table_Fuel_EFs_Transport[[#Headers],[Transport type]], 0)</f>
        <v>0.4</v>
      </c>
      <c r="K25" s="241" cm="1">
        <f t="array" ref="K25">Common_InputFunctions.Utility_DisplayArrayInTable(Fuel_SourceData.Fuel_Scope1Scope3EmissionFactorsTransport_Data(), Table_Fuel_EFs_Transport[[#Headers],[Transport type]], 0)</f>
        <v>0.47</v>
      </c>
      <c r="L25" s="241" t="str" cm="1">
        <f t="array" ref="L25">Common_InputFunctions.Utility_DisplayArrayInTable(Fuel_SourceData.Fuel_Scope1Scope3EmissionFactorsTransport_Data(), Table_Fuel_EFs_Transport[[#Headers],[Transport type]], 0)</f>
        <v>NE</v>
      </c>
    </row>
    <row r="26" spans="1:12" ht="20.100000000000001" customHeight="1" x14ac:dyDescent="0.25">
      <c r="D26" s="241" t="str" cm="1">
        <f t="array" ref="D26">Common_InputFunctions.Utility_DisplayArrayInTable(Fuel_SourceData.Fuel_Scope1Scope3EmissionFactorsTransport_Data(), Table_Fuel_EFs_Transport[[#Headers],[Transport type]], 0)</f>
        <v>Heavy duty vehicles</v>
      </c>
      <c r="E26" s="241" t="str" cm="1">
        <f t="array" ref="E26">Common_InputFunctions.Utility_DisplayArrayInTable(Fuel_SourceData.Fuel_Scope1Scope3EmissionFactorsTransport_Data(), Table_Fuel_EFs_Transport[[#Headers],[Transport type]], 0)</f>
        <v>Renewable diesel – Euro iii</v>
      </c>
      <c r="F26" s="241" cm="1">
        <f t="array" ref="F26">Common_InputFunctions.Utility_DisplayArrayInTable(Fuel_SourceData.Fuel_Scope1Scope3EmissionFactorsTransport_Data(), Table_Fuel_EFs_Transport[[#Headers],[Transport type]], 0)</f>
        <v>38.6</v>
      </c>
      <c r="G26" s="241" t="str" cm="1">
        <f t="array" ref="G26">Common_InputFunctions.Utility_DisplayArrayInTable(Fuel_SourceData.Fuel_Scope1Scope3EmissionFactorsTransport_Data(), Table_Fuel_EFs_Transport[[#Headers],[Transport type]], 0)</f>
        <v>kl</v>
      </c>
      <c r="H26" s="241" cm="1">
        <f t="array" ref="H26">Common_InputFunctions.Utility_DisplayArrayInTable(Fuel_SourceData.Fuel_Scope1Scope3EmissionFactorsTransport_Data(), Table_Fuel_EFs_Transport[[#Headers],[Transport type]], 0)</f>
        <v>0</v>
      </c>
      <c r="I26" s="241" cm="1">
        <f t="array" ref="I26">Common_InputFunctions.Utility_DisplayArrayInTable(Fuel_SourceData.Fuel_Scope1Scope3EmissionFactorsTransport_Data(), Table_Fuel_EFs_Transport[[#Headers],[Transport type]], 0)</f>
        <v>0.1</v>
      </c>
      <c r="J26" s="241" cm="1">
        <f t="array" ref="J26">Common_InputFunctions.Utility_DisplayArrayInTable(Fuel_SourceData.Fuel_Scope1Scope3EmissionFactorsTransport_Data(), Table_Fuel_EFs_Transport[[#Headers],[Transport type]], 0)</f>
        <v>0.4</v>
      </c>
      <c r="K26" s="241" cm="1">
        <f t="array" ref="K26">Common_InputFunctions.Utility_DisplayArrayInTable(Fuel_SourceData.Fuel_Scope1Scope3EmissionFactorsTransport_Data(), Table_Fuel_EFs_Transport[[#Headers],[Transport type]], 0)</f>
        <v>0.5</v>
      </c>
      <c r="L26" s="241" t="str" cm="1">
        <f t="array" ref="L26">Common_InputFunctions.Utility_DisplayArrayInTable(Fuel_SourceData.Fuel_Scope1Scope3EmissionFactorsTransport_Data(), Table_Fuel_EFs_Transport[[#Headers],[Transport type]], 0)</f>
        <v>NE</v>
      </c>
    </row>
    <row r="27" spans="1:12" ht="20.100000000000001" customHeight="1" x14ac:dyDescent="0.25">
      <c r="A27" s="6" t="s">
        <v>2</v>
      </c>
      <c r="D27" s="241" t="str" cm="1">
        <f t="array" ref="D27">Common_InputFunctions.Utility_DisplayArrayInTable(Fuel_SourceData.Fuel_Scope1Scope3EmissionFactorsTransport_Data(), Table_Fuel_EFs_Transport[[#Headers],[Transport type]], 0)</f>
        <v>Heavy duty vehicles</v>
      </c>
      <c r="E27" s="241" t="str" cm="1">
        <f t="array" ref="E27">Common_InputFunctions.Utility_DisplayArrayInTable(Fuel_SourceData.Fuel_Scope1Scope3EmissionFactorsTransport_Data(), Table_Fuel_EFs_Transport[[#Headers],[Transport type]], 0)</f>
        <v>Renewable diesel – Euro i</v>
      </c>
      <c r="F27" s="241" cm="1">
        <f t="array" ref="F27">Common_InputFunctions.Utility_DisplayArrayInTable(Fuel_SourceData.Fuel_Scope1Scope3EmissionFactorsTransport_Data(), Table_Fuel_EFs_Transport[[#Headers],[Transport type]], 0)</f>
        <v>38.6</v>
      </c>
      <c r="G27" s="241" t="str" cm="1">
        <f t="array" ref="G27">Common_InputFunctions.Utility_DisplayArrayInTable(Fuel_SourceData.Fuel_Scope1Scope3EmissionFactorsTransport_Data(), Table_Fuel_EFs_Transport[[#Headers],[Transport type]], 0)</f>
        <v>kl</v>
      </c>
      <c r="H27" s="241" cm="1">
        <f t="array" ref="H27">Common_InputFunctions.Utility_DisplayArrayInTable(Fuel_SourceData.Fuel_Scope1Scope3EmissionFactorsTransport_Data(), Table_Fuel_EFs_Transport[[#Headers],[Transport type]], 0)</f>
        <v>0</v>
      </c>
      <c r="I27" s="241" cm="1">
        <f t="array" ref="I27">Common_InputFunctions.Utility_DisplayArrayInTable(Fuel_SourceData.Fuel_Scope1Scope3EmissionFactorsTransport_Data(), Table_Fuel_EFs_Transport[[#Headers],[Transport type]], 0)</f>
        <v>0.2</v>
      </c>
      <c r="J27" s="241" cm="1">
        <f t="array" ref="J27">Common_InputFunctions.Utility_DisplayArrayInTable(Fuel_SourceData.Fuel_Scope1Scope3EmissionFactorsTransport_Data(), Table_Fuel_EFs_Transport[[#Headers],[Transport type]], 0)</f>
        <v>0.4</v>
      </c>
      <c r="K27" s="241" cm="1">
        <f t="array" ref="K27">Common_InputFunctions.Utility_DisplayArrayInTable(Fuel_SourceData.Fuel_Scope1Scope3EmissionFactorsTransport_Data(), Table_Fuel_EFs_Transport[[#Headers],[Transport type]], 0)</f>
        <v>0.6</v>
      </c>
      <c r="L27" s="241" t="str" cm="1">
        <f t="array" ref="L27">Common_InputFunctions.Utility_DisplayArrayInTable(Fuel_SourceData.Fuel_Scope1Scope3EmissionFactorsTransport_Data(), Table_Fuel_EFs_Transport[[#Headers],[Transport type]], 0)</f>
        <v>NE</v>
      </c>
    </row>
    <row r="28" spans="1:12" ht="20.100000000000001" customHeight="1" x14ac:dyDescent="0.25">
      <c r="A28" s="5" t="str">
        <f>HYPERLINK("#'5.1.1.1-2 Inorganic fert N2O'!A1", "5.1.1.1-2 Inorganic fert N2O")</f>
        <v>5.1.1.1-2 Inorganic fert N2O</v>
      </c>
      <c r="D28" s="241" t="str" cm="1">
        <f t="array" ref="D28">Common_InputFunctions.Utility_DisplayArrayInTable(Fuel_SourceData.Fuel_Scope1Scope3EmissionFactorsTransport_Data(), Table_Fuel_EFs_Transport[[#Headers],[Transport type]], 0)</f>
        <v>Aviation</v>
      </c>
      <c r="E28" s="241" t="str" cm="1">
        <f t="array" ref="E28">Common_InputFunctions.Utility_DisplayArrayInTable(Fuel_SourceData.Fuel_Scope1Scope3EmissionFactorsTransport_Data(), Table_Fuel_EFs_Transport[[#Headers],[Transport type]], 0)</f>
        <v>Gasoline for use as fuel in an aircraft</v>
      </c>
      <c r="F28" s="241" cm="1">
        <f t="array" ref="F28">Common_InputFunctions.Utility_DisplayArrayInTable(Fuel_SourceData.Fuel_Scope1Scope3EmissionFactorsTransport_Data(), Table_Fuel_EFs_Transport[[#Headers],[Transport type]], 0)</f>
        <v>33.1</v>
      </c>
      <c r="G28" s="241" t="str" cm="1">
        <f t="array" ref="G28">Common_InputFunctions.Utility_DisplayArrayInTable(Fuel_SourceData.Fuel_Scope1Scope3EmissionFactorsTransport_Data(), Table_Fuel_EFs_Transport[[#Headers],[Transport type]], 0)</f>
        <v>kl</v>
      </c>
      <c r="H28" s="241" cm="1">
        <f t="array" ref="H28">Common_InputFunctions.Utility_DisplayArrayInTable(Fuel_SourceData.Fuel_Scope1Scope3EmissionFactorsTransport_Data(), Table_Fuel_EFs_Transport[[#Headers],[Transport type]], 0)</f>
        <v>67</v>
      </c>
      <c r="I28" s="241" cm="1">
        <f t="array" ref="I28">Common_InputFunctions.Utility_DisplayArrayInTable(Fuel_SourceData.Fuel_Scope1Scope3EmissionFactorsTransport_Data(), Table_Fuel_EFs_Transport[[#Headers],[Transport type]], 0)</f>
        <v>0.06</v>
      </c>
      <c r="J28" s="241" cm="1">
        <f t="array" ref="J28">Common_InputFunctions.Utility_DisplayArrayInTable(Fuel_SourceData.Fuel_Scope1Scope3EmissionFactorsTransport_Data(), Table_Fuel_EFs_Transport[[#Headers],[Transport type]], 0)</f>
        <v>0.6</v>
      </c>
      <c r="K28" s="241" cm="1">
        <f t="array" ref="K28">Common_InputFunctions.Utility_DisplayArrayInTable(Fuel_SourceData.Fuel_Scope1Scope3EmissionFactorsTransport_Data(), Table_Fuel_EFs_Transport[[#Headers],[Transport type]], 0)</f>
        <v>67.66</v>
      </c>
      <c r="L28" s="241"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HYPERLINK("#'5.1.1.3-4 Inorganic fert CO2'!A1", "5.1.1.3-4 Inorganic fert CO2")</f>
        <v>5.1.1.3-4 Inorganic fert CO2</v>
      </c>
      <c r="D29" s="241" t="str" cm="1">
        <f t="array" ref="D29">Common_InputFunctions.Utility_DisplayArrayInTable(Fuel_SourceData.Fuel_Scope1Scope3EmissionFactorsTransport_Data(), Table_Fuel_EFs_Transport[[#Headers],[Transport type]], 0)</f>
        <v>Aviation</v>
      </c>
      <c r="E29" s="241" t="str" cm="1">
        <f t="array" ref="E29">Common_InputFunctions.Utility_DisplayArrayInTable(Fuel_SourceData.Fuel_Scope1Scope3EmissionFactorsTransport_Data(), Table_Fuel_EFs_Transport[[#Headers],[Transport type]], 0)</f>
        <v>Kerosene for use as fuel in an aircraft</v>
      </c>
      <c r="F29" s="241" cm="1">
        <f t="array" ref="F29">Common_InputFunctions.Utility_DisplayArrayInTable(Fuel_SourceData.Fuel_Scope1Scope3EmissionFactorsTransport_Data(), Table_Fuel_EFs_Transport[[#Headers],[Transport type]], 0)</f>
        <v>36.799999999999997</v>
      </c>
      <c r="G29" s="241" t="str" cm="1">
        <f t="array" ref="G29">Common_InputFunctions.Utility_DisplayArrayInTable(Fuel_SourceData.Fuel_Scope1Scope3EmissionFactorsTransport_Data(), Table_Fuel_EFs_Transport[[#Headers],[Transport type]], 0)</f>
        <v>kl</v>
      </c>
      <c r="H29" s="241" cm="1">
        <f t="array" ref="H29">Common_InputFunctions.Utility_DisplayArrayInTable(Fuel_SourceData.Fuel_Scope1Scope3EmissionFactorsTransport_Data(), Table_Fuel_EFs_Transport[[#Headers],[Transport type]], 0)</f>
        <v>69.599999999999994</v>
      </c>
      <c r="I29" s="241" cm="1">
        <f t="array" ref="I29">Common_InputFunctions.Utility_DisplayArrayInTable(Fuel_SourceData.Fuel_Scope1Scope3EmissionFactorsTransport_Data(), Table_Fuel_EFs_Transport[[#Headers],[Transport type]], 0)</f>
        <v>0.01</v>
      </c>
      <c r="J29" s="241" cm="1">
        <f t="array" ref="J29">Common_InputFunctions.Utility_DisplayArrayInTable(Fuel_SourceData.Fuel_Scope1Scope3EmissionFactorsTransport_Data(), Table_Fuel_EFs_Transport[[#Headers],[Transport type]], 0)</f>
        <v>0.6</v>
      </c>
      <c r="K29" s="241" cm="1">
        <f t="array" ref="K29">Common_InputFunctions.Utility_DisplayArrayInTable(Fuel_SourceData.Fuel_Scope1Scope3EmissionFactorsTransport_Data(), Table_Fuel_EFs_Transport[[#Headers],[Transport type]], 0)</f>
        <v>70.209999999999994</v>
      </c>
      <c r="L29" s="241"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HYPERLINK("#'5.2.1.1-2 Organic Fert N2O'!A1", "5.2.1.1-2 Organic fert N2O")</f>
        <v>5.2.1.1-2 Organic fert N2O</v>
      </c>
      <c r="D30" s="241" t="str" cm="1">
        <f t="array" ref="D30">Common_InputFunctions.Utility_DisplayArrayInTable(Fuel_SourceData.Fuel_Scope1Scope3EmissionFactorsTransport_Data(), Table_Fuel_EFs_Transport[[#Headers],[Transport type]], 0)</f>
        <v>Aviation</v>
      </c>
      <c r="E30" s="241" t="str" cm="1">
        <f t="array" ref="E30">Common_InputFunctions.Utility_DisplayArrayInTable(Fuel_SourceData.Fuel_Scope1Scope3EmissionFactorsTransport_Data(), Table_Fuel_EFs_Transport[[#Headers],[Transport type]], 0)</f>
        <v>Renewable aviation kerosene</v>
      </c>
      <c r="F30" s="241" cm="1">
        <f t="array" ref="F30">Common_InputFunctions.Utility_DisplayArrayInTable(Fuel_SourceData.Fuel_Scope1Scope3EmissionFactorsTransport_Data(), Table_Fuel_EFs_Transport[[#Headers],[Transport type]], 0)</f>
        <v>36.799999999999997</v>
      </c>
      <c r="G30" s="241" t="str" cm="1">
        <f t="array" ref="G30">Common_InputFunctions.Utility_DisplayArrayInTable(Fuel_SourceData.Fuel_Scope1Scope3EmissionFactorsTransport_Data(), Table_Fuel_EFs_Transport[[#Headers],[Transport type]], 0)</f>
        <v>kl</v>
      </c>
      <c r="H30" s="241" cm="1">
        <f t="array" ref="H30">Common_InputFunctions.Utility_DisplayArrayInTable(Fuel_SourceData.Fuel_Scope1Scope3EmissionFactorsTransport_Data(), Table_Fuel_EFs_Transport[[#Headers],[Transport type]], 0)</f>
        <v>0</v>
      </c>
      <c r="I30" s="241" cm="1">
        <f t="array" ref="I30">Common_InputFunctions.Utility_DisplayArrayInTable(Fuel_SourceData.Fuel_Scope1Scope3EmissionFactorsTransport_Data(), Table_Fuel_EFs_Transport[[#Headers],[Transport type]], 0)</f>
        <v>0.01</v>
      </c>
      <c r="J30" s="241" cm="1">
        <f t="array" ref="J30">Common_InputFunctions.Utility_DisplayArrayInTable(Fuel_SourceData.Fuel_Scope1Scope3EmissionFactorsTransport_Data(), Table_Fuel_EFs_Transport[[#Headers],[Transport type]], 0)</f>
        <v>0.6</v>
      </c>
      <c r="K30" s="241" cm="1">
        <f t="array" ref="K30">Common_InputFunctions.Utility_DisplayArrayInTable(Fuel_SourceData.Fuel_Scope1Scope3EmissionFactorsTransport_Data(), Table_Fuel_EFs_Transport[[#Headers],[Transport type]], 0)</f>
        <v>0.61</v>
      </c>
      <c r="L30" s="241"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HYPERLINK("#'5.3.1.1-2 Lime CO2'!A1", "5.3.1.1-2 Lime CO2")</f>
        <v>5.3.1.1-2 Lime CO2</v>
      </c>
      <c r="D31" s="241" t="str" cm="1">
        <f t="array" ref="D31">Common_InputFunctions.Utility_DisplayArrayInTable(Fuel_SourceData.Fuel_Scope1Scope3EmissionFactorsTransport_Data(), Table_Fuel_EFs_Transport[[#Headers],[Transport type]], 0)</f>
        <v>Vessels</v>
      </c>
      <c r="E31" s="241" t="str" cm="1">
        <f t="array" ref="E31">Common_InputFunctions.Utility_DisplayArrayInTable(Fuel_SourceData.Fuel_Scope1Scope3EmissionFactorsTransport_Data(), Table_Fuel_EFs_Transport[[#Headers],[Transport type]], 0)</f>
        <v>Gasoline</v>
      </c>
      <c r="F31" s="241" cm="1">
        <f t="array" ref="F31">Common_InputFunctions.Utility_DisplayArrayInTable(Fuel_SourceData.Fuel_Scope1Scope3EmissionFactorsTransport_Data(), Table_Fuel_EFs_Transport[[#Headers],[Transport type]], 0)</f>
        <v>34.200000000000003</v>
      </c>
      <c r="G31" s="241" t="str" cm="1">
        <f t="array" ref="G31">Common_InputFunctions.Utility_DisplayArrayInTable(Fuel_SourceData.Fuel_Scope1Scope3EmissionFactorsTransport_Data(), Table_Fuel_EFs_Transport[[#Headers],[Transport type]], 0)</f>
        <v>kL</v>
      </c>
      <c r="H31" s="241" cm="1">
        <f t="array" ref="H31">Common_InputFunctions.Utility_DisplayArrayInTable(Fuel_SourceData.Fuel_Scope1Scope3EmissionFactorsTransport_Data(), Table_Fuel_EFs_Transport[[#Headers],[Transport type]], 0)</f>
        <v>67.400000000000006</v>
      </c>
      <c r="I31" s="241" cm="1">
        <f t="array" ref="I31">Common_InputFunctions.Utility_DisplayArrayInTable(Fuel_SourceData.Fuel_Scope1Scope3EmissionFactorsTransport_Data(), Table_Fuel_EFs_Transport[[#Headers],[Transport type]], 0)</f>
        <v>10.1</v>
      </c>
      <c r="J31" s="241" cm="1">
        <f t="array" ref="J31">Common_InputFunctions.Utility_DisplayArrayInTable(Fuel_SourceData.Fuel_Scope1Scope3EmissionFactorsTransport_Data(), Table_Fuel_EFs_Transport[[#Headers],[Transport type]], 0)</f>
        <v>0.3</v>
      </c>
      <c r="K31" s="241" t="str" cm="1">
        <f t="array" ref="K31">Common_InputFunctions.Utility_DisplayArrayInTable(Fuel_SourceData.Fuel_Scope1Scope3EmissionFactorsTransport_Data(), Table_Fuel_EFs_Transport[[#Headers],[Transport type]], 0)</f>
        <v/>
      </c>
      <c r="L31" s="241"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HYPERLINK("#'5.4.1.1-4 Atmos deposition'!A1", "5.4.1.1-4 Atmos. deposition")</f>
        <v>5.4.1.1-4 Atmos. deposition</v>
      </c>
      <c r="D32" s="242" t="str" cm="1">
        <f t="array" ref="D32">Common_InputFunctions.Utility_DisplayArrayInTable(Fuel_SourceData.Fuel_Scope1Scope3EmissionFactorsTransport_Data(), Table_Fuel_EFs_Transport[[#Headers],[Transport type]], 0)</f>
        <v>Vessels</v>
      </c>
      <c r="E32" s="242" t="str" cm="1">
        <f t="array" ref="E32">Common_InputFunctions.Utility_DisplayArrayInTable(Fuel_SourceData.Fuel_Scope1Scope3EmissionFactorsTransport_Data(), Table_Fuel_EFs_Transport[[#Headers],[Transport type]], 0)</f>
        <v>Diesel oil</v>
      </c>
      <c r="F32" s="242" cm="1">
        <f t="array" ref="F32">Common_InputFunctions.Utility_DisplayArrayInTable(Fuel_SourceData.Fuel_Scope1Scope3EmissionFactorsTransport_Data(), Table_Fuel_EFs_Transport[[#Headers],[Transport type]], 0)</f>
        <v>38.6</v>
      </c>
      <c r="G32" s="242" t="str" cm="1">
        <f t="array" ref="G32">Common_InputFunctions.Utility_DisplayArrayInTable(Fuel_SourceData.Fuel_Scope1Scope3EmissionFactorsTransport_Data(), Table_Fuel_EFs_Transport[[#Headers],[Transport type]], 0)</f>
        <v>kL</v>
      </c>
      <c r="H32" s="242" cm="1">
        <f t="array" ref="H32">Common_InputFunctions.Utility_DisplayArrayInTable(Fuel_SourceData.Fuel_Scope1Scope3EmissionFactorsTransport_Data(), Table_Fuel_EFs_Transport[[#Headers],[Transport type]], 0)</f>
        <v>69.900000000000006</v>
      </c>
      <c r="I32" s="242" cm="1">
        <f t="array" ref="I32">Common_InputFunctions.Utility_DisplayArrayInTable(Fuel_SourceData.Fuel_Scope1Scope3EmissionFactorsTransport_Data(), Table_Fuel_EFs_Transport[[#Headers],[Transport type]], 0)</f>
        <v>0.2</v>
      </c>
      <c r="J32" s="242" cm="1">
        <f t="array" ref="J32">Common_InputFunctions.Utility_DisplayArrayInTable(Fuel_SourceData.Fuel_Scope1Scope3EmissionFactorsTransport_Data(), Table_Fuel_EFs_Transport[[#Headers],[Transport type]], 0)</f>
        <v>0.5</v>
      </c>
      <c r="K32" s="242" t="str" cm="1">
        <f t="array" ref="K32">Common_InputFunctions.Utility_DisplayArrayInTable(Fuel_SourceData.Fuel_Scope1Scope3EmissionFactorsTransport_Data(), Table_Fuel_EFs_Transport[[#Headers],[Transport type]], 0)</f>
        <v/>
      </c>
      <c r="L32" s="242"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HYPERLINK("#'5.5.1.1-2 Leaching and runoff'!A1", "5.5.1.1-2 Leaching &amp; runoff")</f>
        <v>5.5.1.1-2 Leaching &amp; runoff</v>
      </c>
      <c r="D33" s="242" t="str" cm="1">
        <f t="array" ref="D33">Common_InputFunctions.Utility_DisplayArrayInTable(Fuel_SourceData.Fuel_Scope1Scope3EmissionFactorsTransport_Data(), Table_Fuel_EFs_Transport[[#Headers],[Transport type]], 0)</f>
        <v>Vessels</v>
      </c>
      <c r="E33" s="242" t="str" cm="1">
        <f t="array" ref="E33">Common_InputFunctions.Utility_DisplayArrayInTable(Fuel_SourceData.Fuel_Scope1Scope3EmissionFactorsTransport_Data(), Table_Fuel_EFs_Transport[[#Headers],[Transport type]], 0)</f>
        <v>Fuel Oil</v>
      </c>
      <c r="F33" s="242" cm="1">
        <f t="array" ref="F33">Common_InputFunctions.Utility_DisplayArrayInTable(Fuel_SourceData.Fuel_Scope1Scope3EmissionFactorsTransport_Data(), Table_Fuel_EFs_Transport[[#Headers],[Transport type]], 0)</f>
        <v>39.700000000000003</v>
      </c>
      <c r="G33" s="242" t="str" cm="1">
        <f t="array" ref="G33">Common_InputFunctions.Utility_DisplayArrayInTable(Fuel_SourceData.Fuel_Scope1Scope3EmissionFactorsTransport_Data(), Table_Fuel_EFs_Transport[[#Headers],[Transport type]], 0)</f>
        <v>kL</v>
      </c>
      <c r="H33" s="242" cm="1">
        <f t="array" ref="H33">Common_InputFunctions.Utility_DisplayArrayInTable(Fuel_SourceData.Fuel_Scope1Scope3EmissionFactorsTransport_Data(), Table_Fuel_EFs_Transport[[#Headers],[Transport type]], 0)</f>
        <v>73.599999999999994</v>
      </c>
      <c r="I33" s="242" cm="1">
        <f t="array" ref="I33">Common_InputFunctions.Utility_DisplayArrayInTable(Fuel_SourceData.Fuel_Scope1Scope3EmissionFactorsTransport_Data(), Table_Fuel_EFs_Transport[[#Headers],[Transport type]], 0)</f>
        <v>0.2</v>
      </c>
      <c r="J33" s="242" cm="1">
        <f t="array" ref="J33">Common_InputFunctions.Utility_DisplayArrayInTable(Fuel_SourceData.Fuel_Scope1Scope3EmissionFactorsTransport_Data(), Table_Fuel_EFs_Transport[[#Headers],[Transport type]], 0)</f>
        <v>0.5</v>
      </c>
      <c r="K33" s="242" t="str" cm="1">
        <f t="array" ref="K33">Common_InputFunctions.Utility_DisplayArrayInTable(Fuel_SourceData.Fuel_Scope1Scope3EmissionFactorsTransport_Data(), Table_Fuel_EFs_Transport[[#Headers],[Transport type]], 0)</f>
        <v/>
      </c>
      <c r="L33" s="242"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HYPERLINK("#'6.2.1.1-2 Pasture residue N2O'!A1", "6.2.1.1-2 Pasture residue N2O")</f>
        <v>6.2.1.1-2 Pasture residue N2O</v>
      </c>
      <c r="D34" s="242" t="str" cm="1">
        <f t="array" ref="D34">Common_InputFunctions.Utility_DisplayArrayInTable(Fuel_SourceData.Fuel_Scope1Scope3EmissionFactorsTransport_Data(), Table_Fuel_EFs_Transport[[#Headers],[Transport type]], 0)</f>
        <v>Off-road Agriculture and forestry equipment</v>
      </c>
      <c r="E34" s="242" t="str" cm="1">
        <f t="array" ref="E34">Common_InputFunctions.Utility_DisplayArrayInTable(Fuel_SourceData.Fuel_Scope1Scope3EmissionFactorsTransport_Data(), Table_Fuel_EFs_Transport[[#Headers],[Transport type]], 0)</f>
        <v>Diesel oil</v>
      </c>
      <c r="F34" s="242" cm="1">
        <f t="array" ref="F34">Common_InputFunctions.Utility_DisplayArrayInTable(Fuel_SourceData.Fuel_Scope1Scope3EmissionFactorsTransport_Data(), Table_Fuel_EFs_Transport[[#Headers],[Transport type]], 0)</f>
        <v>38.6</v>
      </c>
      <c r="G34" s="242" t="str" cm="1">
        <f t="array" ref="G34">Common_InputFunctions.Utility_DisplayArrayInTable(Fuel_SourceData.Fuel_Scope1Scope3EmissionFactorsTransport_Data(), Table_Fuel_EFs_Transport[[#Headers],[Transport type]], 0)</f>
        <v>kL</v>
      </c>
      <c r="H34" s="242" cm="1">
        <f t="array" ref="H34">Common_InputFunctions.Utility_DisplayArrayInTable(Fuel_SourceData.Fuel_Scope1Scope3EmissionFactorsTransport_Data(), Table_Fuel_EFs_Transport[[#Headers],[Transport type]], 0)</f>
        <v>69.900000000000006</v>
      </c>
      <c r="I34" s="242" cm="1">
        <f t="array" ref="I34">Common_InputFunctions.Utility_DisplayArrayInTable(Fuel_SourceData.Fuel_Scope1Scope3EmissionFactorsTransport_Data(), Table_Fuel_EFs_Transport[[#Headers],[Transport type]], 0)</f>
        <v>0.3</v>
      </c>
      <c r="J34" s="242" cm="1">
        <f t="array" ref="J34">Common_InputFunctions.Utility_DisplayArrayInTable(Fuel_SourceData.Fuel_Scope1Scope3EmissionFactorsTransport_Data(), Table_Fuel_EFs_Transport[[#Headers],[Transport type]], 0)</f>
        <v>0.5</v>
      </c>
      <c r="K34" s="242" t="str" cm="1">
        <f t="array" ref="K34">Common_InputFunctions.Utility_DisplayArrayInTable(Fuel_SourceData.Fuel_Scope1Scope3EmissionFactorsTransport_Data(), Table_Fuel_EFs_Transport[[#Headers],[Transport type]], 0)</f>
        <v/>
      </c>
      <c r="L34" s="242" cm="1">
        <f t="array" ref="L34">Common_InputFunctions.Utility_DisplayArrayInTable(Fuel_SourceData.Fuel_Scope1Scope3EmissionFactorsTransport_Data(), Table_Fuel_EFs_Transport[[#Headers],[Transport type]], 0)</f>
        <v>17.3</v>
      </c>
    </row>
    <row r="35" spans="1:12" ht="20.100000000000001" customHeight="1" x14ac:dyDescent="0.25">
      <c r="A35" s="5" t="str">
        <f>HYPERLINK("#'6.3.1.1-2 Leach runoff pasture'!A1", "6.3.1.1-2 Leach &amp; runoff (pasture)")</f>
        <v>6.3.1.1-2 Leach &amp; runoff (pasture)</v>
      </c>
    </row>
    <row r="36" spans="1:12" ht="20.100000000000001" customHeight="1" x14ac:dyDescent="0.25">
      <c r="A36" s="5" t="str">
        <f>HYPERLINK("#'8.1.1.1-2 Transport fuel'!A1", "8.1.1.1-2 Transport fuel")</f>
        <v>8.1.1.1-2 Transport fuel</v>
      </c>
    </row>
    <row r="37" spans="1:12" ht="20.100000000000001" customHeight="1" x14ac:dyDescent="0.25">
      <c r="A37" s="5" t="str">
        <f>HYPERLINK("#'8.2.1.1-2 Stationary fuel'!A1", "8.2.1.1-2 Stationary fuel")</f>
        <v>8.2.1.1-2 Stationary fuel</v>
      </c>
      <c r="D37" s="2" t="str" cm="1">
        <f t="array" ref="D37">Fuel_SourceData.Fuel_Scope1Scope3EmissionFactorsTransportOffRoad_Title()</f>
        <v>Fuel scope 1 and 3 emission factors - Off-road equipment and vessels</v>
      </c>
    </row>
    <row r="38" spans="1:12" ht="20.100000000000001" customHeight="1" x14ac:dyDescent="0.25">
      <c r="A38" s="5" t="str">
        <f>HYPERLINK("#'14.1.1-2 Purchased electricity'!A1", "14.1.1-2 Purchased electricity")</f>
        <v>14.1.1-2 Purchased electricity</v>
      </c>
      <c r="D38" s="27" t="str" cm="1">
        <f t="array" ref="D38">Fuel_SourceData.Fuel_Scope1Scope3EmissionFactorsTransportOffRoad_Source()</f>
        <v>VEERG 2026: Table A.4.2.1</v>
      </c>
    </row>
    <row r="39" spans="1:12" ht="20.100000000000001" customHeight="1" x14ac:dyDescent="0.25">
      <c r="A39" s="5" t="str">
        <f>HYPERLINK("#'15 Scope 3'!A1", "15 Scope 3")</f>
        <v>15 Scope 3</v>
      </c>
      <c r="D39" s="29" t="s">
        <v>843</v>
      </c>
      <c r="E39" s="29" t="s">
        <v>844</v>
      </c>
      <c r="F39" s="29" t="s">
        <v>845</v>
      </c>
      <c r="G39" s="29" t="s">
        <v>846</v>
      </c>
      <c r="H39" s="29" t="s">
        <v>847</v>
      </c>
      <c r="I39" s="29" t="s">
        <v>848</v>
      </c>
      <c r="J39" s="29" t="s">
        <v>849</v>
      </c>
    </row>
    <row r="40" spans="1:12" ht="20.100000000000001" customHeight="1" x14ac:dyDescent="0.25">
      <c r="A40" s="5" t="str">
        <f>HYPERLINK("#'Calcs - Manure sent off-site'!A1", "Calcs - Manure sent off-site")</f>
        <v>Calcs - Manure sent off-site</v>
      </c>
      <c r="D40" s="29" t="str" cm="1">
        <f t="array" ref="D40">Common_InputFunctions.Utility_DisplayArrayInTable(Fuel_SourceData.Fuel_Scope1Scope3EmissionFactorsTransportOffRoad_Data(), Table_SourceData_Fuel_TransportOffroad[[#Headers],[Transport type t]],0)</f>
        <v>Vessel</v>
      </c>
      <c r="E40" s="29" t="str" cm="1">
        <f t="array" ref="E40">Common_InputFunctions.Utility_DisplayArrayInTable(Fuel_SourceData.Fuel_Scope1Scope3EmissionFactorsTransportOffRoad_Data(), Table_SourceData_Fuel_TransportOffroad[[#Headers],[Transport type t]],0)</f>
        <v>Petrol</v>
      </c>
      <c r="F40" s="29" cm="1">
        <f t="array" ref="F40">Common_InputFunctions.Utility_DisplayArrayInTable(Fuel_SourceData.Fuel_Scope1Scope3EmissionFactorsTransportOffRoad_Data(), Table_SourceData_Fuel_TransportOffroad[[#Headers],[Transport type t]],0)</f>
        <v>34.200000000000003</v>
      </c>
      <c r="G40" s="29" cm="1">
        <f t="array" ref="G40">Common_InputFunctions.Utility_DisplayArrayInTable(Fuel_SourceData.Fuel_Scope1Scope3EmissionFactorsTransportOffRoad_Data(), Table_SourceData_Fuel_TransportOffroad[[#Headers],[Transport type t]],0)</f>
        <v>67.400000000000006</v>
      </c>
      <c r="H40" s="29" cm="1">
        <f t="array" ref="H40">Common_InputFunctions.Utility_DisplayArrayInTable(Fuel_SourceData.Fuel_Scope1Scope3EmissionFactorsTransportOffRoad_Data(), Table_SourceData_Fuel_TransportOffroad[[#Headers],[Transport type t]],0)</f>
        <v>10.1</v>
      </c>
      <c r="I40" s="29" cm="1">
        <f t="array" ref="I40">Common_InputFunctions.Utility_DisplayArrayInTable(Fuel_SourceData.Fuel_Scope1Scope3EmissionFactorsTransportOffRoad_Data(), Table_SourceData_Fuel_TransportOffroad[[#Headers],[Transport type t]],0)</f>
        <v>0.3</v>
      </c>
      <c r="J40" s="29"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HYPERLINK("#'4.3.1.1-2 Methane'!A1", "4.3.1.1-2 Methane")</f>
        <v>4.3.1.1-2 Methane</v>
      </c>
      <c r="D41" s="1" t="str" cm="1">
        <f t="array" ref="D41">Common_InputFunctions.Utility_DisplayArrayInTable(Fuel_SourceData.Fuel_Scope1Scope3EmissionFactorsTransportOffRoad_Data(), Table_SourceData_Fuel_TransportOffroad[[#Headers],[Transport type t]],0)</f>
        <v>Vessel</v>
      </c>
      <c r="E41" s="29" t="str" cm="1">
        <f t="array" ref="E41">Common_InputFunctions.Utility_DisplayArrayInTable(Fuel_SourceData.Fuel_Scope1Scope3EmissionFactorsTransportOffRoad_Data(), Table_SourceData_Fuel_TransportOffroad[[#Headers],[Transport type t]],0)</f>
        <v>Diesel</v>
      </c>
      <c r="F41" s="29" cm="1">
        <f t="array" ref="F41">Common_InputFunctions.Utility_DisplayArrayInTable(Fuel_SourceData.Fuel_Scope1Scope3EmissionFactorsTransportOffRoad_Data(), Table_SourceData_Fuel_TransportOffroad[[#Headers],[Transport type t]],0)</f>
        <v>38.6</v>
      </c>
      <c r="G41" s="29" cm="1">
        <f t="array" ref="G41">Common_InputFunctions.Utility_DisplayArrayInTable(Fuel_SourceData.Fuel_Scope1Scope3EmissionFactorsTransportOffRoad_Data(), Table_SourceData_Fuel_TransportOffroad[[#Headers],[Transport type t]],0)</f>
        <v>69.900000000000006</v>
      </c>
      <c r="H41" s="29" cm="1">
        <f t="array" ref="H41">Common_InputFunctions.Utility_DisplayArrayInTable(Fuel_SourceData.Fuel_Scope1Scope3EmissionFactorsTransportOffRoad_Data(), Table_SourceData_Fuel_TransportOffroad[[#Headers],[Transport type t]],0)</f>
        <v>0.2</v>
      </c>
      <c r="I41" s="29" cm="1">
        <f t="array" ref="I41">Common_InputFunctions.Utility_DisplayArrayInTable(Fuel_SourceData.Fuel_Scope1Scope3EmissionFactorsTransportOffRoad_Data(), Table_SourceData_Fuel_TransportOffroad[[#Headers],[Transport type t]],0)</f>
        <v>0.5</v>
      </c>
      <c r="J41" s="29"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HYPERLINK("#'4.3.1.3-4 Direct N20'!A1", "4.3.1.3-4 Direct N20")</f>
        <v>4.3.1.3-4 Direct N20</v>
      </c>
      <c r="D42" s="1" t="str" cm="1">
        <f t="array" ref="D42">Common_InputFunctions.Utility_DisplayArrayInTable(Fuel_SourceData.Fuel_Scope1Scope3EmissionFactorsTransportOffRoad_Data(), Table_SourceData_Fuel_TransportOffroad[[#Headers],[Transport type t]],0)</f>
        <v>Vessel</v>
      </c>
      <c r="E42" s="29" t="str" cm="1">
        <f t="array" ref="E42">Common_InputFunctions.Utility_DisplayArrayInTable(Fuel_SourceData.Fuel_Scope1Scope3EmissionFactorsTransportOffRoad_Data(), Table_SourceData_Fuel_TransportOffroad[[#Headers],[Transport type t]],0)</f>
        <v>Fuel Oil</v>
      </c>
      <c r="F42" s="29" cm="1">
        <f t="array" ref="F42">Common_InputFunctions.Utility_DisplayArrayInTable(Fuel_SourceData.Fuel_Scope1Scope3EmissionFactorsTransportOffRoad_Data(), Table_SourceData_Fuel_TransportOffroad[[#Headers],[Transport type t]],0)</f>
        <v>39.700000000000003</v>
      </c>
      <c r="G42" s="29" cm="1">
        <f t="array" ref="G42">Common_InputFunctions.Utility_DisplayArrayInTable(Fuel_SourceData.Fuel_Scope1Scope3EmissionFactorsTransportOffRoad_Data(), Table_SourceData_Fuel_TransportOffroad[[#Headers],[Transport type t]],0)</f>
        <v>73.599999999999994</v>
      </c>
      <c r="H42" s="29" cm="1">
        <f t="array" ref="H42">Common_InputFunctions.Utility_DisplayArrayInTable(Fuel_SourceData.Fuel_Scope1Scope3EmissionFactorsTransportOffRoad_Data(), Table_SourceData_Fuel_TransportOffroad[[#Headers],[Transport type t]],0)</f>
        <v>0.2</v>
      </c>
      <c r="I42" s="29" cm="1">
        <f t="array" ref="I42">Common_InputFunctions.Utility_DisplayArrayInTable(Fuel_SourceData.Fuel_Scope1Scope3EmissionFactorsTransportOffRoad_Data(), Table_SourceData_Fuel_TransportOffroad[[#Headers],[Transport type t]],0)</f>
        <v>0.5</v>
      </c>
      <c r="J42" s="29"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5" t="str">
        <f>HYPERLINK("#'4.3.1.5 Atmos deposition'!A1", "4.3.1.5 Atmos deposition")</f>
        <v>4.3.1.5 Atmos deposition</v>
      </c>
      <c r="D43" s="1" t="str" cm="1">
        <f t="array" ref="D43">Common_InputFunctions.Utility_DisplayArrayInTable(Fuel_SourceData.Fuel_Scope1Scope3EmissionFactorsTransportOffRoad_Data(), Table_SourceData_Fuel_TransportOffroad[[#Headers],[Transport type t]],0)</f>
        <v>Off-road Agriculture and forestry equipment</v>
      </c>
      <c r="E43" s="29" t="str" cm="1">
        <f t="array" ref="E43">Common_InputFunctions.Utility_DisplayArrayInTable(Fuel_SourceData.Fuel_Scope1Scope3EmissionFactorsTransportOffRoad_Data(), Table_SourceData_Fuel_TransportOffroad[[#Headers],[Transport type t]],0)</f>
        <v>Diesel</v>
      </c>
      <c r="F43" s="29" cm="1">
        <f t="array" ref="F43">Common_InputFunctions.Utility_DisplayArrayInTable(Fuel_SourceData.Fuel_Scope1Scope3EmissionFactorsTransportOffRoad_Data(), Table_SourceData_Fuel_TransportOffroad[[#Headers],[Transport type t]],0)</f>
        <v>38.6</v>
      </c>
      <c r="G43" s="29" cm="1">
        <f t="array" ref="G43">Common_InputFunctions.Utility_DisplayArrayInTable(Fuel_SourceData.Fuel_Scope1Scope3EmissionFactorsTransportOffRoad_Data(), Table_SourceData_Fuel_TransportOffroad[[#Headers],[Transport type t]],0)</f>
        <v>69.900000000000006</v>
      </c>
      <c r="H43" s="29" cm="1">
        <f t="array" ref="H43">Common_InputFunctions.Utility_DisplayArrayInTable(Fuel_SourceData.Fuel_Scope1Scope3EmissionFactorsTransportOffRoad_Data(), Table_SourceData_Fuel_TransportOffroad[[#Headers],[Transport type t]],0)</f>
        <v>0.3</v>
      </c>
      <c r="I43" s="29" cm="1">
        <f t="array" ref="I43">Common_InputFunctions.Utility_DisplayArrayInTable(Fuel_SourceData.Fuel_Scope1Scope3EmissionFactorsTransportOffRoad_Data(), Table_SourceData_Fuel_TransportOffroad[[#Headers],[Transport type t]],0)</f>
        <v>0.5</v>
      </c>
      <c r="J43" s="29"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HYPERLINK("#'4.3.1.6-7 Leaching and runoff'!A1", "4.3.1.6-7 Leaching and runoff")</f>
        <v>4.3.1.6-7 Leaching and runoff</v>
      </c>
    </row>
    <row r="45" spans="1:12" ht="20.100000000000001" customHeight="1" x14ac:dyDescent="0.25">
      <c r="A45" s="5" t="str">
        <f>HYPERLINK("#'4.3.1.8 Manure applied to soils'!A1", "4.3.1.8 Manure applied to soils")</f>
        <v>4.3.1.8 Manure applied to soils</v>
      </c>
    </row>
    <row r="46" spans="1:12" ht="20.100000000000001" customHeight="1" x14ac:dyDescent="0.25">
      <c r="A46" s="5" t="str">
        <f>HYPERLINK("#'4.3.1.9 Soil direct N2O'!A1", "4.3.1.9 Soil direct N2O")</f>
        <v>4.3.1.9 Soil direct N2O</v>
      </c>
    </row>
    <row r="47" spans="1:12" ht="20.100000000000001" customHeight="1" x14ac:dyDescent="0.25">
      <c r="A47" s="5" t="str">
        <f>HYPERLINK("#'4.3.1.10-11 Soil Atmos Dep'!A1", "4.3.1.10-11 Soil Atmos Dep")</f>
        <v>4.3.1.10-11 Soil Atmos Dep</v>
      </c>
    </row>
    <row r="48" spans="1:12" ht="20.100000000000001" customHeight="1" x14ac:dyDescent="0.25">
      <c r="A48" s="5" t="str">
        <f>HYPERLINK("#'4.3.1.12-13 Soil leach runoff'!A1", "4.3.1.12-13 Soil leach runoff")</f>
        <v>4.3.1.12-13 Soil leach runoff</v>
      </c>
    </row>
    <row r="49" spans="1:12" ht="20.100000000000001" customHeight="1" x14ac:dyDescent="0.25">
      <c r="A49" s="5" t="str">
        <f>HYPERLINK("#'3.3.1.1-2 Enteric Methane'!A1", "3.3.1.1-2 Enteric Methane")</f>
        <v>3.3.1.1-2 Enteric Methane</v>
      </c>
      <c r="D49" s="2" t="str" cm="1">
        <f t="array" ref="D49">Fuel_SourceData.Fuel_Scope1Scope3EmissionFactorsStationaryLiquid_Title()</f>
        <v>Fuel scope 1 and 3 emission factors - Stationary liquid fuels</v>
      </c>
      <c r="E49" s="191"/>
      <c r="F49" s="191"/>
      <c r="G49" s="191"/>
      <c r="H49" s="191"/>
      <c r="I49" s="191"/>
      <c r="J49" s="191"/>
      <c r="K49" s="191"/>
      <c r="L49" s="191"/>
    </row>
    <row r="50" spans="1:12" ht="20.100000000000001" customHeight="1" x14ac:dyDescent="0.25">
      <c r="A50" s="5" t="str">
        <f>HYPERLINK("#'10.1.1-2 Solid waste treatment'!A1", "10.1.1-2 Solid waste treatment")</f>
        <v>10.1.1-2 Solid waste treatment</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91"/>
      <c r="F50" s="191"/>
      <c r="G50" s="191"/>
      <c r="H50" s="191"/>
      <c r="I50" s="191"/>
      <c r="J50" s="191"/>
      <c r="K50" s="191"/>
      <c r="L50" s="191"/>
    </row>
    <row r="51" spans="1:12" ht="20.100000000000001" customHeight="1" x14ac:dyDescent="0.25">
      <c r="D51" s="27" t="str" cm="1">
        <f t="array" ref="D51">Fuel_SourceData.Fuel_Scope1Scope3EmissionFactorsStationaryLiquid_Source()</f>
        <v>Australian National Greenhouse Accounts Factors 2025 - Table 8</v>
      </c>
      <c r="E51" s="191"/>
      <c r="F51" s="191"/>
      <c r="G51" s="191"/>
      <c r="H51" s="191"/>
      <c r="I51" s="191"/>
      <c r="J51" s="191"/>
      <c r="K51" s="191"/>
      <c r="L51" s="191"/>
    </row>
    <row r="52" spans="1:12" ht="20.100000000000001" customHeight="1" x14ac:dyDescent="0.25">
      <c r="D52" s="35" t="str" cm="1">
        <f t="array" ref="D52">"⚠️" &amp; Fuel_SourceData.Fuel_Scope1Scope3EmissionFactorsStationaryLiquid_Variation()</f>
        <v>⚠️VARIATION OF SOURCE DATA: 'NE' values returned as zero for calculations.</v>
      </c>
      <c r="E52" s="191"/>
      <c r="F52" s="191"/>
      <c r="G52" s="191"/>
      <c r="H52" s="191"/>
      <c r="I52" s="191"/>
      <c r="J52" s="191"/>
      <c r="K52" s="191"/>
      <c r="L52" s="191"/>
    </row>
    <row r="53" spans="1:12" ht="20.100000000000001" customHeight="1" x14ac:dyDescent="0.25">
      <c r="A53" s="100" t="s">
        <v>1</v>
      </c>
      <c r="D53" s="208" t="s">
        <v>835</v>
      </c>
      <c r="E53" s="240" t="s">
        <v>836</v>
      </c>
      <c r="F53" s="208" t="s">
        <v>837</v>
      </c>
      <c r="G53" s="240" t="s">
        <v>838</v>
      </c>
      <c r="H53" s="240" t="s">
        <v>839</v>
      </c>
      <c r="I53" s="240" t="s">
        <v>840</v>
      </c>
      <c r="J53" s="240" t="s">
        <v>841</v>
      </c>
      <c r="K53" s="240" t="s">
        <v>842</v>
      </c>
      <c r="L53" s="191"/>
    </row>
    <row r="54" spans="1:12" ht="20.100000000000001" customHeight="1" x14ac:dyDescent="0.25">
      <c r="A54" s="5" t="str">
        <f>HYPERLINK("#'Constants - Dairy'!A1", "Constants - Dairy")</f>
        <v>Constants - Dairy</v>
      </c>
      <c r="D54" s="243"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43" cm="1">
        <f t="array" ref="E54">Common_InputFunctions.Utility_DisplayArrayInTable(Fuel_SourceData.Fuel_Scope1Scope3EmissionFactorsStationaryLiquid_Data(), Table_Fuel_EFs_StationaryLiquid[[#Headers],[Fuel combusted]],0)</f>
        <v>38.799999999999997</v>
      </c>
      <c r="F54" s="243" t="str" cm="1">
        <f t="array" ref="F54">Common_InputFunctions.Utility_DisplayArrayInTable(Fuel_SourceData.Fuel_Scope1Scope3EmissionFactorsStationaryLiquid_Data(), Table_Fuel_EFs_StationaryLiquid[[#Headers],[Fuel combusted]],0)</f>
        <v>kl</v>
      </c>
      <c r="G54" s="243" cm="1">
        <f t="array" ref="G54">Common_InputFunctions.Utility_DisplayArrayInTable(Fuel_SourceData.Fuel_Scope1Scope3EmissionFactorsStationaryLiquid_Data(), Table_Fuel_EFs_StationaryLiquid[[#Headers],[Fuel combusted]],0)</f>
        <v>13.9</v>
      </c>
      <c r="H54" s="243" cm="1">
        <f t="array" ref="H54">Common_InputFunctions.Utility_DisplayArrayInTable(Fuel_SourceData.Fuel_Scope1Scope3EmissionFactorsStationaryLiquid_Data(), Table_Fuel_EFs_StationaryLiquid[[#Headers],[Fuel combusted]],0)</f>
        <v>0</v>
      </c>
      <c r="I54" s="243" cm="1">
        <f t="array" ref="I54">Common_InputFunctions.Utility_DisplayArrayInTable(Fuel_SourceData.Fuel_Scope1Scope3EmissionFactorsStationaryLiquid_Data(), Table_Fuel_EFs_StationaryLiquid[[#Headers],[Fuel combusted]],0)</f>
        <v>0</v>
      </c>
      <c r="J54" s="243" cm="1">
        <f t="array" ref="J54">Common_InputFunctions.Utility_DisplayArrayInTable(Fuel_SourceData.Fuel_Scope1Scope3EmissionFactorsStationaryLiquid_Data(), Table_Fuel_EFs_StationaryLiquid[[#Headers],[Fuel combusted]],0)</f>
        <v>13.9</v>
      </c>
      <c r="K54" s="243" cm="1">
        <f t="array" ref="K54">Common_InputFunctions.Utility_DisplayArrayInTable(Fuel_SourceData.Fuel_Scope1Scope3EmissionFactorsStationaryLiquid_Data(), Table_Fuel_EFs_StationaryLiquid[[#Headers],[Fuel combusted]],0)</f>
        <v>18</v>
      </c>
      <c r="L54" s="191"/>
    </row>
    <row r="55" spans="1:12" ht="20.100000000000001" customHeight="1" x14ac:dyDescent="0.25">
      <c r="A55" s="5" t="str">
        <f>HYPERLINK("#'Constants - Ag Residue'!A1", "Constants - Ag residue")</f>
        <v>Constants - Ag residue</v>
      </c>
      <c r="D55" s="243" t="str" cm="1">
        <f t="array" ref="D55">Common_InputFunctions.Utility_DisplayArrayInTable(Fuel_SourceData.Fuel_Scope1Scope3EmissionFactorsStationaryLiquid_Data(), Table_Fuel_EFs_StationaryLiquid[[#Headers],[Fuel combusted]],0)</f>
        <v>Petroleum based greases</v>
      </c>
      <c r="E55" s="243" cm="1">
        <f t="array" ref="E55">Common_InputFunctions.Utility_DisplayArrayInTable(Fuel_SourceData.Fuel_Scope1Scope3EmissionFactorsStationaryLiquid_Data(), Table_Fuel_EFs_StationaryLiquid[[#Headers],[Fuel combusted]],0)</f>
        <v>38.799999999999997</v>
      </c>
      <c r="F55" s="243" t="str" cm="1">
        <f t="array" ref="F55">Common_InputFunctions.Utility_DisplayArrayInTable(Fuel_SourceData.Fuel_Scope1Scope3EmissionFactorsStationaryLiquid_Data(), Table_Fuel_EFs_StationaryLiquid[[#Headers],[Fuel combusted]],0)</f>
        <v>kl</v>
      </c>
      <c r="G55" s="243" cm="1">
        <f t="array" ref="G55">Common_InputFunctions.Utility_DisplayArrayInTable(Fuel_SourceData.Fuel_Scope1Scope3EmissionFactorsStationaryLiquid_Data(), Table_Fuel_EFs_StationaryLiquid[[#Headers],[Fuel combusted]],0)</f>
        <v>3.5</v>
      </c>
      <c r="H55" s="243" cm="1">
        <f t="array" ref="H55">Common_InputFunctions.Utility_DisplayArrayInTable(Fuel_SourceData.Fuel_Scope1Scope3EmissionFactorsStationaryLiquid_Data(), Table_Fuel_EFs_StationaryLiquid[[#Headers],[Fuel combusted]],0)</f>
        <v>0</v>
      </c>
      <c r="I55" s="243" cm="1">
        <f t="array" ref="I55">Common_InputFunctions.Utility_DisplayArrayInTable(Fuel_SourceData.Fuel_Scope1Scope3EmissionFactorsStationaryLiquid_Data(), Table_Fuel_EFs_StationaryLiquid[[#Headers],[Fuel combusted]],0)</f>
        <v>0</v>
      </c>
      <c r="J55" s="243" cm="1">
        <f t="array" ref="J55">Common_InputFunctions.Utility_DisplayArrayInTable(Fuel_SourceData.Fuel_Scope1Scope3EmissionFactorsStationaryLiquid_Data(), Table_Fuel_EFs_StationaryLiquid[[#Headers],[Fuel combusted]],0)</f>
        <v>3.5</v>
      </c>
      <c r="K55" s="243" cm="1">
        <f t="array" ref="K55">Common_InputFunctions.Utility_DisplayArrayInTable(Fuel_SourceData.Fuel_Scope1Scope3EmissionFactorsStationaryLiquid_Data(), Table_Fuel_EFs_StationaryLiquid[[#Headers],[Fuel combusted]],0)</f>
        <v>18</v>
      </c>
      <c r="L55" s="191"/>
    </row>
    <row r="56" spans="1:12" ht="20.100000000000001" customHeight="1" x14ac:dyDescent="0.25">
      <c r="A56" s="5" t="str">
        <f>HYPERLINK("#'Constants - Common Livestock'!A1", "Constants - Common Livestock")</f>
        <v>Constants - Common Livestock</v>
      </c>
      <c r="D56" s="243" t="str" cm="1">
        <f t="array" ref="D56">Common_InputFunctions.Utility_DisplayArrayInTable(Fuel_SourceData.Fuel_Scope1Scope3EmissionFactorsStationaryLiquid_Data(), Table_Fuel_EFs_StationaryLiquid[[#Headers],[Fuel combusted]],0)</f>
        <v>Crude oil including crude oil condensates</v>
      </c>
      <c r="E56" s="243" cm="1">
        <f t="array" ref="E56">Common_InputFunctions.Utility_DisplayArrayInTable(Fuel_SourceData.Fuel_Scope1Scope3EmissionFactorsStationaryLiquid_Data(), Table_Fuel_EFs_StationaryLiquid[[#Headers],[Fuel combusted]],0)</f>
        <v>45.3</v>
      </c>
      <c r="F56" s="243" t="str" cm="1">
        <f t="array" ref="F56">Common_InputFunctions.Utility_DisplayArrayInTable(Fuel_SourceData.Fuel_Scope1Scope3EmissionFactorsStationaryLiquid_Data(), Table_Fuel_EFs_StationaryLiquid[[#Headers],[Fuel combusted]],0)</f>
        <v>t</v>
      </c>
      <c r="G56" s="243" cm="1">
        <f t="array" ref="G56">Common_InputFunctions.Utility_DisplayArrayInTable(Fuel_SourceData.Fuel_Scope1Scope3EmissionFactorsStationaryLiquid_Data(), Table_Fuel_EFs_StationaryLiquid[[#Headers],[Fuel combusted]],0)</f>
        <v>69.599999999999994</v>
      </c>
      <c r="H56" s="243" cm="1">
        <f t="array" ref="H56">Common_InputFunctions.Utility_DisplayArrayInTable(Fuel_SourceData.Fuel_Scope1Scope3EmissionFactorsStationaryLiquid_Data(), Table_Fuel_EFs_StationaryLiquid[[#Headers],[Fuel combusted]],0)</f>
        <v>0.08</v>
      </c>
      <c r="I56" s="243" cm="1">
        <f t="array" ref="I56">Common_InputFunctions.Utility_DisplayArrayInTable(Fuel_SourceData.Fuel_Scope1Scope3EmissionFactorsStationaryLiquid_Data(), Table_Fuel_EFs_StationaryLiquid[[#Headers],[Fuel combusted]],0)</f>
        <v>0.2</v>
      </c>
      <c r="J56" s="243" cm="1">
        <f t="array" ref="J56">Common_InputFunctions.Utility_DisplayArrayInTable(Fuel_SourceData.Fuel_Scope1Scope3EmissionFactorsStationaryLiquid_Data(), Table_Fuel_EFs_StationaryLiquid[[#Headers],[Fuel combusted]],0)</f>
        <v>69.88</v>
      </c>
      <c r="K56" s="243" t="str" cm="1">
        <f t="array" ref="K56">Common_InputFunctions.Utility_DisplayArrayInTable(Fuel_SourceData.Fuel_Scope1Scope3EmissionFactorsStationaryLiquid_Data(), Table_Fuel_EFs_StationaryLiquid[[#Headers],[Fuel combusted]],0)</f>
        <v>NE</v>
      </c>
      <c r="L56" s="191"/>
    </row>
    <row r="57" spans="1:12" ht="20.100000000000001" customHeight="1" x14ac:dyDescent="0.25">
      <c r="A57" s="5" t="str">
        <f>HYPERLINK("#'Constants - Electricity'!A1", "Constants - Electricity")</f>
        <v>Constants - Electricity</v>
      </c>
      <c r="D57" s="243" t="str" cm="1">
        <f t="array" ref="D57">Common_InputFunctions.Utility_DisplayArrayInTable(Fuel_SourceData.Fuel_Scope1Scope3EmissionFactorsStationaryLiquid_Data(), Table_Fuel_EFs_StationaryLiquid[[#Headers],[Fuel combusted]],0)</f>
        <v>Other natural gas liquids</v>
      </c>
      <c r="E57" s="243" cm="1">
        <f t="array" ref="E57">Common_InputFunctions.Utility_DisplayArrayInTable(Fuel_SourceData.Fuel_Scope1Scope3EmissionFactorsStationaryLiquid_Data(), Table_Fuel_EFs_StationaryLiquid[[#Headers],[Fuel combusted]],0)</f>
        <v>46.5</v>
      </c>
      <c r="F57" s="243" t="str" cm="1">
        <f t="array" ref="F57">Common_InputFunctions.Utility_DisplayArrayInTable(Fuel_SourceData.Fuel_Scope1Scope3EmissionFactorsStationaryLiquid_Data(), Table_Fuel_EFs_StationaryLiquid[[#Headers],[Fuel combusted]],0)</f>
        <v>t</v>
      </c>
      <c r="G57" s="243" cm="1">
        <f t="array" ref="G57">Common_InputFunctions.Utility_DisplayArrayInTable(Fuel_SourceData.Fuel_Scope1Scope3EmissionFactorsStationaryLiquid_Data(), Table_Fuel_EFs_StationaryLiquid[[#Headers],[Fuel combusted]],0)</f>
        <v>61</v>
      </c>
      <c r="H57" s="243" cm="1">
        <f t="array" ref="H57">Common_InputFunctions.Utility_DisplayArrayInTable(Fuel_SourceData.Fuel_Scope1Scope3EmissionFactorsStationaryLiquid_Data(), Table_Fuel_EFs_StationaryLiquid[[#Headers],[Fuel combusted]],0)</f>
        <v>0.08</v>
      </c>
      <c r="I57" s="243" cm="1">
        <f t="array" ref="I57">Common_InputFunctions.Utility_DisplayArrayInTable(Fuel_SourceData.Fuel_Scope1Scope3EmissionFactorsStationaryLiquid_Data(), Table_Fuel_EFs_StationaryLiquid[[#Headers],[Fuel combusted]],0)</f>
        <v>0.2</v>
      </c>
      <c r="J57" s="243" cm="1">
        <f t="array" ref="J57">Common_InputFunctions.Utility_DisplayArrayInTable(Fuel_SourceData.Fuel_Scope1Scope3EmissionFactorsStationaryLiquid_Data(), Table_Fuel_EFs_StationaryLiquid[[#Headers],[Fuel combusted]],0)</f>
        <v>61.28</v>
      </c>
      <c r="K57" s="243" t="str" cm="1">
        <f t="array" ref="K57">Common_InputFunctions.Utility_DisplayArrayInTable(Fuel_SourceData.Fuel_Scope1Scope3EmissionFactorsStationaryLiquid_Data(), Table_Fuel_EFs_StationaryLiquid[[#Headers],[Fuel combusted]],0)</f>
        <v>NE</v>
      </c>
      <c r="L57" s="191"/>
    </row>
    <row r="58" spans="1:12" ht="20.100000000000001" customHeight="1" x14ac:dyDescent="0.25">
      <c r="A58" s="5" t="str">
        <f>HYPERLINK("#'Constants - Fertiliser'!A1", "Constants - Fertiliser")</f>
        <v>Constants - Fertiliser</v>
      </c>
      <c r="D58" s="243"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43" cm="1">
        <f t="array" ref="E58">Common_InputFunctions.Utility_DisplayArrayInTable(Fuel_SourceData.Fuel_Scope1Scope3EmissionFactorsStationaryLiquid_Data(), Table_Fuel_EFs_StationaryLiquid[[#Headers],[Fuel combusted]],0)</f>
        <v>34.200000000000003</v>
      </c>
      <c r="F58" s="243" t="str" cm="1">
        <f t="array" ref="F58">Common_InputFunctions.Utility_DisplayArrayInTable(Fuel_SourceData.Fuel_Scope1Scope3EmissionFactorsStationaryLiquid_Data(), Table_Fuel_EFs_StationaryLiquid[[#Headers],[Fuel combusted]],0)</f>
        <v>kL</v>
      </c>
      <c r="G58" s="243" cm="1">
        <f t="array" ref="G58">Common_InputFunctions.Utility_DisplayArrayInTable(Fuel_SourceData.Fuel_Scope1Scope3EmissionFactorsStationaryLiquid_Data(), Table_Fuel_EFs_StationaryLiquid[[#Headers],[Fuel combusted]],0)</f>
        <v>67.400000000000006</v>
      </c>
      <c r="H58" s="243" cm="1">
        <f t="array" ref="H58">Common_InputFunctions.Utility_DisplayArrayInTable(Fuel_SourceData.Fuel_Scope1Scope3EmissionFactorsStationaryLiquid_Data(), Table_Fuel_EFs_StationaryLiquid[[#Headers],[Fuel combusted]],0)</f>
        <v>0.2</v>
      </c>
      <c r="I58" s="243" cm="1">
        <f t="array" ref="I58">Common_InputFunctions.Utility_DisplayArrayInTable(Fuel_SourceData.Fuel_Scope1Scope3EmissionFactorsStationaryLiquid_Data(), Table_Fuel_EFs_StationaryLiquid[[#Headers],[Fuel combusted]],0)</f>
        <v>0.2</v>
      </c>
      <c r="J58" s="243" cm="1">
        <f t="array" ref="J58">Common_InputFunctions.Utility_DisplayArrayInTable(Fuel_SourceData.Fuel_Scope1Scope3EmissionFactorsStationaryLiquid_Data(), Table_Fuel_EFs_StationaryLiquid[[#Headers],[Fuel combusted]],0)</f>
        <v>67.8</v>
      </c>
      <c r="K58" s="243" cm="1">
        <f t="array" ref="K58">Common_InputFunctions.Utility_DisplayArrayInTable(Fuel_SourceData.Fuel_Scope1Scope3EmissionFactorsStationaryLiquid_Data(), Table_Fuel_EFs_StationaryLiquid[[#Headers],[Fuel combusted]],0)</f>
        <v>17.2</v>
      </c>
      <c r="L58" s="191"/>
    </row>
    <row r="59" spans="1:12" ht="20.100000000000001" customHeight="1" x14ac:dyDescent="0.25">
      <c r="A59" s="148" t="str">
        <f>HYPERLINK("#'Constants - Fuel'!A1", "Constants - Fuel")</f>
        <v>Constants - Fuel</v>
      </c>
      <c r="D59" s="243" t="str" cm="1">
        <f t="array" ref="D59">Common_InputFunctions.Utility_DisplayArrayInTable(Fuel_SourceData.Fuel_Scope1Scope3EmissionFactorsStationaryLiquid_Data(), Table_Fuel_EFs_StationaryLiquid[[#Headers],[Fuel combusted]],0)</f>
        <v>Aviation gasoline</v>
      </c>
      <c r="E59" s="243" cm="1">
        <f t="array" ref="E59">Common_InputFunctions.Utility_DisplayArrayInTable(Fuel_SourceData.Fuel_Scope1Scope3EmissionFactorsStationaryLiquid_Data(), Table_Fuel_EFs_StationaryLiquid[[#Headers],[Fuel combusted]],0)</f>
        <v>33.1</v>
      </c>
      <c r="F59" s="243" t="str" cm="1">
        <f t="array" ref="F59">Common_InputFunctions.Utility_DisplayArrayInTable(Fuel_SourceData.Fuel_Scope1Scope3EmissionFactorsStationaryLiquid_Data(), Table_Fuel_EFs_StationaryLiquid[[#Headers],[Fuel combusted]],0)</f>
        <v>kL</v>
      </c>
      <c r="G59" s="243" cm="1">
        <f t="array" ref="G59">Common_InputFunctions.Utility_DisplayArrayInTable(Fuel_SourceData.Fuel_Scope1Scope3EmissionFactorsStationaryLiquid_Data(), Table_Fuel_EFs_StationaryLiquid[[#Headers],[Fuel combusted]],0)</f>
        <v>67</v>
      </c>
      <c r="H59" s="243" cm="1">
        <f t="array" ref="H59">Common_InputFunctions.Utility_DisplayArrayInTable(Fuel_SourceData.Fuel_Scope1Scope3EmissionFactorsStationaryLiquid_Data(), Table_Fuel_EFs_StationaryLiquid[[#Headers],[Fuel combusted]],0)</f>
        <v>0.2</v>
      </c>
      <c r="I59" s="243" cm="1">
        <f t="array" ref="I59">Common_InputFunctions.Utility_DisplayArrayInTable(Fuel_SourceData.Fuel_Scope1Scope3EmissionFactorsStationaryLiquid_Data(), Table_Fuel_EFs_StationaryLiquid[[#Headers],[Fuel combusted]],0)</f>
        <v>0.2</v>
      </c>
      <c r="J59" s="243" cm="1">
        <f t="array" ref="J59">Common_InputFunctions.Utility_DisplayArrayInTable(Fuel_SourceData.Fuel_Scope1Scope3EmissionFactorsStationaryLiquid_Data(), Table_Fuel_EFs_StationaryLiquid[[#Headers],[Fuel combusted]],0)</f>
        <v>67.400000000000006</v>
      </c>
      <c r="K59" s="243" cm="1">
        <f t="array" ref="K59">Common_InputFunctions.Utility_DisplayArrayInTable(Fuel_SourceData.Fuel_Scope1Scope3EmissionFactorsStationaryLiquid_Data(), Table_Fuel_EFs_StationaryLiquid[[#Headers],[Fuel combusted]],0)</f>
        <v>18</v>
      </c>
      <c r="L59" s="191"/>
    </row>
    <row r="60" spans="1:12" ht="20.100000000000001" customHeight="1" x14ac:dyDescent="0.25">
      <c r="A60" s="5" t="str">
        <f>HYPERLINK("#'Constants - Scope 3'!A1", "Constants - Scope 3")</f>
        <v>Constants - Scope 3</v>
      </c>
      <c r="D60" s="243" t="str" cm="1">
        <f t="array" ref="D60">Common_InputFunctions.Utility_DisplayArrayInTable(Fuel_SourceData.Fuel_Scope1Scope3EmissionFactorsStationaryLiquid_Data(), Table_Fuel_EFs_StationaryLiquid[[#Headers],[Fuel combusted]],0)</f>
        <v>Kerosene (other than for use as fuel in an aircraft)</v>
      </c>
      <c r="E60" s="243" cm="1">
        <f t="array" ref="E60">Common_InputFunctions.Utility_DisplayArrayInTable(Fuel_SourceData.Fuel_Scope1Scope3EmissionFactorsStationaryLiquid_Data(), Table_Fuel_EFs_StationaryLiquid[[#Headers],[Fuel combusted]],0)</f>
        <v>37.5</v>
      </c>
      <c r="F60" s="243" t="str" cm="1">
        <f t="array" ref="F60">Common_InputFunctions.Utility_DisplayArrayInTable(Fuel_SourceData.Fuel_Scope1Scope3EmissionFactorsStationaryLiquid_Data(), Table_Fuel_EFs_StationaryLiquid[[#Headers],[Fuel combusted]],0)</f>
        <v>kL</v>
      </c>
      <c r="G60" s="243" cm="1">
        <f t="array" ref="G60">Common_InputFunctions.Utility_DisplayArrayInTable(Fuel_SourceData.Fuel_Scope1Scope3EmissionFactorsStationaryLiquid_Data(), Table_Fuel_EFs_StationaryLiquid[[#Headers],[Fuel combusted]],0)</f>
        <v>68.900000000000006</v>
      </c>
      <c r="H60" s="243" cm="1">
        <f t="array" ref="H60">Common_InputFunctions.Utility_DisplayArrayInTable(Fuel_SourceData.Fuel_Scope1Scope3EmissionFactorsStationaryLiquid_Data(), Table_Fuel_EFs_StationaryLiquid[[#Headers],[Fuel combusted]],0)</f>
        <v>0.01</v>
      </c>
      <c r="I60" s="243" cm="1">
        <f t="array" ref="I60">Common_InputFunctions.Utility_DisplayArrayInTable(Fuel_SourceData.Fuel_Scope1Scope3EmissionFactorsStationaryLiquid_Data(), Table_Fuel_EFs_StationaryLiquid[[#Headers],[Fuel combusted]],0)</f>
        <v>0.2</v>
      </c>
      <c r="J60" s="243" cm="1">
        <f t="array" ref="J60">Common_InputFunctions.Utility_DisplayArrayInTable(Fuel_SourceData.Fuel_Scope1Scope3EmissionFactorsStationaryLiquid_Data(), Table_Fuel_EFs_StationaryLiquid[[#Headers],[Fuel combusted]],0)</f>
        <v>69.11</v>
      </c>
      <c r="K60" s="243" cm="1">
        <f t="array" ref="K60">Common_InputFunctions.Utility_DisplayArrayInTable(Fuel_SourceData.Fuel_Scope1Scope3EmissionFactorsStationaryLiquid_Data(), Table_Fuel_EFs_StationaryLiquid[[#Headers],[Fuel combusted]],0)</f>
        <v>18</v>
      </c>
      <c r="L60" s="191"/>
    </row>
    <row r="61" spans="1:12" ht="20.100000000000001" customHeight="1" x14ac:dyDescent="0.25">
      <c r="A61" s="5" t="str">
        <f>HYPERLINK("#'Constants - Common'!A1", "Constants - Common")</f>
        <v>Constants - Common</v>
      </c>
      <c r="D61" s="243" t="str" cm="1">
        <f t="array" ref="D61">Common_InputFunctions.Utility_DisplayArrayInTable(Fuel_SourceData.Fuel_Scope1Scope3EmissionFactorsStationaryLiquid_Data(), Table_Fuel_EFs_StationaryLiquid[[#Headers],[Fuel combusted]],0)</f>
        <v>Aviation turbine fuel / kerosene</v>
      </c>
      <c r="E61" s="243" cm="1">
        <f t="array" ref="E61">Common_InputFunctions.Utility_DisplayArrayInTable(Fuel_SourceData.Fuel_Scope1Scope3EmissionFactorsStationaryLiquid_Data(), Table_Fuel_EFs_StationaryLiquid[[#Headers],[Fuel combusted]],0)</f>
        <v>36.799999999999997</v>
      </c>
      <c r="F61" s="243" t="str" cm="1">
        <f t="array" ref="F61">Common_InputFunctions.Utility_DisplayArrayInTable(Fuel_SourceData.Fuel_Scope1Scope3EmissionFactorsStationaryLiquid_Data(), Table_Fuel_EFs_StationaryLiquid[[#Headers],[Fuel combusted]],0)</f>
        <v>kL</v>
      </c>
      <c r="G61" s="243" cm="1">
        <f t="array" ref="G61">Common_InputFunctions.Utility_DisplayArrayInTable(Fuel_SourceData.Fuel_Scope1Scope3EmissionFactorsStationaryLiquid_Data(), Table_Fuel_EFs_StationaryLiquid[[#Headers],[Fuel combusted]],0)</f>
        <v>69.599999999999994</v>
      </c>
      <c r="H61" s="243" cm="1">
        <f t="array" ref="H61">Common_InputFunctions.Utility_DisplayArrayInTable(Fuel_SourceData.Fuel_Scope1Scope3EmissionFactorsStationaryLiquid_Data(), Table_Fuel_EFs_StationaryLiquid[[#Headers],[Fuel combusted]],0)</f>
        <v>0.02</v>
      </c>
      <c r="I61" s="243" cm="1">
        <f t="array" ref="I61">Common_InputFunctions.Utility_DisplayArrayInTable(Fuel_SourceData.Fuel_Scope1Scope3EmissionFactorsStationaryLiquid_Data(), Table_Fuel_EFs_StationaryLiquid[[#Headers],[Fuel combusted]],0)</f>
        <v>0.2</v>
      </c>
      <c r="J61" s="243" cm="1">
        <f t="array" ref="J61">Common_InputFunctions.Utility_DisplayArrayInTable(Fuel_SourceData.Fuel_Scope1Scope3EmissionFactorsStationaryLiquid_Data(), Table_Fuel_EFs_StationaryLiquid[[#Headers],[Fuel combusted]],0)</f>
        <v>69.819999999999993</v>
      </c>
      <c r="K61" s="243" cm="1">
        <f t="array" ref="K61">Common_InputFunctions.Utility_DisplayArrayInTable(Fuel_SourceData.Fuel_Scope1Scope3EmissionFactorsStationaryLiquid_Data(), Table_Fuel_EFs_StationaryLiquid[[#Headers],[Fuel combusted]],0)</f>
        <v>18</v>
      </c>
      <c r="L61" s="191"/>
    </row>
    <row r="62" spans="1:12" ht="20.100000000000001" customHeight="1" x14ac:dyDescent="0.25">
      <c r="A62" s="5" t="str">
        <f>HYPERLINK("#'Acknowledgements'!A1", "Acknowledgements")</f>
        <v>Acknowledgements</v>
      </c>
      <c r="D62" s="243" t="str" cm="1">
        <f t="array" ref="D62">Common_InputFunctions.Utility_DisplayArrayInTable(Fuel_SourceData.Fuel_Scope1Scope3EmissionFactorsStationaryLiquid_Data(), Table_Fuel_EFs_StationaryLiquid[[#Headers],[Fuel combusted]],0)</f>
        <v>Heating oil</v>
      </c>
      <c r="E62" s="243" cm="1">
        <f t="array" ref="E62">Common_InputFunctions.Utility_DisplayArrayInTable(Fuel_SourceData.Fuel_Scope1Scope3EmissionFactorsStationaryLiquid_Data(), Table_Fuel_EFs_StationaryLiquid[[#Headers],[Fuel combusted]],0)</f>
        <v>37.299999999999997</v>
      </c>
      <c r="F62" s="243" t="str" cm="1">
        <f t="array" ref="F62">Common_InputFunctions.Utility_DisplayArrayInTable(Fuel_SourceData.Fuel_Scope1Scope3EmissionFactorsStationaryLiquid_Data(), Table_Fuel_EFs_StationaryLiquid[[#Headers],[Fuel combusted]],0)</f>
        <v>kL</v>
      </c>
      <c r="G62" s="243" cm="1">
        <f t="array" ref="G62">Common_InputFunctions.Utility_DisplayArrayInTable(Fuel_SourceData.Fuel_Scope1Scope3EmissionFactorsStationaryLiquid_Data(), Table_Fuel_EFs_StationaryLiquid[[#Headers],[Fuel combusted]],0)</f>
        <v>69.5</v>
      </c>
      <c r="H62" s="243" cm="1">
        <f t="array" ref="H62">Common_InputFunctions.Utility_DisplayArrayInTable(Fuel_SourceData.Fuel_Scope1Scope3EmissionFactorsStationaryLiquid_Data(), Table_Fuel_EFs_StationaryLiquid[[#Headers],[Fuel combusted]],0)</f>
        <v>0.03</v>
      </c>
      <c r="I62" s="243" cm="1">
        <f t="array" ref="I62">Common_InputFunctions.Utility_DisplayArrayInTable(Fuel_SourceData.Fuel_Scope1Scope3EmissionFactorsStationaryLiquid_Data(), Table_Fuel_EFs_StationaryLiquid[[#Headers],[Fuel combusted]],0)</f>
        <v>0.2</v>
      </c>
      <c r="J62" s="243" cm="1">
        <f t="array" ref="J62">Common_InputFunctions.Utility_DisplayArrayInTable(Fuel_SourceData.Fuel_Scope1Scope3EmissionFactorsStationaryLiquid_Data(), Table_Fuel_EFs_StationaryLiquid[[#Headers],[Fuel combusted]],0)</f>
        <v>69.73</v>
      </c>
      <c r="K62" s="243" cm="1">
        <f t="array" ref="K62">Common_InputFunctions.Utility_DisplayArrayInTable(Fuel_SourceData.Fuel_Scope1Scope3EmissionFactorsStationaryLiquid_Data(), Table_Fuel_EFs_StationaryLiquid[[#Headers],[Fuel combusted]],0)</f>
        <v>18</v>
      </c>
      <c r="L62" s="191"/>
    </row>
    <row r="63" spans="1:12" ht="20.100000000000001" customHeight="1" x14ac:dyDescent="0.25">
      <c r="A63" s="5" t="str">
        <f>HYPERLINK("#'Constants - Solid Waste'!A1", "Constants - Solid Waste")</f>
        <v>Constants - Solid Waste</v>
      </c>
      <c r="D63" s="243" t="str" cm="1">
        <f t="array" ref="D63">Common_InputFunctions.Utility_DisplayArrayInTable(Fuel_SourceData.Fuel_Scope1Scope3EmissionFactorsStationaryLiquid_Data(), Table_Fuel_EFs_StationaryLiquid[[#Headers],[Fuel combusted]],0)</f>
        <v>Diesel oil</v>
      </c>
      <c r="E63" s="243" cm="1">
        <f t="array" ref="E63">Common_InputFunctions.Utility_DisplayArrayInTable(Fuel_SourceData.Fuel_Scope1Scope3EmissionFactorsStationaryLiquid_Data(), Table_Fuel_EFs_StationaryLiquid[[#Headers],[Fuel combusted]],0)</f>
        <v>38.6</v>
      </c>
      <c r="F63" s="243" t="str" cm="1">
        <f t="array" ref="F63">Common_InputFunctions.Utility_DisplayArrayInTable(Fuel_SourceData.Fuel_Scope1Scope3EmissionFactorsStationaryLiquid_Data(), Table_Fuel_EFs_StationaryLiquid[[#Headers],[Fuel combusted]],0)</f>
        <v>kL</v>
      </c>
      <c r="G63" s="243" cm="1">
        <f t="array" ref="G63">Common_InputFunctions.Utility_DisplayArrayInTable(Fuel_SourceData.Fuel_Scope1Scope3EmissionFactorsStationaryLiquid_Data(), Table_Fuel_EFs_StationaryLiquid[[#Headers],[Fuel combusted]],0)</f>
        <v>69.900000000000006</v>
      </c>
      <c r="H63" s="243" cm="1">
        <f t="array" ref="H63">Common_InputFunctions.Utility_DisplayArrayInTable(Fuel_SourceData.Fuel_Scope1Scope3EmissionFactorsStationaryLiquid_Data(), Table_Fuel_EFs_StationaryLiquid[[#Headers],[Fuel combusted]],0)</f>
        <v>0.1</v>
      </c>
      <c r="I63" s="243" cm="1">
        <f t="array" ref="I63">Common_InputFunctions.Utility_DisplayArrayInTable(Fuel_SourceData.Fuel_Scope1Scope3EmissionFactorsStationaryLiquid_Data(), Table_Fuel_EFs_StationaryLiquid[[#Headers],[Fuel combusted]],0)</f>
        <v>0.2</v>
      </c>
      <c r="J63" s="243" cm="1">
        <f t="array" ref="J63">Common_InputFunctions.Utility_DisplayArrayInTable(Fuel_SourceData.Fuel_Scope1Scope3EmissionFactorsStationaryLiquid_Data(), Table_Fuel_EFs_StationaryLiquid[[#Headers],[Fuel combusted]],0)</f>
        <v>70.2</v>
      </c>
      <c r="K63" s="243" cm="1">
        <f t="array" ref="K63">Common_InputFunctions.Utility_DisplayArrayInTable(Fuel_SourceData.Fuel_Scope1Scope3EmissionFactorsStationaryLiquid_Data(), Table_Fuel_EFs_StationaryLiquid[[#Headers],[Fuel combusted]],0)</f>
        <v>17.3</v>
      </c>
      <c r="L63" s="191"/>
    </row>
    <row r="64" spans="1:12" ht="20.100000000000001" customHeight="1" x14ac:dyDescent="0.25">
      <c r="D64" s="243" t="str" cm="1">
        <f t="array" ref="D64">Common_InputFunctions.Utility_DisplayArrayInTable(Fuel_SourceData.Fuel_Scope1Scope3EmissionFactorsStationaryLiquid_Data(), Table_Fuel_EFs_StationaryLiquid[[#Headers],[Fuel combusted]],0)</f>
        <v>Fuel oil</v>
      </c>
      <c r="E64" s="243" cm="1">
        <f t="array" ref="E64">Common_InputFunctions.Utility_DisplayArrayInTable(Fuel_SourceData.Fuel_Scope1Scope3EmissionFactorsStationaryLiquid_Data(), Table_Fuel_EFs_StationaryLiquid[[#Headers],[Fuel combusted]],0)</f>
        <v>39.700000000000003</v>
      </c>
      <c r="F64" s="243" t="str" cm="1">
        <f t="array" ref="F64">Common_InputFunctions.Utility_DisplayArrayInTable(Fuel_SourceData.Fuel_Scope1Scope3EmissionFactorsStationaryLiquid_Data(), Table_Fuel_EFs_StationaryLiquid[[#Headers],[Fuel combusted]],0)</f>
        <v>kL</v>
      </c>
      <c r="G64" s="243" cm="1">
        <f t="array" ref="G64">Common_InputFunctions.Utility_DisplayArrayInTable(Fuel_SourceData.Fuel_Scope1Scope3EmissionFactorsStationaryLiquid_Data(), Table_Fuel_EFs_StationaryLiquid[[#Headers],[Fuel combusted]],0)</f>
        <v>73.599999999999994</v>
      </c>
      <c r="H64" s="243" cm="1">
        <f t="array" ref="H64">Common_InputFunctions.Utility_DisplayArrayInTable(Fuel_SourceData.Fuel_Scope1Scope3EmissionFactorsStationaryLiquid_Data(), Table_Fuel_EFs_StationaryLiquid[[#Headers],[Fuel combusted]],0)</f>
        <v>0.04</v>
      </c>
      <c r="I64" s="243" cm="1">
        <f t="array" ref="I64">Common_InputFunctions.Utility_DisplayArrayInTable(Fuel_SourceData.Fuel_Scope1Scope3EmissionFactorsStationaryLiquid_Data(), Table_Fuel_EFs_StationaryLiquid[[#Headers],[Fuel combusted]],0)</f>
        <v>0.2</v>
      </c>
      <c r="J64" s="243" cm="1">
        <f t="array" ref="J64">Common_InputFunctions.Utility_DisplayArrayInTable(Fuel_SourceData.Fuel_Scope1Scope3EmissionFactorsStationaryLiquid_Data(), Table_Fuel_EFs_StationaryLiquid[[#Headers],[Fuel combusted]],0)</f>
        <v>73.84</v>
      </c>
      <c r="K64" s="243" cm="1">
        <f t="array" ref="K64">Common_InputFunctions.Utility_DisplayArrayInTable(Fuel_SourceData.Fuel_Scope1Scope3EmissionFactorsStationaryLiquid_Data(), Table_Fuel_EFs_StationaryLiquid[[#Headers],[Fuel combusted]],0)</f>
        <v>18</v>
      </c>
      <c r="L64" s="191"/>
    </row>
    <row r="65" spans="4:13" ht="20.100000000000001" customHeight="1" x14ac:dyDescent="0.25">
      <c r="D65" s="243" t="str" cm="1">
        <f t="array" ref="D65">Common_InputFunctions.Utility_DisplayArrayInTable(Fuel_SourceData.Fuel_Scope1Scope3EmissionFactorsStationaryLiquid_Data(), Table_Fuel_EFs_StationaryLiquid[[#Headers],[Fuel combusted]],0)</f>
        <v>Liquefied aromatic hydrocarbons</v>
      </c>
      <c r="E65" s="243" cm="1">
        <f t="array" ref="E65">Common_InputFunctions.Utility_DisplayArrayInTable(Fuel_SourceData.Fuel_Scope1Scope3EmissionFactorsStationaryLiquid_Data(), Table_Fuel_EFs_StationaryLiquid[[#Headers],[Fuel combusted]],0)</f>
        <v>34.4</v>
      </c>
      <c r="F65" s="243" t="str" cm="1">
        <f t="array" ref="F65">Common_InputFunctions.Utility_DisplayArrayInTable(Fuel_SourceData.Fuel_Scope1Scope3EmissionFactorsStationaryLiquid_Data(), Table_Fuel_EFs_StationaryLiquid[[#Headers],[Fuel combusted]],0)</f>
        <v>kL</v>
      </c>
      <c r="G65" s="243" cm="1">
        <f t="array" ref="G65">Common_InputFunctions.Utility_DisplayArrayInTable(Fuel_SourceData.Fuel_Scope1Scope3EmissionFactorsStationaryLiquid_Data(), Table_Fuel_EFs_StationaryLiquid[[#Headers],[Fuel combusted]],0)</f>
        <v>69.7</v>
      </c>
      <c r="H65" s="243" cm="1">
        <f t="array" ref="H65">Common_InputFunctions.Utility_DisplayArrayInTable(Fuel_SourceData.Fuel_Scope1Scope3EmissionFactorsStationaryLiquid_Data(), Table_Fuel_EFs_StationaryLiquid[[#Headers],[Fuel combusted]],0)</f>
        <v>0.03</v>
      </c>
      <c r="I65" s="243" cm="1">
        <f t="array" ref="I65">Common_InputFunctions.Utility_DisplayArrayInTable(Fuel_SourceData.Fuel_Scope1Scope3EmissionFactorsStationaryLiquid_Data(), Table_Fuel_EFs_StationaryLiquid[[#Headers],[Fuel combusted]],0)</f>
        <v>0.2</v>
      </c>
      <c r="J65" s="243" cm="1">
        <f t="array" ref="J65">Common_InputFunctions.Utility_DisplayArrayInTable(Fuel_SourceData.Fuel_Scope1Scope3EmissionFactorsStationaryLiquid_Data(), Table_Fuel_EFs_StationaryLiquid[[#Headers],[Fuel combusted]],0)</f>
        <v>69.930000000000007</v>
      </c>
      <c r="K65" s="243" cm="1">
        <f t="array" ref="K65">Common_InputFunctions.Utility_DisplayArrayInTable(Fuel_SourceData.Fuel_Scope1Scope3EmissionFactorsStationaryLiquid_Data(), Table_Fuel_EFs_StationaryLiquid[[#Headers],[Fuel combusted]],0)</f>
        <v>18</v>
      </c>
      <c r="L65" s="191"/>
    </row>
    <row r="66" spans="4:13" ht="20.100000000000001" customHeight="1" x14ac:dyDescent="0.25">
      <c r="D66" s="243" t="str" cm="1">
        <f t="array" ref="D66">Common_InputFunctions.Utility_DisplayArrayInTable(Fuel_SourceData.Fuel_Scope1Scope3EmissionFactorsStationaryLiquid_Data(), Table_Fuel_EFs_StationaryLiquid[[#Headers],[Fuel combusted]],0)</f>
        <v>Solvents: mineral turpentine or white spirits</v>
      </c>
      <c r="E66" s="243" cm="1">
        <f t="array" ref="E66">Common_InputFunctions.Utility_DisplayArrayInTable(Fuel_SourceData.Fuel_Scope1Scope3EmissionFactorsStationaryLiquid_Data(), Table_Fuel_EFs_StationaryLiquid[[#Headers],[Fuel combusted]],0)</f>
        <v>34.4</v>
      </c>
      <c r="F66" s="243" t="str" cm="1">
        <f t="array" ref="F66">Common_InputFunctions.Utility_DisplayArrayInTable(Fuel_SourceData.Fuel_Scope1Scope3EmissionFactorsStationaryLiquid_Data(), Table_Fuel_EFs_StationaryLiquid[[#Headers],[Fuel combusted]],0)</f>
        <v>kL</v>
      </c>
      <c r="G66" s="243" cm="1">
        <f t="array" ref="G66">Common_InputFunctions.Utility_DisplayArrayInTable(Fuel_SourceData.Fuel_Scope1Scope3EmissionFactorsStationaryLiquid_Data(), Table_Fuel_EFs_StationaryLiquid[[#Headers],[Fuel combusted]],0)</f>
        <v>69.7</v>
      </c>
      <c r="H66" s="243" cm="1">
        <f t="array" ref="H66">Common_InputFunctions.Utility_DisplayArrayInTable(Fuel_SourceData.Fuel_Scope1Scope3EmissionFactorsStationaryLiquid_Data(), Table_Fuel_EFs_StationaryLiquid[[#Headers],[Fuel combusted]],0)</f>
        <v>0.03</v>
      </c>
      <c r="I66" s="243" cm="1">
        <f t="array" ref="I66">Common_InputFunctions.Utility_DisplayArrayInTable(Fuel_SourceData.Fuel_Scope1Scope3EmissionFactorsStationaryLiquid_Data(), Table_Fuel_EFs_StationaryLiquid[[#Headers],[Fuel combusted]],0)</f>
        <v>0.2</v>
      </c>
      <c r="J66" s="243" cm="1">
        <f t="array" ref="J66">Common_InputFunctions.Utility_DisplayArrayInTable(Fuel_SourceData.Fuel_Scope1Scope3EmissionFactorsStationaryLiquid_Data(), Table_Fuel_EFs_StationaryLiquid[[#Headers],[Fuel combusted]],0)</f>
        <v>69.930000000000007</v>
      </c>
      <c r="K66" s="243" cm="1">
        <f t="array" ref="K66">Common_InputFunctions.Utility_DisplayArrayInTable(Fuel_SourceData.Fuel_Scope1Scope3EmissionFactorsStationaryLiquid_Data(), Table_Fuel_EFs_StationaryLiquid[[#Headers],[Fuel combusted]],0)</f>
        <v>18</v>
      </c>
      <c r="L66" s="191"/>
    </row>
    <row r="67" spans="4:13" ht="20.100000000000001" customHeight="1" x14ac:dyDescent="0.25">
      <c r="D67" s="243" t="str" cm="1">
        <f t="array" ref="D67">Common_InputFunctions.Utility_DisplayArrayInTable(Fuel_SourceData.Fuel_Scope1Scope3EmissionFactorsStationaryLiquid_Data(), Table_Fuel_EFs_StationaryLiquid[[#Headers],[Fuel combusted]],0)</f>
        <v>Liquefied petroleum gas (LPG)</v>
      </c>
      <c r="E67" s="243" cm="1">
        <f t="array" ref="E67">Common_InputFunctions.Utility_DisplayArrayInTable(Fuel_SourceData.Fuel_Scope1Scope3EmissionFactorsStationaryLiquid_Data(), Table_Fuel_EFs_StationaryLiquid[[#Headers],[Fuel combusted]],0)</f>
        <v>25.7</v>
      </c>
      <c r="F67" s="243" t="str" cm="1">
        <f t="array" ref="F67">Common_InputFunctions.Utility_DisplayArrayInTable(Fuel_SourceData.Fuel_Scope1Scope3EmissionFactorsStationaryLiquid_Data(), Table_Fuel_EFs_StationaryLiquid[[#Headers],[Fuel combusted]],0)</f>
        <v>kL</v>
      </c>
      <c r="G67" s="243" cm="1">
        <f t="array" ref="G67">Common_InputFunctions.Utility_DisplayArrayInTable(Fuel_SourceData.Fuel_Scope1Scope3EmissionFactorsStationaryLiquid_Data(), Table_Fuel_EFs_StationaryLiquid[[#Headers],[Fuel combusted]],0)</f>
        <v>60.2</v>
      </c>
      <c r="H67" s="243" cm="1">
        <f t="array" ref="H67">Common_InputFunctions.Utility_DisplayArrayInTable(Fuel_SourceData.Fuel_Scope1Scope3EmissionFactorsStationaryLiquid_Data(), Table_Fuel_EFs_StationaryLiquid[[#Headers],[Fuel combusted]],0)</f>
        <v>0.2</v>
      </c>
      <c r="I67" s="243" cm="1">
        <f t="array" ref="I67">Common_InputFunctions.Utility_DisplayArrayInTable(Fuel_SourceData.Fuel_Scope1Scope3EmissionFactorsStationaryLiquid_Data(), Table_Fuel_EFs_StationaryLiquid[[#Headers],[Fuel combusted]],0)</f>
        <v>0.2</v>
      </c>
      <c r="J67" s="243" cm="1">
        <f t="array" ref="J67">Common_InputFunctions.Utility_DisplayArrayInTable(Fuel_SourceData.Fuel_Scope1Scope3EmissionFactorsStationaryLiquid_Data(), Table_Fuel_EFs_StationaryLiquid[[#Headers],[Fuel combusted]],0)</f>
        <v>60.6</v>
      </c>
      <c r="K67" s="243" cm="1">
        <f t="array" ref="K67">Common_InputFunctions.Utility_DisplayArrayInTable(Fuel_SourceData.Fuel_Scope1Scope3EmissionFactorsStationaryLiquid_Data(), Table_Fuel_EFs_StationaryLiquid[[#Headers],[Fuel combusted]],0)</f>
        <v>20.2</v>
      </c>
      <c r="L67" s="191"/>
    </row>
    <row r="68" spans="4:13" ht="20.100000000000001" customHeight="1" x14ac:dyDescent="0.25">
      <c r="D68" s="243" t="str" cm="1">
        <f t="array" ref="D68">Common_InputFunctions.Utility_DisplayArrayInTable(Fuel_SourceData.Fuel_Scope1Scope3EmissionFactorsStationaryLiquid_Data(), Table_Fuel_EFs_StationaryLiquid[[#Headers],[Fuel combusted]],0)</f>
        <v>Naphtha</v>
      </c>
      <c r="E68" s="243" cm="1">
        <f t="array" ref="E68">Common_InputFunctions.Utility_DisplayArrayInTable(Fuel_SourceData.Fuel_Scope1Scope3EmissionFactorsStationaryLiquid_Data(), Table_Fuel_EFs_StationaryLiquid[[#Headers],[Fuel combusted]],0)</f>
        <v>31.4</v>
      </c>
      <c r="F68" s="243" t="str" cm="1">
        <f t="array" ref="F68">Common_InputFunctions.Utility_DisplayArrayInTable(Fuel_SourceData.Fuel_Scope1Scope3EmissionFactorsStationaryLiquid_Data(), Table_Fuel_EFs_StationaryLiquid[[#Headers],[Fuel combusted]],0)</f>
        <v>kL</v>
      </c>
      <c r="G68" s="243" cm="1">
        <f t="array" ref="G68">Common_InputFunctions.Utility_DisplayArrayInTable(Fuel_SourceData.Fuel_Scope1Scope3EmissionFactorsStationaryLiquid_Data(), Table_Fuel_EFs_StationaryLiquid[[#Headers],[Fuel combusted]],0)</f>
        <v>69.8</v>
      </c>
      <c r="H68" s="243" cm="1">
        <f t="array" ref="H68">Common_InputFunctions.Utility_DisplayArrayInTable(Fuel_SourceData.Fuel_Scope1Scope3EmissionFactorsStationaryLiquid_Data(), Table_Fuel_EFs_StationaryLiquid[[#Headers],[Fuel combusted]],0)</f>
        <v>0.01</v>
      </c>
      <c r="I68" s="243" cm="1">
        <f t="array" ref="I68">Common_InputFunctions.Utility_DisplayArrayInTable(Fuel_SourceData.Fuel_Scope1Scope3EmissionFactorsStationaryLiquid_Data(), Table_Fuel_EFs_StationaryLiquid[[#Headers],[Fuel combusted]],0)</f>
        <v>0.01</v>
      </c>
      <c r="J68" s="243" cm="1">
        <f t="array" ref="J68">Common_InputFunctions.Utility_DisplayArrayInTable(Fuel_SourceData.Fuel_Scope1Scope3EmissionFactorsStationaryLiquid_Data(), Table_Fuel_EFs_StationaryLiquid[[#Headers],[Fuel combusted]],0)</f>
        <v>69.819999999999993</v>
      </c>
      <c r="K68" s="243" cm="1">
        <f t="array" ref="K68">Common_InputFunctions.Utility_DisplayArrayInTable(Fuel_SourceData.Fuel_Scope1Scope3EmissionFactorsStationaryLiquid_Data(), Table_Fuel_EFs_StationaryLiquid[[#Headers],[Fuel combusted]],0)</f>
        <v>18</v>
      </c>
      <c r="L68" s="191"/>
    </row>
    <row r="69" spans="4:13" ht="20.100000000000001" customHeight="1" x14ac:dyDescent="0.25">
      <c r="D69" s="243" t="str" cm="1">
        <f t="array" ref="D69">Common_InputFunctions.Utility_DisplayArrayInTable(Fuel_SourceData.Fuel_Scope1Scope3EmissionFactorsStationaryLiquid_Data(), Table_Fuel_EFs_StationaryLiquid[[#Headers],[Fuel combusted]],0)</f>
        <v>Petroleum coke</v>
      </c>
      <c r="E69" s="243" cm="1">
        <f t="array" ref="E69">Common_InputFunctions.Utility_DisplayArrayInTable(Fuel_SourceData.Fuel_Scope1Scope3EmissionFactorsStationaryLiquid_Data(), Table_Fuel_EFs_StationaryLiquid[[#Headers],[Fuel combusted]],0)</f>
        <v>34.200000000000003</v>
      </c>
      <c r="F69" s="243" t="str" cm="1">
        <f t="array" ref="F69">Common_InputFunctions.Utility_DisplayArrayInTable(Fuel_SourceData.Fuel_Scope1Scope3EmissionFactorsStationaryLiquid_Data(), Table_Fuel_EFs_StationaryLiquid[[#Headers],[Fuel combusted]],0)</f>
        <v>t</v>
      </c>
      <c r="G69" s="243" cm="1">
        <f t="array" ref="G69">Common_InputFunctions.Utility_DisplayArrayInTable(Fuel_SourceData.Fuel_Scope1Scope3EmissionFactorsStationaryLiquid_Data(), Table_Fuel_EFs_StationaryLiquid[[#Headers],[Fuel combusted]],0)</f>
        <v>92.6</v>
      </c>
      <c r="H69" s="243" cm="1">
        <f t="array" ref="H69">Common_InputFunctions.Utility_DisplayArrayInTable(Fuel_SourceData.Fuel_Scope1Scope3EmissionFactorsStationaryLiquid_Data(), Table_Fuel_EFs_StationaryLiquid[[#Headers],[Fuel combusted]],0)</f>
        <v>0.08</v>
      </c>
      <c r="I69" s="243" cm="1">
        <f t="array" ref="I69">Common_InputFunctions.Utility_DisplayArrayInTable(Fuel_SourceData.Fuel_Scope1Scope3EmissionFactorsStationaryLiquid_Data(), Table_Fuel_EFs_StationaryLiquid[[#Headers],[Fuel combusted]],0)</f>
        <v>0.2</v>
      </c>
      <c r="J69" s="243" cm="1">
        <f t="array" ref="J69">Common_InputFunctions.Utility_DisplayArrayInTable(Fuel_SourceData.Fuel_Scope1Scope3EmissionFactorsStationaryLiquid_Data(), Table_Fuel_EFs_StationaryLiquid[[#Headers],[Fuel combusted]],0)</f>
        <v>92.88</v>
      </c>
      <c r="K69" s="243" cm="1">
        <f t="array" ref="K69">Common_InputFunctions.Utility_DisplayArrayInTable(Fuel_SourceData.Fuel_Scope1Scope3EmissionFactorsStationaryLiquid_Data(), Table_Fuel_EFs_StationaryLiquid[[#Headers],[Fuel combusted]],0)</f>
        <v>18</v>
      </c>
      <c r="L69" s="191"/>
    </row>
    <row r="70" spans="4:13" ht="20.100000000000001" customHeight="1" x14ac:dyDescent="0.25">
      <c r="D70" s="243" t="str" cm="1">
        <f t="array" ref="D70">Common_InputFunctions.Utility_DisplayArrayInTable(Fuel_SourceData.Fuel_Scope1Scope3EmissionFactorsStationaryLiquid_Data(), Table_Fuel_EFs_StationaryLiquid[[#Headers],[Fuel combusted]],0)</f>
        <v>Refinery gas and liquids</v>
      </c>
      <c r="E70" s="243" cm="1">
        <f t="array" ref="E70">Common_InputFunctions.Utility_DisplayArrayInTable(Fuel_SourceData.Fuel_Scope1Scope3EmissionFactorsStationaryLiquid_Data(), Table_Fuel_EFs_StationaryLiquid[[#Headers],[Fuel combusted]],0)</f>
        <v>42.9</v>
      </c>
      <c r="F70" s="243" t="str" cm="1">
        <f t="array" ref="F70">Common_InputFunctions.Utility_DisplayArrayInTable(Fuel_SourceData.Fuel_Scope1Scope3EmissionFactorsStationaryLiquid_Data(), Table_Fuel_EFs_StationaryLiquid[[#Headers],[Fuel combusted]],0)</f>
        <v>t</v>
      </c>
      <c r="G70" s="243" cm="1">
        <f t="array" ref="G70">Common_InputFunctions.Utility_DisplayArrayInTable(Fuel_SourceData.Fuel_Scope1Scope3EmissionFactorsStationaryLiquid_Data(), Table_Fuel_EFs_StationaryLiquid[[#Headers],[Fuel combusted]],0)</f>
        <v>54.7</v>
      </c>
      <c r="H70" s="243" cm="1">
        <f t="array" ref="H70">Common_InputFunctions.Utility_DisplayArrayInTable(Fuel_SourceData.Fuel_Scope1Scope3EmissionFactorsStationaryLiquid_Data(), Table_Fuel_EFs_StationaryLiquid[[#Headers],[Fuel combusted]],0)</f>
        <v>0.03</v>
      </c>
      <c r="I70" s="243" cm="1">
        <f t="array" ref="I70">Common_InputFunctions.Utility_DisplayArrayInTable(Fuel_SourceData.Fuel_Scope1Scope3EmissionFactorsStationaryLiquid_Data(), Table_Fuel_EFs_StationaryLiquid[[#Headers],[Fuel combusted]],0)</f>
        <v>0.03</v>
      </c>
      <c r="J70" s="243" cm="1">
        <f t="array" ref="J70">Common_InputFunctions.Utility_DisplayArrayInTable(Fuel_SourceData.Fuel_Scope1Scope3EmissionFactorsStationaryLiquid_Data(), Table_Fuel_EFs_StationaryLiquid[[#Headers],[Fuel combusted]],0)</f>
        <v>54.76</v>
      </c>
      <c r="K70" s="243" cm="1">
        <f t="array" ref="K70">Common_InputFunctions.Utility_DisplayArrayInTable(Fuel_SourceData.Fuel_Scope1Scope3EmissionFactorsStationaryLiquid_Data(), Table_Fuel_EFs_StationaryLiquid[[#Headers],[Fuel combusted]],0)</f>
        <v>18</v>
      </c>
      <c r="L70" s="191"/>
    </row>
    <row r="71" spans="4:13" ht="20.100000000000001" customHeight="1" x14ac:dyDescent="0.25">
      <c r="D71" s="243" t="str" cm="1">
        <f t="array" ref="D71">Common_InputFunctions.Utility_DisplayArrayInTable(Fuel_SourceData.Fuel_Scope1Scope3EmissionFactorsStationaryLiquid_Data(), Table_Fuel_EFs_StationaryLiquid[[#Headers],[Fuel combusted]],0)</f>
        <v>Refinery coke</v>
      </c>
      <c r="E71" s="243" cm="1">
        <f t="array" ref="E71">Common_InputFunctions.Utility_DisplayArrayInTable(Fuel_SourceData.Fuel_Scope1Scope3EmissionFactorsStationaryLiquid_Data(), Table_Fuel_EFs_StationaryLiquid[[#Headers],[Fuel combusted]],0)</f>
        <v>34.200000000000003</v>
      </c>
      <c r="F71" s="243" t="str" cm="1">
        <f t="array" ref="F71">Common_InputFunctions.Utility_DisplayArrayInTable(Fuel_SourceData.Fuel_Scope1Scope3EmissionFactorsStationaryLiquid_Data(), Table_Fuel_EFs_StationaryLiquid[[#Headers],[Fuel combusted]],0)</f>
        <v>t</v>
      </c>
      <c r="G71" s="243" cm="1">
        <f t="array" ref="G71">Common_InputFunctions.Utility_DisplayArrayInTable(Fuel_SourceData.Fuel_Scope1Scope3EmissionFactorsStationaryLiquid_Data(), Table_Fuel_EFs_StationaryLiquid[[#Headers],[Fuel combusted]],0)</f>
        <v>92.6</v>
      </c>
      <c r="H71" s="243" cm="1">
        <f t="array" ref="H71">Common_InputFunctions.Utility_DisplayArrayInTable(Fuel_SourceData.Fuel_Scope1Scope3EmissionFactorsStationaryLiquid_Data(), Table_Fuel_EFs_StationaryLiquid[[#Headers],[Fuel combusted]],0)</f>
        <v>0.08</v>
      </c>
      <c r="I71" s="243" cm="1">
        <f t="array" ref="I71">Common_InputFunctions.Utility_DisplayArrayInTable(Fuel_SourceData.Fuel_Scope1Scope3EmissionFactorsStationaryLiquid_Data(), Table_Fuel_EFs_StationaryLiquid[[#Headers],[Fuel combusted]],0)</f>
        <v>0.2</v>
      </c>
      <c r="J71" s="243" cm="1">
        <f t="array" ref="J71">Common_InputFunctions.Utility_DisplayArrayInTable(Fuel_SourceData.Fuel_Scope1Scope3EmissionFactorsStationaryLiquid_Data(), Table_Fuel_EFs_StationaryLiquid[[#Headers],[Fuel combusted]],0)</f>
        <v>92.88</v>
      </c>
      <c r="K71" s="243" cm="1">
        <f t="array" ref="K71">Common_InputFunctions.Utility_DisplayArrayInTable(Fuel_SourceData.Fuel_Scope1Scope3EmissionFactorsStationaryLiquid_Data(), Table_Fuel_EFs_StationaryLiquid[[#Headers],[Fuel combusted]],0)</f>
        <v>18</v>
      </c>
      <c r="L71" s="191"/>
    </row>
    <row r="72" spans="4:13" ht="20.100000000000001" customHeight="1" x14ac:dyDescent="0.25">
      <c r="D72" s="243" t="str" cm="1">
        <f t="array" ref="D72">Common_InputFunctions.Utility_DisplayArrayInTable(Fuel_SourceData.Fuel_Scope1Scope3EmissionFactorsStationaryLiquid_Data(), Table_Fuel_EFs_StationaryLiquid[[#Headers],[Fuel combusted]],0)</f>
        <v>Petroleum based products other than mentioned in the items above</v>
      </c>
      <c r="E72" s="243" cm="1">
        <f t="array" ref="E72">Common_InputFunctions.Utility_DisplayArrayInTable(Fuel_SourceData.Fuel_Scope1Scope3EmissionFactorsStationaryLiquid_Data(), Table_Fuel_EFs_StationaryLiquid[[#Headers],[Fuel combusted]],0)</f>
        <v>34.4</v>
      </c>
      <c r="F72" s="243" t="str" cm="1">
        <f t="array" ref="F72">Common_InputFunctions.Utility_DisplayArrayInTable(Fuel_SourceData.Fuel_Scope1Scope3EmissionFactorsStationaryLiquid_Data(), Table_Fuel_EFs_StationaryLiquid[[#Headers],[Fuel combusted]],0)</f>
        <v>kL</v>
      </c>
      <c r="G72" s="243" cm="1">
        <f t="array" ref="G72">Common_InputFunctions.Utility_DisplayArrayInTable(Fuel_SourceData.Fuel_Scope1Scope3EmissionFactorsStationaryLiquid_Data(), Table_Fuel_EFs_StationaryLiquid[[#Headers],[Fuel combusted]],0)</f>
        <v>69.8</v>
      </c>
      <c r="H72" s="243" cm="1">
        <f t="array" ref="H72">Common_InputFunctions.Utility_DisplayArrayInTable(Fuel_SourceData.Fuel_Scope1Scope3EmissionFactorsStationaryLiquid_Data(), Table_Fuel_EFs_StationaryLiquid[[#Headers],[Fuel combusted]],0)</f>
        <v>0.02</v>
      </c>
      <c r="I72" s="243" cm="1">
        <f t="array" ref="I72">Common_InputFunctions.Utility_DisplayArrayInTable(Fuel_SourceData.Fuel_Scope1Scope3EmissionFactorsStationaryLiquid_Data(), Table_Fuel_EFs_StationaryLiquid[[#Headers],[Fuel combusted]],0)</f>
        <v>0.1</v>
      </c>
      <c r="J72" s="243" cm="1">
        <f t="array" ref="J72">Common_InputFunctions.Utility_DisplayArrayInTable(Fuel_SourceData.Fuel_Scope1Scope3EmissionFactorsStationaryLiquid_Data(), Table_Fuel_EFs_StationaryLiquid[[#Headers],[Fuel combusted]],0)</f>
        <v>69.92</v>
      </c>
      <c r="K72" s="243" cm="1">
        <f t="array" ref="K72">Common_InputFunctions.Utility_DisplayArrayInTable(Fuel_SourceData.Fuel_Scope1Scope3EmissionFactorsStationaryLiquid_Data(), Table_Fuel_EFs_StationaryLiquid[[#Headers],[Fuel combusted]],0)</f>
        <v>18</v>
      </c>
      <c r="L72" s="191"/>
    </row>
    <row r="73" spans="4:13" ht="20.100000000000001" customHeight="1" x14ac:dyDescent="0.25">
      <c r="D73" s="243" t="str" cm="1">
        <f t="array" ref="D73">Common_InputFunctions.Utility_DisplayArrayInTable(Fuel_SourceData.Fuel_Scope1Scope3EmissionFactorsStationaryLiquid_Data(), Table_Fuel_EFs_StationaryLiquid[[#Headers],[Fuel combusted]],0)</f>
        <v>Biodiesel</v>
      </c>
      <c r="E73" s="243" cm="1">
        <f t="array" ref="E73">Common_InputFunctions.Utility_DisplayArrayInTable(Fuel_SourceData.Fuel_Scope1Scope3EmissionFactorsStationaryLiquid_Data(), Table_Fuel_EFs_StationaryLiquid[[#Headers],[Fuel combusted]],0)</f>
        <v>34.6</v>
      </c>
      <c r="F73" s="243" t="str" cm="1">
        <f t="array" ref="F73">Common_InputFunctions.Utility_DisplayArrayInTable(Fuel_SourceData.Fuel_Scope1Scope3EmissionFactorsStationaryLiquid_Data(), Table_Fuel_EFs_StationaryLiquid[[#Headers],[Fuel combusted]],0)</f>
        <v>kL</v>
      </c>
      <c r="G73" s="243" cm="1">
        <f t="array" ref="G73">Common_InputFunctions.Utility_DisplayArrayInTable(Fuel_SourceData.Fuel_Scope1Scope3EmissionFactorsStationaryLiquid_Data(), Table_Fuel_EFs_StationaryLiquid[[#Headers],[Fuel combusted]],0)</f>
        <v>0</v>
      </c>
      <c r="H73" s="243" cm="1">
        <f t="array" ref="H73">Common_InputFunctions.Utility_DisplayArrayInTable(Fuel_SourceData.Fuel_Scope1Scope3EmissionFactorsStationaryLiquid_Data(), Table_Fuel_EFs_StationaryLiquid[[#Headers],[Fuel combusted]],0)</f>
        <v>0.08</v>
      </c>
      <c r="I73" s="243" cm="1">
        <f t="array" ref="I73">Common_InputFunctions.Utility_DisplayArrayInTable(Fuel_SourceData.Fuel_Scope1Scope3EmissionFactorsStationaryLiquid_Data(), Table_Fuel_EFs_StationaryLiquid[[#Headers],[Fuel combusted]],0)</f>
        <v>0.2</v>
      </c>
      <c r="J73" s="243" cm="1">
        <f t="array" ref="J73">Common_InputFunctions.Utility_DisplayArrayInTable(Fuel_SourceData.Fuel_Scope1Scope3EmissionFactorsStationaryLiquid_Data(), Table_Fuel_EFs_StationaryLiquid[[#Headers],[Fuel combusted]],0)</f>
        <v>0.28000000000000003</v>
      </c>
      <c r="K73" s="243" t="str" cm="1">
        <f t="array" ref="K73">Common_InputFunctions.Utility_DisplayArrayInTable(Fuel_SourceData.Fuel_Scope1Scope3EmissionFactorsStationaryLiquid_Data(), Table_Fuel_EFs_StationaryLiquid[[#Headers],[Fuel combusted]],0)</f>
        <v>NE</v>
      </c>
      <c r="L73" s="191"/>
    </row>
    <row r="74" spans="4:13" ht="20.100000000000001" customHeight="1" x14ac:dyDescent="0.25">
      <c r="D74" s="243" t="str" cm="1">
        <f t="array" ref="D74">Common_InputFunctions.Utility_DisplayArrayInTable(Fuel_SourceData.Fuel_Scope1Scope3EmissionFactorsStationaryLiquid_Data(), Table_Fuel_EFs_StationaryLiquid[[#Headers],[Fuel combusted]],0)</f>
        <v>Ethanol for use as a fuel in an internal combustion engine</v>
      </c>
      <c r="E74" s="243" cm="1">
        <f t="array" ref="E74">Common_InputFunctions.Utility_DisplayArrayInTable(Fuel_SourceData.Fuel_Scope1Scope3EmissionFactorsStationaryLiquid_Data(), Table_Fuel_EFs_StationaryLiquid[[#Headers],[Fuel combusted]],0)</f>
        <v>23.4</v>
      </c>
      <c r="F74" s="243" t="str" cm="1">
        <f t="array" ref="F74">Common_InputFunctions.Utility_DisplayArrayInTable(Fuel_SourceData.Fuel_Scope1Scope3EmissionFactorsStationaryLiquid_Data(), Table_Fuel_EFs_StationaryLiquid[[#Headers],[Fuel combusted]],0)</f>
        <v>kL</v>
      </c>
      <c r="G74" s="243" cm="1">
        <f t="array" ref="G74">Common_InputFunctions.Utility_DisplayArrayInTable(Fuel_SourceData.Fuel_Scope1Scope3EmissionFactorsStationaryLiquid_Data(), Table_Fuel_EFs_StationaryLiquid[[#Headers],[Fuel combusted]],0)</f>
        <v>0</v>
      </c>
      <c r="H74" s="243" cm="1">
        <f t="array" ref="H74">Common_InputFunctions.Utility_DisplayArrayInTable(Fuel_SourceData.Fuel_Scope1Scope3EmissionFactorsStationaryLiquid_Data(), Table_Fuel_EFs_StationaryLiquid[[#Headers],[Fuel combusted]],0)</f>
        <v>0.08</v>
      </c>
      <c r="I74" s="243" cm="1">
        <f t="array" ref="I74">Common_InputFunctions.Utility_DisplayArrayInTable(Fuel_SourceData.Fuel_Scope1Scope3EmissionFactorsStationaryLiquid_Data(), Table_Fuel_EFs_StationaryLiquid[[#Headers],[Fuel combusted]],0)</f>
        <v>0.2</v>
      </c>
      <c r="J74" s="243" cm="1">
        <f t="array" ref="J74">Common_InputFunctions.Utility_DisplayArrayInTable(Fuel_SourceData.Fuel_Scope1Scope3EmissionFactorsStationaryLiquid_Data(), Table_Fuel_EFs_StationaryLiquid[[#Headers],[Fuel combusted]],0)</f>
        <v>0.28000000000000003</v>
      </c>
      <c r="K74" s="243" t="str" cm="1">
        <f t="array" ref="K74">Common_InputFunctions.Utility_DisplayArrayInTable(Fuel_SourceData.Fuel_Scope1Scope3EmissionFactorsStationaryLiquid_Data(), Table_Fuel_EFs_StationaryLiquid[[#Headers],[Fuel combusted]],0)</f>
        <v>NE</v>
      </c>
      <c r="L74" s="191"/>
    </row>
    <row r="75" spans="4:13" ht="20.100000000000001" customHeight="1" x14ac:dyDescent="0.25">
      <c r="D75" s="243" t="str" cm="1">
        <f t="array" ref="D75">Common_InputFunctions.Utility_DisplayArrayInTable(Fuel_SourceData.Fuel_Scope1Scope3EmissionFactorsStationaryLiquid_Data(), Table_Fuel_EFs_StationaryLiquid[[#Headers],[Fuel combusted]],0)</f>
        <v>Biofuels other than those mentioned in the items above and below</v>
      </c>
      <c r="E75" s="243" cm="1">
        <f t="array" ref="E75">Common_InputFunctions.Utility_DisplayArrayInTable(Fuel_SourceData.Fuel_Scope1Scope3EmissionFactorsStationaryLiquid_Data(), Table_Fuel_EFs_StationaryLiquid[[#Headers],[Fuel combusted]],0)</f>
        <v>23.4</v>
      </c>
      <c r="F75" s="243" t="str" cm="1">
        <f t="array" ref="F75">Common_InputFunctions.Utility_DisplayArrayInTable(Fuel_SourceData.Fuel_Scope1Scope3EmissionFactorsStationaryLiquid_Data(), Table_Fuel_EFs_StationaryLiquid[[#Headers],[Fuel combusted]],0)</f>
        <v>kL</v>
      </c>
      <c r="G75" s="243" cm="1">
        <f t="array" ref="G75">Common_InputFunctions.Utility_DisplayArrayInTable(Fuel_SourceData.Fuel_Scope1Scope3EmissionFactorsStationaryLiquid_Data(), Table_Fuel_EFs_StationaryLiquid[[#Headers],[Fuel combusted]],0)</f>
        <v>0</v>
      </c>
      <c r="H75" s="243" cm="1">
        <f t="array" ref="H75">Common_InputFunctions.Utility_DisplayArrayInTable(Fuel_SourceData.Fuel_Scope1Scope3EmissionFactorsStationaryLiquid_Data(), Table_Fuel_EFs_StationaryLiquid[[#Headers],[Fuel combusted]],0)</f>
        <v>0.08</v>
      </c>
      <c r="I75" s="243" cm="1">
        <f t="array" ref="I75">Common_InputFunctions.Utility_DisplayArrayInTable(Fuel_SourceData.Fuel_Scope1Scope3EmissionFactorsStationaryLiquid_Data(), Table_Fuel_EFs_StationaryLiquid[[#Headers],[Fuel combusted]],0)</f>
        <v>0.2</v>
      </c>
      <c r="J75" s="243" cm="1">
        <f t="array" ref="J75">Common_InputFunctions.Utility_DisplayArrayInTable(Fuel_SourceData.Fuel_Scope1Scope3EmissionFactorsStationaryLiquid_Data(), Table_Fuel_EFs_StationaryLiquid[[#Headers],[Fuel combusted]],0)</f>
        <v>0.28000000000000003</v>
      </c>
      <c r="K75" s="243" t="str" cm="1">
        <f t="array" ref="K75">Common_InputFunctions.Utility_DisplayArrayInTable(Fuel_SourceData.Fuel_Scope1Scope3EmissionFactorsStationaryLiquid_Data(), Table_Fuel_EFs_StationaryLiquid[[#Headers],[Fuel combusted]],0)</f>
        <v>NE</v>
      </c>
      <c r="L75" s="191"/>
    </row>
    <row r="76" spans="4:13" ht="20.100000000000001" customHeight="1" x14ac:dyDescent="0.25">
      <c r="D76" s="243" t="str" cm="1">
        <f t="array" ref="D76">Common_InputFunctions.Utility_DisplayArrayInTable(Fuel_SourceData.Fuel_Scope1Scope3EmissionFactorsStationaryLiquid_Data(), Table_Fuel_EFs_StationaryLiquid[[#Headers],[Fuel combusted]],0)</f>
        <v>Renewable aviation kerosene</v>
      </c>
      <c r="E76" s="243" cm="1">
        <f t="array" ref="E76">Common_InputFunctions.Utility_DisplayArrayInTable(Fuel_SourceData.Fuel_Scope1Scope3EmissionFactorsStationaryLiquid_Data(), Table_Fuel_EFs_StationaryLiquid[[#Headers],[Fuel combusted]],0)</f>
        <v>36.799999999999997</v>
      </c>
      <c r="F76" s="243" t="str" cm="1">
        <f t="array" ref="F76">Common_InputFunctions.Utility_DisplayArrayInTable(Fuel_SourceData.Fuel_Scope1Scope3EmissionFactorsStationaryLiquid_Data(), Table_Fuel_EFs_StationaryLiquid[[#Headers],[Fuel combusted]],0)</f>
        <v>kL</v>
      </c>
      <c r="G76" s="243" cm="1">
        <f t="array" ref="G76">Common_InputFunctions.Utility_DisplayArrayInTable(Fuel_SourceData.Fuel_Scope1Scope3EmissionFactorsStationaryLiquid_Data(), Table_Fuel_EFs_StationaryLiquid[[#Headers],[Fuel combusted]],0)</f>
        <v>0</v>
      </c>
      <c r="H76" s="243" cm="1">
        <f t="array" ref="H76">Common_InputFunctions.Utility_DisplayArrayInTable(Fuel_SourceData.Fuel_Scope1Scope3EmissionFactorsStationaryLiquid_Data(), Table_Fuel_EFs_StationaryLiquid[[#Headers],[Fuel combusted]],0)</f>
        <v>0.02</v>
      </c>
      <c r="I76" s="243" cm="1">
        <f t="array" ref="I76">Common_InputFunctions.Utility_DisplayArrayInTable(Fuel_SourceData.Fuel_Scope1Scope3EmissionFactorsStationaryLiquid_Data(), Table_Fuel_EFs_StationaryLiquid[[#Headers],[Fuel combusted]],0)</f>
        <v>0.2</v>
      </c>
      <c r="J76" s="243" cm="1">
        <f t="array" ref="J76">Common_InputFunctions.Utility_DisplayArrayInTable(Fuel_SourceData.Fuel_Scope1Scope3EmissionFactorsStationaryLiquid_Data(), Table_Fuel_EFs_StationaryLiquid[[#Headers],[Fuel combusted]],0)</f>
        <v>0.22</v>
      </c>
      <c r="K76" s="243" t="str" cm="1">
        <f t="array" ref="K76">Common_InputFunctions.Utility_DisplayArrayInTable(Fuel_SourceData.Fuel_Scope1Scope3EmissionFactorsStationaryLiquid_Data(), Table_Fuel_EFs_StationaryLiquid[[#Headers],[Fuel combusted]],0)</f>
        <v>NE</v>
      </c>
      <c r="L76" s="191"/>
    </row>
    <row r="77" spans="4:13" ht="20.100000000000001" customHeight="1" x14ac:dyDescent="0.25">
      <c r="D77" s="243" t="str" cm="1">
        <f t="array" ref="D77">Common_InputFunctions.Utility_DisplayArrayInTable(Fuel_SourceData.Fuel_Scope1Scope3EmissionFactorsStationaryLiquid_Data(), Table_Fuel_EFs_StationaryLiquid[[#Headers],[Fuel combusted]],0)</f>
        <v>Renewable diesel</v>
      </c>
      <c r="E77" s="243" cm="1">
        <f t="array" ref="E77">Common_InputFunctions.Utility_DisplayArrayInTable(Fuel_SourceData.Fuel_Scope1Scope3EmissionFactorsStationaryLiquid_Data(), Table_Fuel_EFs_StationaryLiquid[[#Headers],[Fuel combusted]],0)</f>
        <v>38.6</v>
      </c>
      <c r="F77" s="243" t="str" cm="1">
        <f t="array" ref="F77">Common_InputFunctions.Utility_DisplayArrayInTable(Fuel_SourceData.Fuel_Scope1Scope3EmissionFactorsStationaryLiquid_Data(), Table_Fuel_EFs_StationaryLiquid[[#Headers],[Fuel combusted]],0)</f>
        <v>kL</v>
      </c>
      <c r="G77" s="243" cm="1">
        <f t="array" ref="G77">Common_InputFunctions.Utility_DisplayArrayInTable(Fuel_SourceData.Fuel_Scope1Scope3EmissionFactorsStationaryLiquid_Data(), Table_Fuel_EFs_StationaryLiquid[[#Headers],[Fuel combusted]],0)</f>
        <v>0</v>
      </c>
      <c r="H77" s="243" cm="1">
        <f t="array" ref="H77">Common_InputFunctions.Utility_DisplayArrayInTable(Fuel_SourceData.Fuel_Scope1Scope3EmissionFactorsStationaryLiquid_Data(), Table_Fuel_EFs_StationaryLiquid[[#Headers],[Fuel combusted]],0)</f>
        <v>0.1</v>
      </c>
      <c r="I77" s="243" cm="1">
        <f t="array" ref="I77">Common_InputFunctions.Utility_DisplayArrayInTable(Fuel_SourceData.Fuel_Scope1Scope3EmissionFactorsStationaryLiquid_Data(), Table_Fuel_EFs_StationaryLiquid[[#Headers],[Fuel combusted]],0)</f>
        <v>0.2</v>
      </c>
      <c r="J77" s="243" cm="1">
        <f t="array" ref="J77">Common_InputFunctions.Utility_DisplayArrayInTable(Fuel_SourceData.Fuel_Scope1Scope3EmissionFactorsStationaryLiquid_Data(), Table_Fuel_EFs_StationaryLiquid[[#Headers],[Fuel combusted]],0)</f>
        <v>0.3</v>
      </c>
      <c r="K77" s="243" t="str" cm="1">
        <f t="array" ref="K77">Common_InputFunctions.Utility_DisplayArrayInTable(Fuel_SourceData.Fuel_Scope1Scope3EmissionFactorsStationaryLiquid_Data(), Table_Fuel_EFs_StationaryLiquid[[#Headers],[Fuel combusted]],0)</f>
        <v>NE</v>
      </c>
      <c r="L77" s="191"/>
    </row>
    <row r="78" spans="4:13" ht="20.100000000000001" customHeight="1" x14ac:dyDescent="0.25">
      <c r="D78" s="191"/>
      <c r="E78" s="191"/>
      <c r="F78" s="191"/>
      <c r="G78" s="191"/>
      <c r="H78" s="191"/>
      <c r="I78" s="191"/>
      <c r="J78" s="191"/>
      <c r="K78" s="191"/>
      <c r="L78" s="191"/>
    </row>
    <row r="79" spans="4:13" ht="20.100000000000001" customHeight="1" x14ac:dyDescent="0.25">
      <c r="D79" s="191"/>
      <c r="E79" s="191"/>
      <c r="F79" s="191"/>
      <c r="G79" s="191"/>
      <c r="H79" s="191"/>
      <c r="I79" s="191"/>
      <c r="J79" s="191"/>
      <c r="K79" s="191"/>
      <c r="L79" s="191"/>
      <c r="M79" s="191"/>
    </row>
    <row r="80" spans="4:13" ht="20.100000000000001" customHeight="1" x14ac:dyDescent="0.25">
      <c r="D80" s="191"/>
      <c r="E80" s="191"/>
      <c r="F80" s="191"/>
      <c r="G80" s="191"/>
      <c r="H80" s="191"/>
      <c r="I80" s="191"/>
      <c r="J80" s="191"/>
      <c r="K80" s="191"/>
      <c r="L80" s="191"/>
      <c r="M80" s="191"/>
    </row>
    <row r="81" spans="4:12" ht="20.100000000000001" customHeight="1" x14ac:dyDescent="0.25">
      <c r="D81" s="2" t="str" cm="1">
        <f t="array" ref="D81">Fuel_SourceData.Fuel_Scope1EmissionFactorsStationaryGaseous_Title()</f>
        <v>Fuel scope 1 emission factors - Stationary gaseous fuels</v>
      </c>
      <c r="E81" s="191"/>
      <c r="F81" s="191"/>
      <c r="G81" s="191"/>
      <c r="H81" s="191"/>
      <c r="I81" s="191"/>
      <c r="J81" s="191"/>
      <c r="K81" s="191"/>
      <c r="L81" s="191"/>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91"/>
      <c r="F82" s="191"/>
      <c r="G82" s="191"/>
      <c r="H82" s="191"/>
      <c r="I82" s="191"/>
      <c r="J82" s="191"/>
      <c r="K82" s="191"/>
      <c r="L82" s="191"/>
    </row>
    <row r="83" spans="4:12" ht="20.100000000000001" customHeight="1" x14ac:dyDescent="0.25">
      <c r="D83" s="27" t="str" cm="1">
        <f t="array" ref="D83">Fuel_SourceData.Fuel_Scope1EmissionFactorsStationaryGaseous_Source()</f>
        <v>Australian National Greenhouse Accounts Factors 2025 - Table 5</v>
      </c>
      <c r="E83" s="191"/>
      <c r="F83" s="191"/>
      <c r="G83" s="191"/>
      <c r="H83" s="191"/>
      <c r="I83" s="191"/>
      <c r="J83" s="191"/>
      <c r="K83" s="191"/>
      <c r="L83" s="191"/>
    </row>
    <row r="84" spans="4:12" ht="20.100000000000001" customHeight="1" x14ac:dyDescent="0.25">
      <c r="D84" s="35"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91"/>
      <c r="F84" s="191"/>
      <c r="G84" s="191"/>
      <c r="H84" s="191"/>
      <c r="I84" s="191"/>
      <c r="J84" s="191"/>
      <c r="K84" s="191"/>
      <c r="L84" s="191"/>
    </row>
    <row r="85" spans="4:12" ht="20.100000000000001" customHeight="1" x14ac:dyDescent="0.25">
      <c r="D85" s="191"/>
      <c r="E85" s="191"/>
      <c r="F85" s="191"/>
      <c r="G85" s="191"/>
      <c r="H85" s="191"/>
      <c r="I85" s="191"/>
      <c r="J85" s="191"/>
      <c r="K85" s="191"/>
      <c r="L85" s="191"/>
    </row>
    <row r="86" spans="4:12" ht="20.100000000000001" customHeight="1" x14ac:dyDescent="0.25">
      <c r="D86" s="208" t="s">
        <v>835</v>
      </c>
      <c r="E86" s="240" t="s">
        <v>836</v>
      </c>
      <c r="F86" s="208" t="s">
        <v>837</v>
      </c>
      <c r="G86" s="240" t="s">
        <v>838</v>
      </c>
      <c r="H86" s="240" t="s">
        <v>839</v>
      </c>
      <c r="I86" s="240" t="s">
        <v>840</v>
      </c>
      <c r="J86" s="240" t="s">
        <v>841</v>
      </c>
      <c r="K86" s="191"/>
      <c r="L86" s="191"/>
    </row>
    <row r="87" spans="4:12" ht="20.100000000000001" customHeight="1" x14ac:dyDescent="0.25">
      <c r="D87" s="243" t="str" cm="1">
        <f t="array" ref="D87">Common_InputFunctions.Utility_DisplayArrayInTable(Fuel_SourceData.Fuel_Scope1EmissionFactorsStationaryGaseous_Data(), Table_Fuel_EFs_StationaryGaseous[[#Headers],[Fuel combusted]],0)</f>
        <v>Natural gas distributed in a pipeline</v>
      </c>
      <c r="E87" s="243" cm="1">
        <f t="array" ref="E87">Common_InputFunctions.Utility_DisplayArrayInTable(Fuel_SourceData.Fuel_Scope1EmissionFactorsStationaryGaseous_Data(), Table_Fuel_EFs_StationaryGaseous[[#Headers],[Fuel combusted]],0)</f>
        <v>3.9300000000000002E-2</v>
      </c>
      <c r="F87" s="243" t="str" cm="1">
        <f t="array" ref="F87">Common_InputFunctions.Utility_DisplayArrayInTable(Fuel_SourceData.Fuel_Scope1EmissionFactorsStationaryGaseous_Data(), Table_Fuel_EFs_StationaryGaseous[[#Headers],[Fuel combusted]],0)</f>
        <v>m3</v>
      </c>
      <c r="G87" s="243" cm="1">
        <f t="array" ref="G87">Common_InputFunctions.Utility_DisplayArrayInTable(Fuel_SourceData.Fuel_Scope1EmissionFactorsStationaryGaseous_Data(), Table_Fuel_EFs_StationaryGaseous[[#Headers],[Fuel combusted]],0)</f>
        <v>51.4</v>
      </c>
      <c r="H87" s="243" cm="1">
        <f t="array" ref="H87">Common_InputFunctions.Utility_DisplayArrayInTable(Fuel_SourceData.Fuel_Scope1EmissionFactorsStationaryGaseous_Data(), Table_Fuel_EFs_StationaryGaseous[[#Headers],[Fuel combusted]],0)</f>
        <v>0.1</v>
      </c>
      <c r="I87" s="243" cm="1">
        <f t="array" ref="I87">Common_InputFunctions.Utility_DisplayArrayInTable(Fuel_SourceData.Fuel_Scope1EmissionFactorsStationaryGaseous_Data(), Table_Fuel_EFs_StationaryGaseous[[#Headers],[Fuel combusted]],0)</f>
        <v>0.03</v>
      </c>
      <c r="J87" s="243" cm="1">
        <f t="array" ref="J87">Common_InputFunctions.Utility_DisplayArrayInTable(Fuel_SourceData.Fuel_Scope1EmissionFactorsStationaryGaseous_Data(), Table_Fuel_EFs_StationaryGaseous[[#Headers],[Fuel combusted]],0)</f>
        <v>51.53</v>
      </c>
      <c r="K87" s="191"/>
      <c r="L87" s="191"/>
    </row>
    <row r="88" spans="4:12" ht="20.100000000000001" customHeight="1" x14ac:dyDescent="0.25">
      <c r="D88" s="243" t="str" cm="1">
        <f t="array" ref="D88">Common_InputFunctions.Utility_DisplayArrayInTable(Fuel_SourceData.Fuel_Scope1EmissionFactorsStationaryGaseous_Data(), Table_Fuel_EFs_StationaryGaseous[[#Headers],[Fuel combusted]],0)</f>
        <v>Coal seam methane that is captured for combustion</v>
      </c>
      <c r="E88" s="243" cm="1">
        <f t="array" ref="E88">Common_InputFunctions.Utility_DisplayArrayInTable(Fuel_SourceData.Fuel_Scope1EmissionFactorsStationaryGaseous_Data(), Table_Fuel_EFs_StationaryGaseous[[#Headers],[Fuel combusted]],0)</f>
        <v>3.7699999999999997E-2</v>
      </c>
      <c r="F88" s="243" t="str" cm="1">
        <f t="array" ref="F88">Common_InputFunctions.Utility_DisplayArrayInTable(Fuel_SourceData.Fuel_Scope1EmissionFactorsStationaryGaseous_Data(), Table_Fuel_EFs_StationaryGaseous[[#Headers],[Fuel combusted]],0)</f>
        <v>m3</v>
      </c>
      <c r="G88" s="243" cm="1">
        <f t="array" ref="G88">Common_InputFunctions.Utility_DisplayArrayInTable(Fuel_SourceData.Fuel_Scope1EmissionFactorsStationaryGaseous_Data(), Table_Fuel_EFs_StationaryGaseous[[#Headers],[Fuel combusted]],0)</f>
        <v>51.4</v>
      </c>
      <c r="H88" s="243" cm="1">
        <f t="array" ref="H88">Common_InputFunctions.Utility_DisplayArrayInTable(Fuel_SourceData.Fuel_Scope1EmissionFactorsStationaryGaseous_Data(), Table_Fuel_EFs_StationaryGaseous[[#Headers],[Fuel combusted]],0)</f>
        <v>0.2</v>
      </c>
      <c r="I88" s="243" cm="1">
        <f t="array" ref="I88">Common_InputFunctions.Utility_DisplayArrayInTable(Fuel_SourceData.Fuel_Scope1EmissionFactorsStationaryGaseous_Data(), Table_Fuel_EFs_StationaryGaseous[[#Headers],[Fuel combusted]],0)</f>
        <v>0.03</v>
      </c>
      <c r="J88" s="243" cm="1">
        <f t="array" ref="J88">Common_InputFunctions.Utility_DisplayArrayInTable(Fuel_SourceData.Fuel_Scope1EmissionFactorsStationaryGaseous_Data(), Table_Fuel_EFs_StationaryGaseous[[#Headers],[Fuel combusted]],0)</f>
        <v>51.63</v>
      </c>
      <c r="K88" s="191"/>
      <c r="L88" s="191"/>
    </row>
    <row r="89" spans="4:12" ht="20.100000000000001" customHeight="1" x14ac:dyDescent="0.25">
      <c r="D89" s="243" t="str" cm="1">
        <f t="array" ref="D89">Common_InputFunctions.Utility_DisplayArrayInTable(Fuel_SourceData.Fuel_Scope1EmissionFactorsStationaryGaseous_Data(), Table_Fuel_EFs_StationaryGaseous[[#Headers],[Fuel combusted]],0)</f>
        <v>Coal mine waste gas that is captured for combustion</v>
      </c>
      <c r="E89" s="243" cm="1">
        <f t="array" ref="E89">Common_InputFunctions.Utility_DisplayArrayInTable(Fuel_SourceData.Fuel_Scope1EmissionFactorsStationaryGaseous_Data(), Table_Fuel_EFs_StationaryGaseous[[#Headers],[Fuel combusted]],0)</f>
        <v>3.7699999999999997E-2</v>
      </c>
      <c r="F89" s="243" t="str" cm="1">
        <f t="array" ref="F89">Common_InputFunctions.Utility_DisplayArrayInTable(Fuel_SourceData.Fuel_Scope1EmissionFactorsStationaryGaseous_Data(), Table_Fuel_EFs_StationaryGaseous[[#Headers],[Fuel combusted]],0)</f>
        <v>m3</v>
      </c>
      <c r="G89" s="243" cm="1">
        <f t="array" ref="G89">Common_InputFunctions.Utility_DisplayArrayInTable(Fuel_SourceData.Fuel_Scope1EmissionFactorsStationaryGaseous_Data(), Table_Fuel_EFs_StationaryGaseous[[#Headers],[Fuel combusted]],0)</f>
        <v>51.9</v>
      </c>
      <c r="H89" s="243" cm="1">
        <f t="array" ref="H89">Common_InputFunctions.Utility_DisplayArrayInTable(Fuel_SourceData.Fuel_Scope1EmissionFactorsStationaryGaseous_Data(), Table_Fuel_EFs_StationaryGaseous[[#Headers],[Fuel combusted]],0)</f>
        <v>4.5999999999999996</v>
      </c>
      <c r="I89" s="243" cm="1">
        <f t="array" ref="I89">Common_InputFunctions.Utility_DisplayArrayInTable(Fuel_SourceData.Fuel_Scope1EmissionFactorsStationaryGaseous_Data(), Table_Fuel_EFs_StationaryGaseous[[#Headers],[Fuel combusted]],0)</f>
        <v>0.3</v>
      </c>
      <c r="J89" s="243" cm="1">
        <f t="array" ref="J89">Common_InputFunctions.Utility_DisplayArrayInTable(Fuel_SourceData.Fuel_Scope1EmissionFactorsStationaryGaseous_Data(), Table_Fuel_EFs_StationaryGaseous[[#Headers],[Fuel combusted]],0)</f>
        <v>56.8</v>
      </c>
      <c r="K89" s="191"/>
      <c r="L89" s="191"/>
    </row>
    <row r="90" spans="4:12" ht="20.100000000000001" customHeight="1" x14ac:dyDescent="0.25">
      <c r="D90" s="243" t="str" cm="1">
        <f t="array" ref="D90">Common_InputFunctions.Utility_DisplayArrayInTable(Fuel_SourceData.Fuel_Scope1EmissionFactorsStationaryGaseous_Data(), Table_Fuel_EFs_StationaryGaseous[[#Headers],[Fuel combusted]],0)</f>
        <v>Compressed natural gas(reverting to standard conditions)</v>
      </c>
      <c r="E90" s="243" cm="1">
        <f t="array" ref="E90">Common_InputFunctions.Utility_DisplayArrayInTable(Fuel_SourceData.Fuel_Scope1EmissionFactorsStationaryGaseous_Data(), Table_Fuel_EFs_StationaryGaseous[[#Headers],[Fuel combusted]],0)</f>
        <v>3.9300000000000002E-2</v>
      </c>
      <c r="F90" s="243" t="str" cm="1">
        <f t="array" ref="F90">Common_InputFunctions.Utility_DisplayArrayInTable(Fuel_SourceData.Fuel_Scope1EmissionFactorsStationaryGaseous_Data(), Table_Fuel_EFs_StationaryGaseous[[#Headers],[Fuel combusted]],0)</f>
        <v>m3</v>
      </c>
      <c r="G90" s="243" cm="1">
        <f t="array" ref="G90">Common_InputFunctions.Utility_DisplayArrayInTable(Fuel_SourceData.Fuel_Scope1EmissionFactorsStationaryGaseous_Data(), Table_Fuel_EFs_StationaryGaseous[[#Headers],[Fuel combusted]],0)</f>
        <v>51.4</v>
      </c>
      <c r="H90" s="243" cm="1">
        <f t="array" ref="H90">Common_InputFunctions.Utility_DisplayArrayInTable(Fuel_SourceData.Fuel_Scope1EmissionFactorsStationaryGaseous_Data(), Table_Fuel_EFs_StationaryGaseous[[#Headers],[Fuel combusted]],0)</f>
        <v>0.1</v>
      </c>
      <c r="I90" s="243" cm="1">
        <f t="array" ref="I90">Common_InputFunctions.Utility_DisplayArrayInTable(Fuel_SourceData.Fuel_Scope1EmissionFactorsStationaryGaseous_Data(), Table_Fuel_EFs_StationaryGaseous[[#Headers],[Fuel combusted]],0)</f>
        <v>0.03</v>
      </c>
      <c r="J90" s="243" cm="1">
        <f t="array" ref="J90">Common_InputFunctions.Utility_DisplayArrayInTable(Fuel_SourceData.Fuel_Scope1EmissionFactorsStationaryGaseous_Data(), Table_Fuel_EFs_StationaryGaseous[[#Headers],[Fuel combusted]],0)</f>
        <v>51.53</v>
      </c>
      <c r="K90" s="191"/>
      <c r="L90" s="191"/>
    </row>
    <row r="91" spans="4:12" ht="20.100000000000001" customHeight="1" x14ac:dyDescent="0.25">
      <c r="D91" s="243" t="str" cm="1">
        <f t="array" ref="D91">Common_InputFunctions.Utility_DisplayArrayInTable(Fuel_SourceData.Fuel_Scope1EmissionFactorsStationaryGaseous_Data(), Table_Fuel_EFs_StationaryGaseous[[#Headers],[Fuel combusted]],0)</f>
        <v>Unprocessed natural gas</v>
      </c>
      <c r="E91" s="243" cm="1">
        <f t="array" ref="E91">Common_InputFunctions.Utility_DisplayArrayInTable(Fuel_SourceData.Fuel_Scope1EmissionFactorsStationaryGaseous_Data(), Table_Fuel_EFs_StationaryGaseous[[#Headers],[Fuel combusted]],0)</f>
        <v>3.9300000000000002E-2</v>
      </c>
      <c r="F91" s="243" t="str" cm="1">
        <f t="array" ref="F91">Common_InputFunctions.Utility_DisplayArrayInTable(Fuel_SourceData.Fuel_Scope1EmissionFactorsStationaryGaseous_Data(), Table_Fuel_EFs_StationaryGaseous[[#Headers],[Fuel combusted]],0)</f>
        <v>m3</v>
      </c>
      <c r="G91" s="243" cm="1">
        <f t="array" ref="G91">Common_InputFunctions.Utility_DisplayArrayInTable(Fuel_SourceData.Fuel_Scope1EmissionFactorsStationaryGaseous_Data(), Table_Fuel_EFs_StationaryGaseous[[#Headers],[Fuel combusted]],0)</f>
        <v>51.4</v>
      </c>
      <c r="H91" s="243" cm="1">
        <f t="array" ref="H91">Common_InputFunctions.Utility_DisplayArrayInTable(Fuel_SourceData.Fuel_Scope1EmissionFactorsStationaryGaseous_Data(), Table_Fuel_EFs_StationaryGaseous[[#Headers],[Fuel combusted]],0)</f>
        <v>0.1</v>
      </c>
      <c r="I91" s="243" cm="1">
        <f t="array" ref="I91">Common_InputFunctions.Utility_DisplayArrayInTable(Fuel_SourceData.Fuel_Scope1EmissionFactorsStationaryGaseous_Data(), Table_Fuel_EFs_StationaryGaseous[[#Headers],[Fuel combusted]],0)</f>
        <v>0.03</v>
      </c>
      <c r="J91" s="243" cm="1">
        <f t="array" ref="J91">Common_InputFunctions.Utility_DisplayArrayInTable(Fuel_SourceData.Fuel_Scope1EmissionFactorsStationaryGaseous_Data(), Table_Fuel_EFs_StationaryGaseous[[#Headers],[Fuel combusted]],0)</f>
        <v>51.53</v>
      </c>
      <c r="K91" s="191"/>
      <c r="L91" s="191"/>
    </row>
    <row r="92" spans="4:12" ht="20.100000000000001" customHeight="1" x14ac:dyDescent="0.25">
      <c r="D92" s="243" t="str" cm="1">
        <f t="array" ref="D92">Common_InputFunctions.Utility_DisplayArrayInTable(Fuel_SourceData.Fuel_Scope1EmissionFactorsStationaryGaseous_Data(), Table_Fuel_EFs_StationaryGaseous[[#Headers],[Fuel combusted]],0)</f>
        <v>Ethane</v>
      </c>
      <c r="E92" s="243" cm="1">
        <f t="array" ref="E92">Common_InputFunctions.Utility_DisplayArrayInTable(Fuel_SourceData.Fuel_Scope1EmissionFactorsStationaryGaseous_Data(), Table_Fuel_EFs_StationaryGaseous[[#Headers],[Fuel combusted]],0)</f>
        <v>6.2899999999999998E-2</v>
      </c>
      <c r="F92" s="243" t="str" cm="1">
        <f t="array" ref="F92">Common_InputFunctions.Utility_DisplayArrayInTable(Fuel_SourceData.Fuel_Scope1EmissionFactorsStationaryGaseous_Data(), Table_Fuel_EFs_StationaryGaseous[[#Headers],[Fuel combusted]],0)</f>
        <v>m3</v>
      </c>
      <c r="G92" s="243" cm="1">
        <f t="array" ref="G92">Common_InputFunctions.Utility_DisplayArrayInTable(Fuel_SourceData.Fuel_Scope1EmissionFactorsStationaryGaseous_Data(), Table_Fuel_EFs_StationaryGaseous[[#Headers],[Fuel combusted]],0)</f>
        <v>56.5</v>
      </c>
      <c r="H92" s="243" cm="1">
        <f t="array" ref="H92">Common_InputFunctions.Utility_DisplayArrayInTable(Fuel_SourceData.Fuel_Scope1EmissionFactorsStationaryGaseous_Data(), Table_Fuel_EFs_StationaryGaseous[[#Headers],[Fuel combusted]],0)</f>
        <v>0.03</v>
      </c>
      <c r="I92" s="243" cm="1">
        <f t="array" ref="I92">Common_InputFunctions.Utility_DisplayArrayInTable(Fuel_SourceData.Fuel_Scope1EmissionFactorsStationaryGaseous_Data(), Table_Fuel_EFs_StationaryGaseous[[#Headers],[Fuel combusted]],0)</f>
        <v>0.03</v>
      </c>
      <c r="J92" s="243" cm="1">
        <f t="array" ref="J92">Common_InputFunctions.Utility_DisplayArrayInTable(Fuel_SourceData.Fuel_Scope1EmissionFactorsStationaryGaseous_Data(), Table_Fuel_EFs_StationaryGaseous[[#Headers],[Fuel combusted]],0)</f>
        <v>56.56</v>
      </c>
      <c r="K92" s="191"/>
      <c r="L92" s="191"/>
    </row>
    <row r="93" spans="4:12" ht="20.100000000000001" customHeight="1" x14ac:dyDescent="0.25">
      <c r="D93" s="243" t="str" cm="1">
        <f t="array" ref="D93">Common_InputFunctions.Utility_DisplayArrayInTable(Fuel_SourceData.Fuel_Scope1EmissionFactorsStationaryGaseous_Data(), Table_Fuel_EFs_StationaryGaseous[[#Headers],[Fuel combusted]],0)</f>
        <v>Coke oven gas</v>
      </c>
      <c r="E93" s="243" cm="1">
        <f t="array" ref="E93">Common_InputFunctions.Utility_DisplayArrayInTable(Fuel_SourceData.Fuel_Scope1EmissionFactorsStationaryGaseous_Data(), Table_Fuel_EFs_StationaryGaseous[[#Headers],[Fuel combusted]],0)</f>
        <v>1.8100000000000002E-2</v>
      </c>
      <c r="F93" s="243" t="str" cm="1">
        <f t="array" ref="F93">Common_InputFunctions.Utility_DisplayArrayInTable(Fuel_SourceData.Fuel_Scope1EmissionFactorsStationaryGaseous_Data(), Table_Fuel_EFs_StationaryGaseous[[#Headers],[Fuel combusted]],0)</f>
        <v>m3</v>
      </c>
      <c r="G93" s="243" cm="1">
        <f t="array" ref="G93">Common_InputFunctions.Utility_DisplayArrayInTable(Fuel_SourceData.Fuel_Scope1EmissionFactorsStationaryGaseous_Data(), Table_Fuel_EFs_StationaryGaseous[[#Headers],[Fuel combusted]],0)</f>
        <v>37</v>
      </c>
      <c r="H93" s="243" cm="1">
        <f t="array" ref="H93">Common_InputFunctions.Utility_DisplayArrayInTable(Fuel_SourceData.Fuel_Scope1EmissionFactorsStationaryGaseous_Data(), Table_Fuel_EFs_StationaryGaseous[[#Headers],[Fuel combusted]],0)</f>
        <v>0.03</v>
      </c>
      <c r="I93" s="243" cm="1">
        <f t="array" ref="I93">Common_InputFunctions.Utility_DisplayArrayInTable(Fuel_SourceData.Fuel_Scope1EmissionFactorsStationaryGaseous_Data(), Table_Fuel_EFs_StationaryGaseous[[#Headers],[Fuel combusted]],0)</f>
        <v>0.05</v>
      </c>
      <c r="J93" s="243" cm="1">
        <f t="array" ref="J93">Common_InputFunctions.Utility_DisplayArrayInTable(Fuel_SourceData.Fuel_Scope1EmissionFactorsStationaryGaseous_Data(), Table_Fuel_EFs_StationaryGaseous[[#Headers],[Fuel combusted]],0)</f>
        <v>37.08</v>
      </c>
      <c r="K93" s="191"/>
      <c r="L93" s="191"/>
    </row>
    <row r="94" spans="4:12" ht="20.100000000000001" customHeight="1" x14ac:dyDescent="0.25">
      <c r="D94" s="243" t="str" cm="1">
        <f t="array" ref="D94">Common_InputFunctions.Utility_DisplayArrayInTable(Fuel_SourceData.Fuel_Scope1EmissionFactorsStationaryGaseous_Data(), Table_Fuel_EFs_StationaryGaseous[[#Headers],[Fuel combusted]],0)</f>
        <v>Blast furnace gas</v>
      </c>
      <c r="E94" s="243" cm="1">
        <f t="array" ref="E94">Common_InputFunctions.Utility_DisplayArrayInTable(Fuel_SourceData.Fuel_Scope1EmissionFactorsStationaryGaseous_Data(), Table_Fuel_EFs_StationaryGaseous[[#Headers],[Fuel combusted]],0)</f>
        <v>4.0000000000000001E-3</v>
      </c>
      <c r="F94" s="243" t="str" cm="1">
        <f t="array" ref="F94">Common_InputFunctions.Utility_DisplayArrayInTable(Fuel_SourceData.Fuel_Scope1EmissionFactorsStationaryGaseous_Data(), Table_Fuel_EFs_StationaryGaseous[[#Headers],[Fuel combusted]],0)</f>
        <v>m3</v>
      </c>
      <c r="G94" s="243" cm="1">
        <f t="array" ref="G94">Common_InputFunctions.Utility_DisplayArrayInTable(Fuel_SourceData.Fuel_Scope1EmissionFactorsStationaryGaseous_Data(), Table_Fuel_EFs_StationaryGaseous[[#Headers],[Fuel combusted]],0)</f>
        <v>234</v>
      </c>
      <c r="H94" s="243" cm="1">
        <f t="array" ref="H94">Common_InputFunctions.Utility_DisplayArrayInTable(Fuel_SourceData.Fuel_Scope1EmissionFactorsStationaryGaseous_Data(), Table_Fuel_EFs_StationaryGaseous[[#Headers],[Fuel combusted]],0)</f>
        <v>0.03</v>
      </c>
      <c r="I94" s="243" cm="1">
        <f t="array" ref="I94">Common_InputFunctions.Utility_DisplayArrayInTable(Fuel_SourceData.Fuel_Scope1EmissionFactorsStationaryGaseous_Data(), Table_Fuel_EFs_StationaryGaseous[[#Headers],[Fuel combusted]],0)</f>
        <v>0.02</v>
      </c>
      <c r="J94" s="243" cm="1">
        <f t="array" ref="J94">Common_InputFunctions.Utility_DisplayArrayInTable(Fuel_SourceData.Fuel_Scope1EmissionFactorsStationaryGaseous_Data(), Table_Fuel_EFs_StationaryGaseous[[#Headers],[Fuel combusted]],0)</f>
        <v>234.05</v>
      </c>
      <c r="K94" s="191"/>
      <c r="L94" s="191"/>
    </row>
    <row r="95" spans="4:12" ht="20.100000000000001" customHeight="1" x14ac:dyDescent="0.25">
      <c r="D95" s="243" t="str" cm="1">
        <f t="array" ref="D95">Common_InputFunctions.Utility_DisplayArrayInTable(Fuel_SourceData.Fuel_Scope1EmissionFactorsStationaryGaseous_Data(), Table_Fuel_EFs_StationaryGaseous[[#Headers],[Fuel combusted]],0)</f>
        <v>Town gas</v>
      </c>
      <c r="E95" s="243" cm="1">
        <f t="array" ref="E95">Common_InputFunctions.Utility_DisplayArrayInTable(Fuel_SourceData.Fuel_Scope1EmissionFactorsStationaryGaseous_Data(), Table_Fuel_EFs_StationaryGaseous[[#Headers],[Fuel combusted]],0)</f>
        <v>3.9E-2</v>
      </c>
      <c r="F95" s="243" t="str" cm="1">
        <f t="array" ref="F95">Common_InputFunctions.Utility_DisplayArrayInTable(Fuel_SourceData.Fuel_Scope1EmissionFactorsStationaryGaseous_Data(), Table_Fuel_EFs_StationaryGaseous[[#Headers],[Fuel combusted]],0)</f>
        <v>m3</v>
      </c>
      <c r="G95" s="243" cm="1">
        <f t="array" ref="G95">Common_InputFunctions.Utility_DisplayArrayInTable(Fuel_SourceData.Fuel_Scope1EmissionFactorsStationaryGaseous_Data(), Table_Fuel_EFs_StationaryGaseous[[#Headers],[Fuel combusted]],0)</f>
        <v>60.2</v>
      </c>
      <c r="H95" s="243" cm="1">
        <f t="array" ref="H95">Common_InputFunctions.Utility_DisplayArrayInTable(Fuel_SourceData.Fuel_Scope1EmissionFactorsStationaryGaseous_Data(), Table_Fuel_EFs_StationaryGaseous[[#Headers],[Fuel combusted]],0)</f>
        <v>0.04</v>
      </c>
      <c r="I95" s="243" cm="1">
        <f t="array" ref="I95">Common_InputFunctions.Utility_DisplayArrayInTable(Fuel_SourceData.Fuel_Scope1EmissionFactorsStationaryGaseous_Data(), Table_Fuel_EFs_StationaryGaseous[[#Headers],[Fuel combusted]],0)</f>
        <v>0.03</v>
      </c>
      <c r="J95" s="243" cm="1">
        <f t="array" ref="J95">Common_InputFunctions.Utility_DisplayArrayInTable(Fuel_SourceData.Fuel_Scope1EmissionFactorsStationaryGaseous_Data(), Table_Fuel_EFs_StationaryGaseous[[#Headers],[Fuel combusted]],0)</f>
        <v>60.27</v>
      </c>
      <c r="K95" s="191"/>
      <c r="L95" s="191"/>
    </row>
    <row r="96" spans="4:12" ht="20.100000000000001" customHeight="1" x14ac:dyDescent="0.25">
      <c r="D96" s="243" t="str" cm="1">
        <f t="array" ref="D96">Common_InputFunctions.Utility_DisplayArrayInTable(Fuel_SourceData.Fuel_Scope1EmissionFactorsStationaryGaseous_Data(), Table_Fuel_EFs_StationaryGaseous[[#Headers],[Fuel combusted]],0)</f>
        <v>Liquefied natural gas</v>
      </c>
      <c r="E96" s="243" cm="1">
        <f t="array" ref="E96">Common_InputFunctions.Utility_DisplayArrayInTable(Fuel_SourceData.Fuel_Scope1EmissionFactorsStationaryGaseous_Data(), Table_Fuel_EFs_StationaryGaseous[[#Headers],[Fuel combusted]],0)</f>
        <v>25.3</v>
      </c>
      <c r="F96" s="243" t="str" cm="1">
        <f t="array" ref="F96">Common_InputFunctions.Utility_DisplayArrayInTable(Fuel_SourceData.Fuel_Scope1EmissionFactorsStationaryGaseous_Data(), Table_Fuel_EFs_StationaryGaseous[[#Headers],[Fuel combusted]],0)</f>
        <v>kL</v>
      </c>
      <c r="G96" s="243" cm="1">
        <f t="array" ref="G96">Common_InputFunctions.Utility_DisplayArrayInTable(Fuel_SourceData.Fuel_Scope1EmissionFactorsStationaryGaseous_Data(), Table_Fuel_EFs_StationaryGaseous[[#Headers],[Fuel combusted]],0)</f>
        <v>51.4</v>
      </c>
      <c r="H96" s="243" cm="1">
        <f t="array" ref="H96">Common_InputFunctions.Utility_DisplayArrayInTable(Fuel_SourceData.Fuel_Scope1EmissionFactorsStationaryGaseous_Data(), Table_Fuel_EFs_StationaryGaseous[[#Headers],[Fuel combusted]],0)</f>
        <v>0.1</v>
      </c>
      <c r="I96" s="243" cm="1">
        <f t="array" ref="I96">Common_InputFunctions.Utility_DisplayArrayInTable(Fuel_SourceData.Fuel_Scope1EmissionFactorsStationaryGaseous_Data(), Table_Fuel_EFs_StationaryGaseous[[#Headers],[Fuel combusted]],0)</f>
        <v>0.03</v>
      </c>
      <c r="J96" s="243" cm="1">
        <f t="array" ref="J96">Common_InputFunctions.Utility_DisplayArrayInTable(Fuel_SourceData.Fuel_Scope1EmissionFactorsStationaryGaseous_Data(), Table_Fuel_EFs_StationaryGaseous[[#Headers],[Fuel combusted]],0)</f>
        <v>51.53</v>
      </c>
      <c r="K96" s="191"/>
      <c r="L96" s="191"/>
    </row>
    <row r="97" spans="4:13" ht="20.100000000000001" customHeight="1" x14ac:dyDescent="0.25">
      <c r="D97" s="243" t="str" cm="1">
        <f t="array" ref="D97">Common_InputFunctions.Utility_DisplayArrayInTable(Fuel_SourceData.Fuel_Scope1EmissionFactorsStationaryGaseous_Data(), Table_Fuel_EFs_StationaryGaseous[[#Headers],[Fuel combusted]],0)</f>
        <v>Gaseous fossil fuels other than those mentioned in the items above</v>
      </c>
      <c r="E97" s="243" cm="1">
        <f t="array" ref="E97">Common_InputFunctions.Utility_DisplayArrayInTable(Fuel_SourceData.Fuel_Scope1EmissionFactorsStationaryGaseous_Data(), Table_Fuel_EFs_StationaryGaseous[[#Headers],[Fuel combusted]],0)</f>
        <v>3.9E-2</v>
      </c>
      <c r="F97" s="243" t="str" cm="1">
        <f t="array" ref="F97">Common_InputFunctions.Utility_DisplayArrayInTable(Fuel_SourceData.Fuel_Scope1EmissionFactorsStationaryGaseous_Data(), Table_Fuel_EFs_StationaryGaseous[[#Headers],[Fuel combusted]],0)</f>
        <v>m3</v>
      </c>
      <c r="G97" s="243" cm="1">
        <f t="array" ref="G97">Common_InputFunctions.Utility_DisplayArrayInTable(Fuel_SourceData.Fuel_Scope1EmissionFactorsStationaryGaseous_Data(), Table_Fuel_EFs_StationaryGaseous[[#Headers],[Fuel combusted]],0)</f>
        <v>51.4</v>
      </c>
      <c r="H97" s="243" cm="1">
        <f t="array" ref="H97">Common_InputFunctions.Utility_DisplayArrayInTable(Fuel_SourceData.Fuel_Scope1EmissionFactorsStationaryGaseous_Data(), Table_Fuel_EFs_StationaryGaseous[[#Headers],[Fuel combusted]],0)</f>
        <v>0.1</v>
      </c>
      <c r="I97" s="243" cm="1">
        <f t="array" ref="I97">Common_InputFunctions.Utility_DisplayArrayInTable(Fuel_SourceData.Fuel_Scope1EmissionFactorsStationaryGaseous_Data(), Table_Fuel_EFs_StationaryGaseous[[#Headers],[Fuel combusted]],0)</f>
        <v>0.03</v>
      </c>
      <c r="J97" s="243" cm="1">
        <f t="array" ref="J97">Common_InputFunctions.Utility_DisplayArrayInTable(Fuel_SourceData.Fuel_Scope1EmissionFactorsStationaryGaseous_Data(), Table_Fuel_EFs_StationaryGaseous[[#Headers],[Fuel combusted]],0)</f>
        <v>51.53</v>
      </c>
      <c r="K97" s="191"/>
      <c r="L97" s="191"/>
    </row>
    <row r="98" spans="4:13" ht="20.100000000000001" customHeight="1" x14ac:dyDescent="0.25">
      <c r="D98" s="243" t="str" cm="1">
        <f t="array" ref="D98">Common_InputFunctions.Utility_DisplayArrayInTable(Fuel_SourceData.Fuel_Scope1EmissionFactorsStationaryGaseous_Data(), Table_Fuel_EFs_StationaryGaseous[[#Headers],[Fuel combusted]],0)</f>
        <v>Landfill biogas that is captured for combustion (methane only)</v>
      </c>
      <c r="E98" s="243" cm="1">
        <f t="array" ref="E98">Common_InputFunctions.Utility_DisplayArrayInTable(Fuel_SourceData.Fuel_Scope1EmissionFactorsStationaryGaseous_Data(), Table_Fuel_EFs_StationaryGaseous[[#Headers],[Fuel combusted]],0)</f>
        <v>3.7699999999999997E-2</v>
      </c>
      <c r="F98" s="243" t="str" cm="1">
        <f t="array" ref="F98">Common_InputFunctions.Utility_DisplayArrayInTable(Fuel_SourceData.Fuel_Scope1EmissionFactorsStationaryGaseous_Data(), Table_Fuel_EFs_StationaryGaseous[[#Headers],[Fuel combusted]],0)</f>
        <v>m3</v>
      </c>
      <c r="G98" s="243" cm="1">
        <f t="array" ref="G98">Common_InputFunctions.Utility_DisplayArrayInTable(Fuel_SourceData.Fuel_Scope1EmissionFactorsStationaryGaseous_Data(), Table_Fuel_EFs_StationaryGaseous[[#Headers],[Fuel combusted]],0)</f>
        <v>0</v>
      </c>
      <c r="H98" s="243" cm="1">
        <f t="array" ref="H98">Common_InputFunctions.Utility_DisplayArrayInTable(Fuel_SourceData.Fuel_Scope1EmissionFactorsStationaryGaseous_Data(), Table_Fuel_EFs_StationaryGaseous[[#Headers],[Fuel combusted]],0)</f>
        <v>6.4</v>
      </c>
      <c r="I98" s="243" cm="1">
        <f t="array" ref="I98">Common_InputFunctions.Utility_DisplayArrayInTable(Fuel_SourceData.Fuel_Scope1EmissionFactorsStationaryGaseous_Data(), Table_Fuel_EFs_StationaryGaseous[[#Headers],[Fuel combusted]],0)</f>
        <v>0.03</v>
      </c>
      <c r="J98" s="243" cm="1">
        <f t="array" ref="J98">Common_InputFunctions.Utility_DisplayArrayInTable(Fuel_SourceData.Fuel_Scope1EmissionFactorsStationaryGaseous_Data(), Table_Fuel_EFs_StationaryGaseous[[#Headers],[Fuel combusted]],0)</f>
        <v>6.43</v>
      </c>
      <c r="K98" s="191"/>
      <c r="L98" s="191"/>
    </row>
    <row r="99" spans="4:13" ht="20.100000000000001" customHeight="1" x14ac:dyDescent="0.25">
      <c r="D99" s="243" t="str" cm="1">
        <f t="array" ref="D99">Common_InputFunctions.Utility_DisplayArrayInTable(Fuel_SourceData.Fuel_Scope1EmissionFactorsStationaryGaseous_Data(), Table_Fuel_EFs_StationaryGaseous[[#Headers],[Fuel combusted]],0)</f>
        <v>Sludge biogas that is captured for combustion (methane only)</v>
      </c>
      <c r="E99" s="243" cm="1">
        <f t="array" ref="E99">Common_InputFunctions.Utility_DisplayArrayInTable(Fuel_SourceData.Fuel_Scope1EmissionFactorsStationaryGaseous_Data(), Table_Fuel_EFs_StationaryGaseous[[#Headers],[Fuel combusted]],0)</f>
        <v>3.7699999999999997E-2</v>
      </c>
      <c r="F99" s="243" t="str" cm="1">
        <f t="array" ref="F99">Common_InputFunctions.Utility_DisplayArrayInTable(Fuel_SourceData.Fuel_Scope1EmissionFactorsStationaryGaseous_Data(), Table_Fuel_EFs_StationaryGaseous[[#Headers],[Fuel combusted]],0)</f>
        <v>m3</v>
      </c>
      <c r="G99" s="243" cm="1">
        <f t="array" ref="G99">Common_InputFunctions.Utility_DisplayArrayInTable(Fuel_SourceData.Fuel_Scope1EmissionFactorsStationaryGaseous_Data(), Table_Fuel_EFs_StationaryGaseous[[#Headers],[Fuel combusted]],0)</f>
        <v>0</v>
      </c>
      <c r="H99" s="243" cm="1">
        <f t="array" ref="H99">Common_InputFunctions.Utility_DisplayArrayInTable(Fuel_SourceData.Fuel_Scope1EmissionFactorsStationaryGaseous_Data(), Table_Fuel_EFs_StationaryGaseous[[#Headers],[Fuel combusted]],0)</f>
        <v>6.4</v>
      </c>
      <c r="I99" s="243" cm="1">
        <f t="array" ref="I99">Common_InputFunctions.Utility_DisplayArrayInTable(Fuel_SourceData.Fuel_Scope1EmissionFactorsStationaryGaseous_Data(), Table_Fuel_EFs_StationaryGaseous[[#Headers],[Fuel combusted]],0)</f>
        <v>0.03</v>
      </c>
      <c r="J99" s="243" cm="1">
        <f t="array" ref="J99">Common_InputFunctions.Utility_DisplayArrayInTable(Fuel_SourceData.Fuel_Scope1EmissionFactorsStationaryGaseous_Data(), Table_Fuel_EFs_StationaryGaseous[[#Headers],[Fuel combusted]],0)</f>
        <v>6.43</v>
      </c>
      <c r="K99" s="191"/>
      <c r="L99" s="191"/>
    </row>
    <row r="100" spans="4:13" ht="20.100000000000001" customHeight="1" x14ac:dyDescent="0.25">
      <c r="D100" s="243"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43" cm="1">
        <f t="array" ref="E100">Common_InputFunctions.Utility_DisplayArrayInTable(Fuel_SourceData.Fuel_Scope1EmissionFactorsStationaryGaseous_Data(), Table_Fuel_EFs_StationaryGaseous[[#Headers],[Fuel combusted]],0)</f>
        <v>3.6999999999999998E-2</v>
      </c>
      <c r="F100" s="243" t="str" cm="1">
        <f t="array" ref="F100">Common_InputFunctions.Utility_DisplayArrayInTable(Fuel_SourceData.Fuel_Scope1EmissionFactorsStationaryGaseous_Data(), Table_Fuel_EFs_StationaryGaseous[[#Headers],[Fuel combusted]],0)</f>
        <v>m3</v>
      </c>
      <c r="G100" s="243" cm="1">
        <f t="array" ref="G100">Common_InputFunctions.Utility_DisplayArrayInTable(Fuel_SourceData.Fuel_Scope1EmissionFactorsStationaryGaseous_Data(), Table_Fuel_EFs_StationaryGaseous[[#Headers],[Fuel combusted]],0)</f>
        <v>0</v>
      </c>
      <c r="H100" s="243" cm="1">
        <f t="array" ref="H100">Common_InputFunctions.Utility_DisplayArrayInTable(Fuel_SourceData.Fuel_Scope1EmissionFactorsStationaryGaseous_Data(), Table_Fuel_EFs_StationaryGaseous[[#Headers],[Fuel combusted]],0)</f>
        <v>6.4</v>
      </c>
      <c r="I100" s="243" cm="1">
        <f t="array" ref="I100">Common_InputFunctions.Utility_DisplayArrayInTable(Fuel_SourceData.Fuel_Scope1EmissionFactorsStationaryGaseous_Data(), Table_Fuel_EFs_StationaryGaseous[[#Headers],[Fuel combusted]],0)</f>
        <v>0.03</v>
      </c>
      <c r="J100" s="243" cm="1">
        <f t="array" ref="J100">Common_InputFunctions.Utility_DisplayArrayInTable(Fuel_SourceData.Fuel_Scope1EmissionFactorsStationaryGaseous_Data(), Table_Fuel_EFs_StationaryGaseous[[#Headers],[Fuel combusted]],0)</f>
        <v>6.43</v>
      </c>
      <c r="K100" s="191"/>
      <c r="L100" s="191"/>
    </row>
    <row r="101" spans="4:13" ht="20.100000000000001" customHeight="1" x14ac:dyDescent="0.25">
      <c r="D101" s="243" t="str" cm="1">
        <f t="array" ref="D101">Common_InputFunctions.Utility_DisplayArrayInTable(Fuel_SourceData.Fuel_Scope1EmissionFactorsStationaryGaseous_Data(), Table_Fuel_EFs_StationaryGaseous[[#Headers],[Fuel combusted]],0)</f>
        <v>Biomethane</v>
      </c>
      <c r="E101" s="243" cm="1">
        <f t="array" ref="E101">Common_InputFunctions.Utility_DisplayArrayInTable(Fuel_SourceData.Fuel_Scope1EmissionFactorsStationaryGaseous_Data(), Table_Fuel_EFs_StationaryGaseous[[#Headers],[Fuel combusted]],0)</f>
        <v>3.9300000000000002E-2</v>
      </c>
      <c r="F101" s="243" t="str" cm="1">
        <f t="array" ref="F101">Common_InputFunctions.Utility_DisplayArrayInTable(Fuel_SourceData.Fuel_Scope1EmissionFactorsStationaryGaseous_Data(), Table_Fuel_EFs_StationaryGaseous[[#Headers],[Fuel combusted]],0)</f>
        <v>m3</v>
      </c>
      <c r="G101" s="243" cm="1">
        <f t="array" ref="G101">Common_InputFunctions.Utility_DisplayArrayInTable(Fuel_SourceData.Fuel_Scope1EmissionFactorsStationaryGaseous_Data(), Table_Fuel_EFs_StationaryGaseous[[#Headers],[Fuel combusted]],0)</f>
        <v>0</v>
      </c>
      <c r="H101" s="243" cm="1">
        <f t="array" ref="H101">Common_InputFunctions.Utility_DisplayArrayInTable(Fuel_SourceData.Fuel_Scope1EmissionFactorsStationaryGaseous_Data(), Table_Fuel_EFs_StationaryGaseous[[#Headers],[Fuel combusted]],0)</f>
        <v>0.1</v>
      </c>
      <c r="I101" s="243" cm="1">
        <f t="array" ref="I101">Common_InputFunctions.Utility_DisplayArrayInTable(Fuel_SourceData.Fuel_Scope1EmissionFactorsStationaryGaseous_Data(), Table_Fuel_EFs_StationaryGaseous[[#Headers],[Fuel combusted]],0)</f>
        <v>0.03</v>
      </c>
      <c r="J101" s="243" cm="1">
        <f t="array" ref="J101">Common_InputFunctions.Utility_DisplayArrayInTable(Fuel_SourceData.Fuel_Scope1EmissionFactorsStationaryGaseous_Data(), Table_Fuel_EFs_StationaryGaseous[[#Headers],[Fuel combusted]],0)</f>
        <v>0.13</v>
      </c>
      <c r="K101" s="191"/>
      <c r="L101" s="191"/>
    </row>
    <row r="102" spans="4:13" ht="20.100000000000001" customHeight="1" x14ac:dyDescent="0.25">
      <c r="D102" s="243" t="str" cm="1">
        <f t="array" ref="D102">Common_InputFunctions.Utility_DisplayArrayInTable(Fuel_SourceData.Fuel_Scope1EmissionFactorsStationaryGaseous_Data(), Table_Fuel_EFs_StationaryGaseous[[#Headers],[Fuel combusted]],0)</f>
        <v>Hydrogen</v>
      </c>
      <c r="E102" s="243" cm="1">
        <f t="array" ref="E102">Common_InputFunctions.Utility_DisplayArrayInTable(Fuel_SourceData.Fuel_Scope1EmissionFactorsStationaryGaseous_Data(), Table_Fuel_EFs_StationaryGaseous[[#Headers],[Fuel combusted]],0)</f>
        <v>1.2200000000000001E-2</v>
      </c>
      <c r="F102" s="243" t="str" cm="1">
        <f t="array" ref="F102">Common_InputFunctions.Utility_DisplayArrayInTable(Fuel_SourceData.Fuel_Scope1EmissionFactorsStationaryGaseous_Data(), Table_Fuel_EFs_StationaryGaseous[[#Headers],[Fuel combusted]],0)</f>
        <v>m3</v>
      </c>
      <c r="G102" s="243" cm="1">
        <f t="array" ref="G102">Common_InputFunctions.Utility_DisplayArrayInTable(Fuel_SourceData.Fuel_Scope1EmissionFactorsStationaryGaseous_Data(), Table_Fuel_EFs_StationaryGaseous[[#Headers],[Fuel combusted]],0)</f>
        <v>0</v>
      </c>
      <c r="H102" s="243" cm="1">
        <f t="array" ref="H102">Common_InputFunctions.Utility_DisplayArrayInTable(Fuel_SourceData.Fuel_Scope1EmissionFactorsStationaryGaseous_Data(), Table_Fuel_EFs_StationaryGaseous[[#Headers],[Fuel combusted]],0)</f>
        <v>0</v>
      </c>
      <c r="I102" s="243" cm="1">
        <f t="array" ref="I102">Common_InputFunctions.Utility_DisplayArrayInTable(Fuel_SourceData.Fuel_Scope1EmissionFactorsStationaryGaseous_Data(), Table_Fuel_EFs_StationaryGaseous[[#Headers],[Fuel combusted]],0)</f>
        <v>0.5</v>
      </c>
      <c r="J102" s="243" cm="1">
        <f t="array" ref="J102">Common_InputFunctions.Utility_DisplayArrayInTable(Fuel_SourceData.Fuel_Scope1EmissionFactorsStationaryGaseous_Data(), Table_Fuel_EFs_StationaryGaseous[[#Headers],[Fuel combusted]],0)</f>
        <v>0.5</v>
      </c>
      <c r="K102" s="191"/>
      <c r="L102" s="191"/>
    </row>
    <row r="103" spans="4:13" ht="20.100000000000001" customHeight="1" x14ac:dyDescent="0.25">
      <c r="D103" s="243" t="str" cm="1">
        <f t="array" ref="D103">Common_InputFunctions.Utility_DisplayArrayInTable(Fuel_SourceData.Fuel_Scope1EmissionFactorsStationaryGaseous_Data(), Table_Fuel_EFs_StationaryGaseous[[#Headers],[Fuel combusted]],0)</f>
        <v>Natural gas distributed in a pipeline - Gigajoules</v>
      </c>
      <c r="E103" s="243" cm="1">
        <f t="array" ref="E103">Common_InputFunctions.Utility_DisplayArrayInTable(Fuel_SourceData.Fuel_Scope1EmissionFactorsStationaryGaseous_Data(), Table_Fuel_EFs_StationaryGaseous[[#Headers],[Fuel combusted]],0)</f>
        <v>1</v>
      </c>
      <c r="F103" s="243" t="str" cm="1">
        <f t="array" ref="F103">Common_InputFunctions.Utility_DisplayArrayInTable(Fuel_SourceData.Fuel_Scope1EmissionFactorsStationaryGaseous_Data(), Table_Fuel_EFs_StationaryGaseous[[#Headers],[Fuel combusted]],0)</f>
        <v>GJ</v>
      </c>
      <c r="G103" s="243" cm="1">
        <f t="array" ref="G103">Common_InputFunctions.Utility_DisplayArrayInTable(Fuel_SourceData.Fuel_Scope1EmissionFactorsStationaryGaseous_Data(), Table_Fuel_EFs_StationaryGaseous[[#Headers],[Fuel combusted]],0)</f>
        <v>51.4</v>
      </c>
      <c r="H103" s="243" cm="1">
        <f t="array" ref="H103">Common_InputFunctions.Utility_DisplayArrayInTable(Fuel_SourceData.Fuel_Scope1EmissionFactorsStationaryGaseous_Data(), Table_Fuel_EFs_StationaryGaseous[[#Headers],[Fuel combusted]],0)</f>
        <v>0.1</v>
      </c>
      <c r="I103" s="243" cm="1">
        <f t="array" ref="I103">Common_InputFunctions.Utility_DisplayArrayInTable(Fuel_SourceData.Fuel_Scope1EmissionFactorsStationaryGaseous_Data(), Table_Fuel_EFs_StationaryGaseous[[#Headers],[Fuel combusted]],0)</f>
        <v>0.03</v>
      </c>
      <c r="J103" s="243" cm="1">
        <f t="array" ref="J103">Common_InputFunctions.Utility_DisplayArrayInTable(Fuel_SourceData.Fuel_Scope1EmissionFactorsStationaryGaseous_Data(), Table_Fuel_EFs_StationaryGaseous[[#Headers],[Fuel combusted]],0)</f>
        <v>51.53</v>
      </c>
      <c r="K103" s="191"/>
      <c r="L103" s="191"/>
    </row>
    <row r="104" spans="4:13" ht="20.100000000000001" customHeight="1" x14ac:dyDescent="0.25">
      <c r="D104" s="243" t="str" cm="1">
        <f t="array" ref="D104">Common_InputFunctions.Utility_DisplayArrayInTable(Fuel_SourceData.Fuel_Scope1EmissionFactorsStationaryGaseous_Data(), Table_Fuel_EFs_StationaryGaseous[[#Headers],[Fuel combusted]],0)</f>
        <v>Town gas - Gigajoules</v>
      </c>
      <c r="E104" s="243" cm="1">
        <f t="array" ref="E104">Common_InputFunctions.Utility_DisplayArrayInTable(Fuel_SourceData.Fuel_Scope1EmissionFactorsStationaryGaseous_Data(), Table_Fuel_EFs_StationaryGaseous[[#Headers],[Fuel combusted]],0)</f>
        <v>1</v>
      </c>
      <c r="F104" s="243" t="str" cm="1">
        <f t="array" ref="F104">Common_InputFunctions.Utility_DisplayArrayInTable(Fuel_SourceData.Fuel_Scope1EmissionFactorsStationaryGaseous_Data(), Table_Fuel_EFs_StationaryGaseous[[#Headers],[Fuel combusted]],0)</f>
        <v>GJ</v>
      </c>
      <c r="G104" s="243" cm="1">
        <f t="array" ref="G104">Common_InputFunctions.Utility_DisplayArrayInTable(Fuel_SourceData.Fuel_Scope1EmissionFactorsStationaryGaseous_Data(), Table_Fuel_EFs_StationaryGaseous[[#Headers],[Fuel combusted]],0)</f>
        <v>60.2</v>
      </c>
      <c r="H104" s="243" cm="1">
        <f t="array" ref="H104">Common_InputFunctions.Utility_DisplayArrayInTable(Fuel_SourceData.Fuel_Scope1EmissionFactorsStationaryGaseous_Data(), Table_Fuel_EFs_StationaryGaseous[[#Headers],[Fuel combusted]],0)</f>
        <v>0.04</v>
      </c>
      <c r="I104" s="243" cm="1">
        <f t="array" ref="I104">Common_InputFunctions.Utility_DisplayArrayInTable(Fuel_SourceData.Fuel_Scope1EmissionFactorsStationaryGaseous_Data(), Table_Fuel_EFs_StationaryGaseous[[#Headers],[Fuel combusted]],0)</f>
        <v>0.03</v>
      </c>
      <c r="J104" s="243" cm="1">
        <f t="array" ref="J104">Common_InputFunctions.Utility_DisplayArrayInTable(Fuel_SourceData.Fuel_Scope1EmissionFactorsStationaryGaseous_Data(), Table_Fuel_EFs_StationaryGaseous[[#Headers],[Fuel combusted]],0)</f>
        <v>60.27</v>
      </c>
      <c r="K104" s="191"/>
      <c r="L104" s="191"/>
    </row>
    <row r="105" spans="4:13" ht="20.100000000000001" customHeight="1" x14ac:dyDescent="0.25">
      <c r="D105" s="191"/>
      <c r="E105" s="191"/>
      <c r="F105" s="191"/>
      <c r="G105" s="191"/>
      <c r="H105" s="191"/>
      <c r="I105" s="191"/>
      <c r="J105" s="191"/>
      <c r="K105" s="191"/>
      <c r="L105" s="191"/>
      <c r="M105" s="191"/>
    </row>
    <row r="106" spans="4:13" ht="20.100000000000001" customHeight="1" x14ac:dyDescent="0.25">
      <c r="D106" s="191"/>
      <c r="E106" s="191"/>
      <c r="F106" s="191"/>
      <c r="G106" s="191"/>
      <c r="H106" s="191"/>
      <c r="I106" s="191"/>
      <c r="J106" s="191"/>
      <c r="K106" s="191"/>
      <c r="L106" s="191"/>
      <c r="M106" s="191"/>
    </row>
    <row r="107" spans="4:13" ht="20.100000000000001" customHeight="1" x14ac:dyDescent="0.25">
      <c r="D107" s="2" t="str" cm="1">
        <f t="array" ref="D107">Fuel_SourceData.Fuel_Scope3EmissionFactorsStationaryGaseous_Title()</f>
        <v>Fuel scope 3 emission factors - Stationary gaseous fuels</v>
      </c>
      <c r="E107" s="191"/>
      <c r="F107" s="191"/>
      <c r="G107" s="191"/>
      <c r="H107" s="191"/>
      <c r="I107" s="191"/>
      <c r="J107" s="191"/>
      <c r="K107" s="191"/>
      <c r="L107" s="191"/>
    </row>
    <row r="108" spans="4:13" ht="20.100000000000001" customHeight="1" x14ac:dyDescent="0.25">
      <c r="D108" s="1" t="str" cm="1">
        <f t="array" ref="D108">Fuel_SourceData.Fuel_Scope3EmissionFactorsStationaryGaseous_Description()</f>
        <v>Indirect (Scope 3) emission factors for the consumption of natural gas.</v>
      </c>
      <c r="E108" s="191"/>
      <c r="F108" s="191"/>
      <c r="G108" s="191"/>
      <c r="H108" s="191"/>
      <c r="I108" s="191"/>
      <c r="J108" s="191"/>
      <c r="K108" s="191"/>
      <c r="L108" s="191"/>
    </row>
    <row r="109" spans="4:13" ht="20.100000000000001" customHeight="1" x14ac:dyDescent="0.25">
      <c r="D109" s="27" t="str" cm="1">
        <f t="array" ref="D109">Fuel_SourceData.Fuel_Scope3EmissionFactorsStationaryGaseous_Source()</f>
        <v>Australian National Greenhouse Accounts Factors 2025 - Table 6</v>
      </c>
      <c r="E109" s="191"/>
      <c r="F109" s="191"/>
      <c r="G109" s="191"/>
      <c r="H109" s="191"/>
      <c r="I109" s="191"/>
      <c r="J109" s="191"/>
      <c r="K109" s="191"/>
      <c r="L109" s="191"/>
    </row>
    <row r="110" spans="4:13" ht="20.100000000000001" customHeight="1" x14ac:dyDescent="0.25">
      <c r="D110" s="35"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91"/>
      <c r="F110" s="191"/>
      <c r="G110" s="191"/>
      <c r="H110" s="191"/>
      <c r="I110" s="191"/>
      <c r="J110" s="191"/>
      <c r="K110" s="191"/>
      <c r="L110" s="191"/>
    </row>
    <row r="111" spans="4:13" ht="20.100000000000001" customHeight="1" x14ac:dyDescent="0.25">
      <c r="D111" s="191"/>
      <c r="E111" s="191"/>
      <c r="F111" s="191"/>
      <c r="G111" s="191"/>
      <c r="H111" s="191"/>
      <c r="I111" s="191"/>
      <c r="J111" s="191"/>
      <c r="K111" s="191"/>
      <c r="L111" s="191"/>
    </row>
    <row r="112" spans="4:13" ht="20.100000000000001" customHeight="1" x14ac:dyDescent="0.25">
      <c r="D112" s="208" t="s">
        <v>850</v>
      </c>
      <c r="E112" s="240" t="s">
        <v>784</v>
      </c>
      <c r="F112" s="240" t="s">
        <v>851</v>
      </c>
      <c r="G112" s="191"/>
      <c r="H112" s="87" t="s">
        <v>852</v>
      </c>
      <c r="I112" s="191"/>
      <c r="J112" s="191"/>
      <c r="K112" s="191"/>
      <c r="L112" s="191"/>
    </row>
    <row r="113" spans="4:13" ht="20.100000000000001" customHeight="1" x14ac:dyDescent="0.25">
      <c r="D113" s="244" t="str" cm="1">
        <f t="array" ref="D113">Common_InputFunctions.Utility_DisplayArrayInTable(Fuel_SourceData.Fuel_Scope3EmissionFactorsStationaryGaseous_Data(), Table_Fuel_EFs_StationaryGaseous34[[#Headers],[State or territory]],0)</f>
        <v>New South Wales</v>
      </c>
      <c r="E113" s="244" cm="1">
        <f t="array" ref="E113">Common_InputFunctions.Utility_DisplayArrayInTable(Fuel_SourceData.Fuel_Scope3EmissionFactorsStationaryGaseous_Data(), Table_Fuel_EFs_StationaryGaseous34[[#Headers],[State or territory]],0)</f>
        <v>13.1</v>
      </c>
      <c r="F113" s="244" cm="1">
        <f t="array" ref="F113">Common_InputFunctions.Utility_DisplayArrayInTable(Fuel_SourceData.Fuel_Scope3EmissionFactorsStationaryGaseous_Data(), Table_Fuel_EFs_StationaryGaseous34[[#Headers],[State or territory]],0)</f>
        <v>14</v>
      </c>
      <c r="G113" s="245"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91"/>
      <c r="J113" s="191"/>
      <c r="K113" s="191"/>
      <c r="L113" s="191"/>
    </row>
    <row r="114" spans="4:13" ht="20.100000000000001" customHeight="1" x14ac:dyDescent="0.25">
      <c r="D114" s="244" t="str" cm="1">
        <f t="array" ref="D114">Common_InputFunctions.Utility_DisplayArrayInTable(Fuel_SourceData.Fuel_Scope3EmissionFactorsStationaryGaseous_Data(), Table_Fuel_EFs_StationaryGaseous34[[#Headers],[State or territory]],0)</f>
        <v>ACT</v>
      </c>
      <c r="E114" s="244" cm="1">
        <f t="array" ref="E114">Common_InputFunctions.Utility_DisplayArrayInTable(Fuel_SourceData.Fuel_Scope3EmissionFactorsStationaryGaseous_Data(), Table_Fuel_EFs_StationaryGaseous34[[#Headers],[State or territory]],0)</f>
        <v>13.1</v>
      </c>
      <c r="F114" s="244" cm="1">
        <f t="array" ref="F114">Common_InputFunctions.Utility_DisplayArrayInTable(Fuel_SourceData.Fuel_Scope3EmissionFactorsStationaryGaseous_Data(), Table_Fuel_EFs_StationaryGaseous34[[#Headers],[State or territory]],0)</f>
        <v>14</v>
      </c>
      <c r="G114" s="245" t="str">
        <v/>
      </c>
      <c r="H114" s="1" t="str">
        <v>Gas reaches end users either from the metro distribution networks or direct from the high - pressure distribution pipelines.</v>
      </c>
      <c r="I114" s="191"/>
      <c r="J114" s="191"/>
      <c r="K114" s="191"/>
      <c r="L114" s="191"/>
    </row>
    <row r="115" spans="4:13" ht="20.100000000000001" customHeight="1" x14ac:dyDescent="0.25">
      <c r="D115" s="244" t="str" cm="1">
        <f t="array" ref="D115">Common_InputFunctions.Utility_DisplayArrayInTable(Fuel_SourceData.Fuel_Scope3EmissionFactorsStationaryGaseous_Data(), Table_Fuel_EFs_StationaryGaseous34[[#Headers],[State or territory]],0)</f>
        <v>Victoria</v>
      </c>
      <c r="E115" s="244" cm="1">
        <f t="array" ref="E115">Common_InputFunctions.Utility_DisplayArrayInTable(Fuel_SourceData.Fuel_Scope3EmissionFactorsStationaryGaseous_Data(), Table_Fuel_EFs_StationaryGaseous34[[#Headers],[State or territory]],0)</f>
        <v>4</v>
      </c>
      <c r="F115" s="244" cm="1">
        <f t="array" ref="F115">Common_InputFunctions.Utility_DisplayArrayInTable(Fuel_SourceData.Fuel_Scope3EmissionFactorsStationaryGaseous_Data(), Table_Fuel_EFs_StationaryGaseous34[[#Headers],[State or territory]],0)</f>
        <v>4</v>
      </c>
      <c r="G115" s="245" t="str">
        <v/>
      </c>
      <c r="H115" s="1" t="str">
        <v>Households and commercial users tend to be served by the former, and electricity generators and large industrial plants from the latter.</v>
      </c>
      <c r="I115" s="191"/>
      <c r="J115" s="191"/>
      <c r="K115" s="191"/>
      <c r="L115" s="191"/>
    </row>
    <row r="116" spans="4:13" ht="20.100000000000001" customHeight="1" x14ac:dyDescent="0.25">
      <c r="D116" s="244" t="str" cm="1">
        <f t="array" ref="D116">Common_InputFunctions.Utility_DisplayArrayInTable(Fuel_SourceData.Fuel_Scope3EmissionFactorsStationaryGaseous_Data(), Table_Fuel_EFs_StationaryGaseous34[[#Headers],[State or territory]],0)</f>
        <v>Queensland</v>
      </c>
      <c r="E116" s="244" cm="1">
        <f t="array" ref="E116">Common_InputFunctions.Utility_DisplayArrayInTable(Fuel_SourceData.Fuel_Scope3EmissionFactorsStationaryGaseous_Data(), Table_Fuel_EFs_StationaryGaseous34[[#Headers],[State or territory]],0)</f>
        <v>8.8000000000000007</v>
      </c>
      <c r="F116" s="244" cm="1">
        <f t="array" ref="F116">Common_InputFunctions.Utility_DisplayArrayInTable(Fuel_SourceData.Fuel_Scope3EmissionFactorsStationaryGaseous_Data(), Table_Fuel_EFs_StationaryGaseous34[[#Headers],[State or territory]],0)</f>
        <v>7.9</v>
      </c>
      <c r="G116" s="245" t="str">
        <v>-</v>
      </c>
      <c r="H116" s="1" t="str">
        <v>Metro is defined as located on or east of the dividing range in NSW, including Canberra and Queanbeyan, Melbourne, Brisbane, Adelaide or Perth.</v>
      </c>
      <c r="I116" s="191"/>
      <c r="J116" s="191"/>
      <c r="K116" s="191"/>
      <c r="L116" s="191"/>
    </row>
    <row r="117" spans="4:13" ht="20.100000000000001" customHeight="1" x14ac:dyDescent="0.25">
      <c r="D117" s="244" t="str" cm="1">
        <f t="array" ref="D117">Common_InputFunctions.Utility_DisplayArrayInTable(Fuel_SourceData.Fuel_Scope3EmissionFactorsStationaryGaseous_Data(), Table_Fuel_EFs_StationaryGaseous34[[#Headers],[State or territory]],0)</f>
        <v>South Australia</v>
      </c>
      <c r="E117" s="244" cm="1">
        <f t="array" ref="E117">Common_InputFunctions.Utility_DisplayArrayInTable(Fuel_SourceData.Fuel_Scope3EmissionFactorsStationaryGaseous_Data(), Table_Fuel_EFs_StationaryGaseous34[[#Headers],[State or territory]],0)</f>
        <v>10.7</v>
      </c>
      <c r="F117" s="244" cm="1">
        <f t="array" ref="F117">Common_InputFunctions.Utility_DisplayArrayInTable(Fuel_SourceData.Fuel_Scope3EmissionFactorsStationaryGaseous_Data(), Table_Fuel_EFs_StationaryGaseous34[[#Headers],[State or territory]],0)</f>
        <v>10.6</v>
      </c>
      <c r="G117" s="245" t="str">
        <v/>
      </c>
      <c r="H117" s="1" t="str">
        <v>Otherwise, the non - metro factor should be used.</v>
      </c>
      <c r="I117" s="191"/>
      <c r="J117" s="191"/>
      <c r="K117" s="191"/>
      <c r="L117" s="191"/>
    </row>
    <row r="118" spans="4:13" ht="20.100000000000001" customHeight="1" x14ac:dyDescent="0.25">
      <c r="D118" s="244" t="str" cm="1">
        <f t="array" ref="D118">Common_InputFunctions.Utility_DisplayArrayInTable(Fuel_SourceData.Fuel_Scope3EmissionFactorsStationaryGaseous_Data(), Table_Fuel_EFs_StationaryGaseous34[[#Headers],[State or territory]],0)</f>
        <v>Western Australia</v>
      </c>
      <c r="E118" s="244" cm="1">
        <f t="array" ref="E118">Common_InputFunctions.Utility_DisplayArrayInTable(Fuel_SourceData.Fuel_Scope3EmissionFactorsStationaryGaseous_Data(), Table_Fuel_EFs_StationaryGaseous34[[#Headers],[State or territory]],0)</f>
        <v>4.0999999999999996</v>
      </c>
      <c r="F118" s="244" cm="1">
        <f t="array" ref="F118">Common_InputFunctions.Utility_DisplayArrayInTable(Fuel_SourceData.Fuel_Scope3EmissionFactorsStationaryGaseous_Data(), Table_Fuel_EFs_StationaryGaseous34[[#Headers],[State or territory]],0)</f>
        <v>4</v>
      </c>
      <c r="G118" s="245" t="str">
        <v>-</v>
      </c>
      <c r="H118" s="1" t="str">
        <v>Factors are calculated for all natural gas distributed in a pipeline which may include coal seam methane.</v>
      </c>
      <c r="I118" s="191"/>
      <c r="J118" s="191"/>
      <c r="K118" s="191"/>
      <c r="L118" s="191"/>
    </row>
    <row r="119" spans="4:13" ht="20.100000000000001" customHeight="1" x14ac:dyDescent="0.25">
      <c r="D119" s="244" t="str" cm="1">
        <f t="array" ref="D119">Common_InputFunctions.Utility_DisplayArrayInTable(Fuel_SourceData.Fuel_Scope3EmissionFactorsStationaryGaseous_Data(), Table_Fuel_EFs_StationaryGaseous34[[#Headers],[State or territory]],0)</f>
        <v>Tasmania</v>
      </c>
      <c r="E119" s="244" cm="1">
        <f t="array" ref="E119">Common_InputFunctions.Utility_DisplayArrayInTable(Fuel_SourceData.Fuel_Scope3EmissionFactorsStationaryGaseous_Data(), Table_Fuel_EFs_StationaryGaseous34[[#Headers],[State or territory]],0)</f>
        <v>4</v>
      </c>
      <c r="F119" s="244" cm="1">
        <f t="array" ref="F119">Common_InputFunctions.Utility_DisplayArrayInTable(Fuel_SourceData.Fuel_Scope3EmissionFactorsStationaryGaseous_Data(), Table_Fuel_EFs_StationaryGaseous34[[#Headers],[State or territory]],0)</f>
        <v>4</v>
      </c>
      <c r="G119" s="245" t="str">
        <v>-</v>
      </c>
      <c r="H119" s="1" t="str">
        <v>Table 6 is not applicable to ethane. See Table 7 Indirect (Scope 3) emissions from the consumption of ethane.</v>
      </c>
      <c r="I119" s="191"/>
      <c r="J119" s="191"/>
      <c r="K119" s="191"/>
      <c r="L119" s="191"/>
    </row>
    <row r="120" spans="4:13" ht="20.100000000000001" customHeight="1" x14ac:dyDescent="0.25">
      <c r="D120" s="244" t="str" cm="1">
        <f t="array" ref="D120">Common_InputFunctions.Utility_DisplayArrayInTable(Fuel_SourceData.Fuel_Scope3EmissionFactorsStationaryGaseous_Data(), Table_Fuel_EFs_StationaryGaseous34[[#Headers],[State or territory]],0)</f>
        <v>Northern Territory</v>
      </c>
      <c r="E120" s="244" cm="1">
        <f t="array" ref="E120">Common_InputFunctions.Utility_DisplayArrayInTable(Fuel_SourceData.Fuel_Scope3EmissionFactorsStationaryGaseous_Data(), Table_Fuel_EFs_StationaryGaseous34[[#Headers],[State or territory]],0)</f>
        <v>4.0999999999999996</v>
      </c>
      <c r="F120" s="244" cm="1">
        <f t="array" ref="F120">Common_InputFunctions.Utility_DisplayArrayInTable(Fuel_SourceData.Fuel_Scope3EmissionFactorsStationaryGaseous_Data(), Table_Fuel_EFs_StationaryGaseous34[[#Headers],[State or territory]],0)</f>
        <v>4</v>
      </c>
      <c r="G120" s="245" t="str">
        <v>-</v>
      </c>
      <c r="H120" s="1" t="str">
        <v>C = Confidential. Scope 3 emission factors for Tasmania and the Northern Territory are not available due to confidentiality constraints that arise</v>
      </c>
      <c r="I120" s="191"/>
      <c r="J120" s="191"/>
      <c r="K120" s="191"/>
      <c r="L120" s="191"/>
    </row>
    <row r="121" spans="4:13" ht="20.100000000000001" customHeight="1" x14ac:dyDescent="0.25">
      <c r="D121" s="8"/>
      <c r="E121" s="8"/>
      <c r="F121" s="8"/>
      <c r="G121" s="245" t="str">
        <v/>
      </c>
      <c r="H121" s="1" t="str">
        <v>from the use of a limited number of NGER data inputs. It is suggested that for Tasmania the use of the Victorian emission factors is appropriate,</v>
      </c>
      <c r="I121" s="191"/>
      <c r="J121" s="191"/>
      <c r="K121" s="191"/>
      <c r="L121" s="191"/>
    </row>
    <row r="122" spans="4:13" ht="20.100000000000001" customHeight="1" x14ac:dyDescent="0.25">
      <c r="D122" s="191"/>
      <c r="F122" s="246"/>
      <c r="G122" s="245" t="str">
        <v/>
      </c>
      <c r="H122" s="1" t="str">
        <v>while for Northern Territory the use of the Western Australian emission factors is appropriate.</v>
      </c>
      <c r="I122" s="191"/>
      <c r="J122" s="191"/>
      <c r="K122" s="191"/>
      <c r="L122" s="191"/>
    </row>
    <row r="123" spans="4:13" ht="20.100000000000001" customHeight="1" x14ac:dyDescent="0.25">
      <c r="D123" s="247"/>
      <c r="F123" s="246"/>
      <c r="G123" s="245" t="str">
        <v>-</v>
      </c>
      <c r="H123" s="1" t="str">
        <v>Scope 3 emission factors do not include fugitive emission leakage from low pressure natural gas distribution pipeline networks while those from high pressure</v>
      </c>
      <c r="I123" s="191"/>
      <c r="J123" s="191"/>
      <c r="K123" s="191"/>
      <c r="L123" s="191"/>
    </row>
    <row r="124" spans="4:13" ht="20.100000000000001" customHeight="1" x14ac:dyDescent="0.25">
      <c r="D124" s="247"/>
      <c r="F124" s="246"/>
      <c r="G124" s="191" t="str">
        <v/>
      </c>
      <c r="H124" s="1" t="str">
        <v>gas networks are considered negligible.</v>
      </c>
      <c r="I124" s="191"/>
      <c r="J124" s="191"/>
      <c r="K124" s="191"/>
      <c r="L124" s="191"/>
    </row>
    <row r="125" spans="4:13" ht="20.100000000000001" customHeight="1" x14ac:dyDescent="0.25">
      <c r="D125" s="247"/>
      <c r="F125" s="246"/>
      <c r="G125" s="191"/>
      <c r="H125" s="191"/>
      <c r="I125" s="191"/>
      <c r="J125" s="191"/>
      <c r="K125" s="191"/>
      <c r="L125" s="191"/>
    </row>
    <row r="126" spans="4:13" ht="20.100000000000001" customHeight="1" x14ac:dyDescent="0.25">
      <c r="D126" s="191"/>
      <c r="E126" s="191"/>
      <c r="F126" s="191"/>
      <c r="G126" s="191"/>
      <c r="H126" s="191"/>
      <c r="I126" s="191"/>
      <c r="J126" s="191"/>
      <c r="K126" s="191"/>
      <c r="L126" s="191"/>
      <c r="M126" s="191"/>
    </row>
    <row r="127" spans="4:13" ht="20.100000000000001" customHeight="1" x14ac:dyDescent="0.25">
      <c r="D127" s="191"/>
      <c r="E127" s="191"/>
      <c r="F127" s="191"/>
      <c r="G127" s="191"/>
      <c r="H127" s="191"/>
      <c r="I127" s="191"/>
      <c r="J127" s="191"/>
      <c r="K127" s="191"/>
      <c r="L127" s="191"/>
      <c r="M127" s="191"/>
    </row>
    <row r="128" spans="4:13" ht="20.100000000000001" customHeight="1" x14ac:dyDescent="0.25">
      <c r="D128" s="191"/>
      <c r="E128" s="191"/>
      <c r="F128" s="191"/>
      <c r="G128" s="191"/>
      <c r="H128" s="191"/>
      <c r="I128" s="191"/>
      <c r="J128" s="191"/>
      <c r="K128" s="191"/>
      <c r="L128" s="191"/>
      <c r="M128" s="191"/>
    </row>
    <row r="129" spans="4:33" ht="20.100000000000001" customHeight="1" x14ac:dyDescent="0.25">
      <c r="D129" s="248"/>
      <c r="E129" s="191"/>
      <c r="F129" s="191"/>
      <c r="G129" s="191"/>
      <c r="H129" s="191"/>
      <c r="I129" s="191"/>
      <c r="J129" s="191"/>
      <c r="K129" s="191"/>
      <c r="L129" s="191"/>
    </row>
    <row r="130" spans="4:33" ht="20.100000000000001" customHeight="1" x14ac:dyDescent="0.25">
      <c r="D130" s="249" t="s">
        <v>853</v>
      </c>
      <c r="E130" s="249" t="s">
        <v>793</v>
      </c>
      <c r="F130" s="249" t="s">
        <v>854</v>
      </c>
      <c r="G130" s="249" t="s">
        <v>796</v>
      </c>
      <c r="H130" s="249" t="s">
        <v>798</v>
      </c>
      <c r="I130" s="249" t="s">
        <v>799</v>
      </c>
      <c r="J130" s="191"/>
      <c r="K130" s="191"/>
      <c r="L130" s="191"/>
    </row>
    <row r="131" spans="4:33" ht="20.100000000000001" customHeight="1" x14ac:dyDescent="0.25">
      <c r="D131" s="250" t="str">
        <f>$D$143</f>
        <v>Petrol</v>
      </c>
      <c r="E131" s="250" t="str">
        <f>$D$143</f>
        <v>Petrol</v>
      </c>
      <c r="F131" s="250" t="str">
        <f>$D$150</f>
        <v>Avgas</v>
      </c>
      <c r="G131" s="250" t="str">
        <f>$D$143</f>
        <v>Petrol</v>
      </c>
      <c r="H131" s="250" t="str">
        <f>$D$144</f>
        <v>Diesel</v>
      </c>
      <c r="I131" s="250" t="str">
        <f>$D$143</f>
        <v>Petrol</v>
      </c>
      <c r="J131" s="191"/>
      <c r="K131" s="191"/>
      <c r="L131" s="191"/>
    </row>
    <row r="132" spans="4:33" ht="20.100000000000001" customHeight="1" x14ac:dyDescent="0.25">
      <c r="D132" s="250" t="str">
        <f>$D$144</f>
        <v>Diesel</v>
      </c>
      <c r="E132" s="250" t="str">
        <f>$D$144</f>
        <v>Diesel</v>
      </c>
      <c r="F132" s="250" t="str">
        <f>$D$151</f>
        <v>Jet A1, Jet B</v>
      </c>
      <c r="G132" s="250" t="str">
        <f>$D$144</f>
        <v>Diesel</v>
      </c>
      <c r="H132" s="250"/>
      <c r="I132" s="250" t="str">
        <f>$D$144</f>
        <v>Diesel</v>
      </c>
      <c r="J132" s="191"/>
      <c r="K132" s="191"/>
      <c r="L132" s="191"/>
    </row>
    <row r="133" spans="4:33" ht="20.100000000000001" customHeight="1" x14ac:dyDescent="0.25">
      <c r="D133" s="250" t="str">
        <f>$D$145</f>
        <v>Liquefied petroleum gas (LPG)</v>
      </c>
      <c r="E133" s="250" t="str">
        <f>$D$145</f>
        <v>Liquefied petroleum gas (LPG)</v>
      </c>
      <c r="F133" s="250" t="str">
        <f>$D$152</f>
        <v>Renewable aviation kerosene</v>
      </c>
      <c r="G133" s="250" t="str">
        <f>$D$145</f>
        <v>Liquefied petroleum gas (LPG)</v>
      </c>
      <c r="H133" s="250"/>
      <c r="I133" s="250" t="s">
        <v>800</v>
      </c>
      <c r="J133" s="191"/>
      <c r="K133" s="191"/>
      <c r="L133" s="191"/>
    </row>
    <row r="134" spans="4:33" ht="20.100000000000001" customHeight="1" x14ac:dyDescent="0.25">
      <c r="D134" s="250" t="str">
        <f>$D$146</f>
        <v>Biodiesel</v>
      </c>
      <c r="E134" s="250" t="str">
        <f>$D$146</f>
        <v>Biodiesel</v>
      </c>
      <c r="F134" s="249"/>
      <c r="G134" s="250" t="str">
        <f>$D$160</f>
        <v>Fuel oil</v>
      </c>
      <c r="H134" s="250"/>
      <c r="I134" s="250"/>
      <c r="J134" s="191"/>
      <c r="K134" s="191"/>
      <c r="L134" s="191"/>
    </row>
    <row r="135" spans="4:33" ht="20.100000000000001" customHeight="1" x14ac:dyDescent="0.25">
      <c r="D135" s="250" t="str">
        <f>$D$147</f>
        <v>Ethanol</v>
      </c>
      <c r="E135" s="250" t="str">
        <f>$D$147</f>
        <v>Ethanol</v>
      </c>
      <c r="F135" s="249"/>
      <c r="G135" s="250" t="str">
        <f>$D$147</f>
        <v>Ethanol</v>
      </c>
      <c r="H135" s="250"/>
      <c r="I135" s="250"/>
      <c r="J135" s="191"/>
      <c r="K135" s="191"/>
      <c r="L135" s="191"/>
    </row>
    <row r="136" spans="4:33" ht="20.100000000000001" customHeight="1" x14ac:dyDescent="0.25">
      <c r="D136" s="250" t="str">
        <f>$D$148</f>
        <v>Other biofuels</v>
      </c>
      <c r="E136" s="250" t="str">
        <f>$D$148</f>
        <v>Other biofuels</v>
      </c>
      <c r="F136" s="249"/>
      <c r="G136" s="250" t="str">
        <f>$D$146</f>
        <v>Biodiesel</v>
      </c>
      <c r="H136" s="250"/>
      <c r="I136" s="250"/>
      <c r="J136" s="191"/>
      <c r="K136" s="191"/>
      <c r="L136" s="191"/>
    </row>
    <row r="137" spans="4:33" ht="20.100000000000001" customHeight="1" x14ac:dyDescent="0.25">
      <c r="D137" s="250" t="str">
        <f>$D$149</f>
        <v>Renewable diesel</v>
      </c>
      <c r="E137" s="250" t="str">
        <f>$D$149</f>
        <v>Renewable diesel</v>
      </c>
      <c r="F137" s="249"/>
      <c r="G137" s="250" t="str">
        <f>$D$149</f>
        <v>Renewable diesel</v>
      </c>
      <c r="H137" s="250"/>
      <c r="I137" s="250"/>
      <c r="J137" s="191"/>
      <c r="K137" s="191"/>
      <c r="L137" s="191"/>
    </row>
    <row r="138" spans="4:33" ht="20.100000000000001" customHeight="1" x14ac:dyDescent="0.25">
      <c r="D138" s="249"/>
      <c r="E138" s="251" t="str">
        <f>$D$161</f>
        <v>Natural gas (via pipeline) in GJ</v>
      </c>
      <c r="F138" s="251"/>
      <c r="G138" s="250" t="str">
        <f>$D$148</f>
        <v>Other biofuels</v>
      </c>
      <c r="H138" s="250"/>
      <c r="I138" s="250"/>
      <c r="J138" s="191"/>
      <c r="K138" s="191"/>
      <c r="L138" s="191"/>
    </row>
    <row r="139" spans="4:33" ht="20.100000000000001" customHeight="1" x14ac:dyDescent="0.25">
      <c r="D139" s="251"/>
      <c r="E139" s="251" t="str">
        <f>$D$162</f>
        <v>Town gas in GJ</v>
      </c>
      <c r="F139" s="251"/>
      <c r="G139" s="251"/>
      <c r="H139" s="251"/>
      <c r="I139" s="251"/>
      <c r="J139" s="191"/>
      <c r="K139" s="191"/>
      <c r="L139" s="191"/>
    </row>
    <row r="140" spans="4:33" ht="20.100000000000001" customHeight="1" x14ac:dyDescent="0.25">
      <c r="D140" s="191"/>
      <c r="E140" s="191"/>
      <c r="F140" s="191"/>
      <c r="G140" s="191"/>
      <c r="H140" s="191"/>
      <c r="I140" s="191"/>
      <c r="J140" s="191"/>
      <c r="K140" s="191"/>
      <c r="L140" s="191"/>
    </row>
    <row r="141" spans="4:33" ht="20.100000000000001" customHeight="1" x14ac:dyDescent="0.25">
      <c r="D141" s="191"/>
      <c r="E141" s="191"/>
      <c r="F141" s="191"/>
      <c r="G141" s="191"/>
      <c r="H141" s="191"/>
      <c r="I141" s="191"/>
      <c r="J141" s="191"/>
      <c r="K141" s="191"/>
      <c r="L141" s="191"/>
    </row>
    <row r="142" spans="4:33" ht="20.100000000000001" customHeight="1" x14ac:dyDescent="0.25">
      <c r="D142" t="s">
        <v>855</v>
      </c>
      <c r="E142" t="s">
        <v>122</v>
      </c>
      <c r="F142" t="s">
        <v>856</v>
      </c>
      <c r="G142" s="191"/>
      <c r="H142" s="191"/>
      <c r="I142" s="191"/>
      <c r="J142" s="191"/>
      <c r="K142" s="191"/>
      <c r="L142" s="191"/>
      <c r="M142" s="191"/>
      <c r="AG142" s="1"/>
    </row>
    <row r="143" spans="4:33" ht="20.100000000000001" customHeight="1" x14ac:dyDescent="0.25">
      <c r="D143" s="250" t="s">
        <v>795</v>
      </c>
      <c r="E143" t="s">
        <v>857</v>
      </c>
      <c r="F143" t="s">
        <v>858</v>
      </c>
      <c r="G143" s="191"/>
      <c r="H143" s="191"/>
      <c r="I143" s="191"/>
      <c r="J143" s="191"/>
      <c r="K143" s="191"/>
      <c r="L143" s="191"/>
      <c r="M143" s="191"/>
      <c r="AG143" s="1"/>
    </row>
    <row r="144" spans="4:33" ht="20.100000000000001" customHeight="1" x14ac:dyDescent="0.25">
      <c r="D144" s="250" t="s">
        <v>797</v>
      </c>
      <c r="E144" t="s">
        <v>857</v>
      </c>
      <c r="F144" t="s">
        <v>858</v>
      </c>
      <c r="G144" s="191"/>
      <c r="H144" s="191"/>
      <c r="I144" s="191"/>
      <c r="J144" s="191"/>
      <c r="K144" s="191"/>
      <c r="L144" s="191"/>
      <c r="M144" s="191"/>
      <c r="AG144" s="1"/>
    </row>
    <row r="145" spans="4:33" ht="20.100000000000001" customHeight="1" x14ac:dyDescent="0.25">
      <c r="D145" s="250" t="s">
        <v>859</v>
      </c>
      <c r="E145" t="s">
        <v>857</v>
      </c>
      <c r="F145" t="s">
        <v>858</v>
      </c>
      <c r="G145" s="191"/>
      <c r="H145" s="191"/>
      <c r="I145" s="191"/>
      <c r="J145" s="191"/>
      <c r="K145" s="191"/>
      <c r="L145" s="191"/>
      <c r="M145" s="191"/>
      <c r="AG145" s="1"/>
    </row>
    <row r="146" spans="4:33" ht="20.100000000000001" customHeight="1" x14ac:dyDescent="0.25">
      <c r="D146" s="250" t="s">
        <v>860</v>
      </c>
      <c r="E146" t="s">
        <v>857</v>
      </c>
      <c r="F146" t="s">
        <v>858</v>
      </c>
      <c r="G146" s="191"/>
      <c r="H146" s="191"/>
      <c r="I146" s="191"/>
      <c r="J146" s="191"/>
      <c r="K146" s="191"/>
      <c r="L146" s="191"/>
      <c r="M146" s="191"/>
      <c r="AG146" s="1"/>
    </row>
    <row r="147" spans="4:33" ht="20.100000000000001" customHeight="1" x14ac:dyDescent="0.25">
      <c r="D147" s="250" t="s">
        <v>861</v>
      </c>
      <c r="E147" t="s">
        <v>857</v>
      </c>
      <c r="F147" t="s">
        <v>858</v>
      </c>
      <c r="G147" s="191"/>
      <c r="H147" s="191"/>
      <c r="I147" s="191"/>
      <c r="J147" s="191"/>
      <c r="K147" s="191"/>
      <c r="L147" s="191"/>
      <c r="M147" s="191"/>
      <c r="AG147" s="1"/>
    </row>
    <row r="148" spans="4:33" ht="20.100000000000001" customHeight="1" x14ac:dyDescent="0.25">
      <c r="D148" s="250" t="s">
        <v>862</v>
      </c>
      <c r="E148" t="s">
        <v>857</v>
      </c>
      <c r="F148" t="s">
        <v>858</v>
      </c>
      <c r="G148" s="191"/>
      <c r="H148" s="191"/>
      <c r="I148" s="191"/>
      <c r="J148" s="191"/>
      <c r="K148" s="191"/>
      <c r="L148" s="191"/>
      <c r="M148" s="191"/>
      <c r="AG148" s="1"/>
    </row>
    <row r="149" spans="4:33" ht="20.100000000000001" customHeight="1" x14ac:dyDescent="0.25">
      <c r="D149" s="250" t="s">
        <v>863</v>
      </c>
      <c r="E149" t="s">
        <v>857</v>
      </c>
      <c r="F149" t="s">
        <v>858</v>
      </c>
      <c r="G149" s="191"/>
      <c r="H149" s="191"/>
      <c r="I149" s="191"/>
      <c r="J149" s="191"/>
      <c r="K149" s="191"/>
      <c r="L149" s="191"/>
      <c r="M149" s="191"/>
      <c r="AG149" s="1"/>
    </row>
    <row r="150" spans="4:33" ht="20.100000000000001" customHeight="1" x14ac:dyDescent="0.25">
      <c r="D150" s="250" t="s">
        <v>864</v>
      </c>
      <c r="E150" t="s">
        <v>857</v>
      </c>
      <c r="F150" t="s">
        <v>858</v>
      </c>
      <c r="G150" s="191"/>
      <c r="H150" s="191"/>
      <c r="I150" s="191"/>
      <c r="J150" s="191"/>
      <c r="K150" s="191"/>
      <c r="L150" s="191"/>
      <c r="M150" s="191"/>
      <c r="AG150" s="1"/>
    </row>
    <row r="151" spans="4:33" ht="20.100000000000001" customHeight="1" x14ac:dyDescent="0.25">
      <c r="D151" s="250" t="s">
        <v>865</v>
      </c>
      <c r="E151" t="s">
        <v>857</v>
      </c>
      <c r="F151" t="s">
        <v>858</v>
      </c>
      <c r="G151" s="191"/>
      <c r="H151" s="191"/>
      <c r="I151" s="191"/>
      <c r="J151" s="191"/>
      <c r="K151" s="191"/>
      <c r="L151" s="191"/>
      <c r="M151" s="191"/>
      <c r="AG151" s="1"/>
    </row>
    <row r="152" spans="4:33" ht="20.100000000000001" customHeight="1" x14ac:dyDescent="0.25">
      <c r="D152" s="252" t="s">
        <v>866</v>
      </c>
      <c r="E152" s="8" t="s">
        <v>857</v>
      </c>
      <c r="F152" t="s">
        <v>858</v>
      </c>
      <c r="G152" s="191"/>
      <c r="H152" s="191"/>
      <c r="I152" s="191"/>
      <c r="J152" s="191"/>
      <c r="K152" s="191"/>
      <c r="L152" s="191"/>
      <c r="M152" s="191"/>
      <c r="AG152" s="1"/>
    </row>
    <row r="153" spans="4:33" ht="20.100000000000001" customHeight="1" x14ac:dyDescent="0.25">
      <c r="D153" s="252" t="s">
        <v>867</v>
      </c>
      <c r="E153" s="8" t="s">
        <v>857</v>
      </c>
      <c r="F153" t="s">
        <v>858</v>
      </c>
      <c r="G153" s="191"/>
      <c r="H153" s="191"/>
      <c r="I153" s="191"/>
      <c r="J153" s="191"/>
      <c r="K153" s="191"/>
      <c r="L153" s="191"/>
      <c r="M153" s="191"/>
      <c r="AG153" s="1"/>
    </row>
    <row r="154" spans="4:33" ht="20.100000000000001" customHeight="1" x14ac:dyDescent="0.25">
      <c r="D154" s="252" t="s">
        <v>868</v>
      </c>
      <c r="E154" s="8" t="s">
        <v>857</v>
      </c>
      <c r="F154" t="s">
        <v>858</v>
      </c>
      <c r="G154" s="191"/>
      <c r="H154" s="191"/>
      <c r="I154" s="191"/>
      <c r="J154" s="191"/>
      <c r="K154" s="191"/>
      <c r="L154" s="191"/>
      <c r="M154" s="191"/>
      <c r="AG154" s="1"/>
    </row>
    <row r="155" spans="4:33" ht="20.100000000000001" customHeight="1" x14ac:dyDescent="0.25">
      <c r="D155" s="252" t="s">
        <v>869</v>
      </c>
      <c r="E155" s="8" t="s">
        <v>857</v>
      </c>
      <c r="F155" t="s">
        <v>858</v>
      </c>
      <c r="G155" s="191"/>
      <c r="H155" s="191"/>
      <c r="I155" s="191"/>
      <c r="J155" s="191"/>
      <c r="K155" s="191"/>
      <c r="L155" s="191"/>
      <c r="M155" s="191"/>
      <c r="AG155" s="1"/>
    </row>
    <row r="156" spans="4:33" ht="20.100000000000001" customHeight="1" x14ac:dyDescent="0.25">
      <c r="D156" s="252" t="s">
        <v>870</v>
      </c>
      <c r="E156" s="8" t="s">
        <v>857</v>
      </c>
      <c r="F156" t="s">
        <v>858</v>
      </c>
      <c r="G156" s="191"/>
      <c r="H156" s="191"/>
      <c r="I156" s="191"/>
      <c r="J156" s="191"/>
      <c r="K156" s="191"/>
      <c r="L156" s="191"/>
      <c r="M156" s="191"/>
      <c r="AG156" s="1"/>
    </row>
    <row r="157" spans="4:33" ht="20.100000000000001" customHeight="1" x14ac:dyDescent="0.25">
      <c r="D157" s="252" t="s">
        <v>871</v>
      </c>
      <c r="E157" s="8" t="s">
        <v>857</v>
      </c>
      <c r="F157" t="s">
        <v>858</v>
      </c>
      <c r="G157" s="191"/>
      <c r="H157" s="191"/>
      <c r="I157" s="191"/>
      <c r="J157" s="191"/>
      <c r="K157" s="191"/>
      <c r="L157" s="191"/>
      <c r="M157" s="191"/>
      <c r="AG157" s="1"/>
    </row>
    <row r="158" spans="4:33" ht="20.100000000000001" customHeight="1" x14ac:dyDescent="0.25">
      <c r="D158" s="252" t="s">
        <v>872</v>
      </c>
      <c r="E158" s="8" t="s">
        <v>857</v>
      </c>
      <c r="F158" t="s">
        <v>858</v>
      </c>
      <c r="G158" s="191"/>
      <c r="H158" s="191"/>
      <c r="I158" s="191"/>
      <c r="J158" s="191"/>
      <c r="K158" s="191"/>
      <c r="L158" s="191"/>
      <c r="M158" s="191"/>
      <c r="AG158" s="1"/>
    </row>
    <row r="159" spans="4:33" ht="20.100000000000001" customHeight="1" x14ac:dyDescent="0.25">
      <c r="D159" s="252" t="s">
        <v>873</v>
      </c>
      <c r="E159" s="8" t="s">
        <v>857</v>
      </c>
      <c r="F159" t="s">
        <v>858</v>
      </c>
      <c r="G159" s="191"/>
      <c r="H159" s="191"/>
      <c r="I159" s="191"/>
      <c r="J159" s="191"/>
      <c r="K159" s="191"/>
      <c r="L159" s="191"/>
      <c r="M159" s="191"/>
      <c r="AG159" s="1"/>
    </row>
    <row r="160" spans="4:33" ht="20.100000000000001" customHeight="1" x14ac:dyDescent="0.25">
      <c r="D160" s="252" t="s">
        <v>800</v>
      </c>
      <c r="E160" s="8" t="s">
        <v>857</v>
      </c>
      <c r="F160" t="s">
        <v>858</v>
      </c>
      <c r="G160" s="191"/>
      <c r="H160" s="191"/>
      <c r="I160" s="191"/>
      <c r="J160" s="191"/>
      <c r="K160" s="191"/>
      <c r="L160" s="191"/>
      <c r="M160" s="191"/>
      <c r="AG160" s="1"/>
    </row>
    <row r="161" spans="4:33" ht="20.100000000000001" customHeight="1" x14ac:dyDescent="0.25">
      <c r="D161" s="251" t="s">
        <v>874</v>
      </c>
      <c r="E161" s="191" t="s">
        <v>875</v>
      </c>
      <c r="F161" s="191" t="s">
        <v>875</v>
      </c>
      <c r="G161" s="191"/>
      <c r="H161" s="191"/>
      <c r="I161" s="191"/>
      <c r="J161" s="191"/>
      <c r="K161" s="191"/>
      <c r="L161" s="191"/>
      <c r="M161" s="191"/>
      <c r="AG161" s="1"/>
    </row>
    <row r="162" spans="4:33" ht="20.100000000000001" customHeight="1" x14ac:dyDescent="0.25">
      <c r="D162" s="191" t="s">
        <v>794</v>
      </c>
      <c r="E162" s="191" t="s">
        <v>875</v>
      </c>
      <c r="F162" s="191" t="s">
        <v>875</v>
      </c>
      <c r="G162" s="191"/>
      <c r="H162" s="191"/>
      <c r="I162" s="191"/>
      <c r="J162" s="191"/>
      <c r="K162" s="191"/>
      <c r="L162" s="191"/>
      <c r="M162" s="191"/>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88EA7-601D-4910-A4A9-58F89C8A12DC}">
  <sheetPr>
    <tabColor theme="2" tint="-0.499984740745262"/>
  </sheetPr>
  <dimension ref="A1:Q238"/>
  <sheetViews>
    <sheetView showGridLines="0" topLeftCell="A90" zoomScaleNormal="100" workbookViewId="0">
      <selection activeCell="A63" sqref="A63"/>
    </sheetView>
  </sheetViews>
  <sheetFormatPr defaultRowHeight="15.75" x14ac:dyDescent="0.25"/>
  <cols>
    <col min="1" max="1" width="35" style="260" customWidth="1"/>
    <col min="2" max="2" width="5.28515625" style="260" customWidth="1"/>
    <col min="3" max="3" width="5.28515625" style="1" customWidth="1"/>
    <col min="4" max="16" width="35" style="1" customWidth="1"/>
    <col min="17" max="17" width="9.140625" style="1"/>
    <col min="18" max="16384" width="9.140625" style="260"/>
  </cols>
  <sheetData>
    <row r="1" spans="1:17" ht="30" customHeight="1" x14ac:dyDescent="0.35">
      <c r="A1" s="16" t="e" vm="1">
        <v>#VALUE!</v>
      </c>
      <c r="C1" s="260"/>
      <c r="D1" s="260"/>
      <c r="E1" s="260"/>
      <c r="F1" s="260"/>
      <c r="G1" s="260"/>
      <c r="H1" s="260"/>
      <c r="I1" s="260"/>
      <c r="J1" s="260"/>
      <c r="K1" s="260"/>
      <c r="L1" s="260"/>
      <c r="M1" s="260"/>
      <c r="N1" s="260"/>
      <c r="O1" s="260"/>
      <c r="P1" s="260"/>
      <c r="Q1" s="260"/>
    </row>
    <row r="2" spans="1:17" ht="20.100000000000001" customHeight="1" x14ac:dyDescent="0.25">
      <c r="A2"/>
      <c r="C2" s="260"/>
      <c r="D2" s="260"/>
      <c r="E2" s="260"/>
      <c r="F2" s="260"/>
      <c r="G2" s="260"/>
      <c r="H2" s="260"/>
      <c r="I2" s="260"/>
      <c r="J2" s="260"/>
      <c r="K2" s="260"/>
      <c r="L2" s="260"/>
      <c r="M2" s="260"/>
      <c r="N2" s="260"/>
      <c r="O2" s="260"/>
      <c r="P2" s="260"/>
      <c r="Q2" s="260"/>
    </row>
    <row r="3" spans="1:17" ht="20.100000000000001" customHeight="1" x14ac:dyDescent="0.25">
      <c r="A3" s="5" t="str">
        <f>HYPERLINK("#'Home'!A1", "Home")</f>
        <v>Home</v>
      </c>
    </row>
    <row r="4" spans="1:17" ht="20.100000000000001" customHeight="1" x14ac:dyDescent="0.25">
      <c r="A4" s="5" t="str">
        <f>HYPERLINK("#'Overview'!A1", "Overview")</f>
        <v>Overview</v>
      </c>
    </row>
    <row r="5" spans="1:17" ht="20.100000000000001" customHeight="1" x14ac:dyDescent="0.25">
      <c r="A5" s="5" t="str">
        <f>HYPERLINK("#'Results'!A1", "Results")</f>
        <v>Results</v>
      </c>
    </row>
    <row r="6" spans="1:17" ht="20.100000000000001" customHeight="1" x14ac:dyDescent="0.25">
      <c r="A6"/>
    </row>
    <row r="7" spans="1:17" ht="20.100000000000001" customHeight="1" x14ac:dyDescent="0.25">
      <c r="A7"/>
    </row>
    <row r="8" spans="1:17" ht="20.100000000000001" customHeight="1" x14ac:dyDescent="0.25">
      <c r="A8" s="7" t="s">
        <v>0</v>
      </c>
    </row>
    <row r="9" spans="1:17" ht="20.100000000000001" customHeight="1" x14ac:dyDescent="0.25">
      <c r="A9" s="5" t="str">
        <f>HYPERLINK("#'Input - Enterprise'!A1", "Enterprise")</f>
        <v>Enterprise</v>
      </c>
    </row>
    <row r="10" spans="1:17" ht="20.100000000000001" customHeight="1" x14ac:dyDescent="0.25">
      <c r="A10" s="5" t="str">
        <f>HYPERLINK("#'Input - Site'!A1", "Site")</f>
        <v>Site</v>
      </c>
    </row>
    <row r="11" spans="1:17" ht="20.100000000000001" customHeight="1" x14ac:dyDescent="0.25">
      <c r="A11" s="5" t="str">
        <f>HYPERLINK("#'Input - Dairy'!A1", "Dairy")</f>
        <v>Dairy</v>
      </c>
    </row>
    <row r="12" spans="1:17" ht="20.100000000000001" customHeight="1" x14ac:dyDescent="0.25">
      <c r="A12" s="5" t="str">
        <f>HYPERLINK("#'Input - Dairy (Enteric)'!A1", "Dairy (Enteric)")</f>
        <v>Dairy (Enteric)</v>
      </c>
    </row>
    <row r="13" spans="1:17" ht="20.100000000000001" customHeight="1" x14ac:dyDescent="0.25">
      <c r="A13" s="5" t="str">
        <f>HYPERLINK("#'Input - Livestock sales'!A1", "Livestock sales")</f>
        <v>Livestock sales</v>
      </c>
    </row>
    <row r="14" spans="1:17" ht="20.100000000000001" customHeight="1" x14ac:dyDescent="0.25">
      <c r="A14" s="5" t="str">
        <f>HYPERLINK("#'Input - Dairy cattle purchases'!A1", "Dairy cattle purchases")</f>
        <v>Dairy cattle purchases</v>
      </c>
    </row>
    <row r="15" spans="1:17" ht="20.100000000000001" customHeight="1" x14ac:dyDescent="0.25">
      <c r="A15" s="5" t="str">
        <f>HYPERLINK("#'Input - Pasture'!A1", "Pasture")</f>
        <v>Pasture</v>
      </c>
    </row>
    <row r="16" spans="1:17" ht="20.100000000000001" customHeight="1" x14ac:dyDescent="0.25">
      <c r="A16" s="5" t="str">
        <f>HYPERLINK("#'Input - Fert Prod System'!A1", "Fert Prod System")</f>
        <v>Fert Prod System</v>
      </c>
    </row>
    <row r="17" spans="1:11" ht="20.100000000000001" customHeight="1" x14ac:dyDescent="0.25">
      <c r="A17" s="5" t="str">
        <f>HYPERLINK("#'Input - Fertiliser'!A1", "Fertiliser")</f>
        <v>Fertiliser</v>
      </c>
    </row>
    <row r="18" spans="1:11" ht="20.100000000000001" customHeight="1" x14ac:dyDescent="0.25">
      <c r="A18" s="5" t="str">
        <f>HYPERLINK("#'Input - Fuel'!A1", "Fuel")</f>
        <v>Fuel</v>
      </c>
    </row>
    <row r="19" spans="1:11" ht="20.100000000000001" customHeight="1" x14ac:dyDescent="0.25">
      <c r="A19" s="5" t="str">
        <f>HYPERLINK("#'Input - Electricity'!A1", "Electricity")</f>
        <v>Electricity</v>
      </c>
    </row>
    <row r="20" spans="1:11" ht="20.100000000000001" customHeight="1" x14ac:dyDescent="0.25">
      <c r="A20" s="5" t="str">
        <f>HYPERLINK("#'Input - Farm Inputs'!A1", "Farm Inputs")</f>
        <v>Farm Inputs</v>
      </c>
    </row>
    <row r="21" spans="1:11" ht="20.100000000000001" customHeight="1" x14ac:dyDescent="0.25">
      <c r="A21" s="5" t="str">
        <f>HYPERLINK("#'Input - Freight'!A1", "Freight")</f>
        <v>Freight</v>
      </c>
    </row>
    <row r="22" spans="1:11" ht="20.100000000000001" customHeight="1" x14ac:dyDescent="0.25">
      <c r="A22" s="5" t="str">
        <f>HYPERLINK("#'Input - Manure sent off-site'!A1", "Manure sent off-site")</f>
        <v>Manure sent off-site</v>
      </c>
    </row>
    <row r="23" spans="1:11" ht="20.100000000000001" customHeight="1" x14ac:dyDescent="0.25">
      <c r="A23" s="5" t="str">
        <f>HYPERLINK("#'Input - Solid waste'!A1", "Solid waste")</f>
        <v>Solid waste</v>
      </c>
    </row>
    <row r="24" spans="1:11" ht="20.100000000000001" customHeight="1" x14ac:dyDescent="0.25">
      <c r="A24" s="5" t="str">
        <f>HYPERLINK("#'Input - Data quality'!A1", "Data quality")</f>
        <v>Data quality</v>
      </c>
    </row>
    <row r="25" spans="1:11" ht="20.100000000000001" customHeight="1" x14ac:dyDescent="0.25">
      <c r="A25"/>
    </row>
    <row r="26" spans="1:11" ht="20.100000000000001" customHeight="1" x14ac:dyDescent="0.25">
      <c r="A26"/>
    </row>
    <row r="27" spans="1:11" ht="20.100000000000001" customHeight="1" x14ac:dyDescent="0.25">
      <c r="A27" s="6" t="s">
        <v>2</v>
      </c>
    </row>
    <row r="28" spans="1:11" ht="20.100000000000001" customHeight="1" x14ac:dyDescent="0.25">
      <c r="A28" s="5" t="str">
        <f>HYPERLINK("#'5.1.1.1-2 Inorganic fert N2O'!A1", "5.1.1.1-2 Inorganic fert N2O")</f>
        <v>5.1.1.1-2 Inorganic fert N2O</v>
      </c>
    </row>
    <row r="29" spans="1:11" ht="20.100000000000001" customHeight="1" x14ac:dyDescent="0.25">
      <c r="A29" s="5" t="str">
        <f>HYPERLINK("#'5.1.1.3-4 Inorganic fert CO2'!A1", "5.1.1.3-4 Inorganic fert CO2")</f>
        <v>5.1.1.3-4 Inorganic fert CO2</v>
      </c>
    </row>
    <row r="30" spans="1:11" ht="20.100000000000001" customHeight="1" x14ac:dyDescent="0.25">
      <c r="A30" s="5" t="str">
        <f>HYPERLINK("#'5.2.1.1-2 Organic Fert N2O'!A1", "5.2.1.1-2 Organic fert N2O")</f>
        <v>5.2.1.1-2 Organic fert N2O</v>
      </c>
    </row>
    <row r="31" spans="1:11" ht="20.100000000000001" customHeight="1" x14ac:dyDescent="0.25">
      <c r="A31" s="5" t="str">
        <f>HYPERLINK("#'5.3.1.1-2 Lime CO2'!A1", "5.3.1.1-2 Lime CO2")</f>
        <v>5.3.1.1-2 Lime CO2</v>
      </c>
    </row>
    <row r="32" spans="1:11" ht="20.100000000000001" customHeight="1" x14ac:dyDescent="0.25">
      <c r="A32" s="5" t="str">
        <f>HYPERLINK("#'5.4.1.1-4 Atmos deposition'!A1", "5.4.1.1-4 Atmos. deposition")</f>
        <v>5.4.1.1-4 Atmos. deposition</v>
      </c>
      <c r="D32" s="2" t="s">
        <v>1260</v>
      </c>
      <c r="K32" s="1" t="s">
        <v>1261</v>
      </c>
    </row>
    <row r="33" spans="1:12" ht="20.100000000000001" customHeight="1" x14ac:dyDescent="0.25">
      <c r="A33" s="5" t="str">
        <f>HYPERLINK("#'5.5.1.1-2 Leaching and runoff'!A1", "5.5.1.1-2 Leaching &amp; runoff")</f>
        <v>5.5.1.1-2 Leaching &amp; runoff</v>
      </c>
      <c r="D33" s="29" t="s">
        <v>1262</v>
      </c>
      <c r="E33" s="29" t="s">
        <v>138</v>
      </c>
      <c r="F33" s="29" t="s">
        <v>1263</v>
      </c>
      <c r="G33" s="29" t="s">
        <v>1264</v>
      </c>
      <c r="H33" s="29" t="s">
        <v>1265</v>
      </c>
      <c r="I33" s="29" t="s">
        <v>1266</v>
      </c>
      <c r="K33" s="29" t="s">
        <v>1267</v>
      </c>
      <c r="L33" s="29" t="s">
        <v>1268</v>
      </c>
    </row>
    <row r="34" spans="1:12" ht="20.100000000000001" customHeight="1" x14ac:dyDescent="0.25">
      <c r="A34" s="5" t="str">
        <f>HYPERLINK("#'6.2.1.1-2 Pasture residue N2O'!A1", "6.2.1.1-2 Pasture residue N2O")</f>
        <v>6.2.1.1-2 Pasture residue N2O</v>
      </c>
      <c r="D34" s="29" t="str" cm="1">
        <f t="array" ref="D34">Common_InputFunctions.Utility_DisplayArrayInTable(Scope3_SourceData.Scope3_Livestock_Data(), Table_SourceData_Scope3_Animals[[#Headers],[Category]], 0, 2)</f>
        <v>Beef cattle</v>
      </c>
      <c r="E34" s="29" t="str" cm="1">
        <f t="array" ref="E34">Common_InputFunctions.Utility_DisplayArrayInTable(Scope3_SourceData.Scope3_Livestock_Data(), Table_SourceData_Scope3_Animals[[#Headers],[Category]], 0, 2)</f>
        <v>Cattle, for manufacturing beef</v>
      </c>
      <c r="F34" s="29" t="str" cm="1">
        <f t="array" ref="F34">Common_InputFunctions.Utility_DisplayArrayInTable(Scope3_SourceData.Scope3_Livestock_Data(), Table_SourceData_Scope3_Animals[[#Headers],[Category]], 0, 2)</f>
        <v>Australia</v>
      </c>
      <c r="G34" s="29" t="str" cm="1">
        <f t="array" ref="G34">Common_InputFunctions.Utility_DisplayArrayInTable(Scope3_SourceData.Scope3_Livestock_Data(), Table_SourceData_Scope3_Animals[[#Headers],[Category]], 0, 2)</f>
        <v>kg liveweight</v>
      </c>
      <c r="H34" s="29" cm="1">
        <f t="array" ref="H34">Common_InputFunctions.Utility_DisplayArrayInTable(Scope3_SourceData.Scope3_Livestock_Data(), Table_SourceData_Scope3_Animals[[#Headers],[Category]], 0, 2)</f>
        <v>11</v>
      </c>
      <c r="I34" s="29" t="str" cm="1">
        <f t="array" ref="I34">Common_InputFunctions.Utility_DisplayArrayInTable(Scope3_SourceData.Scope3_Livestock_Data(), Table_SourceData_Scope3_Animals[[#Headers],[Category]], 0, 2)</f>
        <v>at market</v>
      </c>
      <c r="K34" s="29" t="s">
        <v>515</v>
      </c>
      <c r="L34" s="29" t="s">
        <v>516</v>
      </c>
    </row>
    <row r="35" spans="1:12" ht="20.100000000000001" customHeight="1" x14ac:dyDescent="0.25">
      <c r="A35" s="5" t="str">
        <f>HYPERLINK("#'6.3.1.1-2 Leach runoff pasture'!A1", "6.3.1.1-2 Leach &amp; runoff (pasture)")</f>
        <v>6.3.1.1-2 Leach &amp; runoff (pasture)</v>
      </c>
      <c r="D35" s="29" t="str" cm="1">
        <f t="array" ref="D35">Common_InputFunctions.Utility_DisplayArrayInTable(Scope3_SourceData.Scope3_Livestock_Data(), Table_SourceData_Scope3_Animals[[#Headers],[Category]], 0, 2)</f>
        <v>Beef cattle</v>
      </c>
      <c r="E35" s="29" t="str" cm="1">
        <f t="array" ref="E35">Common_InputFunctions.Utility_DisplayArrayInTable(Scope3_SourceData.Scope3_Livestock_Data(), Table_SourceData_Scope3_Animals[[#Headers],[Category]], 0, 2)</f>
        <v>Cattle, for manufacturing beef</v>
      </c>
      <c r="F35" s="29" t="str" cm="1">
        <f t="array" ref="F35">Common_InputFunctions.Utility_DisplayArrayInTable(Scope3_SourceData.Scope3_Livestock_Data(), Table_SourceData_Scope3_Animals[[#Headers],[Category]], 0, 2)</f>
        <v>NSW</v>
      </c>
      <c r="G35" s="29" t="str" cm="1">
        <f t="array" ref="G35">Common_InputFunctions.Utility_DisplayArrayInTable(Scope3_SourceData.Scope3_Livestock_Data(), Table_SourceData_Scope3_Animals[[#Headers],[Category]], 0, 2)</f>
        <v>kg liveweight</v>
      </c>
      <c r="H35" s="29" cm="1">
        <f t="array" ref="H35">Common_InputFunctions.Utility_DisplayArrayInTable(Scope3_SourceData.Scope3_Livestock_Data(), Table_SourceData_Scope3_Animals[[#Headers],[Category]], 0, 2)</f>
        <v>8.2100000000000009</v>
      </c>
      <c r="I35" s="29" t="str" cm="1">
        <f t="array" ref="I35">Common_InputFunctions.Utility_DisplayArrayInTable(Scope3_SourceData.Scope3_Livestock_Data(), Table_SourceData_Scope3_Animals[[#Headers],[Category]], 0, 2)</f>
        <v>at market</v>
      </c>
      <c r="K35" s="29" t="s">
        <v>516</v>
      </c>
      <c r="L35" s="29" t="s">
        <v>516</v>
      </c>
    </row>
    <row r="36" spans="1:12" ht="20.100000000000001" customHeight="1" x14ac:dyDescent="0.25">
      <c r="A36" s="5" t="str">
        <f>HYPERLINK("#'8.1.1.1-2 Transport fuel'!A1", "8.1.1.1-2 Transport fuel")</f>
        <v>8.1.1.1-2 Transport fuel</v>
      </c>
      <c r="D36" s="29" t="str" cm="1">
        <f t="array" ref="D36">Common_InputFunctions.Utility_DisplayArrayInTable(Scope3_SourceData.Scope3_Livestock_Data(), Table_SourceData_Scope3_Animals[[#Headers],[Category]], 0, 2)</f>
        <v>Beef cattle</v>
      </c>
      <c r="E36" s="29" t="str" cm="1">
        <f t="array" ref="E36">Common_InputFunctions.Utility_DisplayArrayInTable(Scope3_SourceData.Scope3_Livestock_Data(), Table_SourceData_Scope3_Animals[[#Headers],[Category]], 0, 2)</f>
        <v>Cattle, for manufacturing beef</v>
      </c>
      <c r="F36" s="29" t="str" cm="1">
        <f t="array" ref="F36">Common_InputFunctions.Utility_DisplayArrayInTable(Scope3_SourceData.Scope3_Livestock_Data(), Table_SourceData_Scope3_Animals[[#Headers],[Category]], 0, 2)</f>
        <v>NT</v>
      </c>
      <c r="G36" s="29" t="str" cm="1">
        <f t="array" ref="G36">Common_InputFunctions.Utility_DisplayArrayInTable(Scope3_SourceData.Scope3_Livestock_Data(), Table_SourceData_Scope3_Animals[[#Headers],[Category]], 0, 2)</f>
        <v>kg liveweight</v>
      </c>
      <c r="H36" s="29" cm="1">
        <f t="array" ref="H36">Common_InputFunctions.Utility_DisplayArrayInTable(Scope3_SourceData.Scope3_Livestock_Data(), Table_SourceData_Scope3_Animals[[#Headers],[Category]], 0, 2)</f>
        <v>12.2</v>
      </c>
      <c r="I36" s="29" t="str" cm="1">
        <f t="array" ref="I36">Common_InputFunctions.Utility_DisplayArrayInTable(Scope3_SourceData.Scope3_Livestock_Data(), Table_SourceData_Scope3_Animals[[#Headers],[Category]], 0, 2)</f>
        <v>at market</v>
      </c>
      <c r="K36" s="29" t="s">
        <v>519</v>
      </c>
      <c r="L36" s="29" t="s">
        <v>519</v>
      </c>
    </row>
    <row r="37" spans="1:12" ht="20.100000000000001" customHeight="1" x14ac:dyDescent="0.25">
      <c r="A37" s="5" t="str">
        <f>HYPERLINK("#'8.2.1.1-2 Stationary fuel'!A1", "8.2.1.1-2 Stationary fuel")</f>
        <v>8.2.1.1-2 Stationary fuel</v>
      </c>
      <c r="D37" s="29" t="str" cm="1">
        <f t="array" ref="D37">Common_InputFunctions.Utility_DisplayArrayInTable(Scope3_SourceData.Scope3_Livestock_Data(), Table_SourceData_Scope3_Animals[[#Headers],[Category]], 0, 2)</f>
        <v>Beef cattle</v>
      </c>
      <c r="E37" s="29" t="str" cm="1">
        <f t="array" ref="E37">Common_InputFunctions.Utility_DisplayArrayInTable(Scope3_SourceData.Scope3_Livestock_Data(), Table_SourceData_Scope3_Animals[[#Headers],[Category]], 0, 2)</f>
        <v>Cattle, for manufacturing beef</v>
      </c>
      <c r="F37" s="29" t="str" cm="1">
        <f t="array" ref="F37">Common_InputFunctions.Utility_DisplayArrayInTable(Scope3_SourceData.Scope3_Livestock_Data(), Table_SourceData_Scope3_Animals[[#Headers],[Category]], 0, 2)</f>
        <v>QLD</v>
      </c>
      <c r="G37" s="29" t="str" cm="1">
        <f t="array" ref="G37">Common_InputFunctions.Utility_DisplayArrayInTable(Scope3_SourceData.Scope3_Livestock_Data(), Table_SourceData_Scope3_Animals[[#Headers],[Category]], 0, 2)</f>
        <v>kg liveweight</v>
      </c>
      <c r="H37" s="29" cm="1">
        <f t="array" ref="H37">Common_InputFunctions.Utility_DisplayArrayInTable(Scope3_SourceData.Scope3_Livestock_Data(), Table_SourceData_Scope3_Animals[[#Headers],[Category]], 0, 2)</f>
        <v>10.9</v>
      </c>
      <c r="I37" s="29" t="str" cm="1">
        <f t="array" ref="I37">Common_InputFunctions.Utility_DisplayArrayInTable(Scope3_SourceData.Scope3_Livestock_Data(), Table_SourceData_Scope3_Animals[[#Headers],[Category]], 0, 2)</f>
        <v>at market</v>
      </c>
      <c r="K37" s="29" t="s">
        <v>520</v>
      </c>
      <c r="L37" s="29" t="s">
        <v>520</v>
      </c>
    </row>
    <row r="38" spans="1:12" ht="20.100000000000001" customHeight="1" x14ac:dyDescent="0.25">
      <c r="A38" s="5" t="str">
        <f>HYPERLINK("#'14.1.1-2 Purchased electricity'!A1", "14.1.1-2 Purchased electricity")</f>
        <v>14.1.1-2 Purchased electricity</v>
      </c>
      <c r="D38" s="29" t="str" cm="1">
        <f t="array" ref="D38">Common_InputFunctions.Utility_DisplayArrayInTable(Scope3_SourceData.Scope3_Livestock_Data(), Table_SourceData_Scope3_Animals[[#Headers],[Category]], 0, 2)</f>
        <v>Beef cattle</v>
      </c>
      <c r="E38" s="29" t="str" cm="1">
        <f t="array" ref="E38">Common_InputFunctions.Utility_DisplayArrayInTable(Scope3_SourceData.Scope3_Livestock_Data(), Table_SourceData_Scope3_Animals[[#Headers],[Category]], 0, 2)</f>
        <v>Cattle, for manufacturing beef</v>
      </c>
      <c r="F38" s="29" t="str" cm="1">
        <f t="array" ref="F38">Common_InputFunctions.Utility_DisplayArrayInTable(Scope3_SourceData.Scope3_Livestock_Data(), Table_SourceData_Scope3_Animals[[#Headers],[Category]], 0, 2)</f>
        <v>SA</v>
      </c>
      <c r="G38" s="29" t="str" cm="1">
        <f t="array" ref="G38">Common_InputFunctions.Utility_DisplayArrayInTable(Scope3_SourceData.Scope3_Livestock_Data(), Table_SourceData_Scope3_Animals[[#Headers],[Category]], 0, 2)</f>
        <v>kg liveweight</v>
      </c>
      <c r="H38" s="29" cm="1">
        <f t="array" ref="H38">Common_InputFunctions.Utility_DisplayArrayInTable(Scope3_SourceData.Scope3_Livestock_Data(), Table_SourceData_Scope3_Animals[[#Headers],[Category]], 0, 2)</f>
        <v>7.63</v>
      </c>
      <c r="I38" s="29" t="str" cm="1">
        <f t="array" ref="I38">Common_InputFunctions.Utility_DisplayArrayInTable(Scope3_SourceData.Scope3_Livestock_Data(), Table_SourceData_Scope3_Animals[[#Headers],[Category]], 0, 2)</f>
        <v>at market</v>
      </c>
      <c r="K38" s="29" t="s">
        <v>521</v>
      </c>
      <c r="L38" s="29" t="s">
        <v>521</v>
      </c>
    </row>
    <row r="39" spans="1:12" ht="20.100000000000001" customHeight="1" x14ac:dyDescent="0.25">
      <c r="A39" s="5" t="str">
        <f>HYPERLINK("#'15 Scope 3'!A1", "15 Scope 3")</f>
        <v>15 Scope 3</v>
      </c>
      <c r="D39" s="29" t="str" cm="1">
        <f t="array" ref="D39">Common_InputFunctions.Utility_DisplayArrayInTable(Scope3_SourceData.Scope3_Livestock_Data(), Table_SourceData_Scope3_Animals[[#Headers],[Category]], 0, 2)</f>
        <v>Beef cattle</v>
      </c>
      <c r="E39" s="29" t="str" cm="1">
        <f t="array" ref="E39">Common_InputFunctions.Utility_DisplayArrayInTable(Scope3_SourceData.Scope3_Livestock_Data(), Table_SourceData_Scope3_Animals[[#Headers],[Category]], 0, 2)</f>
        <v>Cattle, for manufacturing beef</v>
      </c>
      <c r="F39" s="29" t="str" cm="1">
        <f t="array" ref="F39">Common_InputFunctions.Utility_DisplayArrayInTable(Scope3_SourceData.Scope3_Livestock_Data(), Table_SourceData_Scope3_Animals[[#Headers],[Category]], 0, 2)</f>
        <v>TAS</v>
      </c>
      <c r="G39" s="29" t="str" cm="1">
        <f t="array" ref="G39">Common_InputFunctions.Utility_DisplayArrayInTable(Scope3_SourceData.Scope3_Livestock_Data(), Table_SourceData_Scope3_Animals[[#Headers],[Category]], 0, 2)</f>
        <v>kg liveweight</v>
      </c>
      <c r="H39" s="29" cm="1">
        <f t="array" ref="H39">Common_InputFunctions.Utility_DisplayArrayInTable(Scope3_SourceData.Scope3_Livestock_Data(), Table_SourceData_Scope3_Animals[[#Headers],[Category]], 0, 2)</f>
        <v>8.75</v>
      </c>
      <c r="I39" s="29" t="str" cm="1">
        <f t="array" ref="I39">Common_InputFunctions.Utility_DisplayArrayInTable(Scope3_SourceData.Scope3_Livestock_Data(), Table_SourceData_Scope3_Animals[[#Headers],[Category]], 0, 2)</f>
        <v>at market</v>
      </c>
      <c r="K39" s="29" t="s">
        <v>1269</v>
      </c>
      <c r="L39" s="29" t="s">
        <v>522</v>
      </c>
    </row>
    <row r="40" spans="1:12" ht="20.100000000000001" customHeight="1" x14ac:dyDescent="0.25">
      <c r="A40" s="5" t="str">
        <f>HYPERLINK("#'Calcs - Manure sent off-site'!A1", "Calcs - Manure sent off-site")</f>
        <v>Calcs - Manure sent off-site</v>
      </c>
      <c r="D40" s="29" t="str" cm="1">
        <f t="array" ref="D40">Common_InputFunctions.Utility_DisplayArrayInTable(Scope3_SourceData.Scope3_Livestock_Data(), Table_SourceData_Scope3_Animals[[#Headers],[Category]], 0, 2)</f>
        <v>Beef cattle</v>
      </c>
      <c r="E40" s="29" t="str" cm="1">
        <f t="array" ref="E40">Common_InputFunctions.Utility_DisplayArrayInTable(Scope3_SourceData.Scope3_Livestock_Data(), Table_SourceData_Scope3_Animals[[#Headers],[Category]], 0, 2)</f>
        <v>Cattle, for manufacturing beef</v>
      </c>
      <c r="F40" s="29" t="str" cm="1">
        <f t="array" ref="F40">Common_InputFunctions.Utility_DisplayArrayInTable(Scope3_SourceData.Scope3_Livestock_Data(), Table_SourceData_Scope3_Animals[[#Headers],[Category]], 0, 2)</f>
        <v>VIC</v>
      </c>
      <c r="G40" s="29" t="str" cm="1">
        <f t="array" ref="G40">Common_InputFunctions.Utility_DisplayArrayInTable(Scope3_SourceData.Scope3_Livestock_Data(), Table_SourceData_Scope3_Animals[[#Headers],[Category]], 0, 2)</f>
        <v>kg liveweight</v>
      </c>
      <c r="H40" s="29" cm="1">
        <f t="array" ref="H40">Common_InputFunctions.Utility_DisplayArrayInTable(Scope3_SourceData.Scope3_Livestock_Data(), Table_SourceData_Scope3_Animals[[#Headers],[Category]], 0, 2)</f>
        <v>8.17</v>
      </c>
      <c r="I40" s="29" t="str" cm="1">
        <f t="array" ref="I40">Common_InputFunctions.Utility_DisplayArrayInTable(Scope3_SourceData.Scope3_Livestock_Data(), Table_SourceData_Scope3_Animals[[#Headers],[Category]], 0, 2)</f>
        <v>at market</v>
      </c>
      <c r="K40" s="29" t="s">
        <v>1270</v>
      </c>
      <c r="L40" s="29" t="s">
        <v>522</v>
      </c>
    </row>
    <row r="41" spans="1:12" ht="20.100000000000001" customHeight="1" x14ac:dyDescent="0.25">
      <c r="A41" s="5" t="str">
        <f>HYPERLINK("#'4.3.1.1-2 Methane'!A1", "4.3.1.1-2 Methane")</f>
        <v>4.3.1.1-2 Methane</v>
      </c>
      <c r="D41" s="29" t="str" cm="1">
        <f t="array" ref="D41">Common_InputFunctions.Utility_DisplayArrayInTable(Scope3_SourceData.Scope3_Livestock_Data(), Table_SourceData_Scope3_Animals[[#Headers],[Category]], 0, 2)</f>
        <v>Beef cattle</v>
      </c>
      <c r="E41" s="29" t="str" cm="1">
        <f t="array" ref="E41">Common_InputFunctions.Utility_DisplayArrayInTable(Scope3_SourceData.Scope3_Livestock_Data(), Table_SourceData_Scope3_Animals[[#Headers],[Category]], 0, 2)</f>
        <v>Cattle, for manufacturing beef</v>
      </c>
      <c r="F41" s="29" t="str" cm="1">
        <f t="array" ref="F41">Common_InputFunctions.Utility_DisplayArrayInTable(Scope3_SourceData.Scope3_Livestock_Data(), Table_SourceData_Scope3_Animals[[#Headers],[Category]], 0, 2)</f>
        <v>WA</v>
      </c>
      <c r="G41" s="29" t="str" cm="1">
        <f t="array" ref="G41">Common_InputFunctions.Utility_DisplayArrayInTable(Scope3_SourceData.Scope3_Livestock_Data(), Table_SourceData_Scope3_Animals[[#Headers],[Category]], 0, 2)</f>
        <v>kg liveweight</v>
      </c>
      <c r="H41" s="29" cm="1">
        <f t="array" ref="H41">Common_InputFunctions.Utility_DisplayArrayInTable(Scope3_SourceData.Scope3_Livestock_Data(), Table_SourceData_Scope3_Animals[[#Headers],[Category]], 0, 2)</f>
        <v>13.1</v>
      </c>
      <c r="I41" s="29" t="str" cm="1">
        <f t="array" ref="I41">Common_InputFunctions.Utility_DisplayArrayInTable(Scope3_SourceData.Scope3_Livestock_Data(), Table_SourceData_Scope3_Animals[[#Headers],[Category]], 0, 2)</f>
        <v>at market</v>
      </c>
      <c r="K41" s="29" t="s">
        <v>1271</v>
      </c>
      <c r="L41" s="29" t="s">
        <v>522</v>
      </c>
    </row>
    <row r="42" spans="1:12" ht="20.100000000000001" customHeight="1" x14ac:dyDescent="0.25">
      <c r="A42" s="5" t="str">
        <f>HYPERLINK("#'4.3.1.3-4 Direct N20'!A1", "4.3.1.3-4 Direct N20")</f>
        <v>4.3.1.3-4 Direct N20</v>
      </c>
      <c r="D42" s="29" t="str" cm="1">
        <f t="array" ref="D42">Common_InputFunctions.Utility_DisplayArrayInTable(Scope3_SourceData.Scope3_Livestock_Data(), Table_SourceData_Scope3_Animals[[#Headers],[Category]], 0, 2)</f>
        <v>Beef cattle</v>
      </c>
      <c r="E42" s="29" t="str" cm="1">
        <f t="array" ref="E42">Common_InputFunctions.Utility_DisplayArrayInTable(Scope3_SourceData.Scope3_Livestock_Data(), Table_SourceData_Scope3_Animals[[#Headers],[Category]], 0, 2)</f>
        <v>Cattle, for prime beef</v>
      </c>
      <c r="F42" s="29" t="str" cm="1">
        <f t="array" ref="F42">Common_InputFunctions.Utility_DisplayArrayInTable(Scope3_SourceData.Scope3_Livestock_Data(), Table_SourceData_Scope3_Animals[[#Headers],[Category]], 0, 2)</f>
        <v>Australia</v>
      </c>
      <c r="G42" s="29" t="str" cm="1">
        <f t="array" ref="G42">Common_InputFunctions.Utility_DisplayArrayInTable(Scope3_SourceData.Scope3_Livestock_Data(), Table_SourceData_Scope3_Animals[[#Headers],[Category]], 0, 2)</f>
        <v>kg liveweight</v>
      </c>
      <c r="H42" s="29" cm="1">
        <f t="array" ref="H42">Common_InputFunctions.Utility_DisplayArrayInTable(Scope3_SourceData.Scope3_Livestock_Data(), Table_SourceData_Scope3_Animals[[#Headers],[Category]], 0, 2)</f>
        <v>14.5</v>
      </c>
      <c r="I42" s="29" t="str" cm="1">
        <f t="array" ref="I42">Common_InputFunctions.Utility_DisplayArrayInTable(Scope3_SourceData.Scope3_Livestock_Data(), Table_SourceData_Scope3_Animals[[#Headers],[Category]], 0, 2)</f>
        <v>at market</v>
      </c>
      <c r="K42" s="29" t="s">
        <v>1272</v>
      </c>
      <c r="L42" s="29" t="s">
        <v>517</v>
      </c>
    </row>
    <row r="43" spans="1:12" ht="20.100000000000001" customHeight="1" x14ac:dyDescent="0.25">
      <c r="A43" s="5" t="str">
        <f>HYPERLINK("#'4.3.1.5 Atmos deposition'!A1", "4.3.1.5 Atmos deposition")</f>
        <v>4.3.1.5 Atmos deposition</v>
      </c>
      <c r="D43" s="29" t="str" cm="1">
        <f t="array" ref="D43">Common_InputFunctions.Utility_DisplayArrayInTable(Scope3_SourceData.Scope3_Livestock_Data(), Table_SourceData_Scope3_Animals[[#Headers],[Category]], 0, 2)</f>
        <v>Beef cattle</v>
      </c>
      <c r="E43" s="29" t="str" cm="1">
        <f t="array" ref="E43">Common_InputFunctions.Utility_DisplayArrayInTable(Scope3_SourceData.Scope3_Livestock_Data(), Table_SourceData_Scope3_Animals[[#Headers],[Category]], 0, 2)</f>
        <v>Cattle, for prime beef</v>
      </c>
      <c r="F43" s="29" t="str" cm="1">
        <f t="array" ref="F43">Common_InputFunctions.Utility_DisplayArrayInTable(Scope3_SourceData.Scope3_Livestock_Data(), Table_SourceData_Scope3_Animals[[#Headers],[Category]], 0, 2)</f>
        <v>NSW</v>
      </c>
      <c r="G43" s="29" t="str" cm="1">
        <f t="array" ref="G43">Common_InputFunctions.Utility_DisplayArrayInTable(Scope3_SourceData.Scope3_Livestock_Data(), Table_SourceData_Scope3_Animals[[#Headers],[Category]], 0, 2)</f>
        <v>kg liveweight</v>
      </c>
      <c r="H43" s="29" cm="1">
        <f t="array" ref="H43">Common_InputFunctions.Utility_DisplayArrayInTable(Scope3_SourceData.Scope3_Livestock_Data(), Table_SourceData_Scope3_Animals[[#Headers],[Category]], 0, 2)</f>
        <v>11.3</v>
      </c>
      <c r="I43" s="29" t="str" cm="1">
        <f t="array" ref="I43">Common_InputFunctions.Utility_DisplayArrayInTable(Scope3_SourceData.Scope3_Livestock_Data(), Table_SourceData_Scope3_Animals[[#Headers],[Category]], 0, 2)</f>
        <v>at market</v>
      </c>
      <c r="K43" s="29" t="s">
        <v>1273</v>
      </c>
      <c r="L43" s="29" t="s">
        <v>517</v>
      </c>
    </row>
    <row r="44" spans="1:12" ht="20.100000000000001" customHeight="1" x14ac:dyDescent="0.25">
      <c r="A44" s="5" t="str">
        <f>HYPERLINK("#'4.3.1.6-7 Leaching and runoff'!A1", "4.3.1.6-7 Leaching and runoff")</f>
        <v>4.3.1.6-7 Leaching and runoff</v>
      </c>
      <c r="D44" s="29" t="str" cm="1">
        <f t="array" ref="D44">Common_InputFunctions.Utility_DisplayArrayInTable(Scope3_SourceData.Scope3_Livestock_Data(), Table_SourceData_Scope3_Animals[[#Headers],[Category]], 0, 2)</f>
        <v>Beef cattle</v>
      </c>
      <c r="E44" s="29" t="str" cm="1">
        <f t="array" ref="E44">Common_InputFunctions.Utility_DisplayArrayInTable(Scope3_SourceData.Scope3_Livestock_Data(), Table_SourceData_Scope3_Animals[[#Headers],[Category]], 0, 2)</f>
        <v>Cattle, for prime beef</v>
      </c>
      <c r="F44" s="29" t="str" cm="1">
        <f t="array" ref="F44">Common_InputFunctions.Utility_DisplayArrayInTable(Scope3_SourceData.Scope3_Livestock_Data(), Table_SourceData_Scope3_Animals[[#Headers],[Category]], 0, 2)</f>
        <v>NT</v>
      </c>
      <c r="G44" s="29" t="str" cm="1">
        <f t="array" ref="G44">Common_InputFunctions.Utility_DisplayArrayInTable(Scope3_SourceData.Scope3_Livestock_Data(), Table_SourceData_Scope3_Animals[[#Headers],[Category]], 0, 2)</f>
        <v>kg liveweight</v>
      </c>
      <c r="H44" s="29" cm="1">
        <f t="array" ref="H44">Common_InputFunctions.Utility_DisplayArrayInTable(Scope3_SourceData.Scope3_Livestock_Data(), Table_SourceData_Scope3_Animals[[#Headers],[Category]], 0, 2)</f>
        <v>18.899999999999999</v>
      </c>
      <c r="I44" s="29" t="str" cm="1">
        <f t="array" ref="I44">Common_InputFunctions.Utility_DisplayArrayInTable(Scope3_SourceData.Scope3_Livestock_Data(), Table_SourceData_Scope3_Animals[[#Headers],[Category]], 0, 2)</f>
        <v>at market</v>
      </c>
      <c r="K44" s="29" t="s">
        <v>1274</v>
      </c>
      <c r="L44" s="29" t="s">
        <v>517</v>
      </c>
    </row>
    <row r="45" spans="1:12" ht="20.100000000000001" customHeight="1" x14ac:dyDescent="0.25">
      <c r="A45" s="5" t="str">
        <f>HYPERLINK("#'4.3.1.8 Manure applied to soils'!A1", "4.3.1.8 Manure applied to soils")</f>
        <v>4.3.1.8 Manure applied to soils</v>
      </c>
      <c r="D45" s="29" t="str" cm="1">
        <f t="array" ref="D45">Common_InputFunctions.Utility_DisplayArrayInTable(Scope3_SourceData.Scope3_Livestock_Data(), Table_SourceData_Scope3_Animals[[#Headers],[Category]], 0, 2)</f>
        <v>Beef cattle</v>
      </c>
      <c r="E45" s="29" t="str" cm="1">
        <f t="array" ref="E45">Common_InputFunctions.Utility_DisplayArrayInTable(Scope3_SourceData.Scope3_Livestock_Data(), Table_SourceData_Scope3_Animals[[#Headers],[Category]], 0, 2)</f>
        <v>Cattle, for prime beef</v>
      </c>
      <c r="F45" s="29" t="str" cm="1">
        <f t="array" ref="F45">Common_InputFunctions.Utility_DisplayArrayInTable(Scope3_SourceData.Scope3_Livestock_Data(), Table_SourceData_Scope3_Animals[[#Headers],[Category]], 0, 2)</f>
        <v>QLD</v>
      </c>
      <c r="G45" s="29" t="str" cm="1">
        <f t="array" ref="G45">Common_InputFunctions.Utility_DisplayArrayInTable(Scope3_SourceData.Scope3_Livestock_Data(), Table_SourceData_Scope3_Animals[[#Headers],[Category]], 0, 2)</f>
        <v>kg liveweight</v>
      </c>
      <c r="H45" s="29" cm="1">
        <f t="array" ref="H45">Common_InputFunctions.Utility_DisplayArrayInTable(Scope3_SourceData.Scope3_Livestock_Data(), Table_SourceData_Scope3_Animals[[#Headers],[Category]], 0, 2)</f>
        <v>13.9</v>
      </c>
      <c r="I45" s="29" t="str" cm="1">
        <f t="array" ref="I45">Common_InputFunctions.Utility_DisplayArrayInTable(Scope3_SourceData.Scope3_Livestock_Data(), Table_SourceData_Scope3_Animals[[#Headers],[Category]], 0, 2)</f>
        <v>at market</v>
      </c>
      <c r="K45" s="29" t="s">
        <v>1275</v>
      </c>
      <c r="L45" s="29" t="s">
        <v>518</v>
      </c>
    </row>
    <row r="46" spans="1:12" ht="20.100000000000001" customHeight="1" x14ac:dyDescent="0.25">
      <c r="A46" s="5" t="str">
        <f>HYPERLINK("#'4.3.1.9 Soil direct N2O'!A1", "4.3.1.9 Soil direct N2O")</f>
        <v>4.3.1.9 Soil direct N2O</v>
      </c>
      <c r="D46" s="29" t="str" cm="1">
        <f t="array" ref="D46">Common_InputFunctions.Utility_DisplayArrayInTable(Scope3_SourceData.Scope3_Livestock_Data(), Table_SourceData_Scope3_Animals[[#Headers],[Category]], 0, 2)</f>
        <v>Beef cattle</v>
      </c>
      <c r="E46" s="29" t="str" cm="1">
        <f t="array" ref="E46">Common_InputFunctions.Utility_DisplayArrayInTable(Scope3_SourceData.Scope3_Livestock_Data(), Table_SourceData_Scope3_Animals[[#Headers],[Category]], 0, 2)</f>
        <v>Cattle, for prime beef</v>
      </c>
      <c r="F46" s="29" t="str" cm="1">
        <f t="array" ref="F46">Common_InputFunctions.Utility_DisplayArrayInTable(Scope3_SourceData.Scope3_Livestock_Data(), Table_SourceData_Scope3_Animals[[#Headers],[Category]], 0, 2)</f>
        <v>SA</v>
      </c>
      <c r="G46" s="29" t="str" cm="1">
        <f t="array" ref="G46">Common_InputFunctions.Utility_DisplayArrayInTable(Scope3_SourceData.Scope3_Livestock_Data(), Table_SourceData_Scope3_Animals[[#Headers],[Category]], 0, 2)</f>
        <v>kg liveweight</v>
      </c>
      <c r="H46" s="29" cm="1">
        <f t="array" ref="H46">Common_InputFunctions.Utility_DisplayArrayInTable(Scope3_SourceData.Scope3_Livestock_Data(), Table_SourceData_Scope3_Animals[[#Headers],[Category]], 0, 2)</f>
        <v>12.3</v>
      </c>
      <c r="I46" s="29" t="str" cm="1">
        <f t="array" ref="I46">Common_InputFunctions.Utility_DisplayArrayInTable(Scope3_SourceData.Scope3_Livestock_Data(), Table_SourceData_Scope3_Animals[[#Headers],[Category]], 0, 2)</f>
        <v>at market</v>
      </c>
      <c r="K46" s="29" t="s">
        <v>1276</v>
      </c>
      <c r="L46" s="29" t="s">
        <v>518</v>
      </c>
    </row>
    <row r="47" spans="1:12" ht="20.100000000000001" customHeight="1" x14ac:dyDescent="0.25">
      <c r="A47" s="5" t="str">
        <f>HYPERLINK("#'4.3.1.10-11 Soil Atmos Dep'!A1", "4.3.1.10-11 Soil Atmos Dep")</f>
        <v>4.3.1.10-11 Soil Atmos Dep</v>
      </c>
      <c r="D47" s="29" t="str" cm="1">
        <f t="array" ref="D47">Common_InputFunctions.Utility_DisplayArrayInTable(Scope3_SourceData.Scope3_Livestock_Data(), Table_SourceData_Scope3_Animals[[#Headers],[Category]], 0, 2)</f>
        <v>Beef cattle</v>
      </c>
      <c r="E47" s="29" t="str" cm="1">
        <f t="array" ref="E47">Common_InputFunctions.Utility_DisplayArrayInTable(Scope3_SourceData.Scope3_Livestock_Data(), Table_SourceData_Scope3_Animals[[#Headers],[Category]], 0, 2)</f>
        <v>Cattle, for prime beef</v>
      </c>
      <c r="F47" s="29" t="str" cm="1">
        <f t="array" ref="F47">Common_InputFunctions.Utility_DisplayArrayInTable(Scope3_SourceData.Scope3_Livestock_Data(), Table_SourceData_Scope3_Animals[[#Headers],[Category]], 0, 2)</f>
        <v>TAS</v>
      </c>
      <c r="G47" s="29" t="str" cm="1">
        <f t="array" ref="G47">Common_InputFunctions.Utility_DisplayArrayInTable(Scope3_SourceData.Scope3_Livestock_Data(), Table_SourceData_Scope3_Animals[[#Headers],[Category]], 0, 2)</f>
        <v>kg liveweight</v>
      </c>
      <c r="H47" s="29" cm="1">
        <f t="array" ref="H47">Common_InputFunctions.Utility_DisplayArrayInTable(Scope3_SourceData.Scope3_Livestock_Data(), Table_SourceData_Scope3_Animals[[#Headers],[Category]], 0, 2)</f>
        <v>11.5</v>
      </c>
      <c r="I47" s="29" t="str" cm="1">
        <f t="array" ref="I47">Common_InputFunctions.Utility_DisplayArrayInTable(Scope3_SourceData.Scope3_Livestock_Data(), Table_SourceData_Scope3_Animals[[#Headers],[Category]], 0, 2)</f>
        <v>at market</v>
      </c>
      <c r="K47" s="29" t="s">
        <v>1277</v>
      </c>
      <c r="L47" s="29" t="s">
        <v>518</v>
      </c>
    </row>
    <row r="48" spans="1:12" ht="20.100000000000001" customHeight="1" x14ac:dyDescent="0.25">
      <c r="A48" s="5" t="str">
        <f>HYPERLINK("#'4.3.1.12-13 Soil leach runoff'!A1", "4.3.1.12-13 Soil leach runoff")</f>
        <v>4.3.1.12-13 Soil leach runoff</v>
      </c>
      <c r="D48" s="29" t="str" cm="1">
        <f t="array" ref="D48">Common_InputFunctions.Utility_DisplayArrayInTable(Scope3_SourceData.Scope3_Livestock_Data(), Table_SourceData_Scope3_Animals[[#Headers],[Category]], 0, 2)</f>
        <v>Beef cattle</v>
      </c>
      <c r="E48" s="29" t="str" cm="1">
        <f t="array" ref="E48">Common_InputFunctions.Utility_DisplayArrayInTable(Scope3_SourceData.Scope3_Livestock_Data(), Table_SourceData_Scope3_Animals[[#Headers],[Category]], 0, 2)</f>
        <v>Cattle, for prime beef</v>
      </c>
      <c r="F48" s="29" t="str" cm="1">
        <f t="array" ref="F48">Common_InputFunctions.Utility_DisplayArrayInTable(Scope3_SourceData.Scope3_Livestock_Data(), Table_SourceData_Scope3_Animals[[#Headers],[Category]], 0, 2)</f>
        <v>VIC</v>
      </c>
      <c r="G48" s="29" t="str" cm="1">
        <f t="array" ref="G48">Common_InputFunctions.Utility_DisplayArrayInTable(Scope3_SourceData.Scope3_Livestock_Data(), Table_SourceData_Scope3_Animals[[#Headers],[Category]], 0, 2)</f>
        <v>kg liveweight</v>
      </c>
      <c r="H48" s="29" cm="1">
        <f t="array" ref="H48">Common_InputFunctions.Utility_DisplayArrayInTable(Scope3_SourceData.Scope3_Livestock_Data(), Table_SourceData_Scope3_Animals[[#Headers],[Category]], 0, 2)</f>
        <v>11.5</v>
      </c>
      <c r="I48" s="29" t="str" cm="1">
        <f t="array" ref="I48">Common_InputFunctions.Utility_DisplayArrayInTable(Scope3_SourceData.Scope3_Livestock_Data(), Table_SourceData_Scope3_Animals[[#Headers],[Category]], 0, 2)</f>
        <v>at market</v>
      </c>
      <c r="K48" s="29" t="s">
        <v>1278</v>
      </c>
      <c r="L48" s="29" t="s">
        <v>518</v>
      </c>
    </row>
    <row r="49" spans="1:12" ht="20.100000000000001" customHeight="1" x14ac:dyDescent="0.25">
      <c r="A49" s="5" t="str">
        <f>HYPERLINK("#'3.3.1.1-2 Enteric Methane'!A1", "3.3.1.1-2 Enteric Methane")</f>
        <v>3.3.1.1-2 Enteric Methane</v>
      </c>
      <c r="D49" s="29" t="str" cm="1">
        <f t="array" ref="D49">Common_InputFunctions.Utility_DisplayArrayInTable(Scope3_SourceData.Scope3_Livestock_Data(), Table_SourceData_Scope3_Animals[[#Headers],[Category]], 0, 2)</f>
        <v>Beef cattle</v>
      </c>
      <c r="E49" s="29" t="str" cm="1">
        <f t="array" ref="E49">Common_InputFunctions.Utility_DisplayArrayInTable(Scope3_SourceData.Scope3_Livestock_Data(), Table_SourceData_Scope3_Animals[[#Headers],[Category]], 0, 2)</f>
        <v>Cattle, for prime beef</v>
      </c>
      <c r="F49" s="29" t="str" cm="1">
        <f t="array" ref="F49">Common_InputFunctions.Utility_DisplayArrayInTable(Scope3_SourceData.Scope3_Livestock_Data(), Table_SourceData_Scope3_Animals[[#Headers],[Category]], 0, 2)</f>
        <v>WA</v>
      </c>
      <c r="G49" s="29" t="str" cm="1">
        <f t="array" ref="G49">Common_InputFunctions.Utility_DisplayArrayInTable(Scope3_SourceData.Scope3_Livestock_Data(), Table_SourceData_Scope3_Animals[[#Headers],[Category]], 0, 2)</f>
        <v>kg liveweight</v>
      </c>
      <c r="H49" s="29" cm="1">
        <f t="array" ref="H49">Common_InputFunctions.Utility_DisplayArrayInTable(Scope3_SourceData.Scope3_Livestock_Data(), Table_SourceData_Scope3_Animals[[#Headers],[Category]], 0, 2)</f>
        <v>20.8</v>
      </c>
      <c r="I49" s="29" t="str" cm="1">
        <f t="array" ref="I49">Common_InputFunctions.Utility_DisplayArrayInTable(Scope3_SourceData.Scope3_Livestock_Data(), Table_SourceData_Scope3_Animals[[#Headers],[Category]], 0, 2)</f>
        <v>at market</v>
      </c>
      <c r="K49" s="1" t="s">
        <v>1078</v>
      </c>
      <c r="L49" s="1" t="s">
        <v>1078</v>
      </c>
    </row>
    <row r="50" spans="1:12" ht="20.100000000000001" customHeight="1" x14ac:dyDescent="0.25">
      <c r="A50" s="5" t="str">
        <f>HYPERLINK("#'10.1.1-2 Solid waste treatment'!A1", "10.1.1-2 Solid waste treatment")</f>
        <v>10.1.1-2 Solid waste treatment</v>
      </c>
      <c r="D50" s="29" t="str" cm="1">
        <f t="array" ref="D50">Common_InputFunctions.Utility_DisplayArrayInTable(Scope3_SourceData.Scope3_Livestock_Data(), Table_SourceData_Scope3_Animals[[#Headers],[Category]], 0, 2)</f>
        <v>Beef cattle</v>
      </c>
      <c r="E50" s="29" t="str" cm="1">
        <f t="array" ref="E50">Common_InputFunctions.Utility_DisplayArrayInTable(Scope3_SourceData.Scope3_Livestock_Data(), Table_SourceData_Scope3_Animals[[#Headers],[Category]], 0, 2)</f>
        <v>Cattle, weaners</v>
      </c>
      <c r="F50" s="29" t="str" cm="1">
        <f t="array" ref="F50">Common_InputFunctions.Utility_DisplayArrayInTable(Scope3_SourceData.Scope3_Livestock_Data(), Table_SourceData_Scope3_Animals[[#Headers],[Category]], 0, 2)</f>
        <v>Australia</v>
      </c>
      <c r="G50" s="29" t="str" cm="1">
        <f t="array" ref="G50">Common_InputFunctions.Utility_DisplayArrayInTable(Scope3_SourceData.Scope3_Livestock_Data(), Table_SourceData_Scope3_Animals[[#Headers],[Category]], 0, 2)</f>
        <v>kg liveweight</v>
      </c>
      <c r="H50" s="29" cm="1">
        <f t="array" ref="H50">Common_InputFunctions.Utility_DisplayArrayInTable(Scope3_SourceData.Scope3_Livestock_Data(), Table_SourceData_Scope3_Animals[[#Headers],[Category]], 0, 2)</f>
        <v>15.5</v>
      </c>
      <c r="I50" s="29" t="str" cm="1">
        <f t="array" ref="I50">Common_InputFunctions.Utility_DisplayArrayInTable(Scope3_SourceData.Scope3_Livestock_Data(), Table_SourceData_Scope3_Animals[[#Headers],[Category]], 0, 2)</f>
        <v>at market</v>
      </c>
    </row>
    <row r="51" spans="1:12" ht="20.100000000000001" customHeight="1" x14ac:dyDescent="0.25">
      <c r="A51"/>
      <c r="D51" s="29" t="str" cm="1">
        <f t="array" ref="D51">Common_InputFunctions.Utility_DisplayArrayInTable(Scope3_SourceData.Scope3_Livestock_Data(), Table_SourceData_Scope3_Animals[[#Headers],[Category]], 0, 2)</f>
        <v>Beef cattle</v>
      </c>
      <c r="E51" s="29" t="str" cm="1">
        <f t="array" ref="E51">Common_InputFunctions.Utility_DisplayArrayInTable(Scope3_SourceData.Scope3_Livestock_Data(), Table_SourceData_Scope3_Animals[[#Headers],[Category]], 0, 2)</f>
        <v>Cattle, weaners</v>
      </c>
      <c r="F51" s="29" t="str" cm="1">
        <f t="array" ref="F51">Common_InputFunctions.Utility_DisplayArrayInTable(Scope3_SourceData.Scope3_Livestock_Data(), Table_SourceData_Scope3_Animals[[#Headers],[Category]], 0, 2)</f>
        <v>NSW</v>
      </c>
      <c r="G51" s="29" t="str" cm="1">
        <f t="array" ref="G51">Common_InputFunctions.Utility_DisplayArrayInTable(Scope3_SourceData.Scope3_Livestock_Data(), Table_SourceData_Scope3_Animals[[#Headers],[Category]], 0, 2)</f>
        <v>kg liveweight</v>
      </c>
      <c r="H51" s="29" cm="1">
        <f t="array" ref="H51">Common_InputFunctions.Utility_DisplayArrayInTable(Scope3_SourceData.Scope3_Livestock_Data(), Table_SourceData_Scope3_Animals[[#Headers],[Category]], 0, 2)</f>
        <v>12.7</v>
      </c>
      <c r="I51" s="29" t="str" cm="1">
        <f t="array" ref="I51">Common_InputFunctions.Utility_DisplayArrayInTable(Scope3_SourceData.Scope3_Livestock_Data(), Table_SourceData_Scope3_Animals[[#Headers],[Category]], 0, 2)</f>
        <v>at market</v>
      </c>
    </row>
    <row r="52" spans="1:12" ht="20.100000000000001" customHeight="1" x14ac:dyDescent="0.25">
      <c r="A52"/>
      <c r="D52" s="29" t="str" cm="1">
        <f t="array" ref="D52">Common_InputFunctions.Utility_DisplayArrayInTable(Scope3_SourceData.Scope3_Livestock_Data(), Table_SourceData_Scope3_Animals[[#Headers],[Category]], 0, 2)</f>
        <v>Beef cattle</v>
      </c>
      <c r="E52" s="29" t="str" cm="1">
        <f t="array" ref="E52">Common_InputFunctions.Utility_DisplayArrayInTable(Scope3_SourceData.Scope3_Livestock_Data(), Table_SourceData_Scope3_Animals[[#Headers],[Category]], 0, 2)</f>
        <v>Cattle, weaners</v>
      </c>
      <c r="F52" s="29" t="str" cm="1">
        <f t="array" ref="F52">Common_InputFunctions.Utility_DisplayArrayInTable(Scope3_SourceData.Scope3_Livestock_Data(), Table_SourceData_Scope3_Animals[[#Headers],[Category]], 0, 2)</f>
        <v>NT</v>
      </c>
      <c r="G52" s="29" t="str" cm="1">
        <f t="array" ref="G52">Common_InputFunctions.Utility_DisplayArrayInTable(Scope3_SourceData.Scope3_Livestock_Data(), Table_SourceData_Scope3_Animals[[#Headers],[Category]], 0, 2)</f>
        <v>kg liveweight</v>
      </c>
      <c r="H52" s="29" cm="1">
        <f t="array" ref="H52">Common_InputFunctions.Utility_DisplayArrayInTable(Scope3_SourceData.Scope3_Livestock_Data(), Table_SourceData_Scope3_Animals[[#Headers],[Category]], 0, 2)</f>
        <v>19.100000000000001</v>
      </c>
      <c r="I52" s="29" t="str" cm="1">
        <f t="array" ref="I52">Common_InputFunctions.Utility_DisplayArrayInTable(Scope3_SourceData.Scope3_Livestock_Data(), Table_SourceData_Scope3_Animals[[#Headers],[Category]], 0, 2)</f>
        <v>at market</v>
      </c>
    </row>
    <row r="53" spans="1:12" ht="20.100000000000001" customHeight="1" x14ac:dyDescent="0.25">
      <c r="A53" s="100" t="s">
        <v>1</v>
      </c>
      <c r="D53" s="29" t="str" cm="1">
        <f t="array" ref="D53">Common_InputFunctions.Utility_DisplayArrayInTable(Scope3_SourceData.Scope3_Livestock_Data(), Table_SourceData_Scope3_Animals[[#Headers],[Category]], 0, 2)</f>
        <v>Beef cattle</v>
      </c>
      <c r="E53" s="29" t="str" cm="1">
        <f t="array" ref="E53">Common_InputFunctions.Utility_DisplayArrayInTable(Scope3_SourceData.Scope3_Livestock_Data(), Table_SourceData_Scope3_Animals[[#Headers],[Category]], 0, 2)</f>
        <v>Cattle, weaners</v>
      </c>
      <c r="F53" s="29" t="str" cm="1">
        <f t="array" ref="F53">Common_InputFunctions.Utility_DisplayArrayInTable(Scope3_SourceData.Scope3_Livestock_Data(), Table_SourceData_Scope3_Animals[[#Headers],[Category]], 0, 2)</f>
        <v>QLD</v>
      </c>
      <c r="G53" s="29" t="str" cm="1">
        <f t="array" ref="G53">Common_InputFunctions.Utility_DisplayArrayInTable(Scope3_SourceData.Scope3_Livestock_Data(), Table_SourceData_Scope3_Animals[[#Headers],[Category]], 0, 2)</f>
        <v>kg liveweight</v>
      </c>
      <c r="H53" s="29" cm="1">
        <f t="array" ref="H53">Common_InputFunctions.Utility_DisplayArrayInTable(Scope3_SourceData.Scope3_Livestock_Data(), Table_SourceData_Scope3_Animals[[#Headers],[Category]], 0, 2)</f>
        <v>20.5</v>
      </c>
      <c r="I53" s="29" t="str" cm="1">
        <f t="array" ref="I53">Common_InputFunctions.Utility_DisplayArrayInTable(Scope3_SourceData.Scope3_Livestock_Data(), Table_SourceData_Scope3_Animals[[#Headers],[Category]], 0, 2)</f>
        <v>at market</v>
      </c>
    </row>
    <row r="54" spans="1:12" ht="20.100000000000001" customHeight="1" x14ac:dyDescent="0.25">
      <c r="A54" s="5" t="str">
        <f>HYPERLINK("#'Constants - Dairy'!A1", "Constants - Dairy")</f>
        <v>Constants - Dairy</v>
      </c>
      <c r="D54" s="29" t="str" cm="1">
        <f t="array" ref="D54">Common_InputFunctions.Utility_DisplayArrayInTable(Scope3_SourceData.Scope3_Livestock_Data(), Table_SourceData_Scope3_Animals[[#Headers],[Category]], 0, 2)</f>
        <v>Beef cattle</v>
      </c>
      <c r="E54" s="29" t="str" cm="1">
        <f t="array" ref="E54">Common_InputFunctions.Utility_DisplayArrayInTable(Scope3_SourceData.Scope3_Livestock_Data(), Table_SourceData_Scope3_Animals[[#Headers],[Category]], 0, 2)</f>
        <v>Cattle, weaners</v>
      </c>
      <c r="F54" s="29" t="str" cm="1">
        <f t="array" ref="F54">Common_InputFunctions.Utility_DisplayArrayInTable(Scope3_SourceData.Scope3_Livestock_Data(), Table_SourceData_Scope3_Animals[[#Headers],[Category]], 0, 2)</f>
        <v>SA</v>
      </c>
      <c r="G54" s="29" t="str" cm="1">
        <f t="array" ref="G54">Common_InputFunctions.Utility_DisplayArrayInTable(Scope3_SourceData.Scope3_Livestock_Data(), Table_SourceData_Scope3_Animals[[#Headers],[Category]], 0, 2)</f>
        <v>kg liveweight</v>
      </c>
      <c r="H54" s="29" cm="1">
        <f t="array" ref="H54">Common_InputFunctions.Utility_DisplayArrayInTable(Scope3_SourceData.Scope3_Livestock_Data(), Table_SourceData_Scope3_Animals[[#Headers],[Category]], 0, 2)</f>
        <v>10.8</v>
      </c>
      <c r="I54" s="29" t="str" cm="1">
        <f t="array" ref="I54">Common_InputFunctions.Utility_DisplayArrayInTable(Scope3_SourceData.Scope3_Livestock_Data(), Table_SourceData_Scope3_Animals[[#Headers],[Category]], 0, 2)</f>
        <v>at market</v>
      </c>
    </row>
    <row r="55" spans="1:12" ht="20.100000000000001" customHeight="1" x14ac:dyDescent="0.25">
      <c r="A55" s="5" t="str">
        <f>HYPERLINK("#'Constants - Ag Residue'!A1", "Constants - Ag residue")</f>
        <v>Constants - Ag residue</v>
      </c>
      <c r="D55" s="29" t="str" cm="1">
        <f t="array" ref="D55">Common_InputFunctions.Utility_DisplayArrayInTable(Scope3_SourceData.Scope3_Livestock_Data(), Table_SourceData_Scope3_Animals[[#Headers],[Category]], 0, 2)</f>
        <v>Beef cattle</v>
      </c>
      <c r="E55" s="29" t="str" cm="1">
        <f t="array" ref="E55">Common_InputFunctions.Utility_DisplayArrayInTable(Scope3_SourceData.Scope3_Livestock_Data(), Table_SourceData_Scope3_Animals[[#Headers],[Category]], 0, 2)</f>
        <v>Cattle, weaners</v>
      </c>
      <c r="F55" s="29" t="str" cm="1">
        <f t="array" ref="F55">Common_InputFunctions.Utility_DisplayArrayInTable(Scope3_SourceData.Scope3_Livestock_Data(), Table_SourceData_Scope3_Animals[[#Headers],[Category]], 0, 2)</f>
        <v>TAS</v>
      </c>
      <c r="G55" s="29" t="str" cm="1">
        <f t="array" ref="G55">Common_InputFunctions.Utility_DisplayArrayInTable(Scope3_SourceData.Scope3_Livestock_Data(), Table_SourceData_Scope3_Animals[[#Headers],[Category]], 0, 2)</f>
        <v>kg liveweight</v>
      </c>
      <c r="H55" s="29" cm="1">
        <f t="array" ref="H55">Common_InputFunctions.Utility_DisplayArrayInTable(Scope3_SourceData.Scope3_Livestock_Data(), Table_SourceData_Scope3_Animals[[#Headers],[Category]], 0, 2)</f>
        <v>13.4</v>
      </c>
      <c r="I55" s="29" t="str" cm="1">
        <f t="array" ref="I55">Common_InputFunctions.Utility_DisplayArrayInTable(Scope3_SourceData.Scope3_Livestock_Data(), Table_SourceData_Scope3_Animals[[#Headers],[Category]], 0, 2)</f>
        <v>at market</v>
      </c>
    </row>
    <row r="56" spans="1:12" ht="20.100000000000001" customHeight="1" x14ac:dyDescent="0.25">
      <c r="A56" s="5" t="str">
        <f>HYPERLINK("#'Constants - Common Livestock'!A1", "Constants - Common Livestock")</f>
        <v>Constants - Common Livestock</v>
      </c>
      <c r="D56" s="29" t="str" cm="1">
        <f t="array" ref="D56">Common_InputFunctions.Utility_DisplayArrayInTable(Scope3_SourceData.Scope3_Livestock_Data(), Table_SourceData_Scope3_Animals[[#Headers],[Category]], 0, 2)</f>
        <v>Beef cattle</v>
      </c>
      <c r="E56" s="29" t="str" cm="1">
        <f t="array" ref="E56">Common_InputFunctions.Utility_DisplayArrayInTable(Scope3_SourceData.Scope3_Livestock_Data(), Table_SourceData_Scope3_Animals[[#Headers],[Category]], 0, 2)</f>
        <v>Cattle, weaners</v>
      </c>
      <c r="F56" s="29" t="str" cm="1">
        <f t="array" ref="F56">Common_InputFunctions.Utility_DisplayArrayInTable(Scope3_SourceData.Scope3_Livestock_Data(), Table_SourceData_Scope3_Animals[[#Headers],[Category]], 0, 2)</f>
        <v>VIC</v>
      </c>
      <c r="G56" s="29" t="str" cm="1">
        <f t="array" ref="G56">Common_InputFunctions.Utility_DisplayArrayInTable(Scope3_SourceData.Scope3_Livestock_Data(), Table_SourceData_Scope3_Animals[[#Headers],[Category]], 0, 2)</f>
        <v>kg liveweight</v>
      </c>
      <c r="H56" s="29" cm="1">
        <f t="array" ref="H56">Common_InputFunctions.Utility_DisplayArrayInTable(Scope3_SourceData.Scope3_Livestock_Data(), Table_SourceData_Scope3_Animals[[#Headers],[Category]], 0, 2)</f>
        <v>12</v>
      </c>
      <c r="I56" s="29" t="str" cm="1">
        <f t="array" ref="I56">Common_InputFunctions.Utility_DisplayArrayInTable(Scope3_SourceData.Scope3_Livestock_Data(), Table_SourceData_Scope3_Animals[[#Headers],[Category]], 0, 2)</f>
        <v>at market</v>
      </c>
    </row>
    <row r="57" spans="1:12" ht="20.100000000000001" customHeight="1" x14ac:dyDescent="0.25">
      <c r="A57" s="5" t="str">
        <f>HYPERLINK("#'Constants - Electricity'!A1", "Constants - Electricity")</f>
        <v>Constants - Electricity</v>
      </c>
      <c r="D57" s="29" t="str" cm="1">
        <f t="array" ref="D57">Common_InputFunctions.Utility_DisplayArrayInTable(Scope3_SourceData.Scope3_Livestock_Data(), Table_SourceData_Scope3_Animals[[#Headers],[Category]], 0, 2)</f>
        <v>Beef cattle</v>
      </c>
      <c r="E57" s="29" t="str" cm="1">
        <f t="array" ref="E57">Common_InputFunctions.Utility_DisplayArrayInTable(Scope3_SourceData.Scope3_Livestock_Data(), Table_SourceData_Scope3_Animals[[#Headers],[Category]], 0, 2)</f>
        <v>Cattle, weaners</v>
      </c>
      <c r="F57" s="29" t="str" cm="1">
        <f t="array" ref="F57">Common_InputFunctions.Utility_DisplayArrayInTable(Scope3_SourceData.Scope3_Livestock_Data(), Table_SourceData_Scope3_Animals[[#Headers],[Category]], 0, 2)</f>
        <v>WA</v>
      </c>
      <c r="G57" s="29" t="str" cm="1">
        <f t="array" ref="G57">Common_InputFunctions.Utility_DisplayArrayInTable(Scope3_SourceData.Scope3_Livestock_Data(), Table_SourceData_Scope3_Animals[[#Headers],[Category]], 0, 2)</f>
        <v>kg liveweight</v>
      </c>
      <c r="H57" s="29" cm="1">
        <f t="array" ref="H57">Common_InputFunctions.Utility_DisplayArrayInTable(Scope3_SourceData.Scope3_Livestock_Data(), Table_SourceData_Scope3_Animals[[#Headers],[Category]], 0, 2)</f>
        <v>12.4</v>
      </c>
      <c r="I57" s="29" t="str" cm="1">
        <f t="array" ref="I57">Common_InputFunctions.Utility_DisplayArrayInTable(Scope3_SourceData.Scope3_Livestock_Data(), Table_SourceData_Scope3_Animals[[#Headers],[Category]], 0, 2)</f>
        <v>at market</v>
      </c>
    </row>
    <row r="58" spans="1:12" ht="20.100000000000001" customHeight="1" x14ac:dyDescent="0.25">
      <c r="A58" s="5" t="str">
        <f>HYPERLINK("#'Constants - Fertiliser'!A1", "Constants - Fertiliser")</f>
        <v>Constants - Fertiliser</v>
      </c>
      <c r="D58" s="29" t="str" cm="1">
        <f t="array" ref="D58">Common_InputFunctions.Utility_DisplayArrayInTable(Scope3_SourceData.Scope3_Livestock_Data(), Table_SourceData_Scope3_Animals[[#Headers],[Category]], 0, 2)</f>
        <v>Chickens</v>
      </c>
      <c r="E58" s="29" t="str" cm="1">
        <f t="array" ref="E58">Common_InputFunctions.Utility_DisplayArrayInTable(Scope3_SourceData.Scope3_Livestock_Data(), Table_SourceData_Scope3_Animals[[#Headers],[Category]], 0, 2)</f>
        <v>Chickens</v>
      </c>
      <c r="F58" s="29" t="str" cm="1">
        <f t="array" ref="F58">Common_InputFunctions.Utility_DisplayArrayInTable(Scope3_SourceData.Scope3_Livestock_Data(), Table_SourceData_Scope3_Animals[[#Headers],[Category]], 0, 2)</f>
        <v>Australia</v>
      </c>
      <c r="G58" s="29" t="str" cm="1">
        <f t="array" ref="G58">Common_InputFunctions.Utility_DisplayArrayInTable(Scope3_SourceData.Scope3_Livestock_Data(), Table_SourceData_Scope3_Animals[[#Headers],[Category]], 0, 2)</f>
        <v>kg liveweight</v>
      </c>
      <c r="H58" s="29" cm="1">
        <f t="array" ref="H58">Common_InputFunctions.Utility_DisplayArrayInTable(Scope3_SourceData.Scope3_Livestock_Data(), Table_SourceData_Scope3_Animals[[#Headers],[Category]], 0, 2)</f>
        <v>1.36</v>
      </c>
      <c r="I58" s="29" t="str" cm="1">
        <f t="array" ref="I58">Common_InputFunctions.Utility_DisplayArrayInTable(Scope3_SourceData.Scope3_Livestock_Data(), Table_SourceData_Scope3_Animals[[#Headers],[Category]], 0, 2)</f>
        <v>at market</v>
      </c>
    </row>
    <row r="59" spans="1:12" ht="20.100000000000001" customHeight="1" x14ac:dyDescent="0.25">
      <c r="A59" s="5" t="str">
        <f>HYPERLINK("#'Constants - Fuel'!A1", "Constants - Fuel")</f>
        <v>Constants - Fuel</v>
      </c>
      <c r="D59" s="29" t="str" cm="1">
        <f t="array" ref="D59">Common_InputFunctions.Utility_DisplayArrayInTable(Scope3_SourceData.Scope3_Livestock_Data(), Table_SourceData_Scope3_Animals[[#Headers],[Category]], 0, 2)</f>
        <v>Dairy cattle</v>
      </c>
      <c r="E59" s="29" t="str" cm="1">
        <f t="array" ref="E59">Common_InputFunctions.Utility_DisplayArrayInTable(Scope3_SourceData.Scope3_Livestock_Data(), Table_SourceData_Scope3_Animals[[#Headers],[Category]], 0, 2)</f>
        <v>Dairy cows</v>
      </c>
      <c r="F59" s="29" t="str" cm="1">
        <f t="array" ref="F59">Common_InputFunctions.Utility_DisplayArrayInTable(Scope3_SourceData.Scope3_Livestock_Data(), Table_SourceData_Scope3_Animals[[#Headers],[Category]], 0, 2)</f>
        <v>VIC</v>
      </c>
      <c r="G59" s="29" t="str" cm="1">
        <f t="array" ref="G59">Common_InputFunctions.Utility_DisplayArrayInTable(Scope3_SourceData.Scope3_Livestock_Data(), Table_SourceData_Scope3_Animals[[#Headers],[Category]], 0, 2)</f>
        <v>kg liveweight</v>
      </c>
      <c r="H59" s="29" cm="1">
        <f t="array" ref="H59">Common_InputFunctions.Utility_DisplayArrayInTable(Scope3_SourceData.Scope3_Livestock_Data(), Table_SourceData_Scope3_Animals[[#Headers],[Category]], 0, 2)</f>
        <v>4.41</v>
      </c>
      <c r="I59" s="29" t="str" cm="1">
        <f t="array" ref="I59">Common_InputFunctions.Utility_DisplayArrayInTable(Scope3_SourceData.Scope3_Livestock_Data(), Table_SourceData_Scope3_Animals[[#Headers],[Category]], 0, 2)</f>
        <v>at market</v>
      </c>
    </row>
    <row r="60" spans="1:12" ht="20.100000000000001" customHeight="1" x14ac:dyDescent="0.25">
      <c r="A60" s="148" t="str">
        <f>HYPERLINK("#'Constants - Scope 3'!A1", "Constants - Scope 3")</f>
        <v>Constants - Scope 3</v>
      </c>
      <c r="D60" s="29" t="str" cm="1">
        <f t="array" ref="D60">Common_InputFunctions.Utility_DisplayArrayInTable(Scope3_SourceData.Scope3_Livestock_Data(), Table_SourceData_Scope3_Animals[[#Headers],[Category]], 0, 2)</f>
        <v>Pigs</v>
      </c>
      <c r="E60" s="29" t="str" cm="1">
        <f t="array" ref="E60">Common_InputFunctions.Utility_DisplayArrayInTable(Scope3_SourceData.Scope3_Livestock_Data(), Table_SourceData_Scope3_Animals[[#Headers],[Category]], 0, 2)</f>
        <v>Pigs</v>
      </c>
      <c r="F60" s="29" t="str" cm="1">
        <f t="array" ref="F60">Common_InputFunctions.Utility_DisplayArrayInTable(Scope3_SourceData.Scope3_Livestock_Data(), Table_SourceData_Scope3_Animals[[#Headers],[Category]], 0, 2)</f>
        <v>Australia</v>
      </c>
      <c r="G60" s="29" t="str" cm="1">
        <f t="array" ref="G60">Common_InputFunctions.Utility_DisplayArrayInTable(Scope3_SourceData.Scope3_Livestock_Data(), Table_SourceData_Scope3_Animals[[#Headers],[Category]], 0, 2)</f>
        <v>kg liveweight</v>
      </c>
      <c r="H60" s="29" cm="1">
        <f t="array" ref="H60">Common_InputFunctions.Utility_DisplayArrayInTable(Scope3_SourceData.Scope3_Livestock_Data(), Table_SourceData_Scope3_Animals[[#Headers],[Category]], 0, 2)</f>
        <v>3.38</v>
      </c>
      <c r="I60" s="29" t="str" cm="1">
        <f t="array" ref="I60">Common_InputFunctions.Utility_DisplayArrayInTable(Scope3_SourceData.Scope3_Livestock_Data(), Table_SourceData_Scope3_Animals[[#Headers],[Category]], 0, 2)</f>
        <v>at market</v>
      </c>
    </row>
    <row r="61" spans="1:12" ht="20.100000000000001" customHeight="1" x14ac:dyDescent="0.25">
      <c r="A61" s="5" t="str">
        <f>HYPERLINK("#'Constants - Common'!A1", "Constants - Common")</f>
        <v>Constants - Common</v>
      </c>
      <c r="D61" s="29" t="str" cm="1">
        <f t="array" ref="D61">Common_InputFunctions.Utility_DisplayArrayInTable(Scope3_SourceData.Scope3_Livestock_Data(), Table_SourceData_Scope3_Animals[[#Headers],[Category]], 0, 2)</f>
        <v>Sheep</v>
      </c>
      <c r="E61" s="29" t="str" cm="1">
        <f t="array" ref="E61">Common_InputFunctions.Utility_DisplayArrayInTable(Scope3_SourceData.Scope3_Livestock_Data(), Table_SourceData_Scope3_Animals[[#Headers],[Category]], 0, 2)</f>
        <v>Sheep, for mutton</v>
      </c>
      <c r="F61" s="29" t="str" cm="1">
        <f t="array" ref="F61">Common_InputFunctions.Utility_DisplayArrayInTable(Scope3_SourceData.Scope3_Livestock_Data(), Table_SourceData_Scope3_Animals[[#Headers],[Category]], 0, 2)</f>
        <v>Australia</v>
      </c>
      <c r="G61" s="29" t="str" cm="1">
        <f t="array" ref="G61">Common_InputFunctions.Utility_DisplayArrayInTable(Scope3_SourceData.Scope3_Livestock_Data(), Table_SourceData_Scope3_Animals[[#Headers],[Category]], 0, 2)</f>
        <v>kg liveweight</v>
      </c>
      <c r="H61" s="29" cm="1">
        <f t="array" ref="H61">Common_InputFunctions.Utility_DisplayArrayInTable(Scope3_SourceData.Scope3_Livestock_Data(), Table_SourceData_Scope3_Animals[[#Headers],[Category]], 0, 2)</f>
        <v>6.81</v>
      </c>
      <c r="I61" s="29" t="str" cm="1">
        <f t="array" ref="I61">Common_InputFunctions.Utility_DisplayArrayInTable(Scope3_SourceData.Scope3_Livestock_Data(), Table_SourceData_Scope3_Animals[[#Headers],[Category]], 0, 2)</f>
        <v>at market</v>
      </c>
    </row>
    <row r="62" spans="1:12" ht="20.100000000000001" customHeight="1" x14ac:dyDescent="0.25">
      <c r="A62" s="5" t="str">
        <f>HYPERLINK("#'Acknowledgements'!A1", "Acknowledgements")</f>
        <v>Acknowledgements</v>
      </c>
      <c r="D62" s="29" t="str" cm="1">
        <f t="array" ref="D62">Common_InputFunctions.Utility_DisplayArrayInTable(Scope3_SourceData.Scope3_Livestock_Data(), Table_SourceData_Scope3_Animals[[#Headers],[Category]], 0, 2)</f>
        <v>Sheep</v>
      </c>
      <c r="E62" s="29" t="str" cm="1">
        <f t="array" ref="E62">Common_InputFunctions.Utility_DisplayArrayInTable(Scope3_SourceData.Scope3_Livestock_Data(), Table_SourceData_Scope3_Animals[[#Headers],[Category]], 0, 2)</f>
        <v>Sheep, for mutton</v>
      </c>
      <c r="F62" s="29" t="str" cm="1">
        <f t="array" ref="F62">Common_InputFunctions.Utility_DisplayArrayInTable(Scope3_SourceData.Scope3_Livestock_Data(), Table_SourceData_Scope3_Animals[[#Headers],[Category]], 0, 2)</f>
        <v>NSW</v>
      </c>
      <c r="G62" s="29" t="str" cm="1">
        <f t="array" ref="G62">Common_InputFunctions.Utility_DisplayArrayInTable(Scope3_SourceData.Scope3_Livestock_Data(), Table_SourceData_Scope3_Animals[[#Headers],[Category]], 0, 2)</f>
        <v>kg liveweight</v>
      </c>
      <c r="H62" s="29" cm="1">
        <f t="array" ref="H62">Common_InputFunctions.Utility_DisplayArrayInTable(Scope3_SourceData.Scope3_Livestock_Data(), Table_SourceData_Scope3_Animals[[#Headers],[Category]], 0, 2)</f>
        <v>2.2599999999999998</v>
      </c>
      <c r="I62" s="29" t="str" cm="1">
        <f t="array" ref="I62">Common_InputFunctions.Utility_DisplayArrayInTable(Scope3_SourceData.Scope3_Livestock_Data(), Table_SourceData_Scope3_Animals[[#Headers],[Category]], 0, 2)</f>
        <v>at market</v>
      </c>
    </row>
    <row r="63" spans="1:12" ht="20.100000000000001" customHeight="1" x14ac:dyDescent="0.25">
      <c r="A63" s="5" t="str">
        <f>HYPERLINK("#'Constants - Solid Waste'!A1", "Constants - Solid Waste")</f>
        <v>Constants - Solid Waste</v>
      </c>
      <c r="D63" s="29" t="str" cm="1">
        <f t="array" ref="D63">Common_InputFunctions.Utility_DisplayArrayInTable(Scope3_SourceData.Scope3_Livestock_Data(), Table_SourceData_Scope3_Animals[[#Headers],[Category]], 0, 2)</f>
        <v>Sheep</v>
      </c>
      <c r="E63" s="29" t="str" cm="1">
        <f t="array" ref="E63">Common_InputFunctions.Utility_DisplayArrayInTable(Scope3_SourceData.Scope3_Livestock_Data(), Table_SourceData_Scope3_Animals[[#Headers],[Category]], 0, 2)</f>
        <v>Sheep, for mutton</v>
      </c>
      <c r="F63" s="29" t="str" cm="1">
        <f t="array" ref="F63">Common_InputFunctions.Utility_DisplayArrayInTable(Scope3_SourceData.Scope3_Livestock_Data(), Table_SourceData_Scope3_Animals[[#Headers],[Category]], 0, 2)</f>
        <v>QLD</v>
      </c>
      <c r="G63" s="29" t="str" cm="1">
        <f t="array" ref="G63">Common_InputFunctions.Utility_DisplayArrayInTable(Scope3_SourceData.Scope3_Livestock_Data(), Table_SourceData_Scope3_Animals[[#Headers],[Category]], 0, 2)</f>
        <v>kg liveweight</v>
      </c>
      <c r="H63" s="29" cm="1">
        <f t="array" ref="H63">Common_InputFunctions.Utility_DisplayArrayInTable(Scope3_SourceData.Scope3_Livestock_Data(), Table_SourceData_Scope3_Animals[[#Headers],[Category]], 0, 2)</f>
        <v>6.33</v>
      </c>
      <c r="I63" s="29" t="str" cm="1">
        <f t="array" ref="I63">Common_InputFunctions.Utility_DisplayArrayInTable(Scope3_SourceData.Scope3_Livestock_Data(), Table_SourceData_Scope3_Animals[[#Headers],[Category]], 0, 2)</f>
        <v>at market</v>
      </c>
    </row>
    <row r="64" spans="1:12" ht="20.100000000000001" customHeight="1" x14ac:dyDescent="0.25">
      <c r="A64"/>
      <c r="D64" s="29" t="str" cm="1">
        <f t="array" ref="D64">Common_InputFunctions.Utility_DisplayArrayInTable(Scope3_SourceData.Scope3_Livestock_Data(), Table_SourceData_Scope3_Animals[[#Headers],[Category]], 0, 2)</f>
        <v>Sheep</v>
      </c>
      <c r="E64" s="29" t="str" cm="1">
        <f t="array" ref="E64">Common_InputFunctions.Utility_DisplayArrayInTable(Scope3_SourceData.Scope3_Livestock_Data(), Table_SourceData_Scope3_Animals[[#Headers],[Category]], 0, 2)</f>
        <v>Sheep, for mutton</v>
      </c>
      <c r="F64" s="29" t="str" cm="1">
        <f t="array" ref="F64">Common_InputFunctions.Utility_DisplayArrayInTable(Scope3_SourceData.Scope3_Livestock_Data(), Table_SourceData_Scope3_Animals[[#Headers],[Category]], 0, 2)</f>
        <v>SA</v>
      </c>
      <c r="G64" s="29" t="str" cm="1">
        <f t="array" ref="G64">Common_InputFunctions.Utility_DisplayArrayInTable(Scope3_SourceData.Scope3_Livestock_Data(), Table_SourceData_Scope3_Animals[[#Headers],[Category]], 0, 2)</f>
        <v>kg liveweight</v>
      </c>
      <c r="H64" s="29" cm="1">
        <f t="array" ref="H64">Common_InputFunctions.Utility_DisplayArrayInTable(Scope3_SourceData.Scope3_Livestock_Data(), Table_SourceData_Scope3_Animals[[#Headers],[Category]], 0, 2)</f>
        <v>6.18</v>
      </c>
      <c r="I64" s="29" t="str" cm="1">
        <f t="array" ref="I64">Common_InputFunctions.Utility_DisplayArrayInTable(Scope3_SourceData.Scope3_Livestock_Data(), Table_SourceData_Scope3_Animals[[#Headers],[Category]], 0, 2)</f>
        <v>at market</v>
      </c>
    </row>
    <row r="65" spans="1:9" ht="20.100000000000001" customHeight="1" x14ac:dyDescent="0.25">
      <c r="A65"/>
      <c r="D65" s="29" t="str" cm="1">
        <f t="array" ref="D65">Common_InputFunctions.Utility_DisplayArrayInTable(Scope3_SourceData.Scope3_Livestock_Data(), Table_SourceData_Scope3_Animals[[#Headers],[Category]], 0, 2)</f>
        <v>Sheep</v>
      </c>
      <c r="E65" s="29" t="str" cm="1">
        <f t="array" ref="E65">Common_InputFunctions.Utility_DisplayArrayInTable(Scope3_SourceData.Scope3_Livestock_Data(), Table_SourceData_Scope3_Animals[[#Headers],[Category]], 0, 2)</f>
        <v>Sheep, for mutton</v>
      </c>
      <c r="F65" s="29" t="str" cm="1">
        <f t="array" ref="F65">Common_InputFunctions.Utility_DisplayArrayInTable(Scope3_SourceData.Scope3_Livestock_Data(), Table_SourceData_Scope3_Animals[[#Headers],[Category]], 0, 2)</f>
        <v>TAS</v>
      </c>
      <c r="G65" s="29" t="str" cm="1">
        <f t="array" ref="G65">Common_InputFunctions.Utility_DisplayArrayInTable(Scope3_SourceData.Scope3_Livestock_Data(), Table_SourceData_Scope3_Animals[[#Headers],[Category]], 0, 2)</f>
        <v>kg liveweight</v>
      </c>
      <c r="H65" s="29" cm="1">
        <f t="array" ref="H65">Common_InputFunctions.Utility_DisplayArrayInTable(Scope3_SourceData.Scope3_Livestock_Data(), Table_SourceData_Scope3_Animals[[#Headers],[Category]], 0, 2)</f>
        <v>7.5</v>
      </c>
      <c r="I65" s="29" t="str" cm="1">
        <f t="array" ref="I65">Common_InputFunctions.Utility_DisplayArrayInTable(Scope3_SourceData.Scope3_Livestock_Data(), Table_SourceData_Scope3_Animals[[#Headers],[Category]], 0, 2)</f>
        <v>at market</v>
      </c>
    </row>
    <row r="66" spans="1:9" ht="20.100000000000001" customHeight="1" x14ac:dyDescent="0.25">
      <c r="A66"/>
      <c r="D66" s="29" t="str" cm="1">
        <f t="array" ref="D66">Common_InputFunctions.Utility_DisplayArrayInTable(Scope3_SourceData.Scope3_Livestock_Data(), Table_SourceData_Scope3_Animals[[#Headers],[Category]], 0, 2)</f>
        <v>Sheep</v>
      </c>
      <c r="E66" s="29" t="str" cm="1">
        <f t="array" ref="E66">Common_InputFunctions.Utility_DisplayArrayInTable(Scope3_SourceData.Scope3_Livestock_Data(), Table_SourceData_Scope3_Animals[[#Headers],[Category]], 0, 2)</f>
        <v>Sheep, for mutton</v>
      </c>
      <c r="F66" s="29" t="str" cm="1">
        <f t="array" ref="F66">Common_InputFunctions.Utility_DisplayArrayInTable(Scope3_SourceData.Scope3_Livestock_Data(), Table_SourceData_Scope3_Animals[[#Headers],[Category]], 0, 2)</f>
        <v>VIC</v>
      </c>
      <c r="G66" s="29" t="str" cm="1">
        <f t="array" ref="G66">Common_InputFunctions.Utility_DisplayArrayInTable(Scope3_SourceData.Scope3_Livestock_Data(), Table_SourceData_Scope3_Animals[[#Headers],[Category]], 0, 2)</f>
        <v>kg liveweight</v>
      </c>
      <c r="H66" s="29" cm="1">
        <f t="array" ref="H66">Common_InputFunctions.Utility_DisplayArrayInTable(Scope3_SourceData.Scope3_Livestock_Data(), Table_SourceData_Scope3_Animals[[#Headers],[Category]], 0, 2)</f>
        <v>8.08</v>
      </c>
      <c r="I66" s="29" t="str" cm="1">
        <f t="array" ref="I66">Common_InputFunctions.Utility_DisplayArrayInTable(Scope3_SourceData.Scope3_Livestock_Data(), Table_SourceData_Scope3_Animals[[#Headers],[Category]], 0, 2)</f>
        <v>at market</v>
      </c>
    </row>
    <row r="67" spans="1:9" ht="20.100000000000001" customHeight="1" x14ac:dyDescent="0.25">
      <c r="A67"/>
      <c r="D67" s="29" t="str" cm="1">
        <f t="array" ref="D67">Common_InputFunctions.Utility_DisplayArrayInTable(Scope3_SourceData.Scope3_Livestock_Data(), Table_SourceData_Scope3_Animals[[#Headers],[Category]], 0, 2)</f>
        <v>Sheep</v>
      </c>
      <c r="E67" s="29" t="str" cm="1">
        <f t="array" ref="E67">Common_InputFunctions.Utility_DisplayArrayInTable(Scope3_SourceData.Scope3_Livestock_Data(), Table_SourceData_Scope3_Animals[[#Headers],[Category]], 0, 2)</f>
        <v>Sheep, for mutton</v>
      </c>
      <c r="F67" s="29" t="str" cm="1">
        <f t="array" ref="F67">Common_InputFunctions.Utility_DisplayArrayInTable(Scope3_SourceData.Scope3_Livestock_Data(), Table_SourceData_Scope3_Animals[[#Headers],[Category]], 0, 2)</f>
        <v>WA</v>
      </c>
      <c r="G67" s="29" t="str" cm="1">
        <f t="array" ref="G67">Common_InputFunctions.Utility_DisplayArrayInTable(Scope3_SourceData.Scope3_Livestock_Data(), Table_SourceData_Scope3_Animals[[#Headers],[Category]], 0, 2)</f>
        <v>kg liveweight</v>
      </c>
      <c r="H67" s="29" cm="1">
        <f t="array" ref="H67">Common_InputFunctions.Utility_DisplayArrayInTable(Scope3_SourceData.Scope3_Livestock_Data(), Table_SourceData_Scope3_Animals[[#Headers],[Category]], 0, 2)</f>
        <v>5.45</v>
      </c>
      <c r="I67" s="29" t="str" cm="1">
        <f t="array" ref="I67">Common_InputFunctions.Utility_DisplayArrayInTable(Scope3_SourceData.Scope3_Livestock_Data(), Table_SourceData_Scope3_Animals[[#Headers],[Category]], 0, 2)</f>
        <v>at market</v>
      </c>
    </row>
    <row r="68" spans="1:9" ht="20.100000000000001" customHeight="1" x14ac:dyDescent="0.25">
      <c r="A68"/>
      <c r="D68" s="29" t="str" cm="1">
        <f t="array" ref="D68">Common_InputFunctions.Utility_DisplayArrayInTable(Scope3_SourceData.Scope3_Livestock_Data(), Table_SourceData_Scope3_Animals[[#Headers],[Category]], 0, 2)</f>
        <v>Sheep</v>
      </c>
      <c r="E68" s="29" t="str" cm="1">
        <f t="array" ref="E68">Common_InputFunctions.Utility_DisplayArrayInTable(Scope3_SourceData.Scope3_Livestock_Data(), Table_SourceData_Scope3_Animals[[#Headers],[Category]], 0, 2)</f>
        <v>Sheep, for prime lamb</v>
      </c>
      <c r="F68" s="29" t="str" cm="1">
        <f t="array" ref="F68">Common_InputFunctions.Utility_DisplayArrayInTable(Scope3_SourceData.Scope3_Livestock_Data(), Table_SourceData_Scope3_Animals[[#Headers],[Category]], 0, 2)</f>
        <v>Australia</v>
      </c>
      <c r="G68" s="29" t="str" cm="1">
        <f t="array" ref="G68">Common_InputFunctions.Utility_DisplayArrayInTable(Scope3_SourceData.Scope3_Livestock_Data(), Table_SourceData_Scope3_Animals[[#Headers],[Category]], 0, 2)</f>
        <v>kg liveweight</v>
      </c>
      <c r="H68" s="29" cm="1">
        <f t="array" ref="H68">Common_InputFunctions.Utility_DisplayArrayInTable(Scope3_SourceData.Scope3_Livestock_Data(), Table_SourceData_Scope3_Animals[[#Headers],[Category]], 0, 2)</f>
        <v>7.15</v>
      </c>
      <c r="I68" s="29" t="str" cm="1">
        <f t="array" ref="I68">Common_InputFunctions.Utility_DisplayArrayInTable(Scope3_SourceData.Scope3_Livestock_Data(), Table_SourceData_Scope3_Animals[[#Headers],[Category]], 0, 2)</f>
        <v>at market</v>
      </c>
    </row>
    <row r="69" spans="1:9" ht="20.100000000000001" customHeight="1" x14ac:dyDescent="0.25">
      <c r="A69"/>
      <c r="D69" s="29" t="str" cm="1">
        <f t="array" ref="D69">Common_InputFunctions.Utility_DisplayArrayInTable(Scope3_SourceData.Scope3_Livestock_Data(), Table_SourceData_Scope3_Animals[[#Headers],[Category]], 0, 2)</f>
        <v>Sheep</v>
      </c>
      <c r="E69" s="29" t="str" cm="1">
        <f t="array" ref="E69">Common_InputFunctions.Utility_DisplayArrayInTable(Scope3_SourceData.Scope3_Livestock_Data(), Table_SourceData_Scope3_Animals[[#Headers],[Category]], 0, 2)</f>
        <v>Sheep, for prime lamb</v>
      </c>
      <c r="F69" s="29" t="str" cm="1">
        <f t="array" ref="F69">Common_InputFunctions.Utility_DisplayArrayInTable(Scope3_SourceData.Scope3_Livestock_Data(), Table_SourceData_Scope3_Animals[[#Headers],[Category]], 0, 2)</f>
        <v>NSW</v>
      </c>
      <c r="G69" s="29" t="str" cm="1">
        <f t="array" ref="G69">Common_InputFunctions.Utility_DisplayArrayInTable(Scope3_SourceData.Scope3_Livestock_Data(), Table_SourceData_Scope3_Animals[[#Headers],[Category]], 0, 2)</f>
        <v>kg liveweight</v>
      </c>
      <c r="H69" s="29" cm="1">
        <f t="array" ref="H69">Common_InputFunctions.Utility_DisplayArrayInTable(Scope3_SourceData.Scope3_Livestock_Data(), Table_SourceData_Scope3_Animals[[#Headers],[Category]], 0, 2)</f>
        <v>8.2899999999999991</v>
      </c>
      <c r="I69" s="29" t="str" cm="1">
        <f t="array" ref="I69">Common_InputFunctions.Utility_DisplayArrayInTable(Scope3_SourceData.Scope3_Livestock_Data(), Table_SourceData_Scope3_Animals[[#Headers],[Category]], 0, 2)</f>
        <v>at market</v>
      </c>
    </row>
    <row r="70" spans="1:9" ht="20.100000000000001" customHeight="1" x14ac:dyDescent="0.25">
      <c r="A70"/>
      <c r="D70" s="29" t="str" cm="1">
        <f t="array" ref="D70">Common_InputFunctions.Utility_DisplayArrayInTable(Scope3_SourceData.Scope3_Livestock_Data(), Table_SourceData_Scope3_Animals[[#Headers],[Category]], 0, 2)</f>
        <v>Sheep</v>
      </c>
      <c r="E70" s="29" t="str" cm="1">
        <f t="array" ref="E70">Common_InputFunctions.Utility_DisplayArrayInTable(Scope3_SourceData.Scope3_Livestock_Data(), Table_SourceData_Scope3_Animals[[#Headers],[Category]], 0, 2)</f>
        <v>Sheep, for prime lamb</v>
      </c>
      <c r="F70" s="29" t="str" cm="1">
        <f t="array" ref="F70">Common_InputFunctions.Utility_DisplayArrayInTable(Scope3_SourceData.Scope3_Livestock_Data(), Table_SourceData_Scope3_Animals[[#Headers],[Category]], 0, 2)</f>
        <v>QLD</v>
      </c>
      <c r="G70" s="29" t="str" cm="1">
        <f t="array" ref="G70">Common_InputFunctions.Utility_DisplayArrayInTable(Scope3_SourceData.Scope3_Livestock_Data(), Table_SourceData_Scope3_Animals[[#Headers],[Category]], 0, 2)</f>
        <v>kg liveweight</v>
      </c>
      <c r="H70" s="29" cm="1">
        <f t="array" ref="H70">Common_InputFunctions.Utility_DisplayArrayInTable(Scope3_SourceData.Scope3_Livestock_Data(), Table_SourceData_Scope3_Animals[[#Headers],[Category]], 0, 2)</f>
        <v>6.39</v>
      </c>
      <c r="I70" s="29" t="str" cm="1">
        <f t="array" ref="I70">Common_InputFunctions.Utility_DisplayArrayInTable(Scope3_SourceData.Scope3_Livestock_Data(), Table_SourceData_Scope3_Animals[[#Headers],[Category]], 0, 2)</f>
        <v>at market</v>
      </c>
    </row>
    <row r="71" spans="1:9" ht="20.100000000000001" customHeight="1" x14ac:dyDescent="0.25">
      <c r="A71"/>
      <c r="D71" s="29" t="str" cm="1">
        <f t="array" ref="D71">Common_InputFunctions.Utility_DisplayArrayInTable(Scope3_SourceData.Scope3_Livestock_Data(), Table_SourceData_Scope3_Animals[[#Headers],[Category]], 0, 2)</f>
        <v>Sheep</v>
      </c>
      <c r="E71" s="29" t="str" cm="1">
        <f t="array" ref="E71">Common_InputFunctions.Utility_DisplayArrayInTable(Scope3_SourceData.Scope3_Livestock_Data(), Table_SourceData_Scope3_Animals[[#Headers],[Category]], 0, 2)</f>
        <v>Sheep, for prime lamb</v>
      </c>
      <c r="F71" s="29" t="str" cm="1">
        <f t="array" ref="F71">Common_InputFunctions.Utility_DisplayArrayInTable(Scope3_SourceData.Scope3_Livestock_Data(), Table_SourceData_Scope3_Animals[[#Headers],[Category]], 0, 2)</f>
        <v>SA</v>
      </c>
      <c r="G71" s="29" t="str" cm="1">
        <f t="array" ref="G71">Common_InputFunctions.Utility_DisplayArrayInTable(Scope3_SourceData.Scope3_Livestock_Data(), Table_SourceData_Scope3_Animals[[#Headers],[Category]], 0, 2)</f>
        <v>kg liveweight</v>
      </c>
      <c r="H71" s="29" cm="1">
        <f t="array" ref="H71">Common_InputFunctions.Utility_DisplayArrayInTable(Scope3_SourceData.Scope3_Livestock_Data(), Table_SourceData_Scope3_Animals[[#Headers],[Category]], 0, 2)</f>
        <v>6.87</v>
      </c>
      <c r="I71" s="29" t="str" cm="1">
        <f t="array" ref="I71">Common_InputFunctions.Utility_DisplayArrayInTable(Scope3_SourceData.Scope3_Livestock_Data(), Table_SourceData_Scope3_Animals[[#Headers],[Category]], 0, 2)</f>
        <v>at market</v>
      </c>
    </row>
    <row r="72" spans="1:9" ht="20.100000000000001" customHeight="1" x14ac:dyDescent="0.25">
      <c r="A72"/>
      <c r="D72" s="29" t="str" cm="1">
        <f t="array" ref="D72">Common_InputFunctions.Utility_DisplayArrayInTable(Scope3_SourceData.Scope3_Livestock_Data(), Table_SourceData_Scope3_Animals[[#Headers],[Category]], 0, 2)</f>
        <v>Sheep</v>
      </c>
      <c r="E72" s="29" t="str" cm="1">
        <f t="array" ref="E72">Common_InputFunctions.Utility_DisplayArrayInTable(Scope3_SourceData.Scope3_Livestock_Data(), Table_SourceData_Scope3_Animals[[#Headers],[Category]], 0, 2)</f>
        <v>Sheep, for prime lamb</v>
      </c>
      <c r="F72" s="29" t="str" cm="1">
        <f t="array" ref="F72">Common_InputFunctions.Utility_DisplayArrayInTable(Scope3_SourceData.Scope3_Livestock_Data(), Table_SourceData_Scope3_Animals[[#Headers],[Category]], 0, 2)</f>
        <v>TAS</v>
      </c>
      <c r="G72" s="29" t="str" cm="1">
        <f t="array" ref="G72">Common_InputFunctions.Utility_DisplayArrayInTable(Scope3_SourceData.Scope3_Livestock_Data(), Table_SourceData_Scope3_Animals[[#Headers],[Category]], 0, 2)</f>
        <v>kg liveweight</v>
      </c>
      <c r="H72" s="29" cm="1">
        <f t="array" ref="H72">Common_InputFunctions.Utility_DisplayArrayInTable(Scope3_SourceData.Scope3_Livestock_Data(), Table_SourceData_Scope3_Animals[[#Headers],[Category]], 0, 2)</f>
        <v>8.66</v>
      </c>
      <c r="I72" s="29" t="str" cm="1">
        <f t="array" ref="I72">Common_InputFunctions.Utility_DisplayArrayInTable(Scope3_SourceData.Scope3_Livestock_Data(), Table_SourceData_Scope3_Animals[[#Headers],[Category]], 0, 2)</f>
        <v>at market</v>
      </c>
    </row>
    <row r="73" spans="1:9" ht="20.100000000000001" customHeight="1" x14ac:dyDescent="0.25">
      <c r="A73"/>
      <c r="D73" s="29" t="str" cm="1">
        <f t="array" ref="D73">Common_InputFunctions.Utility_DisplayArrayInTable(Scope3_SourceData.Scope3_Livestock_Data(), Table_SourceData_Scope3_Animals[[#Headers],[Category]], 0, 2)</f>
        <v>Sheep</v>
      </c>
      <c r="E73" s="29" t="str" cm="1">
        <f t="array" ref="E73">Common_InputFunctions.Utility_DisplayArrayInTable(Scope3_SourceData.Scope3_Livestock_Data(), Table_SourceData_Scope3_Animals[[#Headers],[Category]], 0, 2)</f>
        <v>Sheep, for prime lamb</v>
      </c>
      <c r="F73" s="29" t="str" cm="1">
        <f t="array" ref="F73">Common_InputFunctions.Utility_DisplayArrayInTable(Scope3_SourceData.Scope3_Livestock_Data(), Table_SourceData_Scope3_Animals[[#Headers],[Category]], 0, 2)</f>
        <v>VIC</v>
      </c>
      <c r="G73" s="29" t="str" cm="1">
        <f t="array" ref="G73">Common_InputFunctions.Utility_DisplayArrayInTable(Scope3_SourceData.Scope3_Livestock_Data(), Table_SourceData_Scope3_Animals[[#Headers],[Category]], 0, 2)</f>
        <v>kg liveweight</v>
      </c>
      <c r="H73" s="29" cm="1">
        <f t="array" ref="H73">Common_InputFunctions.Utility_DisplayArrayInTable(Scope3_SourceData.Scope3_Livestock_Data(), Table_SourceData_Scope3_Animals[[#Headers],[Category]], 0, 2)</f>
        <v>10</v>
      </c>
      <c r="I73" s="29" t="str" cm="1">
        <f t="array" ref="I73">Common_InputFunctions.Utility_DisplayArrayInTable(Scope3_SourceData.Scope3_Livestock_Data(), Table_SourceData_Scope3_Animals[[#Headers],[Category]], 0, 2)</f>
        <v>at market</v>
      </c>
    </row>
    <row r="74" spans="1:9" ht="20.100000000000001" customHeight="1" x14ac:dyDescent="0.25">
      <c r="A74"/>
      <c r="D74" s="29" t="str" cm="1">
        <f t="array" ref="D74">Common_InputFunctions.Utility_DisplayArrayInTable(Scope3_SourceData.Scope3_Livestock_Data(), Table_SourceData_Scope3_Animals[[#Headers],[Category]], 0, 2)</f>
        <v>Sheep</v>
      </c>
      <c r="E74" s="29" t="str" cm="1">
        <f t="array" ref="E74">Common_InputFunctions.Utility_DisplayArrayInTable(Scope3_SourceData.Scope3_Livestock_Data(), Table_SourceData_Scope3_Animals[[#Headers],[Category]], 0, 2)</f>
        <v>Sheep, for prime lamb</v>
      </c>
      <c r="F74" s="29" t="str" cm="1">
        <f t="array" ref="F74">Common_InputFunctions.Utility_DisplayArrayInTable(Scope3_SourceData.Scope3_Livestock_Data(), Table_SourceData_Scope3_Animals[[#Headers],[Category]], 0, 2)</f>
        <v>WA</v>
      </c>
      <c r="G74" s="29" t="str" cm="1">
        <f t="array" ref="G74">Common_InputFunctions.Utility_DisplayArrayInTable(Scope3_SourceData.Scope3_Livestock_Data(), Table_SourceData_Scope3_Animals[[#Headers],[Category]], 0, 2)</f>
        <v>kg liveweight</v>
      </c>
      <c r="H74" s="29" cm="1">
        <f t="array" ref="H74">Common_InputFunctions.Utility_DisplayArrayInTable(Scope3_SourceData.Scope3_Livestock_Data(), Table_SourceData_Scope3_Animals[[#Headers],[Category]], 0, 2)</f>
        <v>5.67</v>
      </c>
      <c r="I74" s="29" t="str" cm="1">
        <f t="array" ref="I74">Common_InputFunctions.Utility_DisplayArrayInTable(Scope3_SourceData.Scope3_Livestock_Data(), Table_SourceData_Scope3_Animals[[#Headers],[Category]], 0, 2)</f>
        <v>at market</v>
      </c>
    </row>
    <row r="75" spans="1:9" ht="20.100000000000001" customHeight="1" x14ac:dyDescent="0.25">
      <c r="A75"/>
    </row>
    <row r="76" spans="1:9" ht="20.100000000000001" customHeight="1" x14ac:dyDescent="0.25">
      <c r="A76"/>
      <c r="D76" s="2" t="s">
        <v>1015</v>
      </c>
    </row>
    <row r="77" spans="1:9" ht="20.100000000000001" customHeight="1" x14ac:dyDescent="0.25">
      <c r="A77"/>
      <c r="D77" s="29" t="s">
        <v>1262</v>
      </c>
      <c r="E77" s="29" t="s">
        <v>138</v>
      </c>
      <c r="F77" s="29" t="s">
        <v>1263</v>
      </c>
      <c r="G77" s="29" t="s">
        <v>1264</v>
      </c>
      <c r="H77" s="29" t="s">
        <v>1265</v>
      </c>
      <c r="I77" s="29" t="s">
        <v>1266</v>
      </c>
    </row>
    <row r="78" spans="1:9" ht="20.100000000000001" customHeight="1" x14ac:dyDescent="0.25">
      <c r="A78"/>
      <c r="D78" s="29" t="str" cm="1">
        <f t="array" ref="D78">Common_InputFunctions.Utility_DisplayArrayInTable(Scope3_SourceData.Scope3_Chemicals_Data(), Table_SourceData_Scope3_ChemicalsCleaning[[#Headers],[Category]], 0, 2)</f>
        <v>Cleaning chemicals</v>
      </c>
      <c r="E78" s="29" t="str" cm="1">
        <f t="array" ref="E78">Common_InputFunctions.Utility_DisplayArrayInTable(Scope3_SourceData.Scope3_Chemicals_Data(), Table_SourceData_Scope3_ChemicalsCleaning[[#Headers],[Category]], 0, 2)</f>
        <v>Alkaline cleaner</v>
      </c>
      <c r="F78" s="29" t="str" cm="1">
        <f t="array" ref="F78">Common_InputFunctions.Utility_DisplayArrayInTable(Scope3_SourceData.Scope3_Chemicals_Data(), Table_SourceData_Scope3_ChemicalsCleaning[[#Headers],[Category]], 0, 2)</f>
        <v>Global</v>
      </c>
      <c r="G78" s="29" t="str" cm="1">
        <f t="array" ref="G78">Common_InputFunctions.Utility_DisplayArrayInTable(Scope3_SourceData.Scope3_Chemicals_Data(), Table_SourceData_Scope3_ChemicalsCleaning[[#Headers],[Category]], 0, 2)</f>
        <v>kg</v>
      </c>
      <c r="H78" s="29" cm="1">
        <f t="array" ref="H78">Common_InputFunctions.Utility_DisplayArrayInTable(Scope3_SourceData.Scope3_Chemicals_Data(), Table_SourceData_Scope3_ChemicalsCleaning[[#Headers],[Category]], 0, 2)</f>
        <v>0.72199999999999998</v>
      </c>
      <c r="I78" s="29" t="str" cm="1">
        <f t="array" ref="I78">Common_InputFunctions.Utility_DisplayArrayInTable(Scope3_SourceData.Scope3_Chemicals_Data(), Table_SourceData_Scope3_ChemicalsCleaning[[#Headers],[Category]], 0, 2)</f>
        <v>at manufacturer</v>
      </c>
    </row>
    <row r="79" spans="1:9" ht="20.100000000000001" customHeight="1" x14ac:dyDescent="0.25">
      <c r="A79"/>
      <c r="D79" s="29" t="str" cm="1">
        <f t="array" ref="D79">Common_InputFunctions.Utility_DisplayArrayInTable(Scope3_SourceData.Scope3_Chemicals_Data(), Table_SourceData_Scope3_ChemicalsCleaning[[#Headers],[Category]], 0, 2)</f>
        <v>Cleaning chemicals</v>
      </c>
      <c r="E79" s="29" t="str" cm="1">
        <f t="array" ref="E79">Common_InputFunctions.Utility_DisplayArrayInTable(Scope3_SourceData.Scope3_Chemicals_Data(), Table_SourceData_Scope3_ChemicalsCleaning[[#Headers],[Category]], 0, 2)</f>
        <v>Bleach</v>
      </c>
      <c r="F79" s="29" t="str" cm="1">
        <f t="array" ref="F79">Common_InputFunctions.Utility_DisplayArrayInTable(Scope3_SourceData.Scope3_Chemicals_Data(), Table_SourceData_Scope3_ChemicalsCleaning[[#Headers],[Category]], 0, 2)</f>
        <v>Global</v>
      </c>
      <c r="G79" s="29" t="str" cm="1">
        <f t="array" ref="G79">Common_InputFunctions.Utility_DisplayArrayInTable(Scope3_SourceData.Scope3_Chemicals_Data(), Table_SourceData_Scope3_ChemicalsCleaning[[#Headers],[Category]], 0, 2)</f>
        <v>kg</v>
      </c>
      <c r="H79" s="29" cm="1">
        <f t="array" ref="H79">Common_InputFunctions.Utility_DisplayArrayInTable(Scope3_SourceData.Scope3_Chemicals_Data(), Table_SourceData_Scope3_ChemicalsCleaning[[#Headers],[Category]], 0, 2)</f>
        <v>0.80400000000000005</v>
      </c>
      <c r="I79" s="29" t="str" cm="1">
        <f t="array" ref="I79">Common_InputFunctions.Utility_DisplayArrayInTable(Scope3_SourceData.Scope3_Chemicals_Data(), Table_SourceData_Scope3_ChemicalsCleaning[[#Headers],[Category]], 0, 2)</f>
        <v>at manufacturer</v>
      </c>
    </row>
    <row r="80" spans="1:9" ht="20.100000000000001" customHeight="1" x14ac:dyDescent="0.25">
      <c r="A80"/>
      <c r="D80" s="29" t="str" cm="1">
        <f t="array" ref="D80">Common_InputFunctions.Utility_DisplayArrayInTable(Scope3_SourceData.Scope3_Chemicals_Data(), Table_SourceData_Scope3_ChemicalsCleaning[[#Headers],[Category]], 0, 2)</f>
        <v>Cleaning chemicals</v>
      </c>
      <c r="E80" s="29" t="str" cm="1">
        <f t="array" ref="E80">Common_InputFunctions.Utility_DisplayArrayInTable(Scope3_SourceData.Scope3_Chemicals_Data(), Table_SourceData_Scope3_ChemicalsCleaning[[#Headers],[Category]], 0, 2)</f>
        <v>Phosphoric acid</v>
      </c>
      <c r="F80" s="29" t="str" cm="1">
        <f t="array" ref="F80">Common_InputFunctions.Utility_DisplayArrayInTable(Scope3_SourceData.Scope3_Chemicals_Data(), Table_SourceData_Scope3_ChemicalsCleaning[[#Headers],[Category]], 0, 2)</f>
        <v>Global</v>
      </c>
      <c r="G80" s="29" t="str" cm="1">
        <f t="array" ref="G80">Common_InputFunctions.Utility_DisplayArrayInTable(Scope3_SourceData.Scope3_Chemicals_Data(), Table_SourceData_Scope3_ChemicalsCleaning[[#Headers],[Category]], 0, 2)</f>
        <v>kg</v>
      </c>
      <c r="H80" s="29" cm="1">
        <f t="array" ref="H80">Common_InputFunctions.Utility_DisplayArrayInTable(Scope3_SourceData.Scope3_Chemicals_Data(), Table_SourceData_Scope3_ChemicalsCleaning[[#Headers],[Category]], 0, 2)</f>
        <v>0.90700000000000003</v>
      </c>
      <c r="I80" s="29" t="str" cm="1">
        <f t="array" ref="I80">Common_InputFunctions.Utility_DisplayArrayInTable(Scope3_SourceData.Scope3_Chemicals_Data(), Table_SourceData_Scope3_ChemicalsCleaning[[#Headers],[Category]], 0, 2)</f>
        <v>at manufacturer</v>
      </c>
    </row>
    <row r="81" spans="1:16" ht="20.100000000000001" customHeight="1" x14ac:dyDescent="0.25">
      <c r="A81"/>
    </row>
    <row r="82" spans="1:16" ht="20.100000000000001" customHeight="1" x14ac:dyDescent="0.25">
      <c r="A82"/>
      <c r="D82" s="29" t="s">
        <v>1262</v>
      </c>
      <c r="E82" s="29" t="s">
        <v>138</v>
      </c>
      <c r="F82" s="29" t="s">
        <v>1263</v>
      </c>
      <c r="G82" s="29" t="s">
        <v>1264</v>
      </c>
      <c r="H82" s="29" t="s">
        <v>1265</v>
      </c>
      <c r="I82" s="29" t="s">
        <v>1266</v>
      </c>
    </row>
    <row r="83" spans="1:16" ht="20.100000000000001" customHeight="1" x14ac:dyDescent="0.25">
      <c r="A83"/>
      <c r="D83" s="29" t="str" cm="1">
        <f t="array" ref="D83">Common_InputFunctions.Utility_DisplayArrayInTable(Scope3_SourceData.Scope3_Chemicals_Data(), Table_SourceData_Scope3_ChemicalsPharmacy[[#Headers],[Category]], -3, 2)</f>
        <v>Pharmacy chemicals</v>
      </c>
      <c r="E83" s="29" t="str" cm="1">
        <f t="array" ref="E83">Common_InputFunctions.Utility_DisplayArrayInTable(Scope3_SourceData.Scope3_Chemicals_Data(), Table_SourceData_Scope3_ChemicalsPharmacy[[#Headers],[Category]], -3, 2)</f>
        <v>Parasite control for cattle (external), dipping</v>
      </c>
      <c r="F83" s="29" t="str" cm="1">
        <f t="array" ref="F83">Common_InputFunctions.Utility_DisplayArrayInTable(Scope3_SourceData.Scope3_Chemicals_Data(), Table_SourceData_Scope3_ChemicalsPharmacy[[#Headers],[Category]], -3, 2)</f>
        <v>Global</v>
      </c>
      <c r="G83" s="29" t="str" cm="1">
        <f t="array" ref="G83">Common_InputFunctions.Utility_DisplayArrayInTable(Scope3_SourceData.Scope3_Chemicals_Data(), Table_SourceData_Scope3_ChemicalsPharmacy[[#Headers],[Category]], -3, 2)</f>
        <v>p (head)</v>
      </c>
      <c r="H83" s="29" cm="1">
        <f t="array" ref="H83">Common_InputFunctions.Utility_DisplayArrayInTable(Scope3_SourceData.Scope3_Chemicals_Data(), Table_SourceData_Scope3_ChemicalsPharmacy[[#Headers],[Category]], -3, 2)</f>
        <v>5.4699999999999999E-2</v>
      </c>
      <c r="I83" s="29" t="str" cm="1">
        <f t="array" ref="I83">Common_InputFunctions.Utility_DisplayArrayInTable(Scope3_SourceData.Scope3_Chemicals_Data(), Table_SourceData_Scope3_ChemicalsPharmacy[[#Headers],[Category]], -3, 2)</f>
        <v>at manufacturer</v>
      </c>
    </row>
    <row r="84" spans="1:16" ht="20.100000000000001" customHeight="1" x14ac:dyDescent="0.25">
      <c r="A84"/>
      <c r="D84" s="29" t="str" cm="1">
        <f t="array" ref="D84">Common_InputFunctions.Utility_DisplayArrayInTable(Scope3_SourceData.Scope3_Chemicals_Data(), Table_SourceData_Scope3_ChemicalsPharmacy[[#Headers],[Category]], -3, 2)</f>
        <v>Pharmacy chemicals</v>
      </c>
      <c r="E84" s="29" t="str" cm="1">
        <f t="array" ref="E84">Common_InputFunctions.Utility_DisplayArrayInTable(Scope3_SourceData.Scope3_Chemicals_Data(), Table_SourceData_Scope3_ChemicalsPharmacy[[#Headers],[Category]], -3, 2)</f>
        <v>Parasite control for cattle (internal)</v>
      </c>
      <c r="F84" s="29" t="str" cm="1">
        <f t="array" ref="F84">Common_InputFunctions.Utility_DisplayArrayInTable(Scope3_SourceData.Scope3_Chemicals_Data(), Table_SourceData_Scope3_ChemicalsPharmacy[[#Headers],[Category]], -3, 2)</f>
        <v>Global</v>
      </c>
      <c r="G84" s="29" t="str" cm="1">
        <f t="array" ref="G84">Common_InputFunctions.Utility_DisplayArrayInTable(Scope3_SourceData.Scope3_Chemicals_Data(), Table_SourceData_Scope3_ChemicalsPharmacy[[#Headers],[Category]], -3, 2)</f>
        <v>p (head)</v>
      </c>
      <c r="H84" s="29" cm="1">
        <f t="array" ref="H84">Common_InputFunctions.Utility_DisplayArrayInTable(Scope3_SourceData.Scope3_Chemicals_Data(), Table_SourceData_Scope3_ChemicalsPharmacy[[#Headers],[Category]], -3, 2)</f>
        <v>1.4200000000000001E-2</v>
      </c>
      <c r="I84" s="29" t="str" cm="1">
        <f t="array" ref="I84">Common_InputFunctions.Utility_DisplayArrayInTable(Scope3_SourceData.Scope3_Chemicals_Data(), Table_SourceData_Scope3_ChemicalsPharmacy[[#Headers],[Category]], -3, 2)</f>
        <v>at manufacturer</v>
      </c>
    </row>
    <row r="85" spans="1:16" ht="20.100000000000001" customHeight="1" x14ac:dyDescent="0.25">
      <c r="A85"/>
      <c r="D85" s="29" t="str" cm="1">
        <f t="array" ref="D85">Common_InputFunctions.Utility_DisplayArrayInTable(Scope3_SourceData.Scope3_Chemicals_Data(), Table_SourceData_Scope3_ChemicalsPharmacy[[#Headers],[Category]], -3, 2)</f>
        <v>Pharmacy chemicals</v>
      </c>
      <c r="E85" s="29" t="str" cm="1">
        <f t="array" ref="E85">Common_InputFunctions.Utility_DisplayArrayInTable(Scope3_SourceData.Scope3_Chemicals_Data(), Table_SourceData_Scope3_ChemicalsPharmacy[[#Headers],[Category]], -3, 2)</f>
        <v>Parasite control for sheep (external)</v>
      </c>
      <c r="F85" s="29" t="str" cm="1">
        <f t="array" ref="F85">Common_InputFunctions.Utility_DisplayArrayInTable(Scope3_SourceData.Scope3_Chemicals_Data(), Table_SourceData_Scope3_ChemicalsPharmacy[[#Headers],[Category]], -3, 2)</f>
        <v>Global</v>
      </c>
      <c r="G85" s="29" t="str" cm="1">
        <f t="array" ref="G85">Common_InputFunctions.Utility_DisplayArrayInTable(Scope3_SourceData.Scope3_Chemicals_Data(), Table_SourceData_Scope3_ChemicalsPharmacy[[#Headers],[Category]], -3, 2)</f>
        <v>p (head)</v>
      </c>
      <c r="H85" s="29" cm="1">
        <f t="array" ref="H85">Common_InputFunctions.Utility_DisplayArrayInTable(Scope3_SourceData.Scope3_Chemicals_Data(), Table_SourceData_Scope3_ChemicalsPharmacy[[#Headers],[Category]], -3, 2)</f>
        <v>1.43E-2</v>
      </c>
      <c r="I85" s="29" t="str" cm="1">
        <f t="array" ref="I85">Common_InputFunctions.Utility_DisplayArrayInTable(Scope3_SourceData.Scope3_Chemicals_Data(), Table_SourceData_Scope3_ChemicalsPharmacy[[#Headers],[Category]], -3, 2)</f>
        <v>at manufacturer</v>
      </c>
    </row>
    <row r="86" spans="1:16" ht="20.100000000000001" customHeight="1" x14ac:dyDescent="0.25">
      <c r="A86"/>
      <c r="D86" s="29" t="str" cm="1">
        <f t="array" ref="D86">Common_InputFunctions.Utility_DisplayArrayInTable(Scope3_SourceData.Scope3_Chemicals_Data(), Table_SourceData_Scope3_ChemicalsPharmacy[[#Headers],[Category]], -3, 2)</f>
        <v>Pharmacy chemicals</v>
      </c>
      <c r="E86" s="29" t="str" cm="1">
        <f t="array" ref="E86">Common_InputFunctions.Utility_DisplayArrayInTable(Scope3_SourceData.Scope3_Chemicals_Data(), Table_SourceData_Scope3_ChemicalsPharmacy[[#Headers],[Category]], -3, 2)</f>
        <v>Parasite control for sheep (internal)</v>
      </c>
      <c r="F86" s="29" t="str" cm="1">
        <f t="array" ref="F86">Common_InputFunctions.Utility_DisplayArrayInTable(Scope3_SourceData.Scope3_Chemicals_Data(), Table_SourceData_Scope3_ChemicalsPharmacy[[#Headers],[Category]], -3, 2)</f>
        <v>Global</v>
      </c>
      <c r="G86" s="29" t="str" cm="1">
        <f t="array" ref="G86">Common_InputFunctions.Utility_DisplayArrayInTable(Scope3_SourceData.Scope3_Chemicals_Data(), Table_SourceData_Scope3_ChemicalsPharmacy[[#Headers],[Category]], -3, 2)</f>
        <v>p (head)</v>
      </c>
      <c r="H86" s="29" cm="1">
        <f t="array" ref="H86">Common_InputFunctions.Utility_DisplayArrayInTable(Scope3_SourceData.Scope3_Chemicals_Data(), Table_SourceData_Scope3_ChemicalsPharmacy[[#Headers],[Category]], -3, 2)</f>
        <v>4.2599999999999999E-3</v>
      </c>
      <c r="I86" s="29" t="str" cm="1">
        <f t="array" ref="I86">Common_InputFunctions.Utility_DisplayArrayInTable(Scope3_SourceData.Scope3_Chemicals_Data(), Table_SourceData_Scope3_ChemicalsPharmacy[[#Headers],[Category]], -3, 2)</f>
        <v>at manufacturer</v>
      </c>
    </row>
    <row r="87" spans="1:16" ht="20.100000000000001" customHeight="1" x14ac:dyDescent="0.25">
      <c r="A87"/>
    </row>
    <row r="88" spans="1:16" ht="20.100000000000001" customHeight="1" x14ac:dyDescent="0.25">
      <c r="A88"/>
      <c r="D88" s="2" t="s">
        <v>1062</v>
      </c>
    </row>
    <row r="89" spans="1:16" ht="20.100000000000001" customHeight="1" x14ac:dyDescent="0.25">
      <c r="A89"/>
      <c r="D89" s="29" t="s">
        <v>1262</v>
      </c>
      <c r="E89" s="29" t="s">
        <v>138</v>
      </c>
      <c r="F89" s="29" t="s">
        <v>1263</v>
      </c>
      <c r="G89" s="29" t="s">
        <v>1264</v>
      </c>
      <c r="H89" s="29" t="s">
        <v>1265</v>
      </c>
      <c r="I89" s="29" t="s">
        <v>1266</v>
      </c>
      <c r="K89" s="29" t="s">
        <v>138</v>
      </c>
      <c r="L89" s="29" t="s">
        <v>1267</v>
      </c>
      <c r="M89" s="1" t="str">
        <f>"Table_ProductRegions_" &amp; SUBSTITUTE(SUBSTITUTE(SUBSTITUTE(SUBSTITUTE(K90, " ", ""), ",", ""), "(", ""), ")", "")</f>
        <v>Table_ProductRegions_Sardineswhole</v>
      </c>
    </row>
    <row r="90" spans="1:16" ht="20.100000000000001" customHeight="1" x14ac:dyDescent="0.25">
      <c r="A90"/>
      <c r="D90" s="29" t="str" cm="1">
        <f t="array" ref="D90">Common_InputFunctions.Utility_DisplayArrayInTable(Scope3_SourceData.Scope3_Feed_Data(), Table_SourceData_Scope3_Feed[[#Headers],[Category]], 0, 2)</f>
        <v>Aquaculture feed</v>
      </c>
      <c r="E90" s="29" t="str" cm="1">
        <f t="array" ref="E90">Common_InputFunctions.Utility_DisplayArrayInTable(Scope3_SourceData.Scope3_Feed_Data(), Table_SourceData_Scope3_Feed[[#Headers],[Category]], 0, 2)</f>
        <v>Sardines (whole)</v>
      </c>
      <c r="F90" s="29" t="str" cm="1">
        <f t="array" ref="F90">Common_InputFunctions.Utility_DisplayArrayInTable(Scope3_SourceData.Scope3_Feed_Data(), Table_SourceData_Scope3_Feed[[#Headers],[Category]], 0, 2)</f>
        <v>SA</v>
      </c>
      <c r="G90" s="29" t="str" cm="1">
        <f t="array" ref="G90">Common_InputFunctions.Utility_DisplayArrayInTable(Scope3_SourceData.Scope3_Feed_Data(), Table_SourceData_Scope3_Feed[[#Headers],[Category]], 0, 2)</f>
        <v>kg</v>
      </c>
      <c r="H90" s="29" cm="1">
        <f t="array" ref="H90">Common_InputFunctions.Utility_DisplayArrayInTable(Scope3_SourceData.Scope3_Feed_Data(), Table_SourceData_Scope3_Feed[[#Headers],[Category]], 0, 2)</f>
        <v>0.376</v>
      </c>
      <c r="I90" s="29" t="str" cm="1">
        <f t="array" ref="I90">Common_InputFunctions.Utility_DisplayArrayInTable(Scope3_SourceData.Scope3_Feed_Data(), Table_SourceData_Scope3_Feed[[#Headers],[Category]], 0, 2)</f>
        <v>at market</v>
      </c>
      <c r="K90" s="29" t="str">
        <f>Table_SourceData_Scope3_Feed[[#This Row],[Product]]</f>
        <v>Sardines (whole)</v>
      </c>
      <c r="L90" s="29" t="str">
        <f>Table_SourceData_Scope3_Feed[[#This Row],[Region of origin]]</f>
        <v>SA</v>
      </c>
      <c r="N90" s="29" t="s">
        <v>138</v>
      </c>
      <c r="O90" s="29" t="s">
        <v>1267</v>
      </c>
      <c r="P90" s="1" t="str">
        <f>"Table_ProductRegions_" &amp; SUBSTITUTE(SUBSTITUTE(SUBSTITUTE(SUBSTITUTE(N91, " ", ""), ",", ""), "(", ""), ")", "")</f>
        <v>Table_ProductRegions_Barleygrain</v>
      </c>
    </row>
    <row r="91" spans="1:16" ht="20.100000000000001" customHeight="1" x14ac:dyDescent="0.25">
      <c r="A91"/>
      <c r="D91" s="29" t="str" cm="1">
        <f t="array" ref="D91">Common_InputFunctions.Utility_DisplayArrayInTable(Scope3_SourceData.Scope3_Feed_Data(), Table_SourceData_Scope3_Feed[[#Headers],[Category]], 0, 2)</f>
        <v>Grain</v>
      </c>
      <c r="E91" s="29" t="str" cm="1">
        <f t="array" ref="E91">Common_InputFunctions.Utility_DisplayArrayInTable(Scope3_SourceData.Scope3_Feed_Data(), Table_SourceData_Scope3_Feed[[#Headers],[Category]], 0, 2)</f>
        <v>Barley grain</v>
      </c>
      <c r="F91" s="29" t="str" cm="1">
        <f t="array" ref="F91">Common_InputFunctions.Utility_DisplayArrayInTable(Scope3_SourceData.Scope3_Feed_Data(), Table_SourceData_Scope3_Feed[[#Headers],[Category]], 0, 2)</f>
        <v>Australia</v>
      </c>
      <c r="G91" s="29" t="str" cm="1">
        <f t="array" ref="G91">Common_InputFunctions.Utility_DisplayArrayInTable(Scope3_SourceData.Scope3_Feed_Data(), Table_SourceData_Scope3_Feed[[#Headers],[Category]], 0, 2)</f>
        <v>kg</v>
      </c>
      <c r="H91" s="29" cm="1">
        <f t="array" ref="H91">Common_InputFunctions.Utility_DisplayArrayInTable(Scope3_SourceData.Scope3_Feed_Data(), Table_SourceData_Scope3_Feed[[#Headers],[Category]], 0, 2)</f>
        <v>0.23899999999999999</v>
      </c>
      <c r="I91" s="29" t="str" cm="1">
        <f t="array" ref="I91">Common_InputFunctions.Utility_DisplayArrayInTable(Scope3_SourceData.Scope3_Feed_Data(), Table_SourceData_Scope3_Feed[[#Headers],[Category]], 0, 2)</f>
        <v>at market</v>
      </c>
      <c r="N91" s="29" t="str">
        <f>Table_SourceData_Scope3_Feed[[#This Row],[Product]]</f>
        <v>Barley grain</v>
      </c>
      <c r="O91" s="29" t="str">
        <f>Table_SourceData_Scope3_Feed[[#This Row],[Region of origin]]</f>
        <v>Australia</v>
      </c>
    </row>
    <row r="92" spans="1:16" ht="20.100000000000001" customHeight="1" x14ac:dyDescent="0.25">
      <c r="A92"/>
      <c r="D92" s="29" t="str" cm="1">
        <f t="array" ref="D92">Common_InputFunctions.Utility_DisplayArrayInTable(Scope3_SourceData.Scope3_Feed_Data(), Table_SourceData_Scope3_Feed[[#Headers],[Category]], 0, 2)</f>
        <v>Grain</v>
      </c>
      <c r="E92" s="29" t="str" cm="1">
        <f t="array" ref="E92">Common_InputFunctions.Utility_DisplayArrayInTable(Scope3_SourceData.Scope3_Feed_Data(), Table_SourceData_Scope3_Feed[[#Headers],[Category]], 0, 2)</f>
        <v>Barley grain</v>
      </c>
      <c r="F92" s="29" t="str" cm="1">
        <f t="array" ref="F92">Common_InputFunctions.Utility_DisplayArrayInTable(Scope3_SourceData.Scope3_Feed_Data(), Table_SourceData_Scope3_Feed[[#Headers],[Category]], 0, 2)</f>
        <v>NSW</v>
      </c>
      <c r="G92" s="29" t="str" cm="1">
        <f t="array" ref="G92">Common_InputFunctions.Utility_DisplayArrayInTable(Scope3_SourceData.Scope3_Feed_Data(), Table_SourceData_Scope3_Feed[[#Headers],[Category]], 0, 2)</f>
        <v>kg</v>
      </c>
      <c r="H92" s="29" cm="1">
        <f t="array" ref="H92">Common_InputFunctions.Utility_DisplayArrayInTable(Scope3_SourceData.Scope3_Feed_Data(), Table_SourceData_Scope3_Feed[[#Headers],[Category]], 0, 2)</f>
        <v>0.25600000000000001</v>
      </c>
      <c r="I92" s="29" t="str" cm="1">
        <f t="array" ref="I92">Common_InputFunctions.Utility_DisplayArrayInTable(Scope3_SourceData.Scope3_Feed_Data(), Table_SourceData_Scope3_Feed[[#Headers],[Category]], 0, 2)</f>
        <v>at market</v>
      </c>
      <c r="N92" s="29" t="str">
        <f>Table_SourceData_Scope3_Feed[[#This Row],[Product]]</f>
        <v>Barley grain</v>
      </c>
      <c r="O92" s="29" t="str">
        <f>Table_SourceData_Scope3_Feed[[#This Row],[Region of origin]]</f>
        <v>NSW</v>
      </c>
    </row>
    <row r="93" spans="1:16" ht="20.100000000000001" customHeight="1" x14ac:dyDescent="0.25">
      <c r="A93"/>
      <c r="D93" s="29" t="str" cm="1">
        <f t="array" ref="D93">Common_InputFunctions.Utility_DisplayArrayInTable(Scope3_SourceData.Scope3_Feed_Data(), Table_SourceData_Scope3_Feed[[#Headers],[Category]], 0, 2)</f>
        <v>Grain</v>
      </c>
      <c r="E93" s="29" t="str" cm="1">
        <f t="array" ref="E93">Common_InputFunctions.Utility_DisplayArrayInTable(Scope3_SourceData.Scope3_Feed_Data(), Table_SourceData_Scope3_Feed[[#Headers],[Category]], 0, 2)</f>
        <v>Barley grain</v>
      </c>
      <c r="F93" s="29" t="str" cm="1">
        <f t="array" ref="F93">Common_InputFunctions.Utility_DisplayArrayInTable(Scope3_SourceData.Scope3_Feed_Data(), Table_SourceData_Scope3_Feed[[#Headers],[Category]], 0, 2)</f>
        <v>NT</v>
      </c>
      <c r="G93" s="29" t="str" cm="1">
        <f t="array" ref="G93">Common_InputFunctions.Utility_DisplayArrayInTable(Scope3_SourceData.Scope3_Feed_Data(), Table_SourceData_Scope3_Feed[[#Headers],[Category]], 0, 2)</f>
        <v>kg</v>
      </c>
      <c r="H93" s="29" cm="1">
        <f t="array" ref="H93">Common_InputFunctions.Utility_DisplayArrayInTable(Scope3_SourceData.Scope3_Feed_Data(), Table_SourceData_Scope3_Feed[[#Headers],[Category]], 0, 2)</f>
        <v>0.33200000000000002</v>
      </c>
      <c r="I93" s="29" t="str" cm="1">
        <f t="array" ref="I93">Common_InputFunctions.Utility_DisplayArrayInTable(Scope3_SourceData.Scope3_Feed_Data(), Table_SourceData_Scope3_Feed[[#Headers],[Category]], 0, 2)</f>
        <v>at market</v>
      </c>
      <c r="N93" s="29" t="str">
        <f>Table_SourceData_Scope3_Feed[[#This Row],[Product]]</f>
        <v>Barley grain</v>
      </c>
      <c r="O93" s="29" t="str">
        <f>Table_SourceData_Scope3_Feed[[#This Row],[Region of origin]]</f>
        <v>NT</v>
      </c>
    </row>
    <row r="94" spans="1:16" ht="20.100000000000001" customHeight="1" x14ac:dyDescent="0.25">
      <c r="A94"/>
      <c r="D94" s="29" t="str" cm="1">
        <f t="array" ref="D94">Common_InputFunctions.Utility_DisplayArrayInTable(Scope3_SourceData.Scope3_Feed_Data(), Table_SourceData_Scope3_Feed[[#Headers],[Category]], 0, 2)</f>
        <v>Grain</v>
      </c>
      <c r="E94" s="29" t="str" cm="1">
        <f t="array" ref="E94">Common_InputFunctions.Utility_DisplayArrayInTable(Scope3_SourceData.Scope3_Feed_Data(), Table_SourceData_Scope3_Feed[[#Headers],[Category]], 0, 2)</f>
        <v>Barley grain</v>
      </c>
      <c r="F94" s="29" t="str" cm="1">
        <f t="array" ref="F94">Common_InputFunctions.Utility_DisplayArrayInTable(Scope3_SourceData.Scope3_Feed_Data(), Table_SourceData_Scope3_Feed[[#Headers],[Category]], 0, 2)</f>
        <v>QLD</v>
      </c>
      <c r="G94" s="29" t="str" cm="1">
        <f t="array" ref="G94">Common_InputFunctions.Utility_DisplayArrayInTable(Scope3_SourceData.Scope3_Feed_Data(), Table_SourceData_Scope3_Feed[[#Headers],[Category]], 0, 2)</f>
        <v>kg</v>
      </c>
      <c r="H94" s="29" cm="1">
        <f t="array" ref="H94">Common_InputFunctions.Utility_DisplayArrayInTable(Scope3_SourceData.Scope3_Feed_Data(), Table_SourceData_Scope3_Feed[[#Headers],[Category]], 0, 2)</f>
        <v>0.26900000000000002</v>
      </c>
      <c r="I94" s="29" t="str" cm="1">
        <f t="array" ref="I94">Common_InputFunctions.Utility_DisplayArrayInTable(Scope3_SourceData.Scope3_Feed_Data(), Table_SourceData_Scope3_Feed[[#Headers],[Category]], 0, 2)</f>
        <v>at market</v>
      </c>
      <c r="N94" s="29" t="str">
        <f>Table_SourceData_Scope3_Feed[[#This Row],[Product]]</f>
        <v>Barley grain</v>
      </c>
      <c r="O94" s="29" t="str">
        <f>Table_SourceData_Scope3_Feed[[#This Row],[Region of origin]]</f>
        <v>QLD</v>
      </c>
    </row>
    <row r="95" spans="1:16" ht="20.100000000000001" customHeight="1" x14ac:dyDescent="0.25">
      <c r="A95"/>
      <c r="D95" s="29" t="str" cm="1">
        <f t="array" ref="D95">Common_InputFunctions.Utility_DisplayArrayInTable(Scope3_SourceData.Scope3_Feed_Data(), Table_SourceData_Scope3_Feed[[#Headers],[Category]], 0, 2)</f>
        <v>Grain</v>
      </c>
      <c r="E95" s="29" t="str" cm="1">
        <f t="array" ref="E95">Common_InputFunctions.Utility_DisplayArrayInTable(Scope3_SourceData.Scope3_Feed_Data(), Table_SourceData_Scope3_Feed[[#Headers],[Category]], 0, 2)</f>
        <v>Barley grain</v>
      </c>
      <c r="F95" s="29" t="str" cm="1">
        <f t="array" ref="F95">Common_InputFunctions.Utility_DisplayArrayInTable(Scope3_SourceData.Scope3_Feed_Data(), Table_SourceData_Scope3_Feed[[#Headers],[Category]], 0, 2)</f>
        <v>SA</v>
      </c>
      <c r="G95" s="29" t="str" cm="1">
        <f t="array" ref="G95">Common_InputFunctions.Utility_DisplayArrayInTable(Scope3_SourceData.Scope3_Feed_Data(), Table_SourceData_Scope3_Feed[[#Headers],[Category]], 0, 2)</f>
        <v>kg</v>
      </c>
      <c r="H95" s="29" cm="1">
        <f t="array" ref="H95">Common_InputFunctions.Utility_DisplayArrayInTable(Scope3_SourceData.Scope3_Feed_Data(), Table_SourceData_Scope3_Feed[[#Headers],[Category]], 0, 2)</f>
        <v>0.223</v>
      </c>
      <c r="I95" s="29" t="str" cm="1">
        <f t="array" ref="I95">Common_InputFunctions.Utility_DisplayArrayInTable(Scope3_SourceData.Scope3_Feed_Data(), Table_SourceData_Scope3_Feed[[#Headers],[Category]], 0, 2)</f>
        <v>at market</v>
      </c>
      <c r="N95" s="29" t="str">
        <f>Table_SourceData_Scope3_Feed[[#This Row],[Product]]</f>
        <v>Barley grain</v>
      </c>
      <c r="O95" s="29" t="str">
        <f>Table_SourceData_Scope3_Feed[[#This Row],[Region of origin]]</f>
        <v>SA</v>
      </c>
    </row>
    <row r="96" spans="1:16" ht="20.100000000000001" customHeight="1" x14ac:dyDescent="0.25">
      <c r="A96"/>
      <c r="D96" s="29" t="str" cm="1">
        <f t="array" ref="D96">Common_InputFunctions.Utility_DisplayArrayInTable(Scope3_SourceData.Scope3_Feed_Data(), Table_SourceData_Scope3_Feed[[#Headers],[Category]], 0, 2)</f>
        <v>Grain</v>
      </c>
      <c r="E96" s="29" t="str" cm="1">
        <f t="array" ref="E96">Common_InputFunctions.Utility_DisplayArrayInTable(Scope3_SourceData.Scope3_Feed_Data(), Table_SourceData_Scope3_Feed[[#Headers],[Category]], 0, 2)</f>
        <v>Barley grain</v>
      </c>
      <c r="F96" s="29" t="str" cm="1">
        <f t="array" ref="F96">Common_InputFunctions.Utility_DisplayArrayInTable(Scope3_SourceData.Scope3_Feed_Data(), Table_SourceData_Scope3_Feed[[#Headers],[Category]], 0, 2)</f>
        <v>TAS</v>
      </c>
      <c r="G96" s="29" t="str" cm="1">
        <f t="array" ref="G96">Common_InputFunctions.Utility_DisplayArrayInTable(Scope3_SourceData.Scope3_Feed_Data(), Table_SourceData_Scope3_Feed[[#Headers],[Category]], 0, 2)</f>
        <v>kg</v>
      </c>
      <c r="H96" s="29" cm="1">
        <f t="array" ref="H96">Common_InputFunctions.Utility_DisplayArrayInTable(Scope3_SourceData.Scope3_Feed_Data(), Table_SourceData_Scope3_Feed[[#Headers],[Category]], 0, 2)</f>
        <v>0.307</v>
      </c>
      <c r="I96" s="29" t="str" cm="1">
        <f t="array" ref="I96">Common_InputFunctions.Utility_DisplayArrayInTable(Scope3_SourceData.Scope3_Feed_Data(), Table_SourceData_Scope3_Feed[[#Headers],[Category]], 0, 2)</f>
        <v>at market</v>
      </c>
      <c r="N96" s="29" t="str">
        <f>Table_SourceData_Scope3_Feed[[#This Row],[Product]]</f>
        <v>Barley grain</v>
      </c>
      <c r="O96" s="29" t="str">
        <f>Table_SourceData_Scope3_Feed[[#This Row],[Region of origin]]</f>
        <v>TAS</v>
      </c>
    </row>
    <row r="97" spans="1:16" ht="20.100000000000001" customHeight="1" x14ac:dyDescent="0.25">
      <c r="A97"/>
      <c r="D97" s="29" t="str" cm="1">
        <f t="array" ref="D97">Common_InputFunctions.Utility_DisplayArrayInTable(Scope3_SourceData.Scope3_Feed_Data(), Table_SourceData_Scope3_Feed[[#Headers],[Category]], 0, 2)</f>
        <v>Grain</v>
      </c>
      <c r="E97" s="29" t="str" cm="1">
        <f t="array" ref="E97">Common_InputFunctions.Utility_DisplayArrayInTable(Scope3_SourceData.Scope3_Feed_Data(), Table_SourceData_Scope3_Feed[[#Headers],[Category]], 0, 2)</f>
        <v>Barley grain</v>
      </c>
      <c r="F97" s="29" t="str" cm="1">
        <f t="array" ref="F97">Common_InputFunctions.Utility_DisplayArrayInTable(Scope3_SourceData.Scope3_Feed_Data(), Table_SourceData_Scope3_Feed[[#Headers],[Category]], 0, 2)</f>
        <v>VIC</v>
      </c>
      <c r="G97" s="29" t="str" cm="1">
        <f t="array" ref="G97">Common_InputFunctions.Utility_DisplayArrayInTable(Scope3_SourceData.Scope3_Feed_Data(), Table_SourceData_Scope3_Feed[[#Headers],[Category]], 0, 2)</f>
        <v>kg</v>
      </c>
      <c r="H97" s="29" cm="1">
        <f t="array" ref="H97">Common_InputFunctions.Utility_DisplayArrayInTable(Scope3_SourceData.Scope3_Feed_Data(), Table_SourceData_Scope3_Feed[[#Headers],[Category]], 0, 2)</f>
        <v>0.24099999999999999</v>
      </c>
      <c r="I97" s="29" t="str" cm="1">
        <f t="array" ref="I97">Common_InputFunctions.Utility_DisplayArrayInTable(Scope3_SourceData.Scope3_Feed_Data(), Table_SourceData_Scope3_Feed[[#Headers],[Category]], 0, 2)</f>
        <v>at market</v>
      </c>
      <c r="N97" s="29" t="str">
        <f>Table_SourceData_Scope3_Feed[[#This Row],[Product]]</f>
        <v>Barley grain</v>
      </c>
      <c r="O97" s="29" t="str">
        <f>Table_SourceData_Scope3_Feed[[#This Row],[Region of origin]]</f>
        <v>VIC</v>
      </c>
    </row>
    <row r="98" spans="1:16" ht="20.100000000000001" customHeight="1" x14ac:dyDescent="0.25">
      <c r="A98"/>
      <c r="D98" s="29" t="str" cm="1">
        <f t="array" ref="D98">Common_InputFunctions.Utility_DisplayArrayInTable(Scope3_SourceData.Scope3_Feed_Data(), Table_SourceData_Scope3_Feed[[#Headers],[Category]], 0, 2)</f>
        <v>Grain</v>
      </c>
      <c r="E98" s="29" t="str" cm="1">
        <f t="array" ref="E98">Common_InputFunctions.Utility_DisplayArrayInTable(Scope3_SourceData.Scope3_Feed_Data(), Table_SourceData_Scope3_Feed[[#Headers],[Category]], 0, 2)</f>
        <v>Barley grain</v>
      </c>
      <c r="F98" s="29" t="str" cm="1">
        <f t="array" ref="F98">Common_InputFunctions.Utility_DisplayArrayInTable(Scope3_SourceData.Scope3_Feed_Data(), Table_SourceData_Scope3_Feed[[#Headers],[Category]], 0, 2)</f>
        <v>WA</v>
      </c>
      <c r="G98" s="29" t="str" cm="1">
        <f t="array" ref="G98">Common_InputFunctions.Utility_DisplayArrayInTable(Scope3_SourceData.Scope3_Feed_Data(), Table_SourceData_Scope3_Feed[[#Headers],[Category]], 0, 2)</f>
        <v>kg</v>
      </c>
      <c r="H98" s="29" cm="1">
        <f t="array" ref="H98">Common_InputFunctions.Utility_DisplayArrayInTable(Scope3_SourceData.Scope3_Feed_Data(), Table_SourceData_Scope3_Feed[[#Headers],[Category]], 0, 2)</f>
        <v>0.23599999999999999</v>
      </c>
      <c r="I98" s="29" t="str" cm="1">
        <f t="array" ref="I98">Common_InputFunctions.Utility_DisplayArrayInTable(Scope3_SourceData.Scope3_Feed_Data(), Table_SourceData_Scope3_Feed[[#Headers],[Category]], 0, 2)</f>
        <v>at market</v>
      </c>
      <c r="K98" s="29" t="s">
        <v>138</v>
      </c>
      <c r="L98" s="29" t="s">
        <v>1267</v>
      </c>
      <c r="M98" s="1" t="str">
        <f>"Table_ProductRegions_" &amp; SUBSTITUTE(SUBSTITUTE(SUBSTITUTE(SUBSTITUTE(K99, " ", ""), ",", ""), "(", ""), ")", "")</f>
        <v>Table_ProductRegions_Maizegrain</v>
      </c>
      <c r="N98" s="29" t="str">
        <f>Table_SourceData_Scope3_Feed[[#This Row],[Product]]</f>
        <v>Barley grain</v>
      </c>
      <c r="O98" s="29" t="str">
        <f>Table_SourceData_Scope3_Feed[[#This Row],[Region of origin]]</f>
        <v>WA</v>
      </c>
    </row>
    <row r="99" spans="1:16" ht="20.100000000000001" customHeight="1" x14ac:dyDescent="0.25">
      <c r="A99"/>
      <c r="D99" s="29" t="str" cm="1">
        <f t="array" ref="D99">Common_InputFunctions.Utility_DisplayArrayInTable(Scope3_SourceData.Scope3_Feed_Data(), Table_SourceData_Scope3_Feed[[#Headers],[Category]], 0, 2)</f>
        <v>Grain</v>
      </c>
      <c r="E99" s="29" t="str" cm="1">
        <f t="array" ref="E99">Common_InputFunctions.Utility_DisplayArrayInTable(Scope3_SourceData.Scope3_Feed_Data(), Table_SourceData_Scope3_Feed[[#Headers],[Category]], 0, 2)</f>
        <v>Maize grain</v>
      </c>
      <c r="F99" s="29" t="str" cm="1">
        <f t="array" ref="F99">Common_InputFunctions.Utility_DisplayArrayInTable(Scope3_SourceData.Scope3_Feed_Data(), Table_SourceData_Scope3_Feed[[#Headers],[Category]], 0, 2)</f>
        <v>Australia</v>
      </c>
      <c r="G99" s="29" t="str" cm="1">
        <f t="array" ref="G99">Common_InputFunctions.Utility_DisplayArrayInTable(Scope3_SourceData.Scope3_Feed_Data(), Table_SourceData_Scope3_Feed[[#Headers],[Category]], 0, 2)</f>
        <v>kg</v>
      </c>
      <c r="H99" s="29" cm="1">
        <f t="array" ref="H99">Common_InputFunctions.Utility_DisplayArrayInTable(Scope3_SourceData.Scope3_Feed_Data(), Table_SourceData_Scope3_Feed[[#Headers],[Category]], 0, 2)</f>
        <v>0.18099999999999999</v>
      </c>
      <c r="I99" s="29" t="str" cm="1">
        <f t="array" ref="I99">Common_InputFunctions.Utility_DisplayArrayInTable(Scope3_SourceData.Scope3_Feed_Data(), Table_SourceData_Scope3_Feed[[#Headers],[Category]], 0, 2)</f>
        <v>at market</v>
      </c>
      <c r="K99" s="29" t="str">
        <f>Table_SourceData_Scope3_Feed[[#This Row],[Product]]</f>
        <v>Maize grain</v>
      </c>
      <c r="L99" s="29" t="str">
        <f>Table_SourceData_Scope3_Feed[[#This Row],[Region of origin]]</f>
        <v>Australia</v>
      </c>
    </row>
    <row r="100" spans="1:16" ht="20.100000000000001" customHeight="1" x14ac:dyDescent="0.25">
      <c r="A100"/>
      <c r="D100" s="29" t="str" cm="1">
        <f t="array" ref="D100">Common_InputFunctions.Utility_DisplayArrayInTable(Scope3_SourceData.Scope3_Feed_Data(), Table_SourceData_Scope3_Feed[[#Headers],[Category]], 0, 2)</f>
        <v>Grain</v>
      </c>
      <c r="E100" s="29" t="str" cm="1">
        <f t="array" ref="E100">Common_InputFunctions.Utility_DisplayArrayInTable(Scope3_SourceData.Scope3_Feed_Data(), Table_SourceData_Scope3_Feed[[#Headers],[Category]], 0, 2)</f>
        <v>Maize grain</v>
      </c>
      <c r="F100" s="29" t="str" cm="1">
        <f t="array" ref="F100">Common_InputFunctions.Utility_DisplayArrayInTable(Scope3_SourceData.Scope3_Feed_Data(), Table_SourceData_Scope3_Feed[[#Headers],[Category]], 0, 2)</f>
        <v>NSW</v>
      </c>
      <c r="G100" s="29" t="str" cm="1">
        <f t="array" ref="G100">Common_InputFunctions.Utility_DisplayArrayInTable(Scope3_SourceData.Scope3_Feed_Data(), Table_SourceData_Scope3_Feed[[#Headers],[Category]], 0, 2)</f>
        <v>kg</v>
      </c>
      <c r="H100" s="29" cm="1">
        <f t="array" ref="H100">Common_InputFunctions.Utility_DisplayArrayInTable(Scope3_SourceData.Scope3_Feed_Data(), Table_SourceData_Scope3_Feed[[#Headers],[Category]], 0, 2)</f>
        <v>0.16900000000000001</v>
      </c>
      <c r="I100" s="29" t="str" cm="1">
        <f t="array" ref="I100">Common_InputFunctions.Utility_DisplayArrayInTable(Scope3_SourceData.Scope3_Feed_Data(), Table_SourceData_Scope3_Feed[[#Headers],[Category]], 0, 2)</f>
        <v>at market</v>
      </c>
      <c r="K100" s="29" t="str">
        <f>Table_SourceData_Scope3_Feed[[#This Row],[Product]]</f>
        <v>Maize grain</v>
      </c>
      <c r="L100" s="29" t="str">
        <f>Table_SourceData_Scope3_Feed[[#This Row],[Region of origin]]</f>
        <v>NSW</v>
      </c>
    </row>
    <row r="101" spans="1:16" ht="20.100000000000001" customHeight="1" x14ac:dyDescent="0.25">
      <c r="A101"/>
      <c r="D101" s="29" t="str" cm="1">
        <f t="array" ref="D101">Common_InputFunctions.Utility_DisplayArrayInTable(Scope3_SourceData.Scope3_Feed_Data(), Table_SourceData_Scope3_Feed[[#Headers],[Category]], 0, 2)</f>
        <v>Grain</v>
      </c>
      <c r="E101" s="29" t="str" cm="1">
        <f t="array" ref="E101">Common_InputFunctions.Utility_DisplayArrayInTable(Scope3_SourceData.Scope3_Feed_Data(), Table_SourceData_Scope3_Feed[[#Headers],[Category]], 0, 2)</f>
        <v>Maize grain</v>
      </c>
      <c r="F101" s="29" t="str" cm="1">
        <f t="array" ref="F101">Common_InputFunctions.Utility_DisplayArrayInTable(Scope3_SourceData.Scope3_Feed_Data(), Table_SourceData_Scope3_Feed[[#Headers],[Category]], 0, 2)</f>
        <v>NT</v>
      </c>
      <c r="G101" s="29" t="str" cm="1">
        <f t="array" ref="G101">Common_InputFunctions.Utility_DisplayArrayInTable(Scope3_SourceData.Scope3_Feed_Data(), Table_SourceData_Scope3_Feed[[#Headers],[Category]], 0, 2)</f>
        <v>kg</v>
      </c>
      <c r="H101" s="29" cm="1">
        <f t="array" ref="H101">Common_InputFunctions.Utility_DisplayArrayInTable(Scope3_SourceData.Scope3_Feed_Data(), Table_SourceData_Scope3_Feed[[#Headers],[Category]], 0, 2)</f>
        <v>0.25600000000000001</v>
      </c>
      <c r="I101" s="29" t="str" cm="1">
        <f t="array" ref="I101">Common_InputFunctions.Utility_DisplayArrayInTable(Scope3_SourceData.Scope3_Feed_Data(), Table_SourceData_Scope3_Feed[[#Headers],[Category]], 0, 2)</f>
        <v>at market</v>
      </c>
      <c r="K101" s="29" t="str">
        <f>Table_SourceData_Scope3_Feed[[#This Row],[Product]]</f>
        <v>Maize grain</v>
      </c>
      <c r="L101" s="29" t="str">
        <f>Table_SourceData_Scope3_Feed[[#This Row],[Region of origin]]</f>
        <v>NT</v>
      </c>
    </row>
    <row r="102" spans="1:16" ht="20.100000000000001" customHeight="1" x14ac:dyDescent="0.25">
      <c r="A102"/>
      <c r="D102" s="29" t="str" cm="1">
        <f t="array" ref="D102">Common_InputFunctions.Utility_DisplayArrayInTable(Scope3_SourceData.Scope3_Feed_Data(), Table_SourceData_Scope3_Feed[[#Headers],[Category]], 0, 2)</f>
        <v>Grain</v>
      </c>
      <c r="E102" s="29" t="str" cm="1">
        <f t="array" ref="E102">Common_InputFunctions.Utility_DisplayArrayInTable(Scope3_SourceData.Scope3_Feed_Data(), Table_SourceData_Scope3_Feed[[#Headers],[Category]], 0, 2)</f>
        <v>Maize grain</v>
      </c>
      <c r="F102" s="29" t="str" cm="1">
        <f t="array" ref="F102">Common_InputFunctions.Utility_DisplayArrayInTable(Scope3_SourceData.Scope3_Feed_Data(), Table_SourceData_Scope3_Feed[[#Headers],[Category]], 0, 2)</f>
        <v>QLD</v>
      </c>
      <c r="G102" s="29" t="str" cm="1">
        <f t="array" ref="G102">Common_InputFunctions.Utility_DisplayArrayInTable(Scope3_SourceData.Scope3_Feed_Data(), Table_SourceData_Scope3_Feed[[#Headers],[Category]], 0, 2)</f>
        <v>kg</v>
      </c>
      <c r="H102" s="29" cm="1">
        <f t="array" ref="H102">Common_InputFunctions.Utility_DisplayArrayInTable(Scope3_SourceData.Scope3_Feed_Data(), Table_SourceData_Scope3_Feed[[#Headers],[Category]], 0, 2)</f>
        <v>0.186</v>
      </c>
      <c r="I102" s="29" t="str" cm="1">
        <f t="array" ref="I102">Common_InputFunctions.Utility_DisplayArrayInTable(Scope3_SourceData.Scope3_Feed_Data(), Table_SourceData_Scope3_Feed[[#Headers],[Category]], 0, 2)</f>
        <v>at market</v>
      </c>
      <c r="K102" s="29" t="str">
        <f>Table_SourceData_Scope3_Feed[[#This Row],[Product]]</f>
        <v>Maize grain</v>
      </c>
      <c r="L102" s="29" t="str">
        <f>Table_SourceData_Scope3_Feed[[#This Row],[Region of origin]]</f>
        <v>QLD</v>
      </c>
    </row>
    <row r="103" spans="1:16" ht="20.100000000000001" customHeight="1" x14ac:dyDescent="0.25">
      <c r="A103"/>
      <c r="D103" s="29" t="str" cm="1">
        <f t="array" ref="D103">Common_InputFunctions.Utility_DisplayArrayInTable(Scope3_SourceData.Scope3_Feed_Data(), Table_SourceData_Scope3_Feed[[#Headers],[Category]], 0, 2)</f>
        <v>Grain</v>
      </c>
      <c r="E103" s="29" t="str" cm="1">
        <f t="array" ref="E103">Common_InputFunctions.Utility_DisplayArrayInTable(Scope3_SourceData.Scope3_Feed_Data(), Table_SourceData_Scope3_Feed[[#Headers],[Category]], 0, 2)</f>
        <v>Maize grain</v>
      </c>
      <c r="F103" s="29" t="str" cm="1">
        <f t="array" ref="F103">Common_InputFunctions.Utility_DisplayArrayInTable(Scope3_SourceData.Scope3_Feed_Data(), Table_SourceData_Scope3_Feed[[#Headers],[Category]], 0, 2)</f>
        <v>SA</v>
      </c>
      <c r="G103" s="29" t="str" cm="1">
        <f t="array" ref="G103">Common_InputFunctions.Utility_DisplayArrayInTable(Scope3_SourceData.Scope3_Feed_Data(), Table_SourceData_Scope3_Feed[[#Headers],[Category]], 0, 2)</f>
        <v>kg</v>
      </c>
      <c r="H103" s="29" cm="1">
        <f t="array" ref="H103">Common_InputFunctions.Utility_DisplayArrayInTable(Scope3_SourceData.Scope3_Feed_Data(), Table_SourceData_Scope3_Feed[[#Headers],[Category]], 0, 2)</f>
        <v>0.17599999999999999</v>
      </c>
      <c r="I103" s="29" t="str" cm="1">
        <f t="array" ref="I103">Common_InputFunctions.Utility_DisplayArrayInTable(Scope3_SourceData.Scope3_Feed_Data(), Table_SourceData_Scope3_Feed[[#Headers],[Category]], 0, 2)</f>
        <v>at market</v>
      </c>
      <c r="K103" s="29" t="str">
        <f>Table_SourceData_Scope3_Feed[[#This Row],[Product]]</f>
        <v>Maize grain</v>
      </c>
      <c r="L103" s="29" t="str">
        <f>Table_SourceData_Scope3_Feed[[#This Row],[Region of origin]]</f>
        <v>SA</v>
      </c>
    </row>
    <row r="104" spans="1:16" ht="20.100000000000001" customHeight="1" x14ac:dyDescent="0.25">
      <c r="A104"/>
      <c r="D104" s="29" t="str" cm="1">
        <f t="array" ref="D104">Common_InputFunctions.Utility_DisplayArrayInTable(Scope3_SourceData.Scope3_Feed_Data(), Table_SourceData_Scope3_Feed[[#Headers],[Category]], 0, 2)</f>
        <v>Grain</v>
      </c>
      <c r="E104" s="29" t="str" cm="1">
        <f t="array" ref="E104">Common_InputFunctions.Utility_DisplayArrayInTable(Scope3_SourceData.Scope3_Feed_Data(), Table_SourceData_Scope3_Feed[[#Headers],[Category]], 0, 2)</f>
        <v>Maize grain</v>
      </c>
      <c r="F104" s="29" t="str" cm="1">
        <f t="array" ref="F104">Common_InputFunctions.Utility_DisplayArrayInTable(Scope3_SourceData.Scope3_Feed_Data(), Table_SourceData_Scope3_Feed[[#Headers],[Category]], 0, 2)</f>
        <v>VIC</v>
      </c>
      <c r="G104" s="29" t="str" cm="1">
        <f t="array" ref="G104">Common_InputFunctions.Utility_DisplayArrayInTable(Scope3_SourceData.Scope3_Feed_Data(), Table_SourceData_Scope3_Feed[[#Headers],[Category]], 0, 2)</f>
        <v>kg</v>
      </c>
      <c r="H104" s="29" cm="1">
        <f t="array" ref="H104">Common_InputFunctions.Utility_DisplayArrayInTable(Scope3_SourceData.Scope3_Feed_Data(), Table_SourceData_Scope3_Feed[[#Headers],[Category]], 0, 2)</f>
        <v>0.159</v>
      </c>
      <c r="I104" s="29" t="str" cm="1">
        <f t="array" ref="I104">Common_InputFunctions.Utility_DisplayArrayInTable(Scope3_SourceData.Scope3_Feed_Data(), Table_SourceData_Scope3_Feed[[#Headers],[Category]], 0, 2)</f>
        <v>at market</v>
      </c>
      <c r="K104" s="29" t="str">
        <f>Table_SourceData_Scope3_Feed[[#This Row],[Product]]</f>
        <v>Maize grain</v>
      </c>
      <c r="L104" s="29" t="str">
        <f>Table_SourceData_Scope3_Feed[[#This Row],[Region of origin]]</f>
        <v>VIC</v>
      </c>
    </row>
    <row r="105" spans="1:16" ht="20.100000000000001" customHeight="1" x14ac:dyDescent="0.25">
      <c r="A105"/>
      <c r="D105" s="29" t="str" cm="1">
        <f t="array" ref="D105">Common_InputFunctions.Utility_DisplayArrayInTable(Scope3_SourceData.Scope3_Feed_Data(), Table_SourceData_Scope3_Feed[[#Headers],[Category]], 0, 2)</f>
        <v>Grain</v>
      </c>
      <c r="E105" s="29" t="str" cm="1">
        <f t="array" ref="E105">Common_InputFunctions.Utility_DisplayArrayInTable(Scope3_SourceData.Scope3_Feed_Data(), Table_SourceData_Scope3_Feed[[#Headers],[Category]], 0, 2)</f>
        <v>Maize grain</v>
      </c>
      <c r="F105" s="29" t="str" cm="1">
        <f t="array" ref="F105">Common_InputFunctions.Utility_DisplayArrayInTable(Scope3_SourceData.Scope3_Feed_Data(), Table_SourceData_Scope3_Feed[[#Headers],[Category]], 0, 2)</f>
        <v>WA</v>
      </c>
      <c r="G105" s="29" t="str" cm="1">
        <f t="array" ref="G105">Common_InputFunctions.Utility_DisplayArrayInTable(Scope3_SourceData.Scope3_Feed_Data(), Table_SourceData_Scope3_Feed[[#Headers],[Category]], 0, 2)</f>
        <v>kg</v>
      </c>
      <c r="H105" s="29" cm="1">
        <f t="array" ref="H105">Common_InputFunctions.Utility_DisplayArrayInTable(Scope3_SourceData.Scope3_Feed_Data(), Table_SourceData_Scope3_Feed[[#Headers],[Category]], 0, 2)</f>
        <v>0.28499999999999998</v>
      </c>
      <c r="I105" s="29" t="str" cm="1">
        <f t="array" ref="I105">Common_InputFunctions.Utility_DisplayArrayInTable(Scope3_SourceData.Scope3_Feed_Data(), Table_SourceData_Scope3_Feed[[#Headers],[Category]], 0, 2)</f>
        <v>at market</v>
      </c>
      <c r="K105" s="29" t="str">
        <f>Table_SourceData_Scope3_Feed[[#This Row],[Product]]</f>
        <v>Maize grain</v>
      </c>
      <c r="L105" s="29" t="str">
        <f>Table_SourceData_Scope3_Feed[[#This Row],[Region of origin]]</f>
        <v>WA</v>
      </c>
      <c r="N105" s="29" t="s">
        <v>138</v>
      </c>
      <c r="O105" s="29" t="s">
        <v>1267</v>
      </c>
      <c r="P105" s="1" t="str">
        <f>"Table_ProductRegions_" &amp; SUBSTITUTE(SUBSTITUTE(SUBSTITUTE(SUBSTITUTE(N106, " ", ""), ",", ""), "(", ""), ")", "")</f>
        <v>Table_ProductRegions_Sorghumgrain</v>
      </c>
    </row>
    <row r="106" spans="1:16" ht="20.100000000000001" customHeight="1" x14ac:dyDescent="0.25">
      <c r="A106"/>
      <c r="D106" s="29" t="str" cm="1">
        <f t="array" ref="D106">Common_InputFunctions.Utility_DisplayArrayInTable(Scope3_SourceData.Scope3_Feed_Data(), Table_SourceData_Scope3_Feed[[#Headers],[Category]], 0, 2)</f>
        <v>Grain</v>
      </c>
      <c r="E106" s="29" t="str" cm="1">
        <f t="array" ref="E106">Common_InputFunctions.Utility_DisplayArrayInTable(Scope3_SourceData.Scope3_Feed_Data(), Table_SourceData_Scope3_Feed[[#Headers],[Category]], 0, 2)</f>
        <v>Sorghum grain</v>
      </c>
      <c r="F106" s="29" t="str" cm="1">
        <f t="array" ref="F106">Common_InputFunctions.Utility_DisplayArrayInTable(Scope3_SourceData.Scope3_Feed_Data(), Table_SourceData_Scope3_Feed[[#Headers],[Category]], 0, 2)</f>
        <v>Australia</v>
      </c>
      <c r="G106" s="29" t="str" cm="1">
        <f t="array" ref="G106">Common_InputFunctions.Utility_DisplayArrayInTable(Scope3_SourceData.Scope3_Feed_Data(), Table_SourceData_Scope3_Feed[[#Headers],[Category]], 0, 2)</f>
        <v>kg</v>
      </c>
      <c r="H106" s="29" cm="1">
        <f t="array" ref="H106">Common_InputFunctions.Utility_DisplayArrayInTable(Scope3_SourceData.Scope3_Feed_Data(), Table_SourceData_Scope3_Feed[[#Headers],[Category]], 0, 2)</f>
        <v>0.23200000000000001</v>
      </c>
      <c r="I106" s="29" t="str" cm="1">
        <f t="array" ref="I106">Common_InputFunctions.Utility_DisplayArrayInTable(Scope3_SourceData.Scope3_Feed_Data(), Table_SourceData_Scope3_Feed[[#Headers],[Category]], 0, 2)</f>
        <v>at market</v>
      </c>
      <c r="N106" s="29" t="str">
        <f>Table_SourceData_Scope3_Feed[[#This Row],[Product]]</f>
        <v>Sorghum grain</v>
      </c>
      <c r="O106" s="29" t="str">
        <f>Table_SourceData_Scope3_Feed[[#This Row],[Region of origin]]</f>
        <v>Australia</v>
      </c>
    </row>
    <row r="107" spans="1:16" ht="20.100000000000001" customHeight="1" x14ac:dyDescent="0.25">
      <c r="A107"/>
      <c r="D107" s="29" t="str" cm="1">
        <f t="array" ref="D107">Common_InputFunctions.Utility_DisplayArrayInTable(Scope3_SourceData.Scope3_Feed_Data(), Table_SourceData_Scope3_Feed[[#Headers],[Category]], 0, 2)</f>
        <v>Grain</v>
      </c>
      <c r="E107" s="29" t="str" cm="1">
        <f t="array" ref="E107">Common_InputFunctions.Utility_DisplayArrayInTable(Scope3_SourceData.Scope3_Feed_Data(), Table_SourceData_Scope3_Feed[[#Headers],[Category]], 0, 2)</f>
        <v>Sorghum grain</v>
      </c>
      <c r="F107" s="29" t="str" cm="1">
        <f t="array" ref="F107">Common_InputFunctions.Utility_DisplayArrayInTable(Scope3_SourceData.Scope3_Feed_Data(), Table_SourceData_Scope3_Feed[[#Headers],[Category]], 0, 2)</f>
        <v>NSW</v>
      </c>
      <c r="G107" s="29" t="str" cm="1">
        <f t="array" ref="G107">Common_InputFunctions.Utility_DisplayArrayInTable(Scope3_SourceData.Scope3_Feed_Data(), Table_SourceData_Scope3_Feed[[#Headers],[Category]], 0, 2)</f>
        <v>kg</v>
      </c>
      <c r="H107" s="29" cm="1">
        <f t="array" ref="H107">Common_InputFunctions.Utility_DisplayArrayInTable(Scope3_SourceData.Scope3_Feed_Data(), Table_SourceData_Scope3_Feed[[#Headers],[Category]], 0, 2)</f>
        <v>0.23200000000000001</v>
      </c>
      <c r="I107" s="29" t="str" cm="1">
        <f t="array" ref="I107">Common_InputFunctions.Utility_DisplayArrayInTable(Scope3_SourceData.Scope3_Feed_Data(), Table_SourceData_Scope3_Feed[[#Headers],[Category]], 0, 2)</f>
        <v>at market</v>
      </c>
      <c r="N107" s="29" t="str">
        <f>Table_SourceData_Scope3_Feed[[#This Row],[Product]]</f>
        <v>Sorghum grain</v>
      </c>
      <c r="O107" s="29" t="str">
        <f>Table_SourceData_Scope3_Feed[[#This Row],[Region of origin]]</f>
        <v>NSW</v>
      </c>
    </row>
    <row r="108" spans="1:16" ht="20.100000000000001" customHeight="1" x14ac:dyDescent="0.25">
      <c r="A108"/>
      <c r="D108" s="29" t="str" cm="1">
        <f t="array" ref="D108">Common_InputFunctions.Utility_DisplayArrayInTable(Scope3_SourceData.Scope3_Feed_Data(), Table_SourceData_Scope3_Feed[[#Headers],[Category]], 0, 2)</f>
        <v>Grain</v>
      </c>
      <c r="E108" s="29" t="str" cm="1">
        <f t="array" ref="E108">Common_InputFunctions.Utility_DisplayArrayInTable(Scope3_SourceData.Scope3_Feed_Data(), Table_SourceData_Scope3_Feed[[#Headers],[Category]], 0, 2)</f>
        <v>Sorghum grain</v>
      </c>
      <c r="F108" s="29" t="str" cm="1">
        <f t="array" ref="F108">Common_InputFunctions.Utility_DisplayArrayInTable(Scope3_SourceData.Scope3_Feed_Data(), Table_SourceData_Scope3_Feed[[#Headers],[Category]], 0, 2)</f>
        <v>QLD</v>
      </c>
      <c r="G108" s="29" t="str" cm="1">
        <f t="array" ref="G108">Common_InputFunctions.Utility_DisplayArrayInTable(Scope3_SourceData.Scope3_Feed_Data(), Table_SourceData_Scope3_Feed[[#Headers],[Category]], 0, 2)</f>
        <v>kg</v>
      </c>
      <c r="H108" s="29" cm="1">
        <f t="array" ref="H108">Common_InputFunctions.Utility_DisplayArrayInTable(Scope3_SourceData.Scope3_Feed_Data(), Table_SourceData_Scope3_Feed[[#Headers],[Category]], 0, 2)</f>
        <v>0.23100000000000001</v>
      </c>
      <c r="I108" s="29" t="str" cm="1">
        <f t="array" ref="I108">Common_InputFunctions.Utility_DisplayArrayInTable(Scope3_SourceData.Scope3_Feed_Data(), Table_SourceData_Scope3_Feed[[#Headers],[Category]], 0, 2)</f>
        <v>at market</v>
      </c>
      <c r="N108" s="29" t="str">
        <f>Table_SourceData_Scope3_Feed[[#This Row],[Product]]</f>
        <v>Sorghum grain</v>
      </c>
      <c r="O108" s="29" t="str">
        <f>Table_SourceData_Scope3_Feed[[#This Row],[Region of origin]]</f>
        <v>QLD</v>
      </c>
    </row>
    <row r="109" spans="1:16" ht="20.100000000000001" customHeight="1" x14ac:dyDescent="0.25">
      <c r="A109"/>
      <c r="D109" s="29" t="str" cm="1">
        <f t="array" ref="D109">Common_InputFunctions.Utility_DisplayArrayInTable(Scope3_SourceData.Scope3_Feed_Data(), Table_SourceData_Scope3_Feed[[#Headers],[Category]], 0, 2)</f>
        <v>Grain</v>
      </c>
      <c r="E109" s="29" t="str" cm="1">
        <f t="array" ref="E109">Common_InputFunctions.Utility_DisplayArrayInTable(Scope3_SourceData.Scope3_Feed_Data(), Table_SourceData_Scope3_Feed[[#Headers],[Category]], 0, 2)</f>
        <v>Sorghum grain</v>
      </c>
      <c r="F109" s="29" t="str" cm="1">
        <f t="array" ref="F109">Common_InputFunctions.Utility_DisplayArrayInTable(Scope3_SourceData.Scope3_Feed_Data(), Table_SourceData_Scope3_Feed[[#Headers],[Category]], 0, 2)</f>
        <v>SA</v>
      </c>
      <c r="G109" s="29" t="str" cm="1">
        <f t="array" ref="G109">Common_InputFunctions.Utility_DisplayArrayInTable(Scope3_SourceData.Scope3_Feed_Data(), Table_SourceData_Scope3_Feed[[#Headers],[Category]], 0, 2)</f>
        <v>kg</v>
      </c>
      <c r="H109" s="29" cm="1">
        <f t="array" ref="H109">Common_InputFunctions.Utility_DisplayArrayInTable(Scope3_SourceData.Scope3_Feed_Data(), Table_SourceData_Scope3_Feed[[#Headers],[Category]], 0, 2)</f>
        <v>0.218</v>
      </c>
      <c r="I109" s="29" t="str" cm="1">
        <f t="array" ref="I109">Common_InputFunctions.Utility_DisplayArrayInTable(Scope3_SourceData.Scope3_Feed_Data(), Table_SourceData_Scope3_Feed[[#Headers],[Category]], 0, 2)</f>
        <v>at market</v>
      </c>
      <c r="N109" s="29" t="str">
        <f>Table_SourceData_Scope3_Feed[[#This Row],[Product]]</f>
        <v>Sorghum grain</v>
      </c>
      <c r="O109" s="29" t="str">
        <f>Table_SourceData_Scope3_Feed[[#This Row],[Region of origin]]</f>
        <v>SA</v>
      </c>
    </row>
    <row r="110" spans="1:16" ht="20.100000000000001" customHeight="1" x14ac:dyDescent="0.25">
      <c r="A110"/>
      <c r="D110" s="29" t="str" cm="1">
        <f t="array" ref="D110">Common_InputFunctions.Utility_DisplayArrayInTable(Scope3_SourceData.Scope3_Feed_Data(), Table_SourceData_Scope3_Feed[[#Headers],[Category]], 0, 2)</f>
        <v>Grain</v>
      </c>
      <c r="E110" s="29" t="str" cm="1">
        <f t="array" ref="E110">Common_InputFunctions.Utility_DisplayArrayInTable(Scope3_SourceData.Scope3_Feed_Data(), Table_SourceData_Scope3_Feed[[#Headers],[Category]], 0, 2)</f>
        <v>Sorghum grain</v>
      </c>
      <c r="F110" s="29" t="str" cm="1">
        <f t="array" ref="F110">Common_InputFunctions.Utility_DisplayArrayInTable(Scope3_SourceData.Scope3_Feed_Data(), Table_SourceData_Scope3_Feed[[#Headers],[Category]], 0, 2)</f>
        <v>VIC</v>
      </c>
      <c r="G110" s="29" t="str" cm="1">
        <f t="array" ref="G110">Common_InputFunctions.Utility_DisplayArrayInTable(Scope3_SourceData.Scope3_Feed_Data(), Table_SourceData_Scope3_Feed[[#Headers],[Category]], 0, 2)</f>
        <v>kg</v>
      </c>
      <c r="H110" s="29" cm="1">
        <f t="array" ref="H110">Common_InputFunctions.Utility_DisplayArrayInTable(Scope3_SourceData.Scope3_Feed_Data(), Table_SourceData_Scope3_Feed[[#Headers],[Category]], 0, 2)</f>
        <v>0.246</v>
      </c>
      <c r="I110" s="29" t="str" cm="1">
        <f t="array" ref="I110">Common_InputFunctions.Utility_DisplayArrayInTable(Scope3_SourceData.Scope3_Feed_Data(), Table_SourceData_Scope3_Feed[[#Headers],[Category]], 0, 2)</f>
        <v>at market</v>
      </c>
      <c r="K110" s="29" t="s">
        <v>138</v>
      </c>
      <c r="L110" s="29" t="s">
        <v>1267</v>
      </c>
      <c r="M110" s="1" t="str">
        <f>"Table_ProductRegions_" &amp; SUBSTITUTE(SUBSTITUTE(SUBSTITUTE(SUBSTITUTE(K111, " ", ""), ",", ""), "(", ""), ")", "")</f>
        <v>Table_ProductRegions_Wheatgrain</v>
      </c>
      <c r="N110" s="29" t="str">
        <f>Table_SourceData_Scope3_Feed[[#This Row],[Product]]</f>
        <v>Sorghum grain</v>
      </c>
      <c r="O110" s="29" t="str">
        <f>Table_SourceData_Scope3_Feed[[#This Row],[Region of origin]]</f>
        <v>VIC</v>
      </c>
    </row>
    <row r="111" spans="1:16" ht="20.100000000000001" customHeight="1" x14ac:dyDescent="0.25">
      <c r="A111"/>
      <c r="D111" s="29" t="str" cm="1">
        <f t="array" ref="D111">Common_InputFunctions.Utility_DisplayArrayInTable(Scope3_SourceData.Scope3_Feed_Data(), Table_SourceData_Scope3_Feed[[#Headers],[Category]], 0, 2)</f>
        <v>Grain</v>
      </c>
      <c r="E111" s="29" t="str" cm="1">
        <f t="array" ref="E111">Common_InputFunctions.Utility_DisplayArrayInTable(Scope3_SourceData.Scope3_Feed_Data(), Table_SourceData_Scope3_Feed[[#Headers],[Category]], 0, 2)</f>
        <v>Wheat grain</v>
      </c>
      <c r="F111" s="29" t="str" cm="1">
        <f t="array" ref="F111">Common_InputFunctions.Utility_DisplayArrayInTable(Scope3_SourceData.Scope3_Feed_Data(), Table_SourceData_Scope3_Feed[[#Headers],[Category]], 0, 2)</f>
        <v>Australia</v>
      </c>
      <c r="G111" s="29" t="str" cm="1">
        <f t="array" ref="G111">Common_InputFunctions.Utility_DisplayArrayInTable(Scope3_SourceData.Scope3_Feed_Data(), Table_SourceData_Scope3_Feed[[#Headers],[Category]], 0, 2)</f>
        <v>kg</v>
      </c>
      <c r="H111" s="29" cm="1">
        <f t="array" ref="H111">Common_InputFunctions.Utility_DisplayArrayInTable(Scope3_SourceData.Scope3_Feed_Data(), Table_SourceData_Scope3_Feed[[#Headers],[Category]], 0, 2)</f>
        <v>0.26800000000000002</v>
      </c>
      <c r="I111" s="29" t="str" cm="1">
        <f t="array" ref="I111">Common_InputFunctions.Utility_DisplayArrayInTable(Scope3_SourceData.Scope3_Feed_Data(), Table_SourceData_Scope3_Feed[[#Headers],[Category]], 0, 2)</f>
        <v>at market</v>
      </c>
      <c r="K111" s="29" t="str">
        <f>Table_SourceData_Scope3_Feed[[#This Row],[Product]]</f>
        <v>Wheat grain</v>
      </c>
      <c r="L111" s="29" t="str">
        <f>Table_SourceData_Scope3_Feed[[#This Row],[Region of origin]]</f>
        <v>Australia</v>
      </c>
    </row>
    <row r="112" spans="1:16" ht="20.100000000000001" customHeight="1" x14ac:dyDescent="0.25">
      <c r="A112"/>
      <c r="D112" s="29" t="str" cm="1">
        <f t="array" ref="D112">Common_InputFunctions.Utility_DisplayArrayInTable(Scope3_SourceData.Scope3_Feed_Data(), Table_SourceData_Scope3_Feed[[#Headers],[Category]], 0, 2)</f>
        <v>Grain</v>
      </c>
      <c r="E112" s="29" t="str" cm="1">
        <f t="array" ref="E112">Common_InputFunctions.Utility_DisplayArrayInTable(Scope3_SourceData.Scope3_Feed_Data(), Table_SourceData_Scope3_Feed[[#Headers],[Category]], 0, 2)</f>
        <v>Wheat grain</v>
      </c>
      <c r="F112" s="29" t="str" cm="1">
        <f t="array" ref="F112">Common_InputFunctions.Utility_DisplayArrayInTable(Scope3_SourceData.Scope3_Feed_Data(), Table_SourceData_Scope3_Feed[[#Headers],[Category]], 0, 2)</f>
        <v>NSW</v>
      </c>
      <c r="G112" s="29" t="str" cm="1">
        <f t="array" ref="G112">Common_InputFunctions.Utility_DisplayArrayInTable(Scope3_SourceData.Scope3_Feed_Data(), Table_SourceData_Scope3_Feed[[#Headers],[Category]], 0, 2)</f>
        <v>kg</v>
      </c>
      <c r="H112" s="29" cm="1">
        <f t="array" ref="H112">Common_InputFunctions.Utility_DisplayArrayInTable(Scope3_SourceData.Scope3_Feed_Data(), Table_SourceData_Scope3_Feed[[#Headers],[Category]], 0, 2)</f>
        <v>0.28199999999999997</v>
      </c>
      <c r="I112" s="29" t="str" cm="1">
        <f t="array" ref="I112">Common_InputFunctions.Utility_DisplayArrayInTable(Scope3_SourceData.Scope3_Feed_Data(), Table_SourceData_Scope3_Feed[[#Headers],[Category]], 0, 2)</f>
        <v>at market</v>
      </c>
      <c r="K112" s="29" t="str">
        <f>Table_SourceData_Scope3_Feed[[#This Row],[Product]]</f>
        <v>Wheat grain</v>
      </c>
      <c r="L112" s="29" t="str">
        <f>Table_SourceData_Scope3_Feed[[#This Row],[Region of origin]]</f>
        <v>NSW</v>
      </c>
    </row>
    <row r="113" spans="1:16" ht="20.100000000000001" customHeight="1" x14ac:dyDescent="0.25">
      <c r="A113"/>
      <c r="D113" s="29" t="str" cm="1">
        <f t="array" ref="D113">Common_InputFunctions.Utility_DisplayArrayInTable(Scope3_SourceData.Scope3_Feed_Data(), Table_SourceData_Scope3_Feed[[#Headers],[Category]], 0, 2)</f>
        <v>Grain</v>
      </c>
      <c r="E113" s="29" t="str" cm="1">
        <f t="array" ref="E113">Common_InputFunctions.Utility_DisplayArrayInTable(Scope3_SourceData.Scope3_Feed_Data(), Table_SourceData_Scope3_Feed[[#Headers],[Category]], 0, 2)</f>
        <v>Wheat grain</v>
      </c>
      <c r="F113" s="29" t="str" cm="1">
        <f t="array" ref="F113">Common_InputFunctions.Utility_DisplayArrayInTable(Scope3_SourceData.Scope3_Feed_Data(), Table_SourceData_Scope3_Feed[[#Headers],[Category]], 0, 2)</f>
        <v>NT</v>
      </c>
      <c r="G113" s="29" t="str" cm="1">
        <f t="array" ref="G113">Common_InputFunctions.Utility_DisplayArrayInTable(Scope3_SourceData.Scope3_Feed_Data(), Table_SourceData_Scope3_Feed[[#Headers],[Category]], 0, 2)</f>
        <v>kg</v>
      </c>
      <c r="H113" s="29" cm="1">
        <f t="array" ref="H113">Common_InputFunctions.Utility_DisplayArrayInTable(Scope3_SourceData.Scope3_Feed_Data(), Table_SourceData_Scope3_Feed[[#Headers],[Category]], 0, 2)</f>
        <v>0.38500000000000001</v>
      </c>
      <c r="I113" s="29" t="str" cm="1">
        <f t="array" ref="I113">Common_InputFunctions.Utility_DisplayArrayInTable(Scope3_SourceData.Scope3_Feed_Data(), Table_SourceData_Scope3_Feed[[#Headers],[Category]], 0, 2)</f>
        <v>at market</v>
      </c>
      <c r="K113" s="29" t="str">
        <f>Table_SourceData_Scope3_Feed[[#This Row],[Product]]</f>
        <v>Wheat grain</v>
      </c>
      <c r="L113" s="29" t="str">
        <f>Table_SourceData_Scope3_Feed[[#This Row],[Region of origin]]</f>
        <v>NT</v>
      </c>
    </row>
    <row r="114" spans="1:16" ht="20.100000000000001" customHeight="1" x14ac:dyDescent="0.25">
      <c r="A114"/>
      <c r="D114" s="29" t="str" cm="1">
        <f t="array" ref="D114">Common_InputFunctions.Utility_DisplayArrayInTable(Scope3_SourceData.Scope3_Feed_Data(), Table_SourceData_Scope3_Feed[[#Headers],[Category]], 0, 2)</f>
        <v>Grain</v>
      </c>
      <c r="E114" s="29" t="str" cm="1">
        <f t="array" ref="E114">Common_InputFunctions.Utility_DisplayArrayInTable(Scope3_SourceData.Scope3_Feed_Data(), Table_SourceData_Scope3_Feed[[#Headers],[Category]], 0, 2)</f>
        <v>Wheat grain</v>
      </c>
      <c r="F114" s="29" t="str" cm="1">
        <f t="array" ref="F114">Common_InputFunctions.Utility_DisplayArrayInTable(Scope3_SourceData.Scope3_Feed_Data(), Table_SourceData_Scope3_Feed[[#Headers],[Category]], 0, 2)</f>
        <v>QLD</v>
      </c>
      <c r="G114" s="29" t="str" cm="1">
        <f t="array" ref="G114">Common_InputFunctions.Utility_DisplayArrayInTable(Scope3_SourceData.Scope3_Feed_Data(), Table_SourceData_Scope3_Feed[[#Headers],[Category]], 0, 2)</f>
        <v>kg</v>
      </c>
      <c r="H114" s="29" cm="1">
        <f t="array" ref="H114">Common_InputFunctions.Utility_DisplayArrayInTable(Scope3_SourceData.Scope3_Feed_Data(), Table_SourceData_Scope3_Feed[[#Headers],[Category]], 0, 2)</f>
        <v>0.29599999999999999</v>
      </c>
      <c r="I114" s="29" t="str" cm="1">
        <f t="array" ref="I114">Common_InputFunctions.Utility_DisplayArrayInTable(Scope3_SourceData.Scope3_Feed_Data(), Table_SourceData_Scope3_Feed[[#Headers],[Category]], 0, 2)</f>
        <v>at market</v>
      </c>
      <c r="K114" s="29" t="str">
        <f>Table_SourceData_Scope3_Feed[[#This Row],[Product]]</f>
        <v>Wheat grain</v>
      </c>
      <c r="L114" s="29" t="str">
        <f>Table_SourceData_Scope3_Feed[[#This Row],[Region of origin]]</f>
        <v>QLD</v>
      </c>
    </row>
    <row r="115" spans="1:16" ht="20.100000000000001" customHeight="1" x14ac:dyDescent="0.25">
      <c r="A115"/>
      <c r="D115" s="29" t="str" cm="1">
        <f t="array" ref="D115">Common_InputFunctions.Utility_DisplayArrayInTable(Scope3_SourceData.Scope3_Feed_Data(), Table_SourceData_Scope3_Feed[[#Headers],[Category]], 0, 2)</f>
        <v>Grain</v>
      </c>
      <c r="E115" s="29" t="str" cm="1">
        <f t="array" ref="E115">Common_InputFunctions.Utility_DisplayArrayInTable(Scope3_SourceData.Scope3_Feed_Data(), Table_SourceData_Scope3_Feed[[#Headers],[Category]], 0, 2)</f>
        <v>Wheat grain</v>
      </c>
      <c r="F115" s="29" t="str" cm="1">
        <f t="array" ref="F115">Common_InputFunctions.Utility_DisplayArrayInTable(Scope3_SourceData.Scope3_Feed_Data(), Table_SourceData_Scope3_Feed[[#Headers],[Category]], 0, 2)</f>
        <v>SA</v>
      </c>
      <c r="G115" s="29" t="str" cm="1">
        <f t="array" ref="G115">Common_InputFunctions.Utility_DisplayArrayInTable(Scope3_SourceData.Scope3_Feed_Data(), Table_SourceData_Scope3_Feed[[#Headers],[Category]], 0, 2)</f>
        <v>kg</v>
      </c>
      <c r="H115" s="29" cm="1">
        <f t="array" ref="H115">Common_InputFunctions.Utility_DisplayArrayInTable(Scope3_SourceData.Scope3_Feed_Data(), Table_SourceData_Scope3_Feed[[#Headers],[Category]], 0, 2)</f>
        <v>0.24099999999999999</v>
      </c>
      <c r="I115" s="29" t="str" cm="1">
        <f t="array" ref="I115">Common_InputFunctions.Utility_DisplayArrayInTable(Scope3_SourceData.Scope3_Feed_Data(), Table_SourceData_Scope3_Feed[[#Headers],[Category]], 0, 2)</f>
        <v>at market</v>
      </c>
      <c r="K115" s="29" t="str">
        <f>Table_SourceData_Scope3_Feed[[#This Row],[Product]]</f>
        <v>Wheat grain</v>
      </c>
      <c r="L115" s="29" t="str">
        <f>Table_SourceData_Scope3_Feed[[#This Row],[Region of origin]]</f>
        <v>SA</v>
      </c>
    </row>
    <row r="116" spans="1:16" ht="20.100000000000001" customHeight="1" x14ac:dyDescent="0.25">
      <c r="A116"/>
      <c r="D116" s="29" t="str" cm="1">
        <f t="array" ref="D116">Common_InputFunctions.Utility_DisplayArrayInTable(Scope3_SourceData.Scope3_Feed_Data(), Table_SourceData_Scope3_Feed[[#Headers],[Category]], 0, 2)</f>
        <v>Grain</v>
      </c>
      <c r="E116" s="29" t="str" cm="1">
        <f t="array" ref="E116">Common_InputFunctions.Utility_DisplayArrayInTable(Scope3_SourceData.Scope3_Feed_Data(), Table_SourceData_Scope3_Feed[[#Headers],[Category]], 0, 2)</f>
        <v>Wheat grain</v>
      </c>
      <c r="F116" s="29" t="str" cm="1">
        <f t="array" ref="F116">Common_InputFunctions.Utility_DisplayArrayInTable(Scope3_SourceData.Scope3_Feed_Data(), Table_SourceData_Scope3_Feed[[#Headers],[Category]], 0, 2)</f>
        <v>TAS</v>
      </c>
      <c r="G116" s="29" t="str" cm="1">
        <f t="array" ref="G116">Common_InputFunctions.Utility_DisplayArrayInTable(Scope3_SourceData.Scope3_Feed_Data(), Table_SourceData_Scope3_Feed[[#Headers],[Category]], 0, 2)</f>
        <v>kg</v>
      </c>
      <c r="H116" s="29" cm="1">
        <f t="array" ref="H116">Common_InputFunctions.Utility_DisplayArrayInTable(Scope3_SourceData.Scope3_Feed_Data(), Table_SourceData_Scope3_Feed[[#Headers],[Category]], 0, 2)</f>
        <v>0.33800000000000002</v>
      </c>
      <c r="I116" s="29" t="str" cm="1">
        <f t="array" ref="I116">Common_InputFunctions.Utility_DisplayArrayInTable(Scope3_SourceData.Scope3_Feed_Data(), Table_SourceData_Scope3_Feed[[#Headers],[Category]], 0, 2)</f>
        <v>at market</v>
      </c>
      <c r="K116" s="29" t="str">
        <f>Table_SourceData_Scope3_Feed[[#This Row],[Product]]</f>
        <v>Wheat grain</v>
      </c>
      <c r="L116" s="29" t="str">
        <f>Table_SourceData_Scope3_Feed[[#This Row],[Region of origin]]</f>
        <v>TAS</v>
      </c>
    </row>
    <row r="117" spans="1:16" ht="20.100000000000001" customHeight="1" x14ac:dyDescent="0.25">
      <c r="A117"/>
      <c r="D117" s="29" t="str" cm="1">
        <f t="array" ref="D117">Common_InputFunctions.Utility_DisplayArrayInTable(Scope3_SourceData.Scope3_Feed_Data(), Table_SourceData_Scope3_Feed[[#Headers],[Category]], 0, 2)</f>
        <v>Grain</v>
      </c>
      <c r="E117" s="29" t="str" cm="1">
        <f t="array" ref="E117">Common_InputFunctions.Utility_DisplayArrayInTable(Scope3_SourceData.Scope3_Feed_Data(), Table_SourceData_Scope3_Feed[[#Headers],[Category]], 0, 2)</f>
        <v>Wheat grain</v>
      </c>
      <c r="F117" s="29" t="str" cm="1">
        <f t="array" ref="F117">Common_InputFunctions.Utility_DisplayArrayInTable(Scope3_SourceData.Scope3_Feed_Data(), Table_SourceData_Scope3_Feed[[#Headers],[Category]], 0, 2)</f>
        <v>VIC</v>
      </c>
      <c r="G117" s="29" t="str" cm="1">
        <f t="array" ref="G117">Common_InputFunctions.Utility_DisplayArrayInTable(Scope3_SourceData.Scope3_Feed_Data(), Table_SourceData_Scope3_Feed[[#Headers],[Category]], 0, 2)</f>
        <v>kg</v>
      </c>
      <c r="H117" s="29" cm="1">
        <f t="array" ref="H117">Common_InputFunctions.Utility_DisplayArrayInTable(Scope3_SourceData.Scope3_Feed_Data(), Table_SourceData_Scope3_Feed[[#Headers],[Category]], 0, 2)</f>
        <v>0.26600000000000001</v>
      </c>
      <c r="I117" s="29" t="str" cm="1">
        <f t="array" ref="I117">Common_InputFunctions.Utility_DisplayArrayInTable(Scope3_SourceData.Scope3_Feed_Data(), Table_SourceData_Scope3_Feed[[#Headers],[Category]], 0, 2)</f>
        <v>at market</v>
      </c>
      <c r="K117" s="29" t="str">
        <f>Table_SourceData_Scope3_Feed[[#This Row],[Product]]</f>
        <v>Wheat grain</v>
      </c>
      <c r="L117" s="29" t="str">
        <f>Table_SourceData_Scope3_Feed[[#This Row],[Region of origin]]</f>
        <v>VIC</v>
      </c>
    </row>
    <row r="118" spans="1:16" ht="20.100000000000001" customHeight="1" x14ac:dyDescent="0.25">
      <c r="A118"/>
      <c r="D118" s="29" t="str" cm="1">
        <f t="array" ref="D118">Common_InputFunctions.Utility_DisplayArrayInTable(Scope3_SourceData.Scope3_Feed_Data(), Table_SourceData_Scope3_Feed[[#Headers],[Category]], 0, 2)</f>
        <v>Grain</v>
      </c>
      <c r="E118" s="29" t="str" cm="1">
        <f t="array" ref="E118">Common_InputFunctions.Utility_DisplayArrayInTable(Scope3_SourceData.Scope3_Feed_Data(), Table_SourceData_Scope3_Feed[[#Headers],[Category]], 0, 2)</f>
        <v>Wheat grain</v>
      </c>
      <c r="F118" s="29" t="str" cm="1">
        <f t="array" ref="F118">Common_InputFunctions.Utility_DisplayArrayInTable(Scope3_SourceData.Scope3_Feed_Data(), Table_SourceData_Scope3_Feed[[#Headers],[Category]], 0, 2)</f>
        <v>WA</v>
      </c>
      <c r="G118" s="29" t="str" cm="1">
        <f t="array" ref="G118">Common_InputFunctions.Utility_DisplayArrayInTable(Scope3_SourceData.Scope3_Feed_Data(), Table_SourceData_Scope3_Feed[[#Headers],[Category]], 0, 2)</f>
        <v>kg</v>
      </c>
      <c r="H118" s="29" cm="1">
        <f t="array" ref="H118">Common_InputFunctions.Utility_DisplayArrayInTable(Scope3_SourceData.Scope3_Feed_Data(), Table_SourceData_Scope3_Feed[[#Headers],[Category]], 0, 2)</f>
        <v>0.26100000000000001</v>
      </c>
      <c r="I118" s="29" t="str" cm="1">
        <f t="array" ref="I118">Common_InputFunctions.Utility_DisplayArrayInTable(Scope3_SourceData.Scope3_Feed_Data(), Table_SourceData_Scope3_Feed[[#Headers],[Category]], 0, 2)</f>
        <v>at market</v>
      </c>
      <c r="K118" s="29" t="str">
        <f>Table_SourceData_Scope3_Feed[[#This Row],[Product]]</f>
        <v>Wheat grain</v>
      </c>
      <c r="L118" s="29" t="str">
        <f>Table_SourceData_Scope3_Feed[[#This Row],[Region of origin]]</f>
        <v>WA</v>
      </c>
      <c r="N118" s="29" t="s">
        <v>138</v>
      </c>
      <c r="O118" s="29" t="s">
        <v>1267</v>
      </c>
      <c r="P118" s="1" t="str">
        <f>"Table_ProductRegions_" &amp; SUBSTITUTE(SUBSTITUTE(SUBSTITUTE(SUBSTITUTE(N119, " ", ""), ",", ""), "(", ""), ")", "")</f>
        <v>Table_ProductRegions_Cerealhay</v>
      </c>
    </row>
    <row r="119" spans="1:16" ht="20.100000000000001" customHeight="1" x14ac:dyDescent="0.25">
      <c r="A119"/>
      <c r="D119" s="29" t="str" cm="1">
        <f t="array" ref="D119">Common_InputFunctions.Utility_DisplayArrayInTable(Scope3_SourceData.Scope3_Feed_Data(), Table_SourceData_Scope3_Feed[[#Headers],[Category]], 0, 2)</f>
        <v>Hay</v>
      </c>
      <c r="E119" s="29" t="str" cm="1">
        <f t="array" ref="E119">Common_InputFunctions.Utility_DisplayArrayInTable(Scope3_SourceData.Scope3_Feed_Data(), Table_SourceData_Scope3_Feed[[#Headers],[Category]], 0, 2)</f>
        <v>Cereal hay</v>
      </c>
      <c r="F119" s="29" t="str" cm="1">
        <f t="array" ref="F119">Common_InputFunctions.Utility_DisplayArrayInTable(Scope3_SourceData.Scope3_Feed_Data(), Table_SourceData_Scope3_Feed[[#Headers],[Category]], 0, 2)</f>
        <v>Australia</v>
      </c>
      <c r="G119" s="29" t="str" cm="1">
        <f t="array" ref="G119">Common_InputFunctions.Utility_DisplayArrayInTable(Scope3_SourceData.Scope3_Feed_Data(), Table_SourceData_Scope3_Feed[[#Headers],[Category]], 0, 2)</f>
        <v>kg</v>
      </c>
      <c r="H119" s="29" cm="1">
        <f t="array" ref="H119">Common_InputFunctions.Utility_DisplayArrayInTable(Scope3_SourceData.Scope3_Feed_Data(), Table_SourceData_Scope3_Feed[[#Headers],[Category]], 0, 2)</f>
        <v>0.11700000000000001</v>
      </c>
      <c r="I119" s="29" t="str" cm="1">
        <f t="array" ref="I119">Common_InputFunctions.Utility_DisplayArrayInTable(Scope3_SourceData.Scope3_Feed_Data(), Table_SourceData_Scope3_Feed[[#Headers],[Category]], 0, 2)</f>
        <v>at market</v>
      </c>
      <c r="N119" s="29" t="str">
        <f>Table_SourceData_Scope3_Feed[[#This Row],[Product]]</f>
        <v>Cereal hay</v>
      </c>
      <c r="O119" s="29" t="str">
        <f>Table_SourceData_Scope3_Feed[[#This Row],[Region of origin]]</f>
        <v>Australia</v>
      </c>
    </row>
    <row r="120" spans="1:16" ht="20.100000000000001" customHeight="1" x14ac:dyDescent="0.25">
      <c r="A120"/>
      <c r="D120" s="29" t="str" cm="1">
        <f t="array" ref="D120">Common_InputFunctions.Utility_DisplayArrayInTable(Scope3_SourceData.Scope3_Feed_Data(), Table_SourceData_Scope3_Feed[[#Headers],[Category]], 0, 2)</f>
        <v>Hay</v>
      </c>
      <c r="E120" s="29" t="str" cm="1">
        <f t="array" ref="E120">Common_InputFunctions.Utility_DisplayArrayInTable(Scope3_SourceData.Scope3_Feed_Data(), Table_SourceData_Scope3_Feed[[#Headers],[Category]], 0, 2)</f>
        <v>Cereal hay</v>
      </c>
      <c r="F120" s="29" t="str" cm="1">
        <f t="array" ref="F120">Common_InputFunctions.Utility_DisplayArrayInTable(Scope3_SourceData.Scope3_Feed_Data(), Table_SourceData_Scope3_Feed[[#Headers],[Category]], 0, 2)</f>
        <v>NSW</v>
      </c>
      <c r="G120" s="29" t="str" cm="1">
        <f t="array" ref="G120">Common_InputFunctions.Utility_DisplayArrayInTable(Scope3_SourceData.Scope3_Feed_Data(), Table_SourceData_Scope3_Feed[[#Headers],[Category]], 0, 2)</f>
        <v>kg</v>
      </c>
      <c r="H120" s="29" cm="1">
        <f t="array" ref="H120">Common_InputFunctions.Utility_DisplayArrayInTable(Scope3_SourceData.Scope3_Feed_Data(), Table_SourceData_Scope3_Feed[[#Headers],[Category]], 0, 2)</f>
        <v>0.11600000000000001</v>
      </c>
      <c r="I120" s="29" t="str" cm="1">
        <f t="array" ref="I120">Common_InputFunctions.Utility_DisplayArrayInTable(Scope3_SourceData.Scope3_Feed_Data(), Table_SourceData_Scope3_Feed[[#Headers],[Category]], 0, 2)</f>
        <v>at market</v>
      </c>
      <c r="N120" s="29" t="str">
        <f>Table_SourceData_Scope3_Feed[[#This Row],[Product]]</f>
        <v>Cereal hay</v>
      </c>
      <c r="O120" s="29" t="str">
        <f>Table_SourceData_Scope3_Feed[[#This Row],[Region of origin]]</f>
        <v>NSW</v>
      </c>
    </row>
    <row r="121" spans="1:16" ht="20.100000000000001" customHeight="1" x14ac:dyDescent="0.25">
      <c r="A121"/>
      <c r="D121" s="29" t="str" cm="1">
        <f t="array" ref="D121">Common_InputFunctions.Utility_DisplayArrayInTable(Scope3_SourceData.Scope3_Feed_Data(), Table_SourceData_Scope3_Feed[[#Headers],[Category]], 0, 2)</f>
        <v>Hay</v>
      </c>
      <c r="E121" s="29" t="str" cm="1">
        <f t="array" ref="E121">Common_InputFunctions.Utility_DisplayArrayInTable(Scope3_SourceData.Scope3_Feed_Data(), Table_SourceData_Scope3_Feed[[#Headers],[Category]], 0, 2)</f>
        <v>Cereal hay</v>
      </c>
      <c r="F121" s="29" t="str" cm="1">
        <f t="array" ref="F121">Common_InputFunctions.Utility_DisplayArrayInTable(Scope3_SourceData.Scope3_Feed_Data(), Table_SourceData_Scope3_Feed[[#Headers],[Category]], 0, 2)</f>
        <v>QLD</v>
      </c>
      <c r="G121" s="29" t="str" cm="1">
        <f t="array" ref="G121">Common_InputFunctions.Utility_DisplayArrayInTable(Scope3_SourceData.Scope3_Feed_Data(), Table_SourceData_Scope3_Feed[[#Headers],[Category]], 0, 2)</f>
        <v>kg</v>
      </c>
      <c r="H121" s="29" cm="1">
        <f t="array" ref="H121">Common_InputFunctions.Utility_DisplayArrayInTable(Scope3_SourceData.Scope3_Feed_Data(), Table_SourceData_Scope3_Feed[[#Headers],[Category]], 0, 2)</f>
        <v>0.11799999999999999</v>
      </c>
      <c r="I121" s="29" t="str" cm="1">
        <f t="array" ref="I121">Common_InputFunctions.Utility_DisplayArrayInTable(Scope3_SourceData.Scope3_Feed_Data(), Table_SourceData_Scope3_Feed[[#Headers],[Category]], 0, 2)</f>
        <v>at market</v>
      </c>
      <c r="N121" s="29" t="str">
        <f>Table_SourceData_Scope3_Feed[[#This Row],[Product]]</f>
        <v>Cereal hay</v>
      </c>
      <c r="O121" s="29" t="str">
        <f>Table_SourceData_Scope3_Feed[[#This Row],[Region of origin]]</f>
        <v>QLD</v>
      </c>
    </row>
    <row r="122" spans="1:16" ht="20.100000000000001" customHeight="1" x14ac:dyDescent="0.25">
      <c r="A122"/>
      <c r="D122" s="29" t="str" cm="1">
        <f t="array" ref="D122">Common_InputFunctions.Utility_DisplayArrayInTable(Scope3_SourceData.Scope3_Feed_Data(), Table_SourceData_Scope3_Feed[[#Headers],[Category]], 0, 2)</f>
        <v>Hay</v>
      </c>
      <c r="E122" s="29" t="str" cm="1">
        <f t="array" ref="E122">Common_InputFunctions.Utility_DisplayArrayInTable(Scope3_SourceData.Scope3_Feed_Data(), Table_SourceData_Scope3_Feed[[#Headers],[Category]], 0, 2)</f>
        <v>Cereal hay</v>
      </c>
      <c r="F122" s="29" t="str" cm="1">
        <f t="array" ref="F122">Common_InputFunctions.Utility_DisplayArrayInTable(Scope3_SourceData.Scope3_Feed_Data(), Table_SourceData_Scope3_Feed[[#Headers],[Category]], 0, 2)</f>
        <v>SA</v>
      </c>
      <c r="G122" s="29" t="str" cm="1">
        <f t="array" ref="G122">Common_InputFunctions.Utility_DisplayArrayInTable(Scope3_SourceData.Scope3_Feed_Data(), Table_SourceData_Scope3_Feed[[#Headers],[Category]], 0, 2)</f>
        <v>kg</v>
      </c>
      <c r="H122" s="29" cm="1">
        <f t="array" ref="H122">Common_InputFunctions.Utility_DisplayArrayInTable(Scope3_SourceData.Scope3_Feed_Data(), Table_SourceData_Scope3_Feed[[#Headers],[Category]], 0, 2)</f>
        <v>0.111</v>
      </c>
      <c r="I122" s="29" t="str" cm="1">
        <f t="array" ref="I122">Common_InputFunctions.Utility_DisplayArrayInTable(Scope3_SourceData.Scope3_Feed_Data(), Table_SourceData_Scope3_Feed[[#Headers],[Category]], 0, 2)</f>
        <v>at market</v>
      </c>
      <c r="N122" s="29" t="str">
        <f>Table_SourceData_Scope3_Feed[[#This Row],[Product]]</f>
        <v>Cereal hay</v>
      </c>
      <c r="O122" s="29" t="str">
        <f>Table_SourceData_Scope3_Feed[[#This Row],[Region of origin]]</f>
        <v>SA</v>
      </c>
    </row>
    <row r="123" spans="1:16" ht="20.100000000000001" customHeight="1" x14ac:dyDescent="0.25">
      <c r="A123"/>
      <c r="D123" s="29" t="str" cm="1">
        <f t="array" ref="D123">Common_InputFunctions.Utility_DisplayArrayInTable(Scope3_SourceData.Scope3_Feed_Data(), Table_SourceData_Scope3_Feed[[#Headers],[Category]], 0, 2)</f>
        <v>Hay</v>
      </c>
      <c r="E123" s="29" t="str" cm="1">
        <f t="array" ref="E123">Common_InputFunctions.Utility_DisplayArrayInTable(Scope3_SourceData.Scope3_Feed_Data(), Table_SourceData_Scope3_Feed[[#Headers],[Category]], 0, 2)</f>
        <v>Cereal hay</v>
      </c>
      <c r="F123" s="29" t="str" cm="1">
        <f t="array" ref="F123">Common_InputFunctions.Utility_DisplayArrayInTable(Scope3_SourceData.Scope3_Feed_Data(), Table_SourceData_Scope3_Feed[[#Headers],[Category]], 0, 2)</f>
        <v>TAS</v>
      </c>
      <c r="G123" s="29" t="str" cm="1">
        <f t="array" ref="G123">Common_InputFunctions.Utility_DisplayArrayInTable(Scope3_SourceData.Scope3_Feed_Data(), Table_SourceData_Scope3_Feed[[#Headers],[Category]], 0, 2)</f>
        <v>kg</v>
      </c>
      <c r="H123" s="29" cm="1">
        <f t="array" ref="H123">Common_InputFunctions.Utility_DisplayArrayInTable(Scope3_SourceData.Scope3_Feed_Data(), Table_SourceData_Scope3_Feed[[#Headers],[Category]], 0, 2)</f>
        <v>0.13900000000000001</v>
      </c>
      <c r="I123" s="29" t="str" cm="1">
        <f t="array" ref="I123">Common_InputFunctions.Utility_DisplayArrayInTable(Scope3_SourceData.Scope3_Feed_Data(), Table_SourceData_Scope3_Feed[[#Headers],[Category]], 0, 2)</f>
        <v>at market</v>
      </c>
      <c r="N123" s="29" t="str">
        <f>Table_SourceData_Scope3_Feed[[#This Row],[Product]]</f>
        <v>Cereal hay</v>
      </c>
      <c r="O123" s="29" t="str">
        <f>Table_SourceData_Scope3_Feed[[#This Row],[Region of origin]]</f>
        <v>TAS</v>
      </c>
    </row>
    <row r="124" spans="1:16" ht="20.100000000000001" customHeight="1" x14ac:dyDescent="0.25">
      <c r="A124"/>
      <c r="D124" s="29" t="str" cm="1">
        <f t="array" ref="D124">Common_InputFunctions.Utility_DisplayArrayInTable(Scope3_SourceData.Scope3_Feed_Data(), Table_SourceData_Scope3_Feed[[#Headers],[Category]], 0, 2)</f>
        <v>Hay</v>
      </c>
      <c r="E124" s="29" t="str" cm="1">
        <f t="array" ref="E124">Common_InputFunctions.Utility_DisplayArrayInTable(Scope3_SourceData.Scope3_Feed_Data(), Table_SourceData_Scope3_Feed[[#Headers],[Category]], 0, 2)</f>
        <v>Cereal hay</v>
      </c>
      <c r="F124" s="29" t="str" cm="1">
        <f t="array" ref="F124">Common_InputFunctions.Utility_DisplayArrayInTable(Scope3_SourceData.Scope3_Feed_Data(), Table_SourceData_Scope3_Feed[[#Headers],[Category]], 0, 2)</f>
        <v>VIC</v>
      </c>
      <c r="G124" s="29" t="str" cm="1">
        <f t="array" ref="G124">Common_InputFunctions.Utility_DisplayArrayInTable(Scope3_SourceData.Scope3_Feed_Data(), Table_SourceData_Scope3_Feed[[#Headers],[Category]], 0, 2)</f>
        <v>kg</v>
      </c>
      <c r="H124" s="29" cm="1">
        <f t="array" ref="H124">Common_InputFunctions.Utility_DisplayArrayInTable(Scope3_SourceData.Scope3_Feed_Data(), Table_SourceData_Scope3_Feed[[#Headers],[Category]], 0, 2)</f>
        <v>0.11600000000000001</v>
      </c>
      <c r="I124" s="29" t="str" cm="1">
        <f t="array" ref="I124">Common_InputFunctions.Utility_DisplayArrayInTable(Scope3_SourceData.Scope3_Feed_Data(), Table_SourceData_Scope3_Feed[[#Headers],[Category]], 0, 2)</f>
        <v>at market</v>
      </c>
      <c r="N124" s="29" t="str">
        <f>Table_SourceData_Scope3_Feed[[#This Row],[Product]]</f>
        <v>Cereal hay</v>
      </c>
      <c r="O124" s="29" t="str">
        <f>Table_SourceData_Scope3_Feed[[#This Row],[Region of origin]]</f>
        <v>VIC</v>
      </c>
    </row>
    <row r="125" spans="1:16" ht="20.100000000000001" customHeight="1" x14ac:dyDescent="0.25">
      <c r="A125"/>
      <c r="D125" s="29" t="str" cm="1">
        <f t="array" ref="D125">Common_InputFunctions.Utility_DisplayArrayInTable(Scope3_SourceData.Scope3_Feed_Data(), Table_SourceData_Scope3_Feed[[#Headers],[Category]], 0, 2)</f>
        <v>Hay</v>
      </c>
      <c r="E125" s="29" t="str" cm="1">
        <f t="array" ref="E125">Common_InputFunctions.Utility_DisplayArrayInTable(Scope3_SourceData.Scope3_Feed_Data(), Table_SourceData_Scope3_Feed[[#Headers],[Category]], 0, 2)</f>
        <v>Cereal hay</v>
      </c>
      <c r="F125" s="29" t="str" cm="1">
        <f t="array" ref="F125">Common_InputFunctions.Utility_DisplayArrayInTable(Scope3_SourceData.Scope3_Feed_Data(), Table_SourceData_Scope3_Feed[[#Headers],[Category]], 0, 2)</f>
        <v>WA</v>
      </c>
      <c r="G125" s="29" t="str" cm="1">
        <f t="array" ref="G125">Common_InputFunctions.Utility_DisplayArrayInTable(Scope3_SourceData.Scope3_Feed_Data(), Table_SourceData_Scope3_Feed[[#Headers],[Category]], 0, 2)</f>
        <v>kg</v>
      </c>
      <c r="H125" s="29" cm="1">
        <f t="array" ref="H125">Common_InputFunctions.Utility_DisplayArrayInTable(Scope3_SourceData.Scope3_Feed_Data(), Table_SourceData_Scope3_Feed[[#Headers],[Category]], 0, 2)</f>
        <v>0.122</v>
      </c>
      <c r="I125" s="29" t="str" cm="1">
        <f t="array" ref="I125">Common_InputFunctions.Utility_DisplayArrayInTable(Scope3_SourceData.Scope3_Feed_Data(), Table_SourceData_Scope3_Feed[[#Headers],[Category]], 0, 2)</f>
        <v>at market</v>
      </c>
      <c r="K125" s="29" t="s">
        <v>138</v>
      </c>
      <c r="L125" s="29" t="s">
        <v>1267</v>
      </c>
      <c r="M125" s="1" t="str">
        <f>"Table_ProductRegions_" &amp; SUBSTITUTE(SUBSTITUTE(SUBSTITUTE(SUBSTITUTE(K126, " ", ""), ",", ""), "(", ""), ")", "")</f>
        <v>Table_ProductRegions_Cerealsilage</v>
      </c>
      <c r="N125" s="29" t="str">
        <f>Table_SourceData_Scope3_Feed[[#This Row],[Product]]</f>
        <v>Cereal hay</v>
      </c>
      <c r="O125" s="29" t="str">
        <f>Table_SourceData_Scope3_Feed[[#This Row],[Region of origin]]</f>
        <v>WA</v>
      </c>
    </row>
    <row r="126" spans="1:16" ht="20.100000000000001" customHeight="1" x14ac:dyDescent="0.25">
      <c r="A126"/>
      <c r="D126" s="29" t="str" cm="1">
        <f t="array" ref="D126">Common_InputFunctions.Utility_DisplayArrayInTable(Scope3_SourceData.Scope3_Feed_Data(), Table_SourceData_Scope3_Feed[[#Headers],[Category]], 0, 2)</f>
        <v>Hay</v>
      </c>
      <c r="E126" s="29" t="str" cm="1">
        <f t="array" ref="E126">Common_InputFunctions.Utility_DisplayArrayInTable(Scope3_SourceData.Scope3_Feed_Data(), Table_SourceData_Scope3_Feed[[#Headers],[Category]], 0, 2)</f>
        <v>Cereal silage</v>
      </c>
      <c r="F126" s="29" t="str" cm="1">
        <f t="array" ref="F126">Common_InputFunctions.Utility_DisplayArrayInTable(Scope3_SourceData.Scope3_Feed_Data(), Table_SourceData_Scope3_Feed[[#Headers],[Category]], 0, 2)</f>
        <v>Australia</v>
      </c>
      <c r="G126" s="29" t="str" cm="1">
        <f t="array" ref="G126">Common_InputFunctions.Utility_DisplayArrayInTable(Scope3_SourceData.Scope3_Feed_Data(), Table_SourceData_Scope3_Feed[[#Headers],[Category]], 0, 2)</f>
        <v>kg</v>
      </c>
      <c r="H126" s="29" cm="1">
        <f t="array" ref="H126">Common_InputFunctions.Utility_DisplayArrayInTable(Scope3_SourceData.Scope3_Feed_Data(), Table_SourceData_Scope3_Feed[[#Headers],[Category]], 0, 2)</f>
        <v>7.4399999999999994E-2</v>
      </c>
      <c r="I126" s="29" t="str" cm="1">
        <f t="array" ref="I126">Common_InputFunctions.Utility_DisplayArrayInTable(Scope3_SourceData.Scope3_Feed_Data(), Table_SourceData_Scope3_Feed[[#Headers],[Category]], 0, 2)</f>
        <v>at market</v>
      </c>
      <c r="K126" s="29" t="str">
        <f>Table_SourceData_Scope3_Feed[[#This Row],[Product]]</f>
        <v>Cereal silage</v>
      </c>
      <c r="L126" s="29" t="str">
        <f>Table_SourceData_Scope3_Feed[[#This Row],[Region of origin]]</f>
        <v>Australia</v>
      </c>
    </row>
    <row r="127" spans="1:16" ht="20.100000000000001" customHeight="1" x14ac:dyDescent="0.25">
      <c r="A127"/>
      <c r="D127" s="29" t="str" cm="1">
        <f t="array" ref="D127">Common_InputFunctions.Utility_DisplayArrayInTable(Scope3_SourceData.Scope3_Feed_Data(), Table_SourceData_Scope3_Feed[[#Headers],[Category]], 0, 2)</f>
        <v>Hay</v>
      </c>
      <c r="E127" s="29" t="str" cm="1">
        <f t="array" ref="E127">Common_InputFunctions.Utility_DisplayArrayInTable(Scope3_SourceData.Scope3_Feed_Data(), Table_SourceData_Scope3_Feed[[#Headers],[Category]], 0, 2)</f>
        <v>Cereal silage</v>
      </c>
      <c r="F127" s="29" t="str" cm="1">
        <f t="array" ref="F127">Common_InputFunctions.Utility_DisplayArrayInTable(Scope3_SourceData.Scope3_Feed_Data(), Table_SourceData_Scope3_Feed[[#Headers],[Category]], 0, 2)</f>
        <v>NSW</v>
      </c>
      <c r="G127" s="29" t="str" cm="1">
        <f t="array" ref="G127">Common_InputFunctions.Utility_DisplayArrayInTable(Scope3_SourceData.Scope3_Feed_Data(), Table_SourceData_Scope3_Feed[[#Headers],[Category]], 0, 2)</f>
        <v>kg</v>
      </c>
      <c r="H127" s="29" cm="1">
        <f t="array" ref="H127">Common_InputFunctions.Utility_DisplayArrayInTable(Scope3_SourceData.Scope3_Feed_Data(), Table_SourceData_Scope3_Feed[[#Headers],[Category]], 0, 2)</f>
        <v>7.3899999999999993E-2</v>
      </c>
      <c r="I127" s="29" t="str" cm="1">
        <f t="array" ref="I127">Common_InputFunctions.Utility_DisplayArrayInTable(Scope3_SourceData.Scope3_Feed_Data(), Table_SourceData_Scope3_Feed[[#Headers],[Category]], 0, 2)</f>
        <v>at market</v>
      </c>
      <c r="K127" s="29" t="str">
        <f>Table_SourceData_Scope3_Feed[[#This Row],[Product]]</f>
        <v>Cereal silage</v>
      </c>
      <c r="L127" s="29" t="str">
        <f>Table_SourceData_Scope3_Feed[[#This Row],[Region of origin]]</f>
        <v>NSW</v>
      </c>
    </row>
    <row r="128" spans="1:16" ht="20.100000000000001" customHeight="1" x14ac:dyDescent="0.25">
      <c r="A128"/>
      <c r="D128" s="29" t="str" cm="1">
        <f t="array" ref="D128">Common_InputFunctions.Utility_DisplayArrayInTable(Scope3_SourceData.Scope3_Feed_Data(), Table_SourceData_Scope3_Feed[[#Headers],[Category]], 0, 2)</f>
        <v>Hay</v>
      </c>
      <c r="E128" s="29" t="str" cm="1">
        <f t="array" ref="E128">Common_InputFunctions.Utility_DisplayArrayInTable(Scope3_SourceData.Scope3_Feed_Data(), Table_SourceData_Scope3_Feed[[#Headers],[Category]], 0, 2)</f>
        <v>Cereal silage</v>
      </c>
      <c r="F128" s="29" t="str" cm="1">
        <f t="array" ref="F128">Common_InputFunctions.Utility_DisplayArrayInTable(Scope3_SourceData.Scope3_Feed_Data(), Table_SourceData_Scope3_Feed[[#Headers],[Category]], 0, 2)</f>
        <v>QLD</v>
      </c>
      <c r="G128" s="29" t="str" cm="1">
        <f t="array" ref="G128">Common_InputFunctions.Utility_DisplayArrayInTable(Scope3_SourceData.Scope3_Feed_Data(), Table_SourceData_Scope3_Feed[[#Headers],[Category]], 0, 2)</f>
        <v>kg</v>
      </c>
      <c r="H128" s="29" cm="1">
        <f t="array" ref="H128">Common_InputFunctions.Utility_DisplayArrayInTable(Scope3_SourceData.Scope3_Feed_Data(), Table_SourceData_Scope3_Feed[[#Headers],[Category]], 0, 2)</f>
        <v>7.9000000000000001E-2</v>
      </c>
      <c r="I128" s="29" t="str" cm="1">
        <f t="array" ref="I128">Common_InputFunctions.Utility_DisplayArrayInTable(Scope3_SourceData.Scope3_Feed_Data(), Table_SourceData_Scope3_Feed[[#Headers],[Category]], 0, 2)</f>
        <v>at market</v>
      </c>
      <c r="K128" s="29" t="str">
        <f>Table_SourceData_Scope3_Feed[[#This Row],[Product]]</f>
        <v>Cereal silage</v>
      </c>
      <c r="L128" s="29" t="str">
        <f>Table_SourceData_Scope3_Feed[[#This Row],[Region of origin]]</f>
        <v>QLD</v>
      </c>
    </row>
    <row r="129" spans="1:16" ht="20.100000000000001" customHeight="1" x14ac:dyDescent="0.25">
      <c r="A129"/>
      <c r="D129" s="29" t="str" cm="1">
        <f t="array" ref="D129">Common_InputFunctions.Utility_DisplayArrayInTable(Scope3_SourceData.Scope3_Feed_Data(), Table_SourceData_Scope3_Feed[[#Headers],[Category]], 0, 2)</f>
        <v>Hay</v>
      </c>
      <c r="E129" s="29" t="str" cm="1">
        <f t="array" ref="E129">Common_InputFunctions.Utility_DisplayArrayInTable(Scope3_SourceData.Scope3_Feed_Data(), Table_SourceData_Scope3_Feed[[#Headers],[Category]], 0, 2)</f>
        <v>Cereal silage</v>
      </c>
      <c r="F129" s="29" t="str" cm="1">
        <f t="array" ref="F129">Common_InputFunctions.Utility_DisplayArrayInTable(Scope3_SourceData.Scope3_Feed_Data(), Table_SourceData_Scope3_Feed[[#Headers],[Category]], 0, 2)</f>
        <v>SA</v>
      </c>
      <c r="G129" s="29" t="str" cm="1">
        <f t="array" ref="G129">Common_InputFunctions.Utility_DisplayArrayInTable(Scope3_SourceData.Scope3_Feed_Data(), Table_SourceData_Scope3_Feed[[#Headers],[Category]], 0, 2)</f>
        <v>kg</v>
      </c>
      <c r="H129" s="29" cm="1">
        <f t="array" ref="H129">Common_InputFunctions.Utility_DisplayArrayInTable(Scope3_SourceData.Scope3_Feed_Data(), Table_SourceData_Scope3_Feed[[#Headers],[Category]], 0, 2)</f>
        <v>7.0599999999999996E-2</v>
      </c>
      <c r="I129" s="29" t="str" cm="1">
        <f t="array" ref="I129">Common_InputFunctions.Utility_DisplayArrayInTable(Scope3_SourceData.Scope3_Feed_Data(), Table_SourceData_Scope3_Feed[[#Headers],[Category]], 0, 2)</f>
        <v>at market</v>
      </c>
      <c r="K129" s="29" t="str">
        <f>Table_SourceData_Scope3_Feed[[#This Row],[Product]]</f>
        <v>Cereal silage</v>
      </c>
      <c r="L129" s="29" t="str">
        <f>Table_SourceData_Scope3_Feed[[#This Row],[Region of origin]]</f>
        <v>SA</v>
      </c>
    </row>
    <row r="130" spans="1:16" ht="20.100000000000001" customHeight="1" x14ac:dyDescent="0.25">
      <c r="A130"/>
      <c r="D130" s="29" t="str" cm="1">
        <f t="array" ref="D130">Common_InputFunctions.Utility_DisplayArrayInTable(Scope3_SourceData.Scope3_Feed_Data(), Table_SourceData_Scope3_Feed[[#Headers],[Category]], 0, 2)</f>
        <v>Hay</v>
      </c>
      <c r="E130" s="29" t="str" cm="1">
        <f t="array" ref="E130">Common_InputFunctions.Utility_DisplayArrayInTable(Scope3_SourceData.Scope3_Feed_Data(), Table_SourceData_Scope3_Feed[[#Headers],[Category]], 0, 2)</f>
        <v>Cereal silage</v>
      </c>
      <c r="F130" s="29" t="str" cm="1">
        <f t="array" ref="F130">Common_InputFunctions.Utility_DisplayArrayInTable(Scope3_SourceData.Scope3_Feed_Data(), Table_SourceData_Scope3_Feed[[#Headers],[Category]], 0, 2)</f>
        <v>TAS</v>
      </c>
      <c r="G130" s="29" t="str" cm="1">
        <f t="array" ref="G130">Common_InputFunctions.Utility_DisplayArrayInTable(Scope3_SourceData.Scope3_Feed_Data(), Table_SourceData_Scope3_Feed[[#Headers],[Category]], 0, 2)</f>
        <v>kg</v>
      </c>
      <c r="H130" s="29" cm="1">
        <f t="array" ref="H130">Common_InputFunctions.Utility_DisplayArrayInTable(Scope3_SourceData.Scope3_Feed_Data(), Table_SourceData_Scope3_Feed[[#Headers],[Category]], 0, 2)</f>
        <v>8.0799999999999997E-2</v>
      </c>
      <c r="I130" s="29" t="str" cm="1">
        <f t="array" ref="I130">Common_InputFunctions.Utility_DisplayArrayInTable(Scope3_SourceData.Scope3_Feed_Data(), Table_SourceData_Scope3_Feed[[#Headers],[Category]], 0, 2)</f>
        <v>at market</v>
      </c>
      <c r="K130" s="29" t="str">
        <f>Table_SourceData_Scope3_Feed[[#This Row],[Product]]</f>
        <v>Cereal silage</v>
      </c>
      <c r="L130" s="29" t="str">
        <f>Table_SourceData_Scope3_Feed[[#This Row],[Region of origin]]</f>
        <v>TAS</v>
      </c>
    </row>
    <row r="131" spans="1:16" ht="20.100000000000001" customHeight="1" x14ac:dyDescent="0.25">
      <c r="A131"/>
      <c r="D131" s="29" t="str" cm="1">
        <f t="array" ref="D131">Common_InputFunctions.Utility_DisplayArrayInTable(Scope3_SourceData.Scope3_Feed_Data(), Table_SourceData_Scope3_Feed[[#Headers],[Category]], 0, 2)</f>
        <v>Hay</v>
      </c>
      <c r="E131" s="29" t="str" cm="1">
        <f t="array" ref="E131">Common_InputFunctions.Utility_DisplayArrayInTable(Scope3_SourceData.Scope3_Feed_Data(), Table_SourceData_Scope3_Feed[[#Headers],[Category]], 0, 2)</f>
        <v>Cereal silage</v>
      </c>
      <c r="F131" s="29" t="str" cm="1">
        <f t="array" ref="F131">Common_InputFunctions.Utility_DisplayArrayInTable(Scope3_SourceData.Scope3_Feed_Data(), Table_SourceData_Scope3_Feed[[#Headers],[Category]], 0, 2)</f>
        <v>VIC</v>
      </c>
      <c r="G131" s="29" t="str" cm="1">
        <f t="array" ref="G131">Common_InputFunctions.Utility_DisplayArrayInTable(Scope3_SourceData.Scope3_Feed_Data(), Table_SourceData_Scope3_Feed[[#Headers],[Category]], 0, 2)</f>
        <v>kg</v>
      </c>
      <c r="H131" s="29" cm="1">
        <f t="array" ref="H131">Common_InputFunctions.Utility_DisplayArrayInTable(Scope3_SourceData.Scope3_Feed_Data(), Table_SourceData_Scope3_Feed[[#Headers],[Category]], 0, 2)</f>
        <v>7.3599999999999999E-2</v>
      </c>
      <c r="I131" s="29" t="str" cm="1">
        <f t="array" ref="I131">Common_InputFunctions.Utility_DisplayArrayInTable(Scope3_SourceData.Scope3_Feed_Data(), Table_SourceData_Scope3_Feed[[#Headers],[Category]], 0, 2)</f>
        <v>at market</v>
      </c>
      <c r="K131" s="29" t="str">
        <f>Table_SourceData_Scope3_Feed[[#This Row],[Product]]</f>
        <v>Cereal silage</v>
      </c>
      <c r="L131" s="29" t="str">
        <f>Table_SourceData_Scope3_Feed[[#This Row],[Region of origin]]</f>
        <v>VIC</v>
      </c>
      <c r="N131" s="29" t="s">
        <v>138</v>
      </c>
      <c r="O131" s="29" t="s">
        <v>1267</v>
      </c>
      <c r="P131" s="1" t="str">
        <f>"Table_ProductRegions_" &amp; SUBSTITUTE(SUBSTITUTE(SUBSTITUTE(SUBSTITUTE(N132, " ", ""), ",", ""), "(", ""), ")", "")</f>
        <v>Table_ProductRegions_Lucernehay</v>
      </c>
    </row>
    <row r="132" spans="1:16" ht="20.100000000000001" customHeight="1" x14ac:dyDescent="0.25">
      <c r="A132"/>
      <c r="D132" s="29" t="str" cm="1">
        <f t="array" ref="D132">Common_InputFunctions.Utility_DisplayArrayInTable(Scope3_SourceData.Scope3_Feed_Data(), Table_SourceData_Scope3_Feed[[#Headers],[Category]], 0, 2)</f>
        <v>Hay</v>
      </c>
      <c r="E132" s="29" t="str" cm="1">
        <f t="array" ref="E132">Common_InputFunctions.Utility_DisplayArrayInTable(Scope3_SourceData.Scope3_Feed_Data(), Table_SourceData_Scope3_Feed[[#Headers],[Category]], 0, 2)</f>
        <v>Lucerne hay</v>
      </c>
      <c r="F132" s="29" t="str" cm="1">
        <f t="array" ref="F132">Common_InputFunctions.Utility_DisplayArrayInTable(Scope3_SourceData.Scope3_Feed_Data(), Table_SourceData_Scope3_Feed[[#Headers],[Category]], 0, 2)</f>
        <v>Australia</v>
      </c>
      <c r="G132" s="29" t="str" cm="1">
        <f t="array" ref="G132">Common_InputFunctions.Utility_DisplayArrayInTable(Scope3_SourceData.Scope3_Feed_Data(), Table_SourceData_Scope3_Feed[[#Headers],[Category]], 0, 2)</f>
        <v>kg</v>
      </c>
      <c r="H132" s="29" cm="1">
        <f t="array" ref="H132">Common_InputFunctions.Utility_DisplayArrayInTable(Scope3_SourceData.Scope3_Feed_Data(), Table_SourceData_Scope3_Feed[[#Headers],[Category]], 0, 2)</f>
        <v>0.11700000000000001</v>
      </c>
      <c r="I132" s="29" t="str" cm="1">
        <f t="array" ref="I132">Common_InputFunctions.Utility_DisplayArrayInTable(Scope3_SourceData.Scope3_Feed_Data(), Table_SourceData_Scope3_Feed[[#Headers],[Category]], 0, 2)</f>
        <v>at market</v>
      </c>
      <c r="N132" s="29" t="str">
        <f>Table_SourceData_Scope3_Feed[[#This Row],[Product]]</f>
        <v>Lucerne hay</v>
      </c>
      <c r="O132" s="29" t="str">
        <f>Table_SourceData_Scope3_Feed[[#This Row],[Region of origin]]</f>
        <v>Australia</v>
      </c>
    </row>
    <row r="133" spans="1:16" ht="20.100000000000001" customHeight="1" x14ac:dyDescent="0.25">
      <c r="A133"/>
      <c r="D133" s="29" t="str" cm="1">
        <f t="array" ref="D133">Common_InputFunctions.Utility_DisplayArrayInTable(Scope3_SourceData.Scope3_Feed_Data(), Table_SourceData_Scope3_Feed[[#Headers],[Category]], 0, 2)</f>
        <v>Hay</v>
      </c>
      <c r="E133" s="29" t="str" cm="1">
        <f t="array" ref="E133">Common_InputFunctions.Utility_DisplayArrayInTable(Scope3_SourceData.Scope3_Feed_Data(), Table_SourceData_Scope3_Feed[[#Headers],[Category]], 0, 2)</f>
        <v>Lucerne hay</v>
      </c>
      <c r="F133" s="29" t="str" cm="1">
        <f t="array" ref="F133">Common_InputFunctions.Utility_DisplayArrayInTable(Scope3_SourceData.Scope3_Feed_Data(), Table_SourceData_Scope3_Feed[[#Headers],[Category]], 0, 2)</f>
        <v>NSW</v>
      </c>
      <c r="G133" s="29" t="str" cm="1">
        <f t="array" ref="G133">Common_InputFunctions.Utility_DisplayArrayInTable(Scope3_SourceData.Scope3_Feed_Data(), Table_SourceData_Scope3_Feed[[#Headers],[Category]], 0, 2)</f>
        <v>kg</v>
      </c>
      <c r="H133" s="29" cm="1">
        <f t="array" ref="H133">Common_InputFunctions.Utility_DisplayArrayInTable(Scope3_SourceData.Scope3_Feed_Data(), Table_SourceData_Scope3_Feed[[#Headers],[Category]], 0, 2)</f>
        <v>0.113</v>
      </c>
      <c r="I133" s="29" t="str" cm="1">
        <f t="array" ref="I133">Common_InputFunctions.Utility_DisplayArrayInTable(Scope3_SourceData.Scope3_Feed_Data(), Table_SourceData_Scope3_Feed[[#Headers],[Category]], 0, 2)</f>
        <v>at market</v>
      </c>
      <c r="N133" s="29" t="str">
        <f>Table_SourceData_Scope3_Feed[[#This Row],[Product]]</f>
        <v>Lucerne hay</v>
      </c>
      <c r="O133" s="29" t="str">
        <f>Table_SourceData_Scope3_Feed[[#This Row],[Region of origin]]</f>
        <v>NSW</v>
      </c>
    </row>
    <row r="134" spans="1:16" ht="20.100000000000001" customHeight="1" x14ac:dyDescent="0.25">
      <c r="A134"/>
      <c r="D134" s="29" t="str" cm="1">
        <f t="array" ref="D134">Common_InputFunctions.Utility_DisplayArrayInTable(Scope3_SourceData.Scope3_Feed_Data(), Table_SourceData_Scope3_Feed[[#Headers],[Category]], 0, 2)</f>
        <v>Hay</v>
      </c>
      <c r="E134" s="29" t="str" cm="1">
        <f t="array" ref="E134">Common_InputFunctions.Utility_DisplayArrayInTable(Scope3_SourceData.Scope3_Feed_Data(), Table_SourceData_Scope3_Feed[[#Headers],[Category]], 0, 2)</f>
        <v>Lucerne hay</v>
      </c>
      <c r="F134" s="29" t="str" cm="1">
        <f t="array" ref="F134">Common_InputFunctions.Utility_DisplayArrayInTable(Scope3_SourceData.Scope3_Feed_Data(), Table_SourceData_Scope3_Feed[[#Headers],[Category]], 0, 2)</f>
        <v>QLD</v>
      </c>
      <c r="G134" s="29" t="str" cm="1">
        <f t="array" ref="G134">Common_InputFunctions.Utility_DisplayArrayInTable(Scope3_SourceData.Scope3_Feed_Data(), Table_SourceData_Scope3_Feed[[#Headers],[Category]], 0, 2)</f>
        <v>kg</v>
      </c>
      <c r="H134" s="29" cm="1">
        <f t="array" ref="H134">Common_InputFunctions.Utility_DisplayArrayInTable(Scope3_SourceData.Scope3_Feed_Data(), Table_SourceData_Scope3_Feed[[#Headers],[Category]], 0, 2)</f>
        <v>0.14299999999999999</v>
      </c>
      <c r="I134" s="29" t="str" cm="1">
        <f t="array" ref="I134">Common_InputFunctions.Utility_DisplayArrayInTable(Scope3_SourceData.Scope3_Feed_Data(), Table_SourceData_Scope3_Feed[[#Headers],[Category]], 0, 2)</f>
        <v>at market</v>
      </c>
      <c r="N134" s="29" t="str">
        <f>Table_SourceData_Scope3_Feed[[#This Row],[Product]]</f>
        <v>Lucerne hay</v>
      </c>
      <c r="O134" s="29" t="str">
        <f>Table_SourceData_Scope3_Feed[[#This Row],[Region of origin]]</f>
        <v>QLD</v>
      </c>
    </row>
    <row r="135" spans="1:16" ht="20.100000000000001" customHeight="1" x14ac:dyDescent="0.25">
      <c r="A135"/>
      <c r="D135" s="29" t="str" cm="1">
        <f t="array" ref="D135">Common_InputFunctions.Utility_DisplayArrayInTable(Scope3_SourceData.Scope3_Feed_Data(), Table_SourceData_Scope3_Feed[[#Headers],[Category]], 0, 2)</f>
        <v>Hay</v>
      </c>
      <c r="E135" s="29" t="str" cm="1">
        <f t="array" ref="E135">Common_InputFunctions.Utility_DisplayArrayInTable(Scope3_SourceData.Scope3_Feed_Data(), Table_SourceData_Scope3_Feed[[#Headers],[Category]], 0, 2)</f>
        <v>Lucerne hay</v>
      </c>
      <c r="F135" s="29" t="str" cm="1">
        <f t="array" ref="F135">Common_InputFunctions.Utility_DisplayArrayInTable(Scope3_SourceData.Scope3_Feed_Data(), Table_SourceData_Scope3_Feed[[#Headers],[Category]], 0, 2)</f>
        <v>SA</v>
      </c>
      <c r="G135" s="29" t="str" cm="1">
        <f t="array" ref="G135">Common_InputFunctions.Utility_DisplayArrayInTable(Scope3_SourceData.Scope3_Feed_Data(), Table_SourceData_Scope3_Feed[[#Headers],[Category]], 0, 2)</f>
        <v>kg</v>
      </c>
      <c r="H135" s="29" cm="1">
        <f t="array" ref="H135">Common_InputFunctions.Utility_DisplayArrayInTable(Scope3_SourceData.Scope3_Feed_Data(), Table_SourceData_Scope3_Feed[[#Headers],[Category]], 0, 2)</f>
        <v>0.106</v>
      </c>
      <c r="I135" s="29" t="str" cm="1">
        <f t="array" ref="I135">Common_InputFunctions.Utility_DisplayArrayInTable(Scope3_SourceData.Scope3_Feed_Data(), Table_SourceData_Scope3_Feed[[#Headers],[Category]], 0, 2)</f>
        <v>at market</v>
      </c>
      <c r="N135" s="29" t="str">
        <f>Table_SourceData_Scope3_Feed[[#This Row],[Product]]</f>
        <v>Lucerne hay</v>
      </c>
      <c r="O135" s="29" t="str">
        <f>Table_SourceData_Scope3_Feed[[#This Row],[Region of origin]]</f>
        <v>SA</v>
      </c>
    </row>
    <row r="136" spans="1:16" ht="20.100000000000001" customHeight="1" x14ac:dyDescent="0.25">
      <c r="A136"/>
      <c r="D136" s="29" t="str" cm="1">
        <f t="array" ref="D136">Common_InputFunctions.Utility_DisplayArrayInTable(Scope3_SourceData.Scope3_Feed_Data(), Table_SourceData_Scope3_Feed[[#Headers],[Category]], 0, 2)</f>
        <v>Hay</v>
      </c>
      <c r="E136" s="29" t="str" cm="1">
        <f t="array" ref="E136">Common_InputFunctions.Utility_DisplayArrayInTable(Scope3_SourceData.Scope3_Feed_Data(), Table_SourceData_Scope3_Feed[[#Headers],[Category]], 0, 2)</f>
        <v>Lucerne hay</v>
      </c>
      <c r="F136" s="29" t="str" cm="1">
        <f t="array" ref="F136">Common_InputFunctions.Utility_DisplayArrayInTable(Scope3_SourceData.Scope3_Feed_Data(), Table_SourceData_Scope3_Feed[[#Headers],[Category]], 0, 2)</f>
        <v>TAS</v>
      </c>
      <c r="G136" s="29" t="str" cm="1">
        <f t="array" ref="G136">Common_InputFunctions.Utility_DisplayArrayInTable(Scope3_SourceData.Scope3_Feed_Data(), Table_SourceData_Scope3_Feed[[#Headers],[Category]], 0, 2)</f>
        <v>kg</v>
      </c>
      <c r="H136" s="29" cm="1">
        <f t="array" ref="H136">Common_InputFunctions.Utility_DisplayArrayInTable(Scope3_SourceData.Scope3_Feed_Data(), Table_SourceData_Scope3_Feed[[#Headers],[Category]], 0, 2)</f>
        <v>0.113</v>
      </c>
      <c r="I136" s="29" t="str" cm="1">
        <f t="array" ref="I136">Common_InputFunctions.Utility_DisplayArrayInTable(Scope3_SourceData.Scope3_Feed_Data(), Table_SourceData_Scope3_Feed[[#Headers],[Category]], 0, 2)</f>
        <v>at market</v>
      </c>
      <c r="N136" s="29" t="str">
        <f>Table_SourceData_Scope3_Feed[[#This Row],[Product]]</f>
        <v>Lucerne hay</v>
      </c>
      <c r="O136" s="29" t="str">
        <f>Table_SourceData_Scope3_Feed[[#This Row],[Region of origin]]</f>
        <v>TAS</v>
      </c>
    </row>
    <row r="137" spans="1:16" ht="20.100000000000001" customHeight="1" x14ac:dyDescent="0.25">
      <c r="A137"/>
      <c r="D137" s="29" t="str" cm="1">
        <f t="array" ref="D137">Common_InputFunctions.Utility_DisplayArrayInTable(Scope3_SourceData.Scope3_Feed_Data(), Table_SourceData_Scope3_Feed[[#Headers],[Category]], 0, 2)</f>
        <v>Hay</v>
      </c>
      <c r="E137" s="29" t="str" cm="1">
        <f t="array" ref="E137">Common_InputFunctions.Utility_DisplayArrayInTable(Scope3_SourceData.Scope3_Feed_Data(), Table_SourceData_Scope3_Feed[[#Headers],[Category]], 0, 2)</f>
        <v>Lucerne hay</v>
      </c>
      <c r="F137" s="29" t="str" cm="1">
        <f t="array" ref="F137">Common_InputFunctions.Utility_DisplayArrayInTable(Scope3_SourceData.Scope3_Feed_Data(), Table_SourceData_Scope3_Feed[[#Headers],[Category]], 0, 2)</f>
        <v>VIC</v>
      </c>
      <c r="G137" s="29" t="str" cm="1">
        <f t="array" ref="G137">Common_InputFunctions.Utility_DisplayArrayInTable(Scope3_SourceData.Scope3_Feed_Data(), Table_SourceData_Scope3_Feed[[#Headers],[Category]], 0, 2)</f>
        <v>kg</v>
      </c>
      <c r="H137" s="29" cm="1">
        <f t="array" ref="H137">Common_InputFunctions.Utility_DisplayArrayInTable(Scope3_SourceData.Scope3_Feed_Data(), Table_SourceData_Scope3_Feed[[#Headers],[Category]], 0, 2)</f>
        <v>0.106</v>
      </c>
      <c r="I137" s="29" t="str" cm="1">
        <f t="array" ref="I137">Common_InputFunctions.Utility_DisplayArrayInTable(Scope3_SourceData.Scope3_Feed_Data(), Table_SourceData_Scope3_Feed[[#Headers],[Category]], 0, 2)</f>
        <v>at market</v>
      </c>
      <c r="N137" s="29" t="str">
        <f>Table_SourceData_Scope3_Feed[[#This Row],[Product]]</f>
        <v>Lucerne hay</v>
      </c>
      <c r="O137" s="29" t="str">
        <f>Table_SourceData_Scope3_Feed[[#This Row],[Region of origin]]</f>
        <v>VIC</v>
      </c>
    </row>
    <row r="138" spans="1:16" ht="20.100000000000001" customHeight="1" x14ac:dyDescent="0.25">
      <c r="A138"/>
      <c r="D138" s="29" t="str" cm="1">
        <f t="array" ref="D138">Common_InputFunctions.Utility_DisplayArrayInTable(Scope3_SourceData.Scope3_Feed_Data(), Table_SourceData_Scope3_Feed[[#Headers],[Category]], 0, 2)</f>
        <v>Hay</v>
      </c>
      <c r="E138" s="29" t="str" cm="1">
        <f t="array" ref="E138">Common_InputFunctions.Utility_DisplayArrayInTable(Scope3_SourceData.Scope3_Feed_Data(), Table_SourceData_Scope3_Feed[[#Headers],[Category]], 0, 2)</f>
        <v>Maize silage</v>
      </c>
      <c r="F138" s="29" t="str" cm="1">
        <f t="array" ref="F138">Common_InputFunctions.Utility_DisplayArrayInTable(Scope3_SourceData.Scope3_Feed_Data(), Table_SourceData_Scope3_Feed[[#Headers],[Category]], 0, 2)</f>
        <v>VIC</v>
      </c>
      <c r="G138" s="29" t="str" cm="1">
        <f t="array" ref="G138">Common_InputFunctions.Utility_DisplayArrayInTable(Scope3_SourceData.Scope3_Feed_Data(), Table_SourceData_Scope3_Feed[[#Headers],[Category]], 0, 2)</f>
        <v>kg</v>
      </c>
      <c r="H138" s="29" cm="1">
        <f t="array" ref="H138">Common_InputFunctions.Utility_DisplayArrayInTable(Scope3_SourceData.Scope3_Feed_Data(), Table_SourceData_Scope3_Feed[[#Headers],[Category]], 0, 2)</f>
        <v>0.16300000000000001</v>
      </c>
      <c r="I138" s="29" t="str" cm="1">
        <f t="array" ref="I138">Common_InputFunctions.Utility_DisplayArrayInTable(Scope3_SourceData.Scope3_Feed_Data(), Table_SourceData_Scope3_Feed[[#Headers],[Category]], 0, 2)</f>
        <v>at market</v>
      </c>
      <c r="K138" s="29" t="s">
        <v>138</v>
      </c>
      <c r="L138" s="29" t="s">
        <v>1267</v>
      </c>
      <c r="M138" s="1" t="str">
        <f>"Table_ProductRegions_" &amp; SUBSTITUTE(SUBSTITUTE(SUBSTITUTE(SUBSTITUTE(K139, " ", ""), ",", ""), "(", ""), ")", "")</f>
        <v>Table_ProductRegions_Oatenhay</v>
      </c>
      <c r="N138" s="29" t="str">
        <f>Table_SourceData_Scope3_Feed[[#This Row],[Product]]</f>
        <v>Maize silage</v>
      </c>
      <c r="O138" s="29" t="str">
        <f>Table_SourceData_Scope3_Feed[[#This Row],[Region of origin]]</f>
        <v>VIC</v>
      </c>
    </row>
    <row r="139" spans="1:16" ht="20.100000000000001" customHeight="1" x14ac:dyDescent="0.25">
      <c r="A139"/>
      <c r="D139" s="29" t="str" cm="1">
        <f t="array" ref="D139">Common_InputFunctions.Utility_DisplayArrayInTable(Scope3_SourceData.Scope3_Feed_Data(), Table_SourceData_Scope3_Feed[[#Headers],[Category]], 0, 2)</f>
        <v>Hay</v>
      </c>
      <c r="E139" s="29" t="str" cm="1">
        <f t="array" ref="E139">Common_InputFunctions.Utility_DisplayArrayInTable(Scope3_SourceData.Scope3_Feed_Data(), Table_SourceData_Scope3_Feed[[#Headers],[Category]], 0, 2)</f>
        <v>Oaten hay</v>
      </c>
      <c r="F139" s="29" t="str" cm="1">
        <f t="array" ref="F139">Common_InputFunctions.Utility_DisplayArrayInTable(Scope3_SourceData.Scope3_Feed_Data(), Table_SourceData_Scope3_Feed[[#Headers],[Category]], 0, 2)</f>
        <v>Australia</v>
      </c>
      <c r="G139" s="29" t="str" cm="1">
        <f t="array" ref="G139">Common_InputFunctions.Utility_DisplayArrayInTable(Scope3_SourceData.Scope3_Feed_Data(), Table_SourceData_Scope3_Feed[[#Headers],[Category]], 0, 2)</f>
        <v>kg</v>
      </c>
      <c r="H139" s="29" cm="1">
        <f t="array" ref="H139">Common_InputFunctions.Utility_DisplayArrayInTable(Scope3_SourceData.Scope3_Feed_Data(), Table_SourceData_Scope3_Feed[[#Headers],[Category]], 0, 2)</f>
        <v>0.12</v>
      </c>
      <c r="I139" s="29" t="str" cm="1">
        <f t="array" ref="I139">Common_InputFunctions.Utility_DisplayArrayInTable(Scope3_SourceData.Scope3_Feed_Data(), Table_SourceData_Scope3_Feed[[#Headers],[Category]], 0, 2)</f>
        <v>at market</v>
      </c>
      <c r="K139" s="29" t="str">
        <f>Table_SourceData_Scope3_Feed[[#This Row],[Product]]</f>
        <v>Oaten hay</v>
      </c>
      <c r="L139" s="29" t="str">
        <f>Table_SourceData_Scope3_Feed[[#This Row],[Region of origin]]</f>
        <v>Australia</v>
      </c>
    </row>
    <row r="140" spans="1:16" ht="20.100000000000001" customHeight="1" x14ac:dyDescent="0.25">
      <c r="A140"/>
      <c r="D140" s="29" t="str" cm="1">
        <f t="array" ref="D140">Common_InputFunctions.Utility_DisplayArrayInTable(Scope3_SourceData.Scope3_Feed_Data(), Table_SourceData_Scope3_Feed[[#Headers],[Category]], 0, 2)</f>
        <v>Hay</v>
      </c>
      <c r="E140" s="29" t="str" cm="1">
        <f t="array" ref="E140">Common_InputFunctions.Utility_DisplayArrayInTable(Scope3_SourceData.Scope3_Feed_Data(), Table_SourceData_Scope3_Feed[[#Headers],[Category]], 0, 2)</f>
        <v>Oaten hay</v>
      </c>
      <c r="F140" s="29" t="str" cm="1">
        <f t="array" ref="F140">Common_InputFunctions.Utility_DisplayArrayInTable(Scope3_SourceData.Scope3_Feed_Data(), Table_SourceData_Scope3_Feed[[#Headers],[Category]], 0, 2)</f>
        <v>NSW</v>
      </c>
      <c r="G140" s="29" t="str" cm="1">
        <f t="array" ref="G140">Common_InputFunctions.Utility_DisplayArrayInTable(Scope3_SourceData.Scope3_Feed_Data(), Table_SourceData_Scope3_Feed[[#Headers],[Category]], 0, 2)</f>
        <v>kg</v>
      </c>
      <c r="H140" s="29" cm="1">
        <f t="array" ref="H140">Common_InputFunctions.Utility_DisplayArrayInTable(Scope3_SourceData.Scope3_Feed_Data(), Table_SourceData_Scope3_Feed[[#Headers],[Category]], 0, 2)</f>
        <v>0.11899999999999999</v>
      </c>
      <c r="I140" s="29" t="str" cm="1">
        <f t="array" ref="I140">Common_InputFunctions.Utility_DisplayArrayInTable(Scope3_SourceData.Scope3_Feed_Data(), Table_SourceData_Scope3_Feed[[#Headers],[Category]], 0, 2)</f>
        <v>at market</v>
      </c>
      <c r="K140" s="29" t="str">
        <f>Table_SourceData_Scope3_Feed[[#This Row],[Product]]</f>
        <v>Oaten hay</v>
      </c>
      <c r="L140" s="29" t="str">
        <f>Table_SourceData_Scope3_Feed[[#This Row],[Region of origin]]</f>
        <v>NSW</v>
      </c>
    </row>
    <row r="141" spans="1:16" ht="20.100000000000001" customHeight="1" x14ac:dyDescent="0.25">
      <c r="A141"/>
      <c r="D141" s="29" t="str" cm="1">
        <f t="array" ref="D141">Common_InputFunctions.Utility_DisplayArrayInTable(Scope3_SourceData.Scope3_Feed_Data(), Table_SourceData_Scope3_Feed[[#Headers],[Category]], 0, 2)</f>
        <v>Hay</v>
      </c>
      <c r="E141" s="29" t="str" cm="1">
        <f t="array" ref="E141">Common_InputFunctions.Utility_DisplayArrayInTable(Scope3_SourceData.Scope3_Feed_Data(), Table_SourceData_Scope3_Feed[[#Headers],[Category]], 0, 2)</f>
        <v>Oaten hay</v>
      </c>
      <c r="F141" s="29" t="str" cm="1">
        <f t="array" ref="F141">Common_InputFunctions.Utility_DisplayArrayInTable(Scope3_SourceData.Scope3_Feed_Data(), Table_SourceData_Scope3_Feed[[#Headers],[Category]], 0, 2)</f>
        <v>QLD</v>
      </c>
      <c r="G141" s="29" t="str" cm="1">
        <f t="array" ref="G141">Common_InputFunctions.Utility_DisplayArrayInTable(Scope3_SourceData.Scope3_Feed_Data(), Table_SourceData_Scope3_Feed[[#Headers],[Category]], 0, 2)</f>
        <v>kg</v>
      </c>
      <c r="H141" s="29" cm="1">
        <f t="array" ref="H141">Common_InputFunctions.Utility_DisplayArrayInTable(Scope3_SourceData.Scope3_Feed_Data(), Table_SourceData_Scope3_Feed[[#Headers],[Category]], 0, 2)</f>
        <v>0.11700000000000001</v>
      </c>
      <c r="I141" s="29" t="str" cm="1">
        <f t="array" ref="I141">Common_InputFunctions.Utility_DisplayArrayInTable(Scope3_SourceData.Scope3_Feed_Data(), Table_SourceData_Scope3_Feed[[#Headers],[Category]], 0, 2)</f>
        <v>at market</v>
      </c>
      <c r="K141" s="29" t="str">
        <f>Table_SourceData_Scope3_Feed[[#This Row],[Product]]</f>
        <v>Oaten hay</v>
      </c>
      <c r="L141" s="29" t="str">
        <f>Table_SourceData_Scope3_Feed[[#This Row],[Region of origin]]</f>
        <v>QLD</v>
      </c>
    </row>
    <row r="142" spans="1:16" ht="20.100000000000001" customHeight="1" x14ac:dyDescent="0.25">
      <c r="A142"/>
      <c r="D142" s="29" t="str" cm="1">
        <f t="array" ref="D142">Common_InputFunctions.Utility_DisplayArrayInTable(Scope3_SourceData.Scope3_Feed_Data(), Table_SourceData_Scope3_Feed[[#Headers],[Category]], 0, 2)</f>
        <v>Hay</v>
      </c>
      <c r="E142" s="29" t="str" cm="1">
        <f t="array" ref="E142">Common_InputFunctions.Utility_DisplayArrayInTable(Scope3_SourceData.Scope3_Feed_Data(), Table_SourceData_Scope3_Feed[[#Headers],[Category]], 0, 2)</f>
        <v>Oaten hay</v>
      </c>
      <c r="F142" s="29" t="str" cm="1">
        <f t="array" ref="F142">Common_InputFunctions.Utility_DisplayArrayInTable(Scope3_SourceData.Scope3_Feed_Data(), Table_SourceData_Scope3_Feed[[#Headers],[Category]], 0, 2)</f>
        <v>SA</v>
      </c>
      <c r="G142" s="29" t="str" cm="1">
        <f t="array" ref="G142">Common_InputFunctions.Utility_DisplayArrayInTable(Scope3_SourceData.Scope3_Feed_Data(), Table_SourceData_Scope3_Feed[[#Headers],[Category]], 0, 2)</f>
        <v>kg</v>
      </c>
      <c r="H142" s="29" cm="1">
        <f t="array" ref="H142">Common_InputFunctions.Utility_DisplayArrayInTable(Scope3_SourceData.Scope3_Feed_Data(), Table_SourceData_Scope3_Feed[[#Headers],[Category]], 0, 2)</f>
        <v>0.114</v>
      </c>
      <c r="I142" s="29" t="str" cm="1">
        <f t="array" ref="I142">Common_InputFunctions.Utility_DisplayArrayInTable(Scope3_SourceData.Scope3_Feed_Data(), Table_SourceData_Scope3_Feed[[#Headers],[Category]], 0, 2)</f>
        <v>at market</v>
      </c>
      <c r="K142" s="29" t="str">
        <f>Table_SourceData_Scope3_Feed[[#This Row],[Product]]</f>
        <v>Oaten hay</v>
      </c>
      <c r="L142" s="29" t="str">
        <f>Table_SourceData_Scope3_Feed[[#This Row],[Region of origin]]</f>
        <v>SA</v>
      </c>
    </row>
    <row r="143" spans="1:16" ht="20.100000000000001" customHeight="1" x14ac:dyDescent="0.25">
      <c r="A143"/>
      <c r="D143" s="29" t="str" cm="1">
        <f t="array" ref="D143">Common_InputFunctions.Utility_DisplayArrayInTable(Scope3_SourceData.Scope3_Feed_Data(), Table_SourceData_Scope3_Feed[[#Headers],[Category]], 0, 2)</f>
        <v>Hay</v>
      </c>
      <c r="E143" s="29" t="str" cm="1">
        <f t="array" ref="E143">Common_InputFunctions.Utility_DisplayArrayInTable(Scope3_SourceData.Scope3_Feed_Data(), Table_SourceData_Scope3_Feed[[#Headers],[Category]], 0, 2)</f>
        <v>Oaten hay</v>
      </c>
      <c r="F143" s="29" t="str" cm="1">
        <f t="array" ref="F143">Common_InputFunctions.Utility_DisplayArrayInTable(Scope3_SourceData.Scope3_Feed_Data(), Table_SourceData_Scope3_Feed[[#Headers],[Category]], 0, 2)</f>
        <v>VIC</v>
      </c>
      <c r="G143" s="29" t="str" cm="1">
        <f t="array" ref="G143">Common_InputFunctions.Utility_DisplayArrayInTable(Scope3_SourceData.Scope3_Feed_Data(), Table_SourceData_Scope3_Feed[[#Headers],[Category]], 0, 2)</f>
        <v>kg</v>
      </c>
      <c r="H143" s="29" cm="1">
        <f t="array" ref="H143">Common_InputFunctions.Utility_DisplayArrayInTable(Scope3_SourceData.Scope3_Feed_Data(), Table_SourceData_Scope3_Feed[[#Headers],[Category]], 0, 2)</f>
        <v>0.11799999999999999</v>
      </c>
      <c r="I143" s="29" t="str" cm="1">
        <f t="array" ref="I143">Common_InputFunctions.Utility_DisplayArrayInTable(Scope3_SourceData.Scope3_Feed_Data(), Table_SourceData_Scope3_Feed[[#Headers],[Category]], 0, 2)</f>
        <v>at market</v>
      </c>
      <c r="K143" s="29" t="str">
        <f>Table_SourceData_Scope3_Feed[[#This Row],[Product]]</f>
        <v>Oaten hay</v>
      </c>
      <c r="L143" s="29" t="str">
        <f>Table_SourceData_Scope3_Feed[[#This Row],[Region of origin]]</f>
        <v>VIC</v>
      </c>
    </row>
    <row r="144" spans="1:16" ht="20.100000000000001" customHeight="1" x14ac:dyDescent="0.25">
      <c r="A144"/>
      <c r="D144" s="29" t="str" cm="1">
        <f t="array" ref="D144">Common_InputFunctions.Utility_DisplayArrayInTable(Scope3_SourceData.Scope3_Feed_Data(), Table_SourceData_Scope3_Feed[[#Headers],[Category]], 0, 2)</f>
        <v>Hay</v>
      </c>
      <c r="E144" s="29" t="str" cm="1">
        <f t="array" ref="E144">Common_InputFunctions.Utility_DisplayArrayInTable(Scope3_SourceData.Scope3_Feed_Data(), Table_SourceData_Scope3_Feed[[#Headers],[Category]], 0, 2)</f>
        <v>Oaten hay</v>
      </c>
      <c r="F144" s="29" t="str" cm="1">
        <f t="array" ref="F144">Common_InputFunctions.Utility_DisplayArrayInTable(Scope3_SourceData.Scope3_Feed_Data(), Table_SourceData_Scope3_Feed[[#Headers],[Category]], 0, 2)</f>
        <v>WA</v>
      </c>
      <c r="G144" s="29" t="str" cm="1">
        <f t="array" ref="G144">Common_InputFunctions.Utility_DisplayArrayInTable(Scope3_SourceData.Scope3_Feed_Data(), Table_SourceData_Scope3_Feed[[#Headers],[Category]], 0, 2)</f>
        <v>kg</v>
      </c>
      <c r="H144" s="29" cm="1">
        <f t="array" ref="H144">Common_InputFunctions.Utility_DisplayArrayInTable(Scope3_SourceData.Scope3_Feed_Data(), Table_SourceData_Scope3_Feed[[#Headers],[Category]], 0, 2)</f>
        <v>0.124</v>
      </c>
      <c r="I144" s="29" t="str" cm="1">
        <f t="array" ref="I144">Common_InputFunctions.Utility_DisplayArrayInTable(Scope3_SourceData.Scope3_Feed_Data(), Table_SourceData_Scope3_Feed[[#Headers],[Category]], 0, 2)</f>
        <v>at market</v>
      </c>
      <c r="K144" s="29" t="str">
        <f>Table_SourceData_Scope3_Feed[[#This Row],[Product]]</f>
        <v>Oaten hay</v>
      </c>
      <c r="L144" s="29" t="str">
        <f>Table_SourceData_Scope3_Feed[[#This Row],[Region of origin]]</f>
        <v>WA</v>
      </c>
      <c r="N144" s="29" t="s">
        <v>138</v>
      </c>
      <c r="O144" s="29" t="s">
        <v>1267</v>
      </c>
      <c r="P144" s="1" t="str">
        <f>"Table_ProductRegions_" &amp; SUBSTITUTE(SUBSTITUTE(SUBSTITUTE(SUBSTITUTE(N145, " ", ""), ",", ""), "(", ""), ")", "")</f>
        <v>Table_ProductRegions_Pasturehay</v>
      </c>
    </row>
    <row r="145" spans="1:16" ht="20.100000000000001" customHeight="1" x14ac:dyDescent="0.25">
      <c r="A145"/>
      <c r="D145" s="29" t="str" cm="1">
        <f t="array" ref="D145">Common_InputFunctions.Utility_DisplayArrayInTable(Scope3_SourceData.Scope3_Feed_Data(), Table_SourceData_Scope3_Feed[[#Headers],[Category]], 0, 2)</f>
        <v>Hay</v>
      </c>
      <c r="E145" s="29" t="str" cm="1">
        <f t="array" ref="E145">Common_InputFunctions.Utility_DisplayArrayInTable(Scope3_SourceData.Scope3_Feed_Data(), Table_SourceData_Scope3_Feed[[#Headers],[Category]], 0, 2)</f>
        <v>Pasture hay</v>
      </c>
      <c r="F145" s="29" t="str" cm="1">
        <f t="array" ref="F145">Common_InputFunctions.Utility_DisplayArrayInTable(Scope3_SourceData.Scope3_Feed_Data(), Table_SourceData_Scope3_Feed[[#Headers],[Category]], 0, 2)</f>
        <v>Australia</v>
      </c>
      <c r="G145" s="29" t="str" cm="1">
        <f t="array" ref="G145">Common_InputFunctions.Utility_DisplayArrayInTable(Scope3_SourceData.Scope3_Feed_Data(), Table_SourceData_Scope3_Feed[[#Headers],[Category]], 0, 2)</f>
        <v>kg</v>
      </c>
      <c r="H145" s="29" cm="1">
        <f t="array" ref="H145">Common_InputFunctions.Utility_DisplayArrayInTable(Scope3_SourceData.Scope3_Feed_Data(), Table_SourceData_Scope3_Feed[[#Headers],[Category]], 0, 2)</f>
        <v>0.33900000000000002</v>
      </c>
      <c r="I145" s="29" t="str" cm="1">
        <f t="array" ref="I145">Common_InputFunctions.Utility_DisplayArrayInTable(Scope3_SourceData.Scope3_Feed_Data(), Table_SourceData_Scope3_Feed[[#Headers],[Category]], 0, 2)</f>
        <v>at market</v>
      </c>
      <c r="N145" s="29" t="str">
        <f>Table_SourceData_Scope3_Feed[[#This Row],[Product]]</f>
        <v>Pasture hay</v>
      </c>
      <c r="O145" s="29" t="str">
        <f>Table_SourceData_Scope3_Feed[[#This Row],[Region of origin]]</f>
        <v>Australia</v>
      </c>
    </row>
    <row r="146" spans="1:16" ht="20.100000000000001" customHeight="1" x14ac:dyDescent="0.25">
      <c r="A146"/>
      <c r="D146" s="29" t="str" cm="1">
        <f t="array" ref="D146">Common_InputFunctions.Utility_DisplayArrayInTable(Scope3_SourceData.Scope3_Feed_Data(), Table_SourceData_Scope3_Feed[[#Headers],[Category]], 0, 2)</f>
        <v>Hay</v>
      </c>
      <c r="E146" s="29" t="str" cm="1">
        <f t="array" ref="E146">Common_InputFunctions.Utility_DisplayArrayInTable(Scope3_SourceData.Scope3_Feed_Data(), Table_SourceData_Scope3_Feed[[#Headers],[Category]], 0, 2)</f>
        <v>Pasture hay</v>
      </c>
      <c r="F146" s="29" t="str" cm="1">
        <f t="array" ref="F146">Common_InputFunctions.Utility_DisplayArrayInTable(Scope3_SourceData.Scope3_Feed_Data(), Table_SourceData_Scope3_Feed[[#Headers],[Category]], 0, 2)</f>
        <v>NSW</v>
      </c>
      <c r="G146" s="29" t="str" cm="1">
        <f t="array" ref="G146">Common_InputFunctions.Utility_DisplayArrayInTable(Scope3_SourceData.Scope3_Feed_Data(), Table_SourceData_Scope3_Feed[[#Headers],[Category]], 0, 2)</f>
        <v>kg</v>
      </c>
      <c r="H146" s="29" cm="1">
        <f t="array" ref="H146">Common_InputFunctions.Utility_DisplayArrayInTable(Scope3_SourceData.Scope3_Feed_Data(), Table_SourceData_Scope3_Feed[[#Headers],[Category]], 0, 2)</f>
        <v>0.311</v>
      </c>
      <c r="I146" s="29" t="str" cm="1">
        <f t="array" ref="I146">Common_InputFunctions.Utility_DisplayArrayInTable(Scope3_SourceData.Scope3_Feed_Data(), Table_SourceData_Scope3_Feed[[#Headers],[Category]], 0, 2)</f>
        <v>at market</v>
      </c>
      <c r="N146" s="29" t="str">
        <f>Table_SourceData_Scope3_Feed[[#This Row],[Product]]</f>
        <v>Pasture hay</v>
      </c>
      <c r="O146" s="29" t="str">
        <f>Table_SourceData_Scope3_Feed[[#This Row],[Region of origin]]</f>
        <v>NSW</v>
      </c>
    </row>
    <row r="147" spans="1:16" ht="20.100000000000001" customHeight="1" x14ac:dyDescent="0.25">
      <c r="A147"/>
      <c r="D147" s="29" t="str" cm="1">
        <f t="array" ref="D147">Common_InputFunctions.Utility_DisplayArrayInTable(Scope3_SourceData.Scope3_Feed_Data(), Table_SourceData_Scope3_Feed[[#Headers],[Category]], 0, 2)</f>
        <v>Hay</v>
      </c>
      <c r="E147" s="29" t="str" cm="1">
        <f t="array" ref="E147">Common_InputFunctions.Utility_DisplayArrayInTable(Scope3_SourceData.Scope3_Feed_Data(), Table_SourceData_Scope3_Feed[[#Headers],[Category]], 0, 2)</f>
        <v>Pasture hay</v>
      </c>
      <c r="F147" s="29" t="str" cm="1">
        <f t="array" ref="F147">Common_InputFunctions.Utility_DisplayArrayInTable(Scope3_SourceData.Scope3_Feed_Data(), Table_SourceData_Scope3_Feed[[#Headers],[Category]], 0, 2)</f>
        <v>QLD</v>
      </c>
      <c r="G147" s="29" t="str" cm="1">
        <f t="array" ref="G147">Common_InputFunctions.Utility_DisplayArrayInTable(Scope3_SourceData.Scope3_Feed_Data(), Table_SourceData_Scope3_Feed[[#Headers],[Category]], 0, 2)</f>
        <v>kg</v>
      </c>
      <c r="H147" s="29" cm="1">
        <f t="array" ref="H147">Common_InputFunctions.Utility_DisplayArrayInTable(Scope3_SourceData.Scope3_Feed_Data(), Table_SourceData_Scope3_Feed[[#Headers],[Category]], 0, 2)</f>
        <v>0.254</v>
      </c>
      <c r="I147" s="29" t="str" cm="1">
        <f t="array" ref="I147">Common_InputFunctions.Utility_DisplayArrayInTable(Scope3_SourceData.Scope3_Feed_Data(), Table_SourceData_Scope3_Feed[[#Headers],[Category]], 0, 2)</f>
        <v>at market</v>
      </c>
      <c r="N147" s="29" t="str">
        <f>Table_SourceData_Scope3_Feed[[#This Row],[Product]]</f>
        <v>Pasture hay</v>
      </c>
      <c r="O147" s="29" t="str">
        <f>Table_SourceData_Scope3_Feed[[#This Row],[Region of origin]]</f>
        <v>QLD</v>
      </c>
    </row>
    <row r="148" spans="1:16" ht="20.100000000000001" customHeight="1" x14ac:dyDescent="0.25">
      <c r="A148"/>
      <c r="D148" s="29" t="str" cm="1">
        <f t="array" ref="D148">Common_InputFunctions.Utility_DisplayArrayInTable(Scope3_SourceData.Scope3_Feed_Data(), Table_SourceData_Scope3_Feed[[#Headers],[Category]], 0, 2)</f>
        <v>Hay</v>
      </c>
      <c r="E148" s="29" t="str" cm="1">
        <f t="array" ref="E148">Common_InputFunctions.Utility_DisplayArrayInTable(Scope3_SourceData.Scope3_Feed_Data(), Table_SourceData_Scope3_Feed[[#Headers],[Category]], 0, 2)</f>
        <v>Pasture hay</v>
      </c>
      <c r="F148" s="29" t="str" cm="1">
        <f t="array" ref="F148">Common_InputFunctions.Utility_DisplayArrayInTable(Scope3_SourceData.Scope3_Feed_Data(), Table_SourceData_Scope3_Feed[[#Headers],[Category]], 0, 2)</f>
        <v>SA</v>
      </c>
      <c r="G148" s="29" t="str" cm="1">
        <f t="array" ref="G148">Common_InputFunctions.Utility_DisplayArrayInTable(Scope3_SourceData.Scope3_Feed_Data(), Table_SourceData_Scope3_Feed[[#Headers],[Category]], 0, 2)</f>
        <v>kg</v>
      </c>
      <c r="H148" s="29" cm="1">
        <f t="array" ref="H148">Common_InputFunctions.Utility_DisplayArrayInTable(Scope3_SourceData.Scope3_Feed_Data(), Table_SourceData_Scope3_Feed[[#Headers],[Category]], 0, 2)</f>
        <v>0.313</v>
      </c>
      <c r="I148" s="29" t="str" cm="1">
        <f t="array" ref="I148">Common_InputFunctions.Utility_DisplayArrayInTable(Scope3_SourceData.Scope3_Feed_Data(), Table_SourceData_Scope3_Feed[[#Headers],[Category]], 0, 2)</f>
        <v>at market</v>
      </c>
      <c r="N148" s="29" t="str">
        <f>Table_SourceData_Scope3_Feed[[#This Row],[Product]]</f>
        <v>Pasture hay</v>
      </c>
      <c r="O148" s="29" t="str">
        <f>Table_SourceData_Scope3_Feed[[#This Row],[Region of origin]]</f>
        <v>SA</v>
      </c>
    </row>
    <row r="149" spans="1:16" ht="20.100000000000001" customHeight="1" x14ac:dyDescent="0.25">
      <c r="A149"/>
      <c r="D149" s="29" t="str" cm="1">
        <f t="array" ref="D149">Common_InputFunctions.Utility_DisplayArrayInTable(Scope3_SourceData.Scope3_Feed_Data(), Table_SourceData_Scope3_Feed[[#Headers],[Category]], 0, 2)</f>
        <v>Hay</v>
      </c>
      <c r="E149" s="29" t="str" cm="1">
        <f t="array" ref="E149">Common_InputFunctions.Utility_DisplayArrayInTable(Scope3_SourceData.Scope3_Feed_Data(), Table_SourceData_Scope3_Feed[[#Headers],[Category]], 0, 2)</f>
        <v>Pasture hay</v>
      </c>
      <c r="F149" s="29" t="str" cm="1">
        <f t="array" ref="F149">Common_InputFunctions.Utility_DisplayArrayInTable(Scope3_SourceData.Scope3_Feed_Data(), Table_SourceData_Scope3_Feed[[#Headers],[Category]], 0, 2)</f>
        <v>TAS</v>
      </c>
      <c r="G149" s="29" t="str" cm="1">
        <f t="array" ref="G149">Common_InputFunctions.Utility_DisplayArrayInTable(Scope3_SourceData.Scope3_Feed_Data(), Table_SourceData_Scope3_Feed[[#Headers],[Category]], 0, 2)</f>
        <v>kg</v>
      </c>
      <c r="H149" s="29" cm="1">
        <f t="array" ref="H149">Common_InputFunctions.Utility_DisplayArrayInTable(Scope3_SourceData.Scope3_Feed_Data(), Table_SourceData_Scope3_Feed[[#Headers],[Category]], 0, 2)</f>
        <v>0.39800000000000002</v>
      </c>
      <c r="I149" s="29" t="str" cm="1">
        <f t="array" ref="I149">Common_InputFunctions.Utility_DisplayArrayInTable(Scope3_SourceData.Scope3_Feed_Data(), Table_SourceData_Scope3_Feed[[#Headers],[Category]], 0, 2)</f>
        <v>at market</v>
      </c>
      <c r="N149" s="29" t="str">
        <f>Table_SourceData_Scope3_Feed[[#This Row],[Product]]</f>
        <v>Pasture hay</v>
      </c>
      <c r="O149" s="29" t="str">
        <f>Table_SourceData_Scope3_Feed[[#This Row],[Region of origin]]</f>
        <v>TAS</v>
      </c>
    </row>
    <row r="150" spans="1:16" ht="20.100000000000001" customHeight="1" x14ac:dyDescent="0.25">
      <c r="A150"/>
      <c r="D150" s="29" t="str" cm="1">
        <f t="array" ref="D150">Common_InputFunctions.Utility_DisplayArrayInTable(Scope3_SourceData.Scope3_Feed_Data(), Table_SourceData_Scope3_Feed[[#Headers],[Category]], 0, 2)</f>
        <v>Hay</v>
      </c>
      <c r="E150" s="29" t="str" cm="1">
        <f t="array" ref="E150">Common_InputFunctions.Utility_DisplayArrayInTable(Scope3_SourceData.Scope3_Feed_Data(), Table_SourceData_Scope3_Feed[[#Headers],[Category]], 0, 2)</f>
        <v>Pasture hay</v>
      </c>
      <c r="F150" s="29" t="str" cm="1">
        <f t="array" ref="F150">Common_InputFunctions.Utility_DisplayArrayInTable(Scope3_SourceData.Scope3_Feed_Data(), Table_SourceData_Scope3_Feed[[#Headers],[Category]], 0, 2)</f>
        <v>VIC</v>
      </c>
      <c r="G150" s="29" t="str" cm="1">
        <f t="array" ref="G150">Common_InputFunctions.Utility_DisplayArrayInTable(Scope3_SourceData.Scope3_Feed_Data(), Table_SourceData_Scope3_Feed[[#Headers],[Category]], 0, 2)</f>
        <v>kg</v>
      </c>
      <c r="H150" s="29" cm="1">
        <f t="array" ref="H150">Common_InputFunctions.Utility_DisplayArrayInTable(Scope3_SourceData.Scope3_Feed_Data(), Table_SourceData_Scope3_Feed[[#Headers],[Category]], 0, 2)</f>
        <v>0.34499999999999997</v>
      </c>
      <c r="I150" s="29" t="str" cm="1">
        <f t="array" ref="I150">Common_InputFunctions.Utility_DisplayArrayInTable(Scope3_SourceData.Scope3_Feed_Data(), Table_SourceData_Scope3_Feed[[#Headers],[Category]], 0, 2)</f>
        <v>at market</v>
      </c>
      <c r="N150" s="29" t="str">
        <f>Table_SourceData_Scope3_Feed[[#This Row],[Product]]</f>
        <v>Pasture hay</v>
      </c>
      <c r="O150" s="29" t="str">
        <f>Table_SourceData_Scope3_Feed[[#This Row],[Region of origin]]</f>
        <v>VIC</v>
      </c>
    </row>
    <row r="151" spans="1:16" ht="20.100000000000001" customHeight="1" x14ac:dyDescent="0.25">
      <c r="A151"/>
      <c r="D151" s="29" t="str" cm="1">
        <f t="array" ref="D151">Common_InputFunctions.Utility_DisplayArrayInTable(Scope3_SourceData.Scope3_Feed_Data(), Table_SourceData_Scope3_Feed[[#Headers],[Category]], 0, 2)</f>
        <v>Hay</v>
      </c>
      <c r="E151" s="29" t="str" cm="1">
        <f t="array" ref="E151">Common_InputFunctions.Utility_DisplayArrayInTable(Scope3_SourceData.Scope3_Feed_Data(), Table_SourceData_Scope3_Feed[[#Headers],[Category]], 0, 2)</f>
        <v>Pasture hay</v>
      </c>
      <c r="F151" s="29" t="str" cm="1">
        <f t="array" ref="F151">Common_InputFunctions.Utility_DisplayArrayInTable(Scope3_SourceData.Scope3_Feed_Data(), Table_SourceData_Scope3_Feed[[#Headers],[Category]], 0, 2)</f>
        <v>WA</v>
      </c>
      <c r="G151" s="29" t="str" cm="1">
        <f t="array" ref="G151">Common_InputFunctions.Utility_DisplayArrayInTable(Scope3_SourceData.Scope3_Feed_Data(), Table_SourceData_Scope3_Feed[[#Headers],[Category]], 0, 2)</f>
        <v>kg</v>
      </c>
      <c r="H151" s="29" cm="1">
        <f t="array" ref="H151">Common_InputFunctions.Utility_DisplayArrayInTable(Scope3_SourceData.Scope3_Feed_Data(), Table_SourceData_Scope3_Feed[[#Headers],[Category]], 0, 2)</f>
        <v>0.36799999999999999</v>
      </c>
      <c r="I151" s="29" t="str" cm="1">
        <f t="array" ref="I151">Common_InputFunctions.Utility_DisplayArrayInTable(Scope3_SourceData.Scope3_Feed_Data(), Table_SourceData_Scope3_Feed[[#Headers],[Category]], 0, 2)</f>
        <v>at market</v>
      </c>
      <c r="K151" s="280" t="s">
        <v>138</v>
      </c>
      <c r="L151" s="280" t="s">
        <v>1267</v>
      </c>
      <c r="M151" s="1" t="str">
        <f>"Table_ProductRegions_" &amp; SUBSTITUTE(SUBSTITUTE(SUBSTITUTE(SUBSTITUTE(K152, " ", ""), ",", ""), "(", ""), ")", "")</f>
        <v>Table_ProductRegions_Canolameal</v>
      </c>
      <c r="N151" s="29" t="str">
        <f>Table_SourceData_Scope3_Feed[[#This Row],[Product]]</f>
        <v>Pasture hay</v>
      </c>
      <c r="O151" s="29" t="str">
        <f>Table_SourceData_Scope3_Feed[[#This Row],[Region of origin]]</f>
        <v>WA</v>
      </c>
    </row>
    <row r="152" spans="1:16" ht="20.100000000000001" customHeight="1" x14ac:dyDescent="0.25">
      <c r="A152"/>
      <c r="D152" s="29" t="str" cm="1">
        <f t="array" ref="D152">Common_InputFunctions.Utility_DisplayArrayInTable(Scope3_SourceData.Scope3_Feed_Data(), Table_SourceData_Scope3_Feed[[#Headers],[Category]], 0, 2)</f>
        <v>Meal</v>
      </c>
      <c r="E152" s="29" t="str" cm="1">
        <f t="array" ref="E152">Common_InputFunctions.Utility_DisplayArrayInTable(Scope3_SourceData.Scope3_Feed_Data(), Table_SourceData_Scope3_Feed[[#Headers],[Category]], 0, 2)</f>
        <v>Canola meal</v>
      </c>
      <c r="F152" s="29" t="str" cm="1">
        <f t="array" ref="F152">Common_InputFunctions.Utility_DisplayArrayInTable(Scope3_SourceData.Scope3_Feed_Data(), Table_SourceData_Scope3_Feed[[#Headers],[Category]], 0, 2)</f>
        <v>Australia</v>
      </c>
      <c r="G152" s="29" t="str" cm="1">
        <f t="array" ref="G152">Common_InputFunctions.Utility_DisplayArrayInTable(Scope3_SourceData.Scope3_Feed_Data(), Table_SourceData_Scope3_Feed[[#Headers],[Category]], 0, 2)</f>
        <v>kg</v>
      </c>
      <c r="H152" s="29" cm="1">
        <f t="array" ref="H152">Common_InputFunctions.Utility_DisplayArrayInTable(Scope3_SourceData.Scope3_Feed_Data(), Table_SourceData_Scope3_Feed[[#Headers],[Category]], 0, 2)</f>
        <v>0.24399999999999999</v>
      </c>
      <c r="I152" s="29" t="str" cm="1">
        <f t="array" ref="I152">Common_InputFunctions.Utility_DisplayArrayInTable(Scope3_SourceData.Scope3_Feed_Data(), Table_SourceData_Scope3_Feed[[#Headers],[Category]], 0, 2)</f>
        <v>at market</v>
      </c>
      <c r="K152" s="1" t="str">
        <f>Table_SourceData_Scope3_Feed[[#This Row],[Product]]</f>
        <v>Canola meal</v>
      </c>
      <c r="L152" s="1" t="str">
        <f>Table_SourceData_Scope3_Feed[[#This Row],[Region of origin]]</f>
        <v>Australia</v>
      </c>
      <c r="N152" s="29" t="s">
        <v>138</v>
      </c>
      <c r="O152" s="29" t="s">
        <v>1267</v>
      </c>
      <c r="P152" s="1" t="str">
        <f>"Table_ProductRegions_" &amp; SUBSTITUTE(SUBSTITUTE(SUBSTITUTE(SUBSTITUTE(N153, " ", ""), ",", ""), "(", ""), ")", "")</f>
        <v>Table_ProductRegions_Meatmeal</v>
      </c>
    </row>
    <row r="153" spans="1:16" ht="20.100000000000001" customHeight="1" x14ac:dyDescent="0.25">
      <c r="A153"/>
      <c r="D153" s="29" t="str" cm="1">
        <f t="array" ref="D153">Common_InputFunctions.Utility_DisplayArrayInTable(Scope3_SourceData.Scope3_Feed_Data(), Table_SourceData_Scope3_Feed[[#Headers],[Category]], 0, 2)</f>
        <v>Meal</v>
      </c>
      <c r="E153" s="29" t="str" cm="1">
        <f t="array" ref="E153">Common_InputFunctions.Utility_DisplayArrayInTable(Scope3_SourceData.Scope3_Feed_Data(), Table_SourceData_Scope3_Feed[[#Headers],[Category]], 0, 2)</f>
        <v>Meat meal</v>
      </c>
      <c r="F153" s="29" t="str" cm="1">
        <f t="array" ref="F153">Common_InputFunctions.Utility_DisplayArrayInTable(Scope3_SourceData.Scope3_Feed_Data(), Table_SourceData_Scope3_Feed[[#Headers],[Category]], 0, 2)</f>
        <v>Australia</v>
      </c>
      <c r="G153" s="29" t="str" cm="1">
        <f t="array" ref="G153">Common_InputFunctions.Utility_DisplayArrayInTable(Scope3_SourceData.Scope3_Feed_Data(), Table_SourceData_Scope3_Feed[[#Headers],[Category]], 0, 2)</f>
        <v>kg</v>
      </c>
      <c r="H153" s="29" cm="1">
        <f t="array" ref="H153">Common_InputFunctions.Utility_DisplayArrayInTable(Scope3_SourceData.Scope3_Feed_Data(), Table_SourceData_Scope3_Feed[[#Headers],[Category]], 0, 2)</f>
        <v>0.40799999999999997</v>
      </c>
      <c r="I153" s="29" t="str" cm="1">
        <f t="array" ref="I153">Common_InputFunctions.Utility_DisplayArrayInTable(Scope3_SourceData.Scope3_Feed_Data(), Table_SourceData_Scope3_Feed[[#Headers],[Category]], 0, 2)</f>
        <v>at market</v>
      </c>
      <c r="K153" s="29" t="s">
        <v>138</v>
      </c>
      <c r="L153" s="29" t="s">
        <v>1267</v>
      </c>
      <c r="M153" s="1" t="str">
        <f>"Table_ProductRegions_" &amp; SUBSTITUTE(SUBSTITUTE(SUBSTITUTE(SUBSTITUTE(K154, " ", ""), ",", ""), "(", ""), ")", "")</f>
        <v>Table_ProductRegions_Soybeanmeal</v>
      </c>
      <c r="N153" s="29" t="str">
        <f>Table_SourceData_Scope3_Feed[[#This Row],[Product]]</f>
        <v>Meat meal</v>
      </c>
      <c r="O153" s="29" t="str">
        <f>Table_SourceData_Scope3_Feed[[#This Row],[Region of origin]]</f>
        <v>Australia</v>
      </c>
    </row>
    <row r="154" spans="1:16" ht="20.100000000000001" customHeight="1" x14ac:dyDescent="0.25">
      <c r="A154"/>
      <c r="D154" s="29" t="str" cm="1">
        <f t="array" ref="D154">Common_InputFunctions.Utility_DisplayArrayInTable(Scope3_SourceData.Scope3_Feed_Data(), Table_SourceData_Scope3_Feed[[#Headers],[Category]], 0, 2)</f>
        <v>Meal</v>
      </c>
      <c r="E154" s="29" t="str" cm="1">
        <f t="array" ref="E154">Common_InputFunctions.Utility_DisplayArrayInTable(Scope3_SourceData.Scope3_Feed_Data(), Table_SourceData_Scope3_Feed[[#Headers],[Category]], 0, 2)</f>
        <v>Soybean meal</v>
      </c>
      <c r="F154" s="29" t="str" cm="1">
        <f t="array" ref="F154">Common_InputFunctions.Utility_DisplayArrayInTable(Scope3_SourceData.Scope3_Feed_Data(), Table_SourceData_Scope3_Feed[[#Headers],[Category]], 0, 2)</f>
        <v>Brazil</v>
      </c>
      <c r="G154" s="29" t="str" cm="1">
        <f t="array" ref="G154">Common_InputFunctions.Utility_DisplayArrayInTable(Scope3_SourceData.Scope3_Feed_Data(), Table_SourceData_Scope3_Feed[[#Headers],[Category]], 0, 2)</f>
        <v>kg</v>
      </c>
      <c r="H154" s="29" cm="1">
        <f t="array" ref="H154">Common_InputFunctions.Utility_DisplayArrayInTable(Scope3_SourceData.Scope3_Feed_Data(), Table_SourceData_Scope3_Feed[[#Headers],[Category]], 0, 2)</f>
        <v>0.42599999999999999</v>
      </c>
      <c r="I154" s="29" t="str" cm="1">
        <f t="array" ref="I154">Common_InputFunctions.Utility_DisplayArrayInTable(Scope3_SourceData.Scope3_Feed_Data(), Table_SourceData_Scope3_Feed[[#Headers],[Category]], 0, 2)</f>
        <v>at market</v>
      </c>
      <c r="K154" s="29" t="str">
        <f>Table_SourceData_Scope3_Feed[[#This Row],[Product]]</f>
        <v>Soybean meal</v>
      </c>
      <c r="L154" s="29" t="str">
        <f>Table_SourceData_Scope3_Feed[[#This Row],[Region of origin]]</f>
        <v>Brazil</v>
      </c>
      <c r="N154" s="29" t="s">
        <v>138</v>
      </c>
      <c r="O154" s="29" t="s">
        <v>1267</v>
      </c>
      <c r="P154" s="1" t="str">
        <f>"Table_ProductRegions_" &amp; SUBSTITUTE(SUBSTITUTE(SUBSTITUTE(SUBSTITUTE(N155, " ", ""), ",", ""), "(", ""), ")", "")</f>
        <v>Table_ProductRegions_Wheatbran</v>
      </c>
    </row>
    <row r="155" spans="1:16" ht="20.100000000000001" customHeight="1" x14ac:dyDescent="0.25">
      <c r="A155"/>
      <c r="D155" s="29" t="str" cm="1">
        <f t="array" ref="D155">Common_InputFunctions.Utility_DisplayArrayInTable(Scope3_SourceData.Scope3_Feed_Data(), Table_SourceData_Scope3_Feed[[#Headers],[Category]], 0, 2)</f>
        <v>Meal</v>
      </c>
      <c r="E155" s="29" t="str" cm="1">
        <f t="array" ref="E155">Common_InputFunctions.Utility_DisplayArrayInTable(Scope3_SourceData.Scope3_Feed_Data(), Table_SourceData_Scope3_Feed[[#Headers],[Category]], 0, 2)</f>
        <v>Wheat bran</v>
      </c>
      <c r="F155" s="29" t="str" cm="1">
        <f t="array" ref="F155">Common_InputFunctions.Utility_DisplayArrayInTable(Scope3_SourceData.Scope3_Feed_Data(), Table_SourceData_Scope3_Feed[[#Headers],[Category]], 0, 2)</f>
        <v>Australia</v>
      </c>
      <c r="G155" s="29" t="str" cm="1">
        <f t="array" ref="G155">Common_InputFunctions.Utility_DisplayArrayInTable(Scope3_SourceData.Scope3_Feed_Data(), Table_SourceData_Scope3_Feed[[#Headers],[Category]], 0, 2)</f>
        <v>kg</v>
      </c>
      <c r="H155" s="29" cm="1">
        <f t="array" ref="H155">Common_InputFunctions.Utility_DisplayArrayInTable(Scope3_SourceData.Scope3_Feed_Data(), Table_SourceData_Scope3_Feed[[#Headers],[Category]], 0, 2)</f>
        <v>0.19600000000000001</v>
      </c>
      <c r="I155" s="29" t="str" cm="1">
        <f t="array" ref="I155">Common_InputFunctions.Utility_DisplayArrayInTable(Scope3_SourceData.Scope3_Feed_Data(), Table_SourceData_Scope3_Feed[[#Headers],[Category]], 0, 2)</f>
        <v>at market</v>
      </c>
      <c r="K155" s="29" t="s">
        <v>138</v>
      </c>
      <c r="L155" s="29" t="s">
        <v>1267</v>
      </c>
      <c r="M155" s="1" t="str">
        <f>"Table_ProductRegions_" &amp; SUBSTITUTE(SUBSTITUTE(SUBSTITUTE(SUBSTITUTE(K156, " ", ""), ",", ""), "(", ""), ")", "")</f>
        <v>Table_ProductRegions_Bentonite</v>
      </c>
      <c r="N155" s="29" t="str">
        <f>Table_SourceData_Scope3_Feed[[#This Row],[Product]]</f>
        <v>Wheat bran</v>
      </c>
      <c r="O155" s="29" t="str">
        <f>Table_SourceData_Scope3_Feed[[#This Row],[Region of origin]]</f>
        <v>Australia</v>
      </c>
    </row>
    <row r="156" spans="1:16" ht="20.100000000000001" customHeight="1" x14ac:dyDescent="0.25">
      <c r="A156"/>
      <c r="D156" s="1" t="str" cm="1">
        <f t="array" ref="D156">Common_InputFunctions.Utility_DisplayArrayInTable(Scope3_SourceData.Scope3_Feed_Data(), Table_SourceData_Scope3_Feed[[#Headers],[Category]], -4, 2)</f>
        <v>Other</v>
      </c>
      <c r="E156" s="1" t="str" cm="1">
        <f t="array" ref="E156">Common_InputFunctions.Utility_DisplayArrayInTable(Scope3_SourceData.Scope3_Feed_Data(), Table_SourceData_Scope3_Feed[[#Headers],[Category]], -4, 2)</f>
        <v>Bentonite</v>
      </c>
      <c r="F156" s="1" t="str" cm="1">
        <f t="array" ref="F156">Common_InputFunctions.Utility_DisplayArrayInTable(Scope3_SourceData.Scope3_Feed_Data(), Table_SourceData_Scope3_Feed[[#Headers],[Category]], -4, 2)</f>
        <v>Australia</v>
      </c>
      <c r="G156" s="1" t="str" cm="1">
        <f t="array" ref="G156">Common_InputFunctions.Utility_DisplayArrayInTable(Scope3_SourceData.Scope3_Feed_Data(), Table_SourceData_Scope3_Feed[[#Headers],[Category]], -4, 2)</f>
        <v>kg</v>
      </c>
      <c r="H156" s="1" cm="1">
        <f t="array" ref="H156">Common_InputFunctions.Utility_DisplayArrayInTable(Scope3_SourceData.Scope3_Feed_Data(), Table_SourceData_Scope3_Feed[[#Headers],[Category]], -4, 2)</f>
        <v>6.5199999999999994E-2</v>
      </c>
      <c r="I156" s="1" t="str" cm="1">
        <f t="array" ref="I156">Common_InputFunctions.Utility_DisplayArrayInTable(Scope3_SourceData.Scope3_Feed_Data(), Table_SourceData_Scope3_Feed[[#Headers],[Category]], -4, 2)</f>
        <v>at market</v>
      </c>
      <c r="K156" s="29" t="str">
        <f>Table_SourceData_Scope3_Feed[[#This Row],[Product]]</f>
        <v>Bentonite</v>
      </c>
      <c r="L156" s="29" t="str">
        <f>Table_SourceData_Scope3_Feed[[#This Row],[Region of origin]]</f>
        <v>Australia</v>
      </c>
      <c r="N156" s="29" t="s">
        <v>138</v>
      </c>
      <c r="O156" s="29" t="s">
        <v>1267</v>
      </c>
      <c r="P156" s="1" t="str">
        <f>"Table_ProductRegions_" &amp; SUBSTITUTE(SUBSTITUTE(SUBSTITUTE(SUBSTITUTE(N157, " ", ""), ",", ""), "(", ""), ")", "")</f>
        <v>Table_ProductRegions_Canolaoil</v>
      </c>
    </row>
    <row r="157" spans="1:16" ht="20.100000000000001" customHeight="1" x14ac:dyDescent="0.25">
      <c r="A157"/>
      <c r="D157" s="1" t="str" cm="1">
        <f t="array" ref="D157">Common_InputFunctions.Utility_DisplayArrayInTable(Scope3_SourceData.Scope3_Feed_Data(), Table_SourceData_Scope3_Feed[[#Headers],[Category]], -4, 2)</f>
        <v>Other</v>
      </c>
      <c r="E157" s="1" t="str" cm="1">
        <f t="array" ref="E157">Common_InputFunctions.Utility_DisplayArrayInTable(Scope3_SourceData.Scope3_Feed_Data(), Table_SourceData_Scope3_Feed[[#Headers],[Category]], -4, 2)</f>
        <v>Canola oil</v>
      </c>
      <c r="F157" s="1" t="str" cm="1">
        <f t="array" ref="F157">Common_InputFunctions.Utility_DisplayArrayInTable(Scope3_SourceData.Scope3_Feed_Data(), Table_SourceData_Scope3_Feed[[#Headers],[Category]], -4, 2)</f>
        <v>Australia</v>
      </c>
      <c r="G157" s="1" t="str" cm="1">
        <f t="array" ref="G157">Common_InputFunctions.Utility_DisplayArrayInTable(Scope3_SourceData.Scope3_Feed_Data(), Table_SourceData_Scope3_Feed[[#Headers],[Category]], -4, 2)</f>
        <v>kg</v>
      </c>
      <c r="H157" s="1" cm="1">
        <f t="array" ref="H157">Common_InputFunctions.Utility_DisplayArrayInTable(Scope3_SourceData.Scope3_Feed_Data(), Table_SourceData_Scope3_Feed[[#Headers],[Category]], -4, 2)</f>
        <v>0.87</v>
      </c>
      <c r="I157" s="1" t="str" cm="1">
        <f t="array" ref="I157">Common_InputFunctions.Utility_DisplayArrayInTable(Scope3_SourceData.Scope3_Feed_Data(), Table_SourceData_Scope3_Feed[[#Headers],[Category]], -4, 2)</f>
        <v>at market</v>
      </c>
      <c r="K157" s="29" t="s">
        <v>138</v>
      </c>
      <c r="L157" s="29" t="s">
        <v>1267</v>
      </c>
      <c r="M157" s="1" t="str">
        <f>"Table_ProductRegions_" &amp; SUBSTITUTE(SUBSTITUTE(SUBSTITUTE(SUBSTITUTE(K158, " ", ""), ",", ""), "(", ""), ")", "")</f>
        <v>Table_ProductRegions_Cottonseed</v>
      </c>
      <c r="N157" s="29" t="str">
        <f>Table_SourceData_Scope3_Feed[[#This Row],[Product]]</f>
        <v>Canola oil</v>
      </c>
      <c r="O157" s="29" t="str">
        <f>Table_SourceData_Scope3_Feed[[#This Row],[Region of origin]]</f>
        <v>Australia</v>
      </c>
    </row>
    <row r="158" spans="1:16" ht="20.100000000000001" customHeight="1" x14ac:dyDescent="0.25">
      <c r="A158"/>
      <c r="D158" s="1" t="str" cm="1">
        <f t="array" ref="D158">Common_InputFunctions.Utility_DisplayArrayInTable(Scope3_SourceData.Scope3_Feed_Data(), Table_SourceData_Scope3_Feed[[#Headers],[Category]], -4, 2)</f>
        <v>Other</v>
      </c>
      <c r="E158" s="1" t="str" cm="1">
        <f t="array" ref="E158">Common_InputFunctions.Utility_DisplayArrayInTable(Scope3_SourceData.Scope3_Feed_Data(), Table_SourceData_Scope3_Feed[[#Headers],[Category]], -4, 2)</f>
        <v>Cotton seed</v>
      </c>
      <c r="F158" s="1" t="str" cm="1">
        <f t="array" ref="F158">Common_InputFunctions.Utility_DisplayArrayInTable(Scope3_SourceData.Scope3_Feed_Data(), Table_SourceData_Scope3_Feed[[#Headers],[Category]], -4, 2)</f>
        <v>Australia</v>
      </c>
      <c r="G158" s="1" t="str" cm="1">
        <f t="array" ref="G158">Common_InputFunctions.Utility_DisplayArrayInTable(Scope3_SourceData.Scope3_Feed_Data(), Table_SourceData_Scope3_Feed[[#Headers],[Category]], -4, 2)</f>
        <v>kg</v>
      </c>
      <c r="H158" s="1" cm="1">
        <f t="array" ref="H158">Common_InputFunctions.Utility_DisplayArrayInTable(Scope3_SourceData.Scope3_Feed_Data(), Table_SourceData_Scope3_Feed[[#Headers],[Category]], -4, 2)</f>
        <v>0.19700000000000001</v>
      </c>
      <c r="I158" s="1" t="str" cm="1">
        <f t="array" ref="I158">Common_InputFunctions.Utility_DisplayArrayInTable(Scope3_SourceData.Scope3_Feed_Data(), Table_SourceData_Scope3_Feed[[#Headers],[Category]], -4, 2)</f>
        <v>at market</v>
      </c>
      <c r="K158" s="29" t="str">
        <f>Table_SourceData_Scope3_Feed[[#This Row],[Product]]</f>
        <v>Cotton seed</v>
      </c>
      <c r="L158" s="29" t="str">
        <f>Table_SourceData_Scope3_Feed[[#This Row],[Region of origin]]</f>
        <v>Australia</v>
      </c>
      <c r="N158" s="29" t="s">
        <v>138</v>
      </c>
      <c r="O158" s="29" t="s">
        <v>1267</v>
      </c>
      <c r="P158" s="1" t="str">
        <f>"Table_ProductRegions_" &amp; SUBSTITUTE(SUBSTITUTE(SUBSTITUTE(SUBSTITUTE(N159, " ", ""), ",", ""), "(", ""), ")", "")</f>
        <v>Table_ProductRegions_Molasses</v>
      </c>
    </row>
    <row r="159" spans="1:16" ht="20.100000000000001" customHeight="1" x14ac:dyDescent="0.25">
      <c r="A159"/>
      <c r="D159" s="1" t="str" cm="1">
        <f t="array" ref="D159">Common_InputFunctions.Utility_DisplayArrayInTable(Scope3_SourceData.Scope3_Feed_Data(), Table_SourceData_Scope3_Feed[[#Headers],[Category]], -7, 2)</f>
        <v>Other</v>
      </c>
      <c r="E159" s="1" t="str" cm="1">
        <f t="array" ref="E159">Common_InputFunctions.Utility_DisplayArrayInTable(Scope3_SourceData.Scope3_Feed_Data(), Table_SourceData_Scope3_Feed[[#Headers],[Category]], -7, 2)</f>
        <v>Molasses</v>
      </c>
      <c r="F159" s="1" t="str" cm="1">
        <f t="array" ref="F159">Common_InputFunctions.Utility_DisplayArrayInTable(Scope3_SourceData.Scope3_Feed_Data(), Table_SourceData_Scope3_Feed[[#Headers],[Category]], -7, 2)</f>
        <v>QLD</v>
      </c>
      <c r="G159" s="1" t="str" cm="1">
        <f t="array" ref="G159">Common_InputFunctions.Utility_DisplayArrayInTable(Scope3_SourceData.Scope3_Feed_Data(), Table_SourceData_Scope3_Feed[[#Headers],[Category]], -7, 2)</f>
        <v>kg</v>
      </c>
      <c r="H159" s="1" cm="1">
        <f t="array" ref="H159">Common_InputFunctions.Utility_DisplayArrayInTable(Scope3_SourceData.Scope3_Feed_Data(), Table_SourceData_Scope3_Feed[[#Headers],[Category]], -7, 2)</f>
        <v>0.184</v>
      </c>
      <c r="I159" s="1" t="str" cm="1">
        <f t="array" ref="I159">Common_InputFunctions.Utility_DisplayArrayInTable(Scope3_SourceData.Scope3_Feed_Data(), Table_SourceData_Scope3_Feed[[#Headers],[Category]], -7, 2)</f>
        <v>at market</v>
      </c>
      <c r="N159" s="29" t="str">
        <f>Table_SourceData_Scope3_Feed[[#This Row],[Product]]</f>
        <v>Molasses</v>
      </c>
      <c r="O159" s="29" t="str">
        <f>Table_SourceData_Scope3_Feed[[#This Row],[Region of origin]]</f>
        <v>QLD</v>
      </c>
    </row>
    <row r="160" spans="1:16" ht="20.100000000000001" customHeight="1" x14ac:dyDescent="0.25">
      <c r="A160"/>
    </row>
    <row r="161" spans="4:13" ht="20.100000000000001" customHeight="1" x14ac:dyDescent="0.25">
      <c r="D161" s="29" t="s">
        <v>1262</v>
      </c>
      <c r="E161" s="29" t="s">
        <v>138</v>
      </c>
      <c r="F161" s="29" t="s">
        <v>1263</v>
      </c>
      <c r="G161" s="29" t="s">
        <v>1264</v>
      </c>
      <c r="H161" s="29" t="s">
        <v>1265</v>
      </c>
      <c r="I161" s="29" t="s">
        <v>1266</v>
      </c>
    </row>
    <row r="162" spans="4:13" ht="20.100000000000001" customHeight="1" x14ac:dyDescent="0.25">
      <c r="D162" s="29" t="str" cm="1">
        <f t="array" ref="D162">Common_InputFunctions.Utility_DisplayArrayInTable(Scope3_SourceData.Scope3_Feed_Data(), Table_SourceData_Scope3_MixedRations[[#Headers],[Category]], -66, 2)</f>
        <v>Mixed rations</v>
      </c>
      <c r="E162" s="29" t="str" cm="1">
        <f t="array" ref="E162">Common_InputFunctions.Utility_DisplayArrayInTable(Scope3_SourceData.Scope3_Feed_Data(), Table_SourceData_Scope3_MixedRations[[#Headers],[Category]], -66, 2)</f>
        <v>Feed for chickens</v>
      </c>
      <c r="F162" s="29" t="str" cm="1">
        <f t="array" ref="F162">Common_InputFunctions.Utility_DisplayArrayInTable(Scope3_SourceData.Scope3_Feed_Data(), Table_SourceData_Scope3_MixedRations[[#Headers],[Category]], -66, 2)</f>
        <v>Australia</v>
      </c>
      <c r="G162" s="29" t="str" cm="1">
        <f t="array" ref="G162">Common_InputFunctions.Utility_DisplayArrayInTable(Scope3_SourceData.Scope3_Feed_Data(), Table_SourceData_Scope3_MixedRations[[#Headers],[Category]], -66, 2)</f>
        <v>kg</v>
      </c>
      <c r="H162" s="29" cm="1">
        <f t="array" ref="H162">Common_InputFunctions.Utility_DisplayArrayInTable(Scope3_SourceData.Scope3_Feed_Data(), Table_SourceData_Scope3_MixedRations[[#Headers],[Category]], -66, 2)</f>
        <v>0.59399999999999997</v>
      </c>
      <c r="I162" s="29" t="str" cm="1">
        <f t="array" ref="I162">Common_InputFunctions.Utility_DisplayArrayInTable(Scope3_SourceData.Scope3_Feed_Data(), Table_SourceData_Scope3_MixedRations[[#Headers],[Category]], -66, 2)</f>
        <v>at market</v>
      </c>
    </row>
    <row r="163" spans="4:13" ht="20.100000000000001" customHeight="1" x14ac:dyDescent="0.25">
      <c r="D163" s="29" t="str" cm="1">
        <f t="array" ref="D163">Common_InputFunctions.Utility_DisplayArrayInTable(Scope3_SourceData.Scope3_Feed_Data(), Table_SourceData_Scope3_MixedRations[[#Headers],[Category]], -66, 2)</f>
        <v>Mixed rations</v>
      </c>
      <c r="E163" s="29" t="str" cm="1">
        <f t="array" ref="E163">Common_InputFunctions.Utility_DisplayArrayInTable(Scope3_SourceData.Scope3_Feed_Data(), Table_SourceData_Scope3_MixedRations[[#Headers],[Category]], -66, 2)</f>
        <v>Feed for dairy calves</v>
      </c>
      <c r="F163" s="29" t="str" cm="1">
        <f t="array" ref="F163">Common_InputFunctions.Utility_DisplayArrayInTable(Scope3_SourceData.Scope3_Feed_Data(), Table_SourceData_Scope3_MixedRations[[#Headers],[Category]], -66, 2)</f>
        <v>Australia</v>
      </c>
      <c r="G163" s="29" t="str" cm="1">
        <f t="array" ref="G163">Common_InputFunctions.Utility_DisplayArrayInTable(Scope3_SourceData.Scope3_Feed_Data(), Table_SourceData_Scope3_MixedRations[[#Headers],[Category]], -66, 2)</f>
        <v>kg</v>
      </c>
      <c r="H163" s="29" cm="1">
        <f t="array" ref="H163">Common_InputFunctions.Utility_DisplayArrayInTable(Scope3_SourceData.Scope3_Feed_Data(), Table_SourceData_Scope3_MixedRations[[#Headers],[Category]], -66, 2)</f>
        <v>0.41899999999999998</v>
      </c>
      <c r="I163" s="29" t="str" cm="1">
        <f t="array" ref="I163">Common_InputFunctions.Utility_DisplayArrayInTable(Scope3_SourceData.Scope3_Feed_Data(), Table_SourceData_Scope3_MixedRations[[#Headers],[Category]], -66, 2)</f>
        <v>at market</v>
      </c>
    </row>
    <row r="164" spans="4:13" ht="20.100000000000001" customHeight="1" x14ac:dyDescent="0.25">
      <c r="D164" s="29" t="str" cm="1">
        <f t="array" ref="D164">Common_InputFunctions.Utility_DisplayArrayInTable(Scope3_SourceData.Scope3_Feed_Data(), Table_SourceData_Scope3_MixedRations[[#Headers],[Category]], -66, 2)</f>
        <v>Mixed rations</v>
      </c>
      <c r="E164" s="29" t="str" cm="1">
        <f t="array" ref="E164">Common_InputFunctions.Utility_DisplayArrayInTable(Scope3_SourceData.Scope3_Feed_Data(), Table_SourceData_Scope3_MixedRations[[#Headers],[Category]], -66, 2)</f>
        <v>Feed for dairy cows</v>
      </c>
      <c r="F164" s="29" t="str" cm="1">
        <f t="array" ref="F164">Common_InputFunctions.Utility_DisplayArrayInTable(Scope3_SourceData.Scope3_Feed_Data(), Table_SourceData_Scope3_MixedRations[[#Headers],[Category]], -66, 2)</f>
        <v>Australia</v>
      </c>
      <c r="G164" s="29" t="str" cm="1">
        <f t="array" ref="G164">Common_InputFunctions.Utility_DisplayArrayInTable(Scope3_SourceData.Scope3_Feed_Data(), Table_SourceData_Scope3_MixedRations[[#Headers],[Category]], -66, 2)</f>
        <v>kg</v>
      </c>
      <c r="H164" s="29" cm="1">
        <f t="array" ref="H164">Common_InputFunctions.Utility_DisplayArrayInTable(Scope3_SourceData.Scope3_Feed_Data(), Table_SourceData_Scope3_MixedRations[[#Headers],[Category]], -66, 2)</f>
        <v>0.33300000000000002</v>
      </c>
      <c r="I164" s="29" t="str" cm="1">
        <f t="array" ref="I164">Common_InputFunctions.Utility_DisplayArrayInTable(Scope3_SourceData.Scope3_Feed_Data(), Table_SourceData_Scope3_MixedRations[[#Headers],[Category]], -66, 2)</f>
        <v>at market</v>
      </c>
    </row>
    <row r="165" spans="4:13" ht="20.100000000000001" customHeight="1" x14ac:dyDescent="0.25">
      <c r="D165" s="29" t="str" cm="1">
        <f t="array" ref="D165">Common_InputFunctions.Utility_DisplayArrayInTable(Scope3_SourceData.Scope3_Feed_Data(), Table_SourceData_Scope3_MixedRations[[#Headers],[Category]], -66, 2)</f>
        <v>Mixed rations</v>
      </c>
      <c r="E165" s="29" t="str" cm="1">
        <f t="array" ref="E165">Common_InputFunctions.Utility_DisplayArrayInTable(Scope3_SourceData.Scope3_Feed_Data(), Table_SourceData_Scope3_MixedRations[[#Headers],[Category]], -66, 2)</f>
        <v>Feed for pigs</v>
      </c>
      <c r="F165" s="29" t="str" cm="1">
        <f t="array" ref="F165">Common_InputFunctions.Utility_DisplayArrayInTable(Scope3_SourceData.Scope3_Feed_Data(), Table_SourceData_Scope3_MixedRations[[#Headers],[Category]], -66, 2)</f>
        <v>Australia</v>
      </c>
      <c r="G165" s="29" t="str" cm="1">
        <f t="array" ref="G165">Common_InputFunctions.Utility_DisplayArrayInTable(Scope3_SourceData.Scope3_Feed_Data(), Table_SourceData_Scope3_MixedRations[[#Headers],[Category]], -66, 2)</f>
        <v>kg</v>
      </c>
      <c r="H165" s="29" cm="1">
        <f t="array" ref="H165">Common_InputFunctions.Utility_DisplayArrayInTable(Scope3_SourceData.Scope3_Feed_Data(), Table_SourceData_Scope3_MixedRations[[#Headers],[Category]], -66, 2)</f>
        <v>0.40300000000000002</v>
      </c>
      <c r="I165" s="29"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29" t="s">
        <v>1262</v>
      </c>
      <c r="E167" s="29" t="s">
        <v>138</v>
      </c>
      <c r="F167" s="29" t="s">
        <v>1263</v>
      </c>
      <c r="G167" s="29" t="s">
        <v>1264</v>
      </c>
      <c r="H167" s="29" t="s">
        <v>1265</v>
      </c>
      <c r="I167" s="29" t="s">
        <v>1266</v>
      </c>
    </row>
    <row r="168" spans="4:13" ht="20.100000000000001" customHeight="1" x14ac:dyDescent="0.25">
      <c r="D168" s="29" t="str" cm="1">
        <f t="array" ref="D168">Common_InputFunctions.Utility_DisplayArrayInTable(Scope3_SourceData.Scope3_Feed_Data(), Table_SourceData_Scope3_LickBlocks[[#Headers],[Category]], -73, 2)</f>
        <v>Other</v>
      </c>
      <c r="E168" s="29" t="str" cm="1">
        <f t="array" ref="E168">Common_InputFunctions.Utility_DisplayArrayInTable(Scope3_SourceData.Scope3_Feed_Data(), Table_SourceData_Scope3_LickBlocks[[#Headers],[Category]], -73, 2)</f>
        <v>Lick block, dry season mix</v>
      </c>
      <c r="F168" s="29" t="str" cm="1">
        <f t="array" ref="F168">Common_InputFunctions.Utility_DisplayArrayInTable(Scope3_SourceData.Scope3_Feed_Data(), Table_SourceData_Scope3_LickBlocks[[#Headers],[Category]], -73, 2)</f>
        <v>Australia</v>
      </c>
      <c r="G168" s="29" t="str" cm="1">
        <f t="array" ref="G168">Common_InputFunctions.Utility_DisplayArrayInTable(Scope3_SourceData.Scope3_Feed_Data(), Table_SourceData_Scope3_LickBlocks[[#Headers],[Category]], -73, 2)</f>
        <v>kg</v>
      </c>
      <c r="H168" s="29" cm="1">
        <f t="array" ref="H168">Common_InputFunctions.Utility_DisplayArrayInTable(Scope3_SourceData.Scope3_Feed_Data(), Table_SourceData_Scope3_LickBlocks[[#Headers],[Category]], -73, 2)</f>
        <v>0.88100000000000001</v>
      </c>
      <c r="I168" s="29" t="str" cm="1">
        <f t="array" ref="I168">Common_InputFunctions.Utility_DisplayArrayInTable(Scope3_SourceData.Scope3_Feed_Data(), Table_SourceData_Scope3_LickBlocks[[#Headers],[Category]], -73, 2)</f>
        <v>at market</v>
      </c>
    </row>
    <row r="169" spans="4:13" ht="20.100000000000001" customHeight="1" x14ac:dyDescent="0.25">
      <c r="D169" s="29" t="str" cm="1">
        <f t="array" ref="D169">Common_InputFunctions.Utility_DisplayArrayInTable(Scope3_SourceData.Scope3_Feed_Data(), Table_SourceData_Scope3_LickBlocks[[#Headers],[Category]], -73, 2)</f>
        <v>Other</v>
      </c>
      <c r="E169" s="29" t="str" cm="1">
        <f t="array" ref="E169">Common_InputFunctions.Utility_DisplayArrayInTable(Scope3_SourceData.Scope3_Feed_Data(), Table_SourceData_Scope3_LickBlocks[[#Headers],[Category]], -73, 2)</f>
        <v>Lick block, mineral</v>
      </c>
      <c r="F169" s="29" t="str" cm="1">
        <f t="array" ref="F169">Common_InputFunctions.Utility_DisplayArrayInTable(Scope3_SourceData.Scope3_Feed_Data(), Table_SourceData_Scope3_LickBlocks[[#Headers],[Category]], -73, 2)</f>
        <v>Australia</v>
      </c>
      <c r="G169" s="29" t="str" cm="1">
        <f t="array" ref="G169">Common_InputFunctions.Utility_DisplayArrayInTable(Scope3_SourceData.Scope3_Feed_Data(), Table_SourceData_Scope3_LickBlocks[[#Headers],[Category]], -73, 2)</f>
        <v>kg</v>
      </c>
      <c r="H169" s="29" cm="1">
        <f t="array" ref="H169">Common_InputFunctions.Utility_DisplayArrayInTable(Scope3_SourceData.Scope3_Feed_Data(), Table_SourceData_Scope3_LickBlocks[[#Headers],[Category]], -73, 2)</f>
        <v>0.67700000000000005</v>
      </c>
      <c r="I169" s="29" t="str" cm="1">
        <f t="array" ref="I169">Common_InputFunctions.Utility_DisplayArrayInTable(Scope3_SourceData.Scope3_Feed_Data(), Table_SourceData_Scope3_LickBlocks[[#Headers],[Category]], -73, 2)</f>
        <v>at market</v>
      </c>
    </row>
    <row r="170" spans="4:13" ht="20.100000000000001" customHeight="1" x14ac:dyDescent="0.25">
      <c r="D170" s="29" t="str" cm="1">
        <f t="array" ref="D170">Common_InputFunctions.Utility_DisplayArrayInTable(Scope3_SourceData.Scope3_Feed_Data(), Table_SourceData_Scope3_LickBlocks[[#Headers],[Category]], -73, 2)</f>
        <v>Other</v>
      </c>
      <c r="E170" s="29" t="str" cm="1">
        <f t="array" ref="E170">Common_InputFunctions.Utility_DisplayArrayInTable(Scope3_SourceData.Scope3_Feed_Data(), Table_SourceData_Scope3_LickBlocks[[#Headers],[Category]], -73, 2)</f>
        <v>Lick block, weaner</v>
      </c>
      <c r="F170" s="29" t="str" cm="1">
        <f t="array" ref="F170">Common_InputFunctions.Utility_DisplayArrayInTable(Scope3_SourceData.Scope3_Feed_Data(), Table_SourceData_Scope3_LickBlocks[[#Headers],[Category]], -73, 2)</f>
        <v>Australia</v>
      </c>
      <c r="G170" s="29" t="str" cm="1">
        <f t="array" ref="G170">Common_InputFunctions.Utility_DisplayArrayInTable(Scope3_SourceData.Scope3_Feed_Data(), Table_SourceData_Scope3_LickBlocks[[#Headers],[Category]], -73, 2)</f>
        <v>kg</v>
      </c>
      <c r="H170" s="29" cm="1">
        <f t="array" ref="H170">Common_InputFunctions.Utility_DisplayArrayInTable(Scope3_SourceData.Scope3_Feed_Data(), Table_SourceData_Scope3_LickBlocks[[#Headers],[Category]], -73, 2)</f>
        <v>0.23100000000000001</v>
      </c>
      <c r="I170" s="29"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2" t="s">
        <v>1279</v>
      </c>
    </row>
    <row r="173" spans="4:13" ht="20.100000000000001" customHeight="1" x14ac:dyDescent="0.25">
      <c r="D173" s="29" t="s">
        <v>1262</v>
      </c>
      <c r="E173" s="29" t="s">
        <v>138</v>
      </c>
      <c r="F173" s="29" t="s">
        <v>1263</v>
      </c>
      <c r="G173" s="29" t="s">
        <v>675</v>
      </c>
      <c r="H173" s="29" t="s">
        <v>573</v>
      </c>
      <c r="I173" s="29" t="s">
        <v>574</v>
      </c>
      <c r="J173" s="29" t="s">
        <v>1280</v>
      </c>
      <c r="K173" s="29" t="s">
        <v>1264</v>
      </c>
      <c r="L173" s="29" t="s">
        <v>1265</v>
      </c>
      <c r="M173" s="29" t="s">
        <v>1266</v>
      </c>
    </row>
    <row r="174" spans="4:13" ht="20.100000000000001" customHeight="1" x14ac:dyDescent="0.25">
      <c r="D174" s="29" t="str" cm="1">
        <f t="array" ref="D174">Common_InputFunctions.Utility_DisplayArrayInTable(Scope3_SourceData.Scope3_InorganicFertilisers_Data(), Table_SourceData_Scope3_InorganicFertiliser[[#Headers],[Category]], 0, 2)</f>
        <v>Inorganic fertilisers</v>
      </c>
      <c r="E174" s="29" t="str" cm="1">
        <f t="array" ref="E174">Common_InputFunctions.Utility_DisplayArrayInTable(Scope3_SourceData.Scope3_InorganicFertilisers_Data(), Table_SourceData_Scope3_InorganicFertiliser[[#Headers],[Category]], 0, 2)</f>
        <v>Ammonia, AU market mix</v>
      </c>
      <c r="F174" s="29" t="str" cm="1">
        <f t="array" ref="F174">Common_InputFunctions.Utility_DisplayArrayInTable(Scope3_SourceData.Scope3_InorganicFertilisers_Data(), Table_SourceData_Scope3_InorganicFertiliser[[#Headers],[Category]], 0, 2)</f>
        <v>Global</v>
      </c>
      <c r="G174" s="29" t="str">
        <f>'Constants - Fertiliser'!$D$37</f>
        <v>Ammonia</v>
      </c>
      <c r="H174" s="29"/>
      <c r="I174" s="29" t="str">
        <f>'Constants - Fertiliser'!$V$20</f>
        <v>Global</v>
      </c>
      <c r="J174" s="29"/>
      <c r="K174" s="29" t="str" cm="1">
        <f t="array" ref="K174">Common_InputFunctions.Utility_DisplayArrayInTable(Scope3_SourceData.Scope3_InorganicFertilisers_Data(), Table_SourceData_Scope3_InorganicFertiliser[[#Headers],[Category]], 0, -2)</f>
        <v>kg</v>
      </c>
      <c r="L174" s="29" cm="1">
        <f t="array" ref="L174">Common_InputFunctions.Utility_DisplayArrayInTable(Scope3_SourceData.Scope3_InorganicFertilisers_Data(), Table_SourceData_Scope3_InorganicFertiliser[[#Headers],[Category]], 0, -2)</f>
        <v>2.3199999999999998</v>
      </c>
      <c r="M174" s="29"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29" t="str" cm="1">
        <f t="array" ref="D175">Common_InputFunctions.Utility_DisplayArrayInTable(Scope3_SourceData.Scope3_InorganicFertilisers_Data(), Table_SourceData_Scope3_InorganicFertiliser[[#Headers],[Category]], 0, 2)</f>
        <v>Inorganic fertilisers</v>
      </c>
      <c r="E175" s="29" t="str" cm="1">
        <f t="array" ref="E175">Common_InputFunctions.Utility_DisplayArrayInTable(Scope3_SourceData.Scope3_InorganicFertilisers_Data(), Table_SourceData_Scope3_InorganicFertiliser[[#Headers],[Category]], 0, 2)</f>
        <v>Ammonia, Canada</v>
      </c>
      <c r="F175" s="29" t="str" cm="1">
        <f t="array" ref="F175">Common_InputFunctions.Utility_DisplayArrayInTable(Scope3_SourceData.Scope3_InorganicFertilisers_Data(), Table_SourceData_Scope3_InorganicFertiliser[[#Headers],[Category]], 0, 2)</f>
        <v>Canada</v>
      </c>
      <c r="G175" s="29" t="str">
        <f>'Constants - Fertiliser'!$D$37</f>
        <v>Ammonia</v>
      </c>
      <c r="H175" s="29"/>
      <c r="I175" s="29" t="str">
        <f>'Constants - Fertiliser'!$V$21</f>
        <v>Canada</v>
      </c>
      <c r="J175" s="29"/>
      <c r="K175" s="29" t="str" cm="1">
        <f t="array" ref="K175">Common_InputFunctions.Utility_DisplayArrayInTable(Scope3_SourceData.Scope3_InorganicFertilisers_Data(), Table_SourceData_Scope3_InorganicFertiliser[[#Headers],[Category]], 0, -2)</f>
        <v>kg</v>
      </c>
      <c r="L175" s="29" cm="1">
        <f t="array" ref="L175">Common_InputFunctions.Utility_DisplayArrayInTable(Scope3_SourceData.Scope3_InorganicFertilisers_Data(), Table_SourceData_Scope3_InorganicFertiliser[[#Headers],[Category]], 0, -2)</f>
        <v>2.12</v>
      </c>
      <c r="M175" s="29"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29" t="str" cm="1">
        <f t="array" ref="D176">Common_InputFunctions.Utility_DisplayArrayInTable(Scope3_SourceData.Scope3_InorganicFertilisers_Data(), Table_SourceData_Scope3_InorganicFertiliser[[#Headers],[Category]], 0, 2)</f>
        <v>Inorganic fertilisers</v>
      </c>
      <c r="E176" s="29" t="str" cm="1">
        <f t="array" ref="E176">Common_InputFunctions.Utility_DisplayArrayInTable(Scope3_SourceData.Scope3_InorganicFertilisers_Data(), Table_SourceData_Scope3_InorganicFertiliser[[#Headers],[Category]], 0, 2)</f>
        <v>Ammonia, China</v>
      </c>
      <c r="F176" s="29" t="str" cm="1">
        <f t="array" ref="F176">Common_InputFunctions.Utility_DisplayArrayInTable(Scope3_SourceData.Scope3_InorganicFertilisers_Data(), Table_SourceData_Scope3_InorganicFertiliser[[#Headers],[Category]], 0, 2)</f>
        <v>China</v>
      </c>
      <c r="G176" s="29" t="str">
        <f>'Constants - Fertiliser'!$D$37</f>
        <v>Ammonia</v>
      </c>
      <c r="H176" s="29"/>
      <c r="I176" s="29" t="str">
        <f>'Constants - Fertiliser'!$V$22</f>
        <v>China</v>
      </c>
      <c r="J176" s="29"/>
      <c r="K176" s="29" t="str" cm="1">
        <f t="array" ref="K176">Common_InputFunctions.Utility_DisplayArrayInTable(Scope3_SourceData.Scope3_InorganicFertilisers_Data(), Table_SourceData_Scope3_InorganicFertiliser[[#Headers],[Category]], 0, -2)</f>
        <v>kg</v>
      </c>
      <c r="L176" s="29" cm="1">
        <f t="array" ref="L176">Common_InputFunctions.Utility_DisplayArrayInTable(Scope3_SourceData.Scope3_InorganicFertilisers_Data(), Table_SourceData_Scope3_InorganicFertiliser[[#Headers],[Category]], 0, -2)</f>
        <v>4.17</v>
      </c>
      <c r="M176" s="29"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29" t="str" cm="1">
        <f t="array" ref="D177">Common_InputFunctions.Utility_DisplayArrayInTable(Scope3_SourceData.Scope3_InorganicFertilisers_Data(), Table_SourceData_Scope3_InorganicFertiliser[[#Headers],[Category]], 0, 2)</f>
        <v>Inorganic fertilisers</v>
      </c>
      <c r="E177" s="29" t="str" cm="1">
        <f t="array" ref="E177">Common_InputFunctions.Utility_DisplayArrayInTable(Scope3_SourceData.Scope3_InorganicFertilisers_Data(), Table_SourceData_Scope3_InorganicFertiliser[[#Headers],[Category]], 0, 2)</f>
        <v>Ammonia, Yemen</v>
      </c>
      <c r="F177" s="29" t="str" cm="1">
        <f t="array" ref="F177">Common_InputFunctions.Utility_DisplayArrayInTable(Scope3_SourceData.Scope3_InorganicFertilisers_Data(), Table_SourceData_Scope3_InorganicFertiliser[[#Headers],[Category]], 0, 2)</f>
        <v>Yemen</v>
      </c>
      <c r="G177" s="29" t="str">
        <f>'Constants - Fertiliser'!$D$37</f>
        <v>Ammonia</v>
      </c>
      <c r="H177" s="29"/>
      <c r="I177" s="29" t="str">
        <f>'Constants - Fertiliser'!$V$23</f>
        <v>Yemen</v>
      </c>
      <c r="J177" s="29"/>
      <c r="K177" s="29" t="str" cm="1">
        <f t="array" ref="K177">Common_InputFunctions.Utility_DisplayArrayInTable(Scope3_SourceData.Scope3_InorganicFertilisers_Data(), Table_SourceData_Scope3_InorganicFertiliser[[#Headers],[Category]], 0, -2)</f>
        <v>kg</v>
      </c>
      <c r="L177" s="29" cm="1">
        <f t="array" ref="L177">Common_InputFunctions.Utility_DisplayArrayInTable(Scope3_SourceData.Scope3_InorganicFertilisers_Data(), Table_SourceData_Scope3_InorganicFertiliser[[#Headers],[Category]], 0, -2)</f>
        <v>2.2599999999999998</v>
      </c>
      <c r="M177" s="29"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29" t="str" cm="1">
        <f t="array" ref="D178">Common_InputFunctions.Utility_DisplayArrayInTable(Scope3_SourceData.Scope3_InorganicFertilisers_Data(), Table_SourceData_Scope3_InorganicFertiliser[[#Headers],[Category]], 0, 2)</f>
        <v>Inorganic fertilisers</v>
      </c>
      <c r="E178" s="29" t="str" cm="1">
        <f t="array" ref="E178">Common_InputFunctions.Utility_DisplayArrayInTable(Scope3_SourceData.Scope3_InorganicFertilisers_Data(), Table_SourceData_Scope3_InorganicFertiliser[[#Headers],[Category]], 0, 2)</f>
        <v>Ammonium nitrate, AU market mix</v>
      </c>
      <c r="F178" s="29" t="str" cm="1">
        <f t="array" ref="F178">Common_InputFunctions.Utility_DisplayArrayInTable(Scope3_SourceData.Scope3_InorganicFertilisers_Data(), Table_SourceData_Scope3_InorganicFertiliser[[#Headers],[Category]], 0, 2)</f>
        <v>Global</v>
      </c>
      <c r="G178" s="29" t="str">
        <f>'Constants - Fertiliser'!$D$25</f>
        <v>Ammonium nitrate (AN)</v>
      </c>
      <c r="H178" s="29"/>
      <c r="I178" s="29"/>
      <c r="J178" s="29"/>
      <c r="K178" s="29" t="str" cm="1">
        <f t="array" ref="K178">Common_InputFunctions.Utility_DisplayArrayInTable(Scope3_SourceData.Scope3_InorganicFertilisers_Data(), Table_SourceData_Scope3_InorganicFertiliser[[#Headers],[Category]], 0, -2)</f>
        <v>kg</v>
      </c>
      <c r="L178" s="29" cm="1">
        <f t="array" ref="L178">Common_InputFunctions.Utility_DisplayArrayInTable(Scope3_SourceData.Scope3_InorganicFertilisers_Data(), Table_SourceData_Scope3_InorganicFertiliser[[#Headers],[Category]], 0, -2)</f>
        <v>2.21</v>
      </c>
      <c r="M178" s="29"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29" t="str" cm="1">
        <f t="array" ref="D179">Common_InputFunctions.Utility_DisplayArrayInTable(Scope3_SourceData.Scope3_InorganicFertilisers_Data(), Table_SourceData_Scope3_InorganicFertiliser[[#Headers],[Category]], 0, 2)</f>
        <v>Inorganic fertilisers</v>
      </c>
      <c r="E179" s="29" t="str" cm="1">
        <f t="array" ref="E179">Common_InputFunctions.Utility_DisplayArrayInTable(Scope3_SourceData.Scope3_InorganicFertilisers_Data(), Table_SourceData_Scope3_InorganicFertiliser[[#Headers],[Category]], 0, 2)</f>
        <v>Calcium ammonium nitrate, AU market mix</v>
      </c>
      <c r="F179" s="29" t="str" cm="1">
        <f t="array" ref="F179">Common_InputFunctions.Utility_DisplayArrayInTable(Scope3_SourceData.Scope3_InorganicFertilisers_Data(), Table_SourceData_Scope3_InorganicFertiliser[[#Headers],[Category]], 0, 2)</f>
        <v>Global</v>
      </c>
      <c r="G179" s="29" t="str">
        <f>'Constants - Fertiliser'!$D$26</f>
        <v>Calcium ammonium nitrate (CAN)</v>
      </c>
      <c r="H179" s="29"/>
      <c r="I179" s="29"/>
      <c r="J179" s="29"/>
      <c r="K179" s="29" t="str" cm="1">
        <f t="array" ref="K179">Common_InputFunctions.Utility_DisplayArrayInTable(Scope3_SourceData.Scope3_InorganicFertilisers_Data(), Table_SourceData_Scope3_InorganicFertiliser[[#Headers],[Category]], 0, -2)</f>
        <v>kg</v>
      </c>
      <c r="L179" s="29" cm="1">
        <f t="array" ref="L179">Common_InputFunctions.Utility_DisplayArrayInTable(Scope3_SourceData.Scope3_InorganicFertilisers_Data(), Table_SourceData_Scope3_InorganicFertiliser[[#Headers],[Category]], 0, -2)</f>
        <v>1.1499999999999999</v>
      </c>
      <c r="M179" s="29"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29" t="str" cm="1">
        <f t="array" ref="D180">Common_InputFunctions.Utility_DisplayArrayInTable(Scope3_SourceData.Scope3_InorganicFertilisers_Data(), Table_SourceData_Scope3_InorganicFertiliser[[#Headers],[Category]], 0, 2)</f>
        <v>Inorganic fertilisers</v>
      </c>
      <c r="E180" s="29" t="str" cm="1">
        <f t="array" ref="E180">Common_InputFunctions.Utility_DisplayArrayInTable(Scope3_SourceData.Scope3_InorganicFertilisers_Data(), Table_SourceData_Scope3_InorganicFertiliser[[#Headers],[Category]], 0, 2)</f>
        <v>Calcium nitrate</v>
      </c>
      <c r="F180" s="29" t="str" cm="1">
        <f t="array" ref="F180">Common_InputFunctions.Utility_DisplayArrayInTable(Scope3_SourceData.Scope3_InorganicFertilisers_Data(), Table_SourceData_Scope3_InorganicFertiliser[[#Headers],[Category]], 0, 2)</f>
        <v>Global</v>
      </c>
      <c r="G180" s="29" t="str">
        <f>'Constants - Fertiliser'!$D$38</f>
        <v>Calcium nitrate</v>
      </c>
      <c r="H180" s="29"/>
      <c r="I180" s="29"/>
      <c r="J180" s="29"/>
      <c r="K180" s="29" t="str" cm="1">
        <f t="array" ref="K180">Common_InputFunctions.Utility_DisplayArrayInTable(Scope3_SourceData.Scope3_InorganicFertilisers_Data(), Table_SourceData_Scope3_InorganicFertiliser[[#Headers],[Category]], 0, -2)</f>
        <v>kg</v>
      </c>
      <c r="L180" s="29" cm="1">
        <f t="array" ref="L180">Common_InputFunctions.Utility_DisplayArrayInTable(Scope3_SourceData.Scope3_InorganicFertilisers_Data(), Table_SourceData_Scope3_InorganicFertiliser[[#Headers],[Category]], 0, -2)</f>
        <v>0.75</v>
      </c>
      <c r="M180" s="29"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29" t="str" cm="1">
        <f t="array" ref="D181">Common_InputFunctions.Utility_DisplayArrayInTable(Scope3_SourceData.Scope3_InorganicFertilisers_Data(), Table_SourceData_Scope3_InorganicFertiliser[[#Headers],[Category]], 0, 2)</f>
        <v>Inorganic fertilisers</v>
      </c>
      <c r="E181" s="29" t="str" cm="1">
        <f t="array" ref="E181">Common_InputFunctions.Utility_DisplayArrayInTable(Scope3_SourceData.Scope3_InorganicFertilisers_Data(), Table_SourceData_Scope3_InorganicFertiliser[[#Headers],[Category]], 0, 2)</f>
        <v>Diammonium phosphate, AU market mix</v>
      </c>
      <c r="F181" s="29" t="str" cm="1">
        <f t="array" ref="F181">Common_InputFunctions.Utility_DisplayArrayInTable(Scope3_SourceData.Scope3_InorganicFertilisers_Data(), Table_SourceData_Scope3_InorganicFertiliser[[#Headers],[Category]], 0, 2)</f>
        <v>Global</v>
      </c>
      <c r="G181" s="29" t="str">
        <f>'Constants - Fertiliser'!$D$21</f>
        <v>Diammonium phosphate (DAP)</v>
      </c>
      <c r="H181" s="29"/>
      <c r="I181" s="29"/>
      <c r="J181" s="29"/>
      <c r="K181" s="29" t="str" cm="1">
        <f t="array" ref="K181">Common_InputFunctions.Utility_DisplayArrayInTable(Scope3_SourceData.Scope3_InorganicFertilisers_Data(), Table_SourceData_Scope3_InorganicFertiliser[[#Headers],[Category]], 0, -2)</f>
        <v>kg</v>
      </c>
      <c r="L181" s="29" cm="1">
        <f t="array" ref="L181">Common_InputFunctions.Utility_DisplayArrayInTable(Scope3_SourceData.Scope3_InorganicFertilisers_Data(), Table_SourceData_Scope3_InorganicFertiliser[[#Headers],[Category]], 0, -2)</f>
        <v>1.34</v>
      </c>
      <c r="M181" s="29"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29" t="str" cm="1">
        <f t="array" ref="D182">Common_InputFunctions.Utility_DisplayArrayInTable(Scope3_SourceData.Scope3_InorganicFertilisers_Data(), Table_SourceData_Scope3_InorganicFertiliser[[#Headers],[Category]], 0, 2)</f>
        <v>Inorganic fertilisers</v>
      </c>
      <c r="E182" s="29" t="str" cm="1">
        <f t="array" ref="E182">Common_InputFunctions.Utility_DisplayArrayInTable(Scope3_SourceData.Scope3_InorganicFertilisers_Data(), Table_SourceData_Scope3_InorganicFertiliser[[#Headers],[Category]], 0, 2)</f>
        <v>Double superphosphate, AU market mix</v>
      </c>
      <c r="F182" s="29" t="str" cm="1">
        <f t="array" ref="F182">Common_InputFunctions.Utility_DisplayArrayInTable(Scope3_SourceData.Scope3_InorganicFertilisers_Data(), Table_SourceData_Scope3_InorganicFertiliser[[#Headers],[Category]], 0, 2)</f>
        <v>Global</v>
      </c>
      <c r="G182" s="29" t="str">
        <f>'Constants - Fertiliser'!$D$35</f>
        <v>Double superphosphate</v>
      </c>
      <c r="H182" s="29"/>
      <c r="I182" s="29"/>
      <c r="J182" s="29"/>
      <c r="K182" s="29" t="str" cm="1">
        <f t="array" ref="K182">Common_InputFunctions.Utility_DisplayArrayInTable(Scope3_SourceData.Scope3_InorganicFertilisers_Data(), Table_SourceData_Scope3_InorganicFertiliser[[#Headers],[Category]], 0, -2)</f>
        <v>kg</v>
      </c>
      <c r="L182" s="29" cm="1">
        <f t="array" ref="L182">Common_InputFunctions.Utility_DisplayArrayInTable(Scope3_SourceData.Scope3_InorganicFertilisers_Data(), Table_SourceData_Scope3_InorganicFertiliser[[#Headers],[Category]], 0, -2)</f>
        <v>0.39200000000000002</v>
      </c>
      <c r="M182" s="29"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29" t="str" cm="1">
        <f t="array" ref="D183">Common_InputFunctions.Utility_DisplayArrayInTable(Scope3_SourceData.Scope3_InorganicFertilisers_Data(), Table_SourceData_Scope3_InorganicFertiliser[[#Headers],[Category]], 0, 2)</f>
        <v>Inorganic fertilisers</v>
      </c>
      <c r="E183" s="29" t="str" cm="1">
        <f t="array" ref="E183">Common_InputFunctions.Utility_DisplayArrayInTable(Scope3_SourceData.Scope3_InorganicFertilisers_Data(), Table_SourceData_Scope3_InorganicFertiliser[[#Headers],[Category]], 0, 2)</f>
        <v>Monoammonium phosphate, AU market mix</v>
      </c>
      <c r="F183" s="29" t="str" cm="1">
        <f t="array" ref="F183">Common_InputFunctions.Utility_DisplayArrayInTable(Scope3_SourceData.Scope3_InorganicFertilisers_Data(), Table_SourceData_Scope3_InorganicFertiliser[[#Headers],[Category]], 0, 2)</f>
        <v>Global</v>
      </c>
      <c r="G183" s="29" t="str">
        <f>'Constants - Fertiliser'!$D$20</f>
        <v>Monoammonium phosphate (MAP)</v>
      </c>
      <c r="H183" s="29"/>
      <c r="I183" s="29"/>
      <c r="J183" s="29"/>
      <c r="K183" s="29" t="str" cm="1">
        <f t="array" ref="K183">Common_InputFunctions.Utility_DisplayArrayInTable(Scope3_SourceData.Scope3_InorganicFertilisers_Data(), Table_SourceData_Scope3_InorganicFertiliser[[#Headers],[Category]], 0, -2)</f>
        <v>kg</v>
      </c>
      <c r="L183" s="29" cm="1">
        <f t="array" ref="L183">Common_InputFunctions.Utility_DisplayArrayInTable(Scope3_SourceData.Scope3_InorganicFertilisers_Data(), Table_SourceData_Scope3_InorganicFertiliser[[#Headers],[Category]], 0, -2)</f>
        <v>0.82699999999999996</v>
      </c>
      <c r="M183" s="29"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29" t="str" cm="1">
        <f t="array" ref="D184">Common_InputFunctions.Utility_DisplayArrayInTable(Scope3_SourceData.Scope3_InorganicFertilisers_Data(), Table_SourceData_Scope3_InorganicFertiliser[[#Headers],[Category]], 0, 2)</f>
        <v>Inorganic fertilisers</v>
      </c>
      <c r="E184" s="29" t="str" cm="1">
        <f t="array" ref="E184">Common_InputFunctions.Utility_DisplayArrayInTable(Scope3_SourceData.Scope3_InorganicFertilisers_Data(), Table_SourceData_Scope3_InorganicFertiliser[[#Headers],[Category]], 0, 2)</f>
        <v>Muriate of potash, AU market mix</v>
      </c>
      <c r="F184" s="29" t="str" cm="1">
        <f t="array" ref="F184">Common_InputFunctions.Utility_DisplayArrayInTable(Scope3_SourceData.Scope3_InorganicFertilisers_Data(), Table_SourceData_Scope3_InorganicFertiliser[[#Headers],[Category]], 0, 2)</f>
        <v>Global</v>
      </c>
      <c r="G184" s="29" t="str">
        <f>'Constants - Fertiliser'!$D$34</f>
        <v>Muriate of potash (MOP)</v>
      </c>
      <c r="H184" s="29"/>
      <c r="I184" s="29"/>
      <c r="J184" s="29"/>
      <c r="K184" s="29" t="str" cm="1">
        <f t="array" ref="K184">Common_InputFunctions.Utility_DisplayArrayInTable(Scope3_SourceData.Scope3_InorganicFertilisers_Data(), Table_SourceData_Scope3_InorganicFertiliser[[#Headers],[Category]], 0, -2)</f>
        <v>kg</v>
      </c>
      <c r="L184" s="29" cm="1">
        <f t="array" ref="L184">Common_InputFunctions.Utility_DisplayArrayInTable(Scope3_SourceData.Scope3_InorganicFertilisers_Data(), Table_SourceData_Scope3_InorganicFertiliser[[#Headers],[Category]], 0, -2)</f>
        <v>0.54900000000000004</v>
      </c>
      <c r="M184" s="29"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29" t="str" cm="1">
        <f t="array" ref="D185">Common_InputFunctions.Utility_DisplayArrayInTable(Scope3_SourceData.Scope3_InorganicFertilisers_Data(), Table_SourceData_Scope3_InorganicFertiliser[[#Headers],[Category]], 0, 2)</f>
        <v>Inorganic fertilisers</v>
      </c>
      <c r="E185" s="29" t="str" cm="1">
        <f t="array" ref="E185">Common_InputFunctions.Utility_DisplayArrayInTable(Scope3_SourceData.Scope3_InorganicFertilisers_Data(), Table_SourceData_Scope3_InorganicFertiliser[[#Headers],[Category]], 0, 2)</f>
        <v>Nitrogen from ammonia, AU market mix</v>
      </c>
      <c r="F185" s="29" t="str" cm="1">
        <f t="array" ref="F185">Common_InputFunctions.Utility_DisplayArrayInTable(Scope3_SourceData.Scope3_InorganicFertilisers_Data(), Table_SourceData_Scope3_InorganicFertiliser[[#Headers],[Category]], 0, 2)</f>
        <v>Global</v>
      </c>
      <c r="G185" s="29" t="str">
        <f>'Constants - Fertiliser'!$D$27</f>
        <v>Nitrogen - Ammoniacal</v>
      </c>
      <c r="H185" s="29"/>
      <c r="I185" s="29"/>
      <c r="J185" s="29"/>
      <c r="K185" s="29" t="str" cm="1">
        <f t="array" ref="K185">Common_InputFunctions.Utility_DisplayArrayInTable(Scope3_SourceData.Scope3_InorganicFertilisers_Data(), Table_SourceData_Scope3_InorganicFertiliser[[#Headers],[Category]], 0, -2)</f>
        <v>kg N</v>
      </c>
      <c r="L185" s="29" cm="1">
        <f t="array" ref="L185">Common_InputFunctions.Utility_DisplayArrayInTable(Scope3_SourceData.Scope3_InorganicFertilisers_Data(), Table_SourceData_Scope3_InorganicFertiliser[[#Headers],[Category]], 0, -2)</f>
        <v>2.83</v>
      </c>
      <c r="M185" s="29" t="str" cm="1">
        <f t="array" ref="M185">Common_InputFunctions.Utility_DisplayArrayInTable(Scope3_SourceData.Scope3_InorganicFertilisers_Data(), Table_SourceData_Scope3_InorganicFertiliser[[#Headers],[Category]], 0, -2)</f>
        <v>at market</v>
      </c>
      <c r="N185" s="29"/>
      <c r="O185" s="29"/>
      <c r="P185" s="29"/>
    </row>
    <row r="186" spans="4:16" ht="20.100000000000001" customHeight="1" x14ac:dyDescent="0.25">
      <c r="D186" s="29" t="str" cm="1">
        <f t="array" ref="D186">Common_InputFunctions.Utility_DisplayArrayInTable(Scope3_SourceData.Scope3_InorganicFertilisers_Data(), Table_SourceData_Scope3_InorganicFertiliser[[#Headers],[Category]], 0, 2)</f>
        <v>Inorganic fertilisers</v>
      </c>
      <c r="E186" s="29" t="str" cm="1">
        <f t="array" ref="E186">Common_InputFunctions.Utility_DisplayArrayInTable(Scope3_SourceData.Scope3_InorganicFertilisers_Data(), Table_SourceData_Scope3_InorganicFertiliser[[#Headers],[Category]], 0, 2)</f>
        <v>Nitrogen from fertilizer, AU market mix</v>
      </c>
      <c r="F186" s="29" t="str" cm="1">
        <f t="array" ref="F186">Common_InputFunctions.Utility_DisplayArrayInTable(Scope3_SourceData.Scope3_InorganicFertilisers_Data(), Table_SourceData_Scope3_InorganicFertiliser[[#Headers],[Category]], 0, 2)</f>
        <v>Global</v>
      </c>
      <c r="G186" s="29" t="str">
        <f>'Constants - Fertiliser'!$D$29</f>
        <v>Nitrogen - Generic</v>
      </c>
      <c r="H186" s="29"/>
      <c r="I186" s="29"/>
      <c r="J186" s="29"/>
      <c r="K186" s="29" t="str" cm="1">
        <f t="array" ref="K186">Common_InputFunctions.Utility_DisplayArrayInTable(Scope3_SourceData.Scope3_InorganicFertilisers_Data(), Table_SourceData_Scope3_InorganicFertiliser[[#Headers],[Category]], 0, -2)</f>
        <v>kg N</v>
      </c>
      <c r="L186" s="29" cm="1">
        <f t="array" ref="L186">Common_InputFunctions.Utility_DisplayArrayInTable(Scope3_SourceData.Scope3_InorganicFertilisers_Data(), Table_SourceData_Scope3_InorganicFertiliser[[#Headers],[Category]], 0, -2)</f>
        <v>4.2</v>
      </c>
      <c r="M186" s="29" t="str" cm="1">
        <f t="array" ref="M186">Common_InputFunctions.Utility_DisplayArrayInTable(Scope3_SourceData.Scope3_InorganicFertilisers_Data(), Table_SourceData_Scope3_InorganicFertiliser[[#Headers],[Category]], 0, -2)</f>
        <v>at market</v>
      </c>
      <c r="N186" s="29"/>
      <c r="O186" s="29"/>
      <c r="P186" s="29"/>
    </row>
    <row r="187" spans="4:16" ht="20.100000000000001" customHeight="1" x14ac:dyDescent="0.25">
      <c r="D187" s="29" t="str" cm="1">
        <f t="array" ref="D187">Common_InputFunctions.Utility_DisplayArrayInTable(Scope3_SourceData.Scope3_InorganicFertilisers_Data(), Table_SourceData_Scope3_InorganicFertiliser[[#Headers],[Category]], 0, 2)</f>
        <v>Inorganic fertilisers</v>
      </c>
      <c r="E187" s="29" t="str" cm="1">
        <f t="array" ref="E187">Common_InputFunctions.Utility_DisplayArrayInTable(Scope3_SourceData.Scope3_InorganicFertilisers_Data(), Table_SourceData_Scope3_InorganicFertiliser[[#Headers],[Category]], 0, 2)</f>
        <v>Nitrogen from nitrate fertilizer, AU market mix</v>
      </c>
      <c r="F187" s="29" t="str" cm="1">
        <f t="array" ref="F187">Common_InputFunctions.Utility_DisplayArrayInTable(Scope3_SourceData.Scope3_InorganicFertilisers_Data(), Table_SourceData_Scope3_InorganicFertiliser[[#Headers],[Category]], 0, 2)</f>
        <v>Global</v>
      </c>
      <c r="G187" s="29" t="str">
        <f>'Constants - Fertiliser'!$D$28</f>
        <v>Nitrogen - Nitrate</v>
      </c>
      <c r="H187" s="29"/>
      <c r="I187" s="29"/>
      <c r="J187" s="29"/>
      <c r="K187" s="29" t="str" cm="1">
        <f t="array" ref="K187">Common_InputFunctions.Utility_DisplayArrayInTable(Scope3_SourceData.Scope3_InorganicFertilisers_Data(), Table_SourceData_Scope3_InorganicFertiliser[[#Headers],[Category]], 0, -2)</f>
        <v>kg N</v>
      </c>
      <c r="L187" s="29" cm="1">
        <f t="array" ref="L187">Common_InputFunctions.Utility_DisplayArrayInTable(Scope3_SourceData.Scope3_InorganicFertilisers_Data(), Table_SourceData_Scope3_InorganicFertiliser[[#Headers],[Category]], 0, -2)</f>
        <v>5.47</v>
      </c>
      <c r="M187" s="29" t="str" cm="1">
        <f t="array" ref="M187">Common_InputFunctions.Utility_DisplayArrayInTable(Scope3_SourceData.Scope3_InorganicFertilisers_Data(), Table_SourceData_Scope3_InorganicFertiliser[[#Headers],[Category]], 0, -2)</f>
        <v>at market</v>
      </c>
      <c r="N187" s="29"/>
      <c r="O187" s="29"/>
      <c r="P187" s="29"/>
    </row>
    <row r="188" spans="4:16" ht="20.100000000000001" customHeight="1" x14ac:dyDescent="0.25">
      <c r="D188" s="29" t="str" cm="1">
        <f t="array" ref="D188">Common_InputFunctions.Utility_DisplayArrayInTable(Scope3_SourceData.Scope3_InorganicFertilisers_Data(), Table_SourceData_Scope3_InorganicFertiliser[[#Headers],[Category]], 0, 2)</f>
        <v>Inorganic fertilisers</v>
      </c>
      <c r="E188" s="29" t="str" cm="1">
        <f t="array" ref="E188">Common_InputFunctions.Utility_DisplayArrayInTable(Scope3_SourceData.Scope3_InorganicFertilisers_Data(), Table_SourceData_Scope3_InorganicFertiliser[[#Headers],[Category]], 0, 2)</f>
        <v>Phosphorus from fertilizer, AU market mix</v>
      </c>
      <c r="F188" s="29" t="str" cm="1">
        <f t="array" ref="F188">Common_InputFunctions.Utility_DisplayArrayInTable(Scope3_SourceData.Scope3_InorganicFertilisers_Data(), Table_SourceData_Scope3_InorganicFertiliser[[#Headers],[Category]], 0, 2)</f>
        <v>Global</v>
      </c>
      <c r="G188" s="29" t="str">
        <f>'Constants - Fertiliser'!$D$30</f>
        <v>Phosphorus - Generic</v>
      </c>
      <c r="H188" s="29"/>
      <c r="I188" s="29"/>
      <c r="J188" s="29"/>
      <c r="K188" s="29" t="str" cm="1">
        <f t="array" ref="K188">Common_InputFunctions.Utility_DisplayArrayInTable(Scope3_SourceData.Scope3_InorganicFertilisers_Data(), Table_SourceData_Scope3_InorganicFertiliser[[#Headers],[Category]], 0, -2)</f>
        <v>kg P</v>
      </c>
      <c r="L188" s="29" cm="1">
        <f t="array" ref="L188">Common_InputFunctions.Utility_DisplayArrayInTable(Scope3_SourceData.Scope3_InorganicFertilisers_Data(), Table_SourceData_Scope3_InorganicFertiliser[[#Headers],[Category]], 0, -2)</f>
        <v>3.96</v>
      </c>
      <c r="M188" s="29" t="str" cm="1">
        <f t="array" ref="M188">Common_InputFunctions.Utility_DisplayArrayInTable(Scope3_SourceData.Scope3_InorganicFertilisers_Data(), Table_SourceData_Scope3_InorganicFertiliser[[#Headers],[Category]], 0, -2)</f>
        <v>at market</v>
      </c>
      <c r="N188" s="29"/>
      <c r="O188" s="29"/>
      <c r="P188" s="29"/>
    </row>
    <row r="189" spans="4:16" ht="20.100000000000001" customHeight="1" x14ac:dyDescent="0.25">
      <c r="D189" s="29" t="str" cm="1">
        <f t="array" ref="D189">Common_InputFunctions.Utility_DisplayArrayInTable(Scope3_SourceData.Scope3_InorganicFertilisers_Data(), Table_SourceData_Scope3_InorganicFertiliser[[#Headers],[Category]], 0, 2)</f>
        <v>Inorganic fertilisers</v>
      </c>
      <c r="E189" s="29" t="str" cm="1">
        <f t="array" ref="E189">Common_InputFunctions.Utility_DisplayArrayInTable(Scope3_SourceData.Scope3_InorganicFertilisers_Data(), Table_SourceData_Scope3_InorganicFertiliser[[#Headers],[Category]], 0, 2)</f>
        <v>Potassium from fertilizer, AU market mix</v>
      </c>
      <c r="F189" s="29" t="str" cm="1">
        <f t="array" ref="F189">Common_InputFunctions.Utility_DisplayArrayInTable(Scope3_SourceData.Scope3_InorganicFertilisers_Data(), Table_SourceData_Scope3_InorganicFertiliser[[#Headers],[Category]], 0, 2)</f>
        <v>Global</v>
      </c>
      <c r="G189" s="29" t="str">
        <f>'Constants - Fertiliser'!$D$31</f>
        <v>Potassium - Generic</v>
      </c>
      <c r="H189" s="29"/>
      <c r="I189" s="29"/>
      <c r="J189" s="29"/>
      <c r="K189" s="29" t="str" cm="1">
        <f t="array" ref="K189">Common_InputFunctions.Utility_DisplayArrayInTable(Scope3_SourceData.Scope3_InorganicFertilisers_Data(), Table_SourceData_Scope3_InorganicFertiliser[[#Headers],[Category]], 0, -2)</f>
        <v>kg K</v>
      </c>
      <c r="L189" s="29" cm="1">
        <f t="array" ref="L189">Common_InputFunctions.Utility_DisplayArrayInTable(Scope3_SourceData.Scope3_InorganicFertilisers_Data(), Table_SourceData_Scope3_InorganicFertiliser[[#Headers],[Category]], 0, -2)</f>
        <v>0.90900000000000003</v>
      </c>
      <c r="M189" s="29" t="str" cm="1">
        <f t="array" ref="M189">Common_InputFunctions.Utility_DisplayArrayInTable(Scope3_SourceData.Scope3_InorganicFertilisers_Data(), Table_SourceData_Scope3_InorganicFertiliser[[#Headers],[Category]], 0, -2)</f>
        <v>at market</v>
      </c>
      <c r="N189" s="29"/>
      <c r="O189" s="29"/>
      <c r="P189" s="29"/>
    </row>
    <row r="190" spans="4:16" ht="20.100000000000001" customHeight="1" x14ac:dyDescent="0.25">
      <c r="D190" s="29" t="str" cm="1">
        <f t="array" ref="D190">Common_InputFunctions.Utility_DisplayArrayInTable(Scope3_SourceData.Scope3_InorganicFertilisers_Data(), Table_SourceData_Scope3_InorganicFertiliser[[#Headers],[Category]], 0, 2)</f>
        <v>Inorganic fertilisers</v>
      </c>
      <c r="E190" s="29" t="str" cm="1">
        <f t="array" ref="E190">Common_InputFunctions.Utility_DisplayArrayInTable(Scope3_SourceData.Scope3_InorganicFertilisers_Data(), Table_SourceData_Scope3_InorganicFertiliser[[#Headers],[Category]], 0, 2)</f>
        <v>Single superphosphate, AU market mix</v>
      </c>
      <c r="F190" s="29" t="str" cm="1">
        <f t="array" ref="F190">Common_InputFunctions.Utility_DisplayArrayInTable(Scope3_SourceData.Scope3_InorganicFertilisers_Data(), Table_SourceData_Scope3_InorganicFertiliser[[#Headers],[Category]], 0, 2)</f>
        <v>Global</v>
      </c>
      <c r="G190" s="29" t="str">
        <f>'Constants - Fertiliser'!$D$36</f>
        <v>Single superphosphate (SSP)</v>
      </c>
      <c r="H190" s="29"/>
      <c r="I190" s="29"/>
      <c r="J190" s="29"/>
      <c r="K190" s="29" t="str" cm="1">
        <f t="array" ref="K190">Common_InputFunctions.Utility_DisplayArrayInTable(Scope3_SourceData.Scope3_InorganicFertilisers_Data(), Table_SourceData_Scope3_InorganicFertiliser[[#Headers],[Category]], 0, -2)</f>
        <v>kg</v>
      </c>
      <c r="L190" s="29" cm="1">
        <f t="array" ref="L190">Common_InputFunctions.Utility_DisplayArrayInTable(Scope3_SourceData.Scope3_InorganicFertilisers_Data(), Table_SourceData_Scope3_InorganicFertiliser[[#Headers],[Category]], 0, -2)</f>
        <v>0.22700000000000001</v>
      </c>
      <c r="M190" s="29" t="str" cm="1">
        <f t="array" ref="M190">Common_InputFunctions.Utility_DisplayArrayInTable(Scope3_SourceData.Scope3_InorganicFertilisers_Data(), Table_SourceData_Scope3_InorganicFertiliser[[#Headers],[Category]], 0, -2)</f>
        <v>at market</v>
      </c>
      <c r="N190" s="29"/>
      <c r="O190" s="29"/>
      <c r="P190" s="29"/>
    </row>
    <row r="191" spans="4:16" ht="20.100000000000001" customHeight="1" x14ac:dyDescent="0.25">
      <c r="D191" s="29" t="str" cm="1">
        <f t="array" ref="D191">Common_InputFunctions.Utility_DisplayArrayInTable(Scope3_SourceData.Scope3_InorganicFertilisers_Data(), Table_SourceData_Scope3_InorganicFertiliser[[#Headers],[Category]], 0, 2)</f>
        <v>Inorganic fertilisers</v>
      </c>
      <c r="E191" s="29" t="str" cm="1">
        <f t="array" ref="E191">Common_InputFunctions.Utility_DisplayArrayInTable(Scope3_SourceData.Scope3_InorganicFertilisers_Data(), Table_SourceData_Scope3_InorganicFertiliser[[#Headers],[Category]], 0, 2)</f>
        <v>Sulfur from fertilizer, AU market mix</v>
      </c>
      <c r="F191" s="29" t="str" cm="1">
        <f t="array" ref="F191">Common_InputFunctions.Utility_DisplayArrayInTable(Scope3_SourceData.Scope3_InorganicFertilisers_Data(), Table_SourceData_Scope3_InorganicFertiliser[[#Headers],[Category]], 0, 2)</f>
        <v>Global</v>
      </c>
      <c r="G191" s="29" t="str">
        <f>'Constants - Fertiliser'!$D$32</f>
        <v>Sulfur - Generic</v>
      </c>
      <c r="H191" s="29"/>
      <c r="I191" s="29"/>
      <c r="J191" s="29"/>
      <c r="K191" s="29" t="str" cm="1">
        <f t="array" ref="K191">Common_InputFunctions.Utility_DisplayArrayInTable(Scope3_SourceData.Scope3_InorganicFertilisers_Data(), Table_SourceData_Scope3_InorganicFertiliser[[#Headers],[Category]], 0, -2)</f>
        <v>kg S</v>
      </c>
      <c r="L191" s="29" cm="1">
        <f t="array" ref="L191">Common_InputFunctions.Utility_DisplayArrayInTable(Scope3_SourceData.Scope3_InorganicFertilisers_Data(), Table_SourceData_Scope3_InorganicFertiliser[[#Headers],[Category]], 0, -2)</f>
        <v>2.5</v>
      </c>
      <c r="M191" s="29" t="str" cm="1">
        <f t="array" ref="M191">Common_InputFunctions.Utility_DisplayArrayInTable(Scope3_SourceData.Scope3_InorganicFertilisers_Data(), Table_SourceData_Scope3_InorganicFertiliser[[#Headers],[Category]], 0, -2)</f>
        <v>at market</v>
      </c>
      <c r="N191" s="29"/>
      <c r="O191" s="29"/>
      <c r="P191" s="29"/>
    </row>
    <row r="192" spans="4:16" ht="20.100000000000001" customHeight="1" x14ac:dyDescent="0.25">
      <c r="D192" s="29" t="str" cm="1">
        <f t="array" ref="D192">Common_InputFunctions.Utility_DisplayArrayInTable(Scope3_SourceData.Scope3_InorganicFertilisers_Data(), Table_SourceData_Scope3_InorganicFertiliser[[#Headers],[Category]], 0, 2)</f>
        <v>Inorganic fertilisers</v>
      </c>
      <c r="E192" s="29" t="str" cm="1">
        <f t="array" ref="E192">Common_InputFunctions.Utility_DisplayArrayInTable(Scope3_SourceData.Scope3_InorganicFertilisers_Data(), Table_SourceData_Scope3_InorganicFertiliser[[#Headers],[Category]], 0, 2)</f>
        <v>Ammonium sulphate, AU market mix</v>
      </c>
      <c r="F192" s="29" t="str" cm="1">
        <f t="array" ref="F192">Common_InputFunctions.Utility_DisplayArrayInTable(Scope3_SourceData.Scope3_InorganicFertilisers_Data(), Table_SourceData_Scope3_InorganicFertiliser[[#Headers],[Category]], 0, 2)</f>
        <v>Global</v>
      </c>
      <c r="G192" s="29" t="str">
        <f>'Constants - Fertiliser'!$D$23</f>
        <v>Sulphate of ammonia (SOA)</v>
      </c>
      <c r="H192" s="29"/>
      <c r="I192" s="29"/>
      <c r="J192" s="29"/>
      <c r="K192" s="29" t="str" cm="1">
        <f t="array" ref="K192">Common_InputFunctions.Utility_DisplayArrayInTable(Scope3_SourceData.Scope3_InorganicFertilisers_Data(), Table_SourceData_Scope3_InorganicFertiliser[[#Headers],[Category]], 0, -2)</f>
        <v>kg</v>
      </c>
      <c r="L192" s="29" cm="1">
        <f t="array" ref="L192">Common_InputFunctions.Utility_DisplayArrayInTable(Scope3_SourceData.Scope3_InorganicFertilisers_Data(), Table_SourceData_Scope3_InorganicFertiliser[[#Headers],[Category]], 0, -2)</f>
        <v>0.86499999999999999</v>
      </c>
      <c r="M192" s="29" t="str" cm="1">
        <f t="array" ref="M192">Common_InputFunctions.Utility_DisplayArrayInTable(Scope3_SourceData.Scope3_InorganicFertilisers_Data(), Table_SourceData_Scope3_InorganicFertiliser[[#Headers],[Category]], 0, -2)</f>
        <v>at market</v>
      </c>
      <c r="N192" s="29"/>
      <c r="O192" s="29"/>
      <c r="P192" s="29"/>
    </row>
    <row r="193" spans="4:16" ht="20.100000000000001" customHeight="1" x14ac:dyDescent="0.25">
      <c r="D193" s="29" t="str" cm="1">
        <f t="array" ref="D193">Common_InputFunctions.Utility_DisplayArrayInTable(Scope3_SourceData.Scope3_InorganicFertilisers_Data(), Table_SourceData_Scope3_InorganicFertiliser[[#Headers],[Category]], 0, 2)</f>
        <v>Inorganic fertilisers</v>
      </c>
      <c r="E193" s="29" t="str" cm="1">
        <f t="array" ref="E193">Common_InputFunctions.Utility_DisplayArrayInTable(Scope3_SourceData.Scope3_InorganicFertilisers_Data(), Table_SourceData_Scope3_InorganicFertiliser[[#Headers],[Category]], 0, 2)</f>
        <v>Urea ammonium nitrate, AU market mix</v>
      </c>
      <c r="F193" s="29" t="str" cm="1">
        <f t="array" ref="F193">Common_InputFunctions.Utility_DisplayArrayInTable(Scope3_SourceData.Scope3_InorganicFertilisers_Data(), Table_SourceData_Scope3_InorganicFertiliser[[#Headers],[Category]], 0, 2)</f>
        <v>Global</v>
      </c>
      <c r="G193" s="29" t="str">
        <f>'Constants - Fertiliser'!$D$24</f>
        <v>Urea-ammonium nitrate (UAN)</v>
      </c>
      <c r="H193" s="29"/>
      <c r="I193" s="29"/>
      <c r="J193" s="29"/>
      <c r="K193" s="29" t="str" cm="1">
        <f t="array" ref="K193">Common_InputFunctions.Utility_DisplayArrayInTable(Scope3_SourceData.Scope3_InorganicFertilisers_Data(), Table_SourceData_Scope3_InorganicFertiliser[[#Headers],[Category]], 0, -2)</f>
        <v>kg</v>
      </c>
      <c r="L193" s="29" cm="1">
        <f t="array" ref="L193">Common_InputFunctions.Utility_DisplayArrayInTable(Scope3_SourceData.Scope3_InorganicFertilisers_Data(), Table_SourceData_Scope3_InorganicFertiliser[[#Headers],[Category]], 0, -2)</f>
        <v>1.75</v>
      </c>
      <c r="M193" s="29" t="str" cm="1">
        <f t="array" ref="M193">Common_InputFunctions.Utility_DisplayArrayInTable(Scope3_SourceData.Scope3_InorganicFertilisers_Data(), Table_SourceData_Scope3_InorganicFertiliser[[#Headers],[Category]], 0, -2)</f>
        <v>at market</v>
      </c>
      <c r="N193" s="29"/>
      <c r="O193" s="29"/>
      <c r="P193" s="29"/>
    </row>
    <row r="194" spans="4:16" ht="20.100000000000001" customHeight="1" x14ac:dyDescent="0.25">
      <c r="D194" s="29" t="str" cm="1">
        <f t="array" ref="D194">Common_InputFunctions.Utility_DisplayArrayInTable(Scope3_SourceData.Scope3_InorganicFertilisers_Data(), Table_SourceData_Scope3_InorganicFertiliser[[#Headers],[Category]], 0, 2)</f>
        <v>Inorganic fertilisers</v>
      </c>
      <c r="E194" s="29" t="str" cm="1">
        <f t="array" ref="E194">Common_InputFunctions.Utility_DisplayArrayInTable(Scope3_SourceData.Scope3_InorganicFertilisers_Data(), Table_SourceData_Scope3_InorganicFertiliser[[#Headers],[Category]], 0, 2)</f>
        <v>Urea, AU market mix</v>
      </c>
      <c r="F194" s="29" t="str" cm="1">
        <f t="array" ref="F194">Common_InputFunctions.Utility_DisplayArrayInTable(Scope3_SourceData.Scope3_InorganicFertilisers_Data(), Table_SourceData_Scope3_InorganicFertiliser[[#Headers],[Category]], 0, 2)</f>
        <v>Global</v>
      </c>
      <c r="G194" s="29" t="str">
        <f>'Constants - Fertiliser'!$D$22</f>
        <v>Urea</v>
      </c>
      <c r="H194" s="29" t="str">
        <f>'Constants - Fertiliser'!$V$20</f>
        <v>Global</v>
      </c>
      <c r="I194" s="29"/>
      <c r="J194" s="29"/>
      <c r="K194" s="29" t="str" cm="1">
        <f t="array" ref="K194">Common_InputFunctions.Utility_DisplayArrayInTable(Scope3_SourceData.Scope3_InorganicFertilisers_Data(), Table_SourceData_Scope3_InorganicFertiliser[[#Headers],[Category]], 0, -2)</f>
        <v>kg</v>
      </c>
      <c r="L194" s="29" cm="1">
        <f t="array" ref="L194">Common_InputFunctions.Utility_DisplayArrayInTable(Scope3_SourceData.Scope3_InorganicFertilisers_Data(), Table_SourceData_Scope3_InorganicFertiliser[[#Headers],[Category]], 0, -2)</f>
        <v>0.96799999999999997</v>
      </c>
      <c r="M194" s="29" t="str" cm="1">
        <f t="array" ref="M194">Common_InputFunctions.Utility_DisplayArrayInTable(Scope3_SourceData.Scope3_InorganicFertilisers_Data(), Table_SourceData_Scope3_InorganicFertiliser[[#Headers],[Category]], 0, -2)</f>
        <v>at market</v>
      </c>
      <c r="N194" s="29"/>
      <c r="O194" s="29"/>
      <c r="P194" s="29"/>
    </row>
    <row r="195" spans="4:16" ht="20.100000000000001" customHeight="1" x14ac:dyDescent="0.25">
      <c r="D195" s="29" t="str" cm="1">
        <f t="array" ref="D195">Common_InputFunctions.Utility_DisplayArrayInTable(Scope3_SourceData.Scope3_InorganicFertilisers_Data(), Table_SourceData_Scope3_InorganicFertiliser[[#Headers],[Category]], 0, 2)</f>
        <v>Inorganic fertilisers</v>
      </c>
      <c r="E195" s="29" t="str" cm="1">
        <f t="array" ref="E195">Common_InputFunctions.Utility_DisplayArrayInTable(Scope3_SourceData.Scope3_InorganicFertilisers_Data(), Table_SourceData_Scope3_InorganicFertiliser[[#Headers],[Category]], 0, 2)</f>
        <v>Urea, Canada</v>
      </c>
      <c r="F195" s="29" t="str" cm="1">
        <f t="array" ref="F195">Common_InputFunctions.Utility_DisplayArrayInTable(Scope3_SourceData.Scope3_InorganicFertilisers_Data(), Table_SourceData_Scope3_InorganicFertiliser[[#Headers],[Category]], 0, 2)</f>
        <v>Canada</v>
      </c>
      <c r="G195" s="29" t="str">
        <f>'Constants - Fertiliser'!$D$22</f>
        <v>Urea</v>
      </c>
      <c r="H195" s="29" t="str">
        <f>'Constants - Fertiliser'!$V$21</f>
        <v>Canada</v>
      </c>
      <c r="I195" s="29"/>
      <c r="J195" s="29"/>
      <c r="K195" s="29" t="str" cm="1">
        <f t="array" ref="K195">Common_InputFunctions.Utility_DisplayArrayInTable(Scope3_SourceData.Scope3_InorganicFertilisers_Data(), Table_SourceData_Scope3_InorganicFertiliser[[#Headers],[Category]], 0, -2)</f>
        <v>kg</v>
      </c>
      <c r="L195" s="29" cm="1">
        <f t="array" ref="L195">Common_InputFunctions.Utility_DisplayArrayInTable(Scope3_SourceData.Scope3_InorganicFertilisers_Data(), Table_SourceData_Scope3_InorganicFertiliser[[#Headers],[Category]], 0, -2)</f>
        <v>0.82299999999999995</v>
      </c>
      <c r="M195" s="29" t="str" cm="1">
        <f t="array" ref="M195">Common_InputFunctions.Utility_DisplayArrayInTable(Scope3_SourceData.Scope3_InorganicFertilisers_Data(), Table_SourceData_Scope3_InorganicFertiliser[[#Headers],[Category]], 0, -2)</f>
        <v>at market</v>
      </c>
      <c r="N195" s="29"/>
      <c r="O195" s="29"/>
      <c r="P195" s="29"/>
    </row>
    <row r="196" spans="4:16" ht="20.100000000000001" customHeight="1" x14ac:dyDescent="0.25">
      <c r="D196" s="29" t="str" cm="1">
        <f t="array" ref="D196">Common_InputFunctions.Utility_DisplayArrayInTable(Scope3_SourceData.Scope3_InorganicFertilisers_Data(), Table_SourceData_Scope3_InorganicFertiliser[[#Headers],[Category]], 0, 2)</f>
        <v>Inorganic fertilisers</v>
      </c>
      <c r="E196" s="29" t="str" cm="1">
        <f t="array" ref="E196">Common_InputFunctions.Utility_DisplayArrayInTable(Scope3_SourceData.Scope3_InorganicFertilisers_Data(), Table_SourceData_Scope3_InorganicFertiliser[[#Headers],[Category]], 0, 2)</f>
        <v>Urea, China</v>
      </c>
      <c r="F196" s="29" t="str" cm="1">
        <f t="array" ref="F196">Common_InputFunctions.Utility_DisplayArrayInTable(Scope3_SourceData.Scope3_InorganicFertilisers_Data(), Table_SourceData_Scope3_InorganicFertiliser[[#Headers],[Category]], 0, 2)</f>
        <v>China</v>
      </c>
      <c r="G196" s="29" t="str">
        <f>'Constants - Fertiliser'!$D$22</f>
        <v>Urea</v>
      </c>
      <c r="H196" s="29" t="str">
        <f>'Constants - Fertiliser'!$V$22</f>
        <v>China</v>
      </c>
      <c r="I196" s="29"/>
      <c r="J196" s="29"/>
      <c r="K196" s="29" t="str" cm="1">
        <f t="array" ref="K196">Common_InputFunctions.Utility_DisplayArrayInTable(Scope3_SourceData.Scope3_InorganicFertilisers_Data(), Table_SourceData_Scope3_InorganicFertiliser[[#Headers],[Category]], 0, -2)</f>
        <v>kg</v>
      </c>
      <c r="L196" s="29" cm="1">
        <f t="array" ref="L196">Common_InputFunctions.Utility_DisplayArrayInTable(Scope3_SourceData.Scope3_InorganicFertilisers_Data(), Table_SourceData_Scope3_InorganicFertiliser[[#Headers],[Category]], 0, -2)</f>
        <v>2.09</v>
      </c>
      <c r="M196" s="29" t="str" cm="1">
        <f t="array" ref="M196">Common_InputFunctions.Utility_DisplayArrayInTable(Scope3_SourceData.Scope3_InorganicFertilisers_Data(), Table_SourceData_Scope3_InorganicFertiliser[[#Headers],[Category]], 0, -2)</f>
        <v>at market</v>
      </c>
      <c r="N196" s="29"/>
      <c r="O196" s="29"/>
      <c r="P196" s="29"/>
    </row>
    <row r="197" spans="4:16" ht="20.100000000000001" customHeight="1" x14ac:dyDescent="0.25">
      <c r="D197" s="29" t="str" cm="1">
        <f t="array" ref="D197">Common_InputFunctions.Utility_DisplayArrayInTable(Scope3_SourceData.Scope3_InorganicFertilisers_Data(), Table_SourceData_Scope3_InorganicFertiliser[[#Headers],[Category]], 0, 2)</f>
        <v>Inorganic fertilisers</v>
      </c>
      <c r="E197" s="29" t="str" cm="1">
        <f t="array" ref="E197">Common_InputFunctions.Utility_DisplayArrayInTable(Scope3_SourceData.Scope3_InorganicFertilisers_Data(), Table_SourceData_Scope3_InorganicFertiliser[[#Headers],[Category]], 0, 2)</f>
        <v>Urea, Yemen</v>
      </c>
      <c r="F197" s="29" t="str" cm="1">
        <f t="array" ref="F197">Common_InputFunctions.Utility_DisplayArrayInTable(Scope3_SourceData.Scope3_InorganicFertilisers_Data(), Table_SourceData_Scope3_InorganicFertiliser[[#Headers],[Category]], 0, 2)</f>
        <v>Yemen</v>
      </c>
      <c r="G197" s="29" t="str">
        <f>'Constants - Fertiliser'!$D$22</f>
        <v>Urea</v>
      </c>
      <c r="H197" s="29" t="str">
        <f>'Constants - Fertiliser'!$V$23</f>
        <v>Yemen</v>
      </c>
      <c r="I197" s="29"/>
      <c r="J197" s="29"/>
      <c r="K197" s="29" t="str" cm="1">
        <f t="array" ref="K197">Common_InputFunctions.Utility_DisplayArrayInTable(Scope3_SourceData.Scope3_InorganicFertilisers_Data(), Table_SourceData_Scope3_InorganicFertiliser[[#Headers],[Category]], 0, -2)</f>
        <v>kg</v>
      </c>
      <c r="L197" s="29" cm="1">
        <f t="array" ref="L197">Common_InputFunctions.Utility_DisplayArrayInTable(Scope3_SourceData.Scope3_InorganicFertilisers_Data(), Table_SourceData_Scope3_InorganicFertiliser[[#Headers],[Category]], 0, -2)</f>
        <v>0.96299999999999997</v>
      </c>
      <c r="M197" s="29" t="str" cm="1">
        <f t="array" ref="M197">Common_InputFunctions.Utility_DisplayArrayInTable(Scope3_SourceData.Scope3_InorganicFertilisers_Data(), Table_SourceData_Scope3_InorganicFertiliser[[#Headers],[Category]], 0, -2)</f>
        <v>at market</v>
      </c>
      <c r="N197" s="29"/>
      <c r="O197" s="29"/>
      <c r="P197" s="29"/>
    </row>
    <row r="198" spans="4:16" ht="20.100000000000001" customHeight="1" x14ac:dyDescent="0.25">
      <c r="D198" s="29" t="str" cm="1">
        <f t="array" ref="D198">Common_InputFunctions.Utility_DisplayArrayInTable(Scope3_SourceData.Scope3_InorganicFertilisers_Data(), Table_SourceData_Scope3_InorganicFertiliser[[#Headers],[Category]], 0, 2)</f>
        <v>Inorganic fertilisers</v>
      </c>
      <c r="E198" s="29" t="str" cm="1">
        <f t="array" ref="E198">Common_InputFunctions.Utility_DisplayArrayInTable(Scope3_SourceData.Scope3_InorganicFertilisers_Data(), Table_SourceData_Scope3_InorganicFertiliser[[#Headers],[Category]], 0, 2)</f>
        <v>Zinc from fertilizer</v>
      </c>
      <c r="F198" s="29" t="str" cm="1">
        <f t="array" ref="F198">Common_InputFunctions.Utility_DisplayArrayInTable(Scope3_SourceData.Scope3_InorganicFertilisers_Data(), Table_SourceData_Scope3_InorganicFertiliser[[#Headers],[Category]], 0, 2)</f>
        <v>Global</v>
      </c>
      <c r="G198" s="29" t="str">
        <f>'Constants - Fertiliser'!$D$33</f>
        <v>Zinc - Generic</v>
      </c>
      <c r="H198" s="29"/>
      <c r="I198" s="29"/>
      <c r="J198" s="29"/>
      <c r="K198" s="29" t="str" cm="1">
        <f t="array" ref="K198">Common_InputFunctions.Utility_DisplayArrayInTable(Scope3_SourceData.Scope3_InorganicFertilisers_Data(), Table_SourceData_Scope3_InorganicFertiliser[[#Headers],[Category]], 0, -2)</f>
        <v>kg Zn</v>
      </c>
      <c r="L198" s="29" cm="1">
        <f t="array" ref="L198">Common_InputFunctions.Utility_DisplayArrayInTable(Scope3_SourceData.Scope3_InorganicFertilisers_Data(), Table_SourceData_Scope3_InorganicFertiliser[[#Headers],[Category]], 0, -2)</f>
        <v>4.82</v>
      </c>
      <c r="M198" s="29" t="str" cm="1">
        <f t="array" ref="M198">Common_InputFunctions.Utility_DisplayArrayInTable(Scope3_SourceData.Scope3_InorganicFertilisers_Data(), Table_SourceData_Scope3_InorganicFertiliser[[#Headers],[Category]], 0, -2)</f>
        <v>at market</v>
      </c>
      <c r="N198" s="29"/>
      <c r="O198" s="29"/>
      <c r="P198" s="29"/>
    </row>
    <row r="199" spans="4:16" ht="20.100000000000001" customHeight="1" x14ac:dyDescent="0.25">
      <c r="N199" s="29"/>
      <c r="O199" s="29"/>
      <c r="P199" s="29"/>
    </row>
    <row r="200" spans="4:16" ht="20.100000000000001" customHeight="1" x14ac:dyDescent="0.25">
      <c r="D200" s="2" t="s">
        <v>1281</v>
      </c>
      <c r="N200" s="29"/>
      <c r="O200" s="29"/>
      <c r="P200" s="29"/>
    </row>
    <row r="201" spans="4:16" ht="20.100000000000001" customHeight="1" x14ac:dyDescent="0.25">
      <c r="D201" s="29" t="s">
        <v>1262</v>
      </c>
      <c r="E201" s="29" t="s">
        <v>138</v>
      </c>
      <c r="F201" s="29" t="s">
        <v>1263</v>
      </c>
      <c r="G201" s="29" t="s">
        <v>1264</v>
      </c>
      <c r="H201" s="29" t="s">
        <v>1265</v>
      </c>
      <c r="I201" s="29" t="s">
        <v>1266</v>
      </c>
      <c r="N201" s="29"/>
      <c r="O201" s="29"/>
      <c r="P201" s="29"/>
    </row>
    <row r="202" spans="4:16" ht="20.100000000000001" customHeight="1" x14ac:dyDescent="0.25">
      <c r="D202" s="29" t="str" cm="1">
        <f t="array" ref="D202">Common_InputFunctions.Utility_DisplayArrayInTable(Scope3_SourceData.Scope3_Other_Data(), Table_SourceData_Scope3_Other[[#Headers],[Category]], 0, 2)</f>
        <v>Other</v>
      </c>
      <c r="E202" s="29" t="str" cm="1">
        <f t="array" ref="E202">Common_InputFunctions.Utility_DisplayArrayInTable(Scope3_SourceData.Scope3_Other_Data(), Table_SourceData_Scope3_Other[[#Headers],[Category]], 0, 2)</f>
        <v>Animal ear tags (large)</v>
      </c>
      <c r="F202" s="29" t="str" cm="1">
        <f t="array" ref="F202">Common_InputFunctions.Utility_DisplayArrayInTable(Scope3_SourceData.Scope3_Other_Data(), Table_SourceData_Scope3_Other[[#Headers],[Category]], 0, 2)</f>
        <v>Australia</v>
      </c>
      <c r="G202" s="29" t="str" cm="1">
        <f t="array" ref="G202">Common_InputFunctions.Utility_DisplayArrayInTable(Scope3_SourceData.Scope3_Other_Data(), Table_SourceData_Scope3_Other[[#Headers],[Category]], 0, 2)</f>
        <v>p</v>
      </c>
      <c r="H202" s="29" cm="1">
        <f t="array" ref="H202">Common_InputFunctions.Utility_DisplayArrayInTable(Scope3_SourceData.Scope3_Other_Data(), Table_SourceData_Scope3_Other[[#Headers],[Category]], 0, 2)</f>
        <v>4.24E-2</v>
      </c>
      <c r="I202" s="29" t="str" cm="1">
        <f t="array" ref="I202">Common_InputFunctions.Utility_DisplayArrayInTable(Scope3_SourceData.Scope3_Other_Data(), Table_SourceData_Scope3_Other[[#Headers],[Category]], 0, 2)</f>
        <v>at market</v>
      </c>
      <c r="N202" s="29"/>
      <c r="O202" s="29"/>
      <c r="P202" s="29"/>
    </row>
    <row r="203" spans="4:16" ht="20.100000000000001" customHeight="1" x14ac:dyDescent="0.25">
      <c r="D203" s="29" t="str" cm="1">
        <f t="array" ref="D203">Common_InputFunctions.Utility_DisplayArrayInTable(Scope3_SourceData.Scope3_Other_Data(), Table_SourceData_Scope3_Other[[#Headers],[Category]], 0, 2)</f>
        <v>Other</v>
      </c>
      <c r="E203" s="29" t="str" cm="1">
        <f t="array" ref="E203">Common_InputFunctions.Utility_DisplayArrayInTable(Scope3_SourceData.Scope3_Other_Data(), Table_SourceData_Scope3_Other[[#Headers],[Category]], 0, 2)</f>
        <v>Animal ear tags (small)</v>
      </c>
      <c r="F203" s="29" t="str" cm="1">
        <f t="array" ref="F203">Common_InputFunctions.Utility_DisplayArrayInTable(Scope3_SourceData.Scope3_Other_Data(), Table_SourceData_Scope3_Other[[#Headers],[Category]], 0, 2)</f>
        <v>Australia</v>
      </c>
      <c r="G203" s="29" t="str" cm="1">
        <f t="array" ref="G203">Common_InputFunctions.Utility_DisplayArrayInTable(Scope3_SourceData.Scope3_Other_Data(), Table_SourceData_Scope3_Other[[#Headers],[Category]], 0, 2)</f>
        <v>p</v>
      </c>
      <c r="H203" s="29" cm="1">
        <f t="array" ref="H203">Common_InputFunctions.Utility_DisplayArrayInTable(Scope3_SourceData.Scope3_Other_Data(), Table_SourceData_Scope3_Other[[#Headers],[Category]], 0, 2)</f>
        <v>2.93E-2</v>
      </c>
      <c r="I203" s="29" t="str" cm="1">
        <f t="array" ref="I203">Common_InputFunctions.Utility_DisplayArrayInTable(Scope3_SourceData.Scope3_Other_Data(), Table_SourceData_Scope3_Other[[#Headers],[Category]], 0, 2)</f>
        <v>at market</v>
      </c>
      <c r="N203" s="29"/>
      <c r="O203" s="29"/>
      <c r="P203" s="29"/>
    </row>
    <row r="204" spans="4:16" ht="20.100000000000001" customHeight="1" x14ac:dyDescent="0.25">
      <c r="D204" s="29" t="str" cm="1">
        <f t="array" ref="D204">Common_InputFunctions.Utility_DisplayArrayInTable(Scope3_SourceData.Scope3_Other_Data(), Table_SourceData_Scope3_Other[[#Headers],[Category]], 0, 2)</f>
        <v>Other</v>
      </c>
      <c r="E204" s="29" t="str" cm="1">
        <f t="array" ref="E204">Common_InputFunctions.Utility_DisplayArrayInTable(Scope3_SourceData.Scope3_Other_Data(), Table_SourceData_Scope3_Other[[#Headers],[Category]], 0, 2)</f>
        <v>Barley grain (for seed)</v>
      </c>
      <c r="F204" s="29" t="str" cm="1">
        <f t="array" ref="F204">Common_InputFunctions.Utility_DisplayArrayInTable(Scope3_SourceData.Scope3_Other_Data(), Table_SourceData_Scope3_Other[[#Headers],[Category]], 0, 2)</f>
        <v>Australia</v>
      </c>
      <c r="G204" s="29" t="str" cm="1">
        <f t="array" ref="G204">Common_InputFunctions.Utility_DisplayArrayInTable(Scope3_SourceData.Scope3_Other_Data(), Table_SourceData_Scope3_Other[[#Headers],[Category]], 0, 2)</f>
        <v>kg</v>
      </c>
      <c r="H204" s="29" cm="1">
        <f t="array" ref="H204">Common_InputFunctions.Utility_DisplayArrayInTable(Scope3_SourceData.Scope3_Other_Data(), Table_SourceData_Scope3_Other[[#Headers],[Category]], 0, 2)</f>
        <v>0.23899999999999999</v>
      </c>
      <c r="I204" s="29" t="str" cm="1">
        <f t="array" ref="I204">Common_InputFunctions.Utility_DisplayArrayInTable(Scope3_SourceData.Scope3_Other_Data(), Table_SourceData_Scope3_Other[[#Headers],[Category]], 0, 2)</f>
        <v>at market</v>
      </c>
      <c r="N204" s="29"/>
      <c r="O204" s="29"/>
      <c r="P204" s="29"/>
    </row>
    <row r="205" spans="4:16" ht="20.100000000000001" customHeight="1" x14ac:dyDescent="0.25">
      <c r="D205" s="29" t="str" cm="1">
        <f t="array" ref="D205">Common_InputFunctions.Utility_DisplayArrayInTable(Scope3_SourceData.Scope3_Other_Data(), Table_SourceData_Scope3_Other[[#Headers],[Category]], 0, 2)</f>
        <v>Other</v>
      </c>
      <c r="E205" s="29" t="str" cm="1">
        <f t="array" ref="E205">Common_InputFunctions.Utility_DisplayArrayInTable(Scope3_SourceData.Scope3_Other_Data(), Table_SourceData_Scope3_Other[[#Headers],[Category]], 0, 2)</f>
        <v>Maize grain (for seed)</v>
      </c>
      <c r="F205" s="29" t="str" cm="1">
        <f t="array" ref="F205">Common_InputFunctions.Utility_DisplayArrayInTable(Scope3_SourceData.Scope3_Other_Data(), Table_SourceData_Scope3_Other[[#Headers],[Category]], 0, 2)</f>
        <v>Australia</v>
      </c>
      <c r="G205" s="29" t="str" cm="1">
        <f t="array" ref="G205">Common_InputFunctions.Utility_DisplayArrayInTable(Scope3_SourceData.Scope3_Other_Data(), Table_SourceData_Scope3_Other[[#Headers],[Category]], 0, 2)</f>
        <v>kg</v>
      </c>
      <c r="H205" s="29" cm="1">
        <f t="array" ref="H205">Common_InputFunctions.Utility_DisplayArrayInTable(Scope3_SourceData.Scope3_Other_Data(), Table_SourceData_Scope3_Other[[#Headers],[Category]], 0, 2)</f>
        <v>0.18099999999999999</v>
      </c>
      <c r="I205" s="29" t="str" cm="1">
        <f t="array" ref="I205">Common_InputFunctions.Utility_DisplayArrayInTable(Scope3_SourceData.Scope3_Other_Data(), Table_SourceData_Scope3_Other[[#Headers],[Category]], 0, 2)</f>
        <v>at market</v>
      </c>
      <c r="N205" s="29"/>
      <c r="O205" s="29"/>
      <c r="P205" s="29"/>
    </row>
    <row r="206" spans="4:16" ht="20.100000000000001" customHeight="1" x14ac:dyDescent="0.25">
      <c r="D206" s="29" t="str" cm="1">
        <f t="array" ref="D206">Common_InputFunctions.Utility_DisplayArrayInTable(Scope3_SourceData.Scope3_Other_Data(), Table_SourceData_Scope3_Other[[#Headers],[Category]], 0, 2)</f>
        <v>Other</v>
      </c>
      <c r="E206" s="29" t="str" cm="1">
        <f t="array" ref="E206">Common_InputFunctions.Utility_DisplayArrayInTable(Scope3_SourceData.Scope3_Other_Data(), Table_SourceData_Scope3_Other[[#Headers],[Category]], 0, 2)</f>
        <v>Nylon netting</v>
      </c>
      <c r="F206" s="29" t="str" cm="1">
        <f t="array" ref="F206">Common_InputFunctions.Utility_DisplayArrayInTable(Scope3_SourceData.Scope3_Other_Data(), Table_SourceData_Scope3_Other[[#Headers],[Category]], 0, 2)</f>
        <v>Global</v>
      </c>
      <c r="G206" s="29" t="str" cm="1">
        <f t="array" ref="G206">Common_InputFunctions.Utility_DisplayArrayInTable(Scope3_SourceData.Scope3_Other_Data(), Table_SourceData_Scope3_Other[[#Headers],[Category]], 0, 2)</f>
        <v>kg</v>
      </c>
      <c r="H206" s="29" cm="1">
        <f t="array" ref="H206">Common_InputFunctions.Utility_DisplayArrayInTable(Scope3_SourceData.Scope3_Other_Data(), Table_SourceData_Scope3_Other[[#Headers],[Category]], 0, 2)</f>
        <v>9.81</v>
      </c>
      <c r="I206" s="29" t="str" cm="1">
        <f t="array" ref="I206">Common_InputFunctions.Utility_DisplayArrayInTable(Scope3_SourceData.Scope3_Other_Data(), Table_SourceData_Scope3_Other[[#Headers],[Category]], 0, 2)</f>
        <v>at market</v>
      </c>
      <c r="N206" s="29"/>
      <c r="O206" s="29"/>
      <c r="P206" s="29"/>
    </row>
    <row r="207" spans="4:16" ht="20.100000000000001" customHeight="1" x14ac:dyDescent="0.25">
      <c r="D207" s="29" t="str" cm="1">
        <f t="array" ref="D207">Common_InputFunctions.Utility_DisplayArrayInTable(Scope3_SourceData.Scope3_Other_Data(), Table_SourceData_Scope3_Other[[#Headers],[Category]], 0, 2)</f>
        <v>Other</v>
      </c>
      <c r="E207" s="29" t="str" cm="1">
        <f t="array" ref="E207">Common_InputFunctions.Utility_DisplayArrayInTable(Scope3_SourceData.Scope3_Other_Data(), Table_SourceData_Scope3_Other[[#Headers],[Category]], 0, 2)</f>
        <v>Oat grain (for seed)</v>
      </c>
      <c r="F207" s="29" t="str" cm="1">
        <f t="array" ref="F207">Common_InputFunctions.Utility_DisplayArrayInTable(Scope3_SourceData.Scope3_Other_Data(), Table_SourceData_Scope3_Other[[#Headers],[Category]], 0, 2)</f>
        <v>Australia</v>
      </c>
      <c r="G207" s="29" t="str" cm="1">
        <f t="array" ref="G207">Common_InputFunctions.Utility_DisplayArrayInTable(Scope3_SourceData.Scope3_Other_Data(), Table_SourceData_Scope3_Other[[#Headers],[Category]], 0, 2)</f>
        <v>kg</v>
      </c>
      <c r="H207" s="29" cm="1">
        <f t="array" ref="H207">Common_InputFunctions.Utility_DisplayArrayInTable(Scope3_SourceData.Scope3_Other_Data(), Table_SourceData_Scope3_Other[[#Headers],[Category]], 0, 2)</f>
        <v>0.27</v>
      </c>
      <c r="I207" s="29" t="str" cm="1">
        <f t="array" ref="I207">Common_InputFunctions.Utility_DisplayArrayInTable(Scope3_SourceData.Scope3_Other_Data(), Table_SourceData_Scope3_Other[[#Headers],[Category]], 0, 2)</f>
        <v>at market</v>
      </c>
      <c r="N207" s="29"/>
      <c r="O207" s="29"/>
      <c r="P207" s="29"/>
    </row>
    <row r="208" spans="4:16" ht="20.100000000000001" customHeight="1" x14ac:dyDescent="0.25">
      <c r="D208" s="29" t="str" cm="1">
        <f t="array" ref="D208">Common_InputFunctions.Utility_DisplayArrayInTable(Scope3_SourceData.Scope3_Other_Data(), Table_SourceData_Scope3_Other[[#Headers],[Category]], 0, 2)</f>
        <v>Other</v>
      </c>
      <c r="E208" s="29" t="str" cm="1">
        <f t="array" ref="E208">Common_InputFunctions.Utility_DisplayArrayInTable(Scope3_SourceData.Scope3_Other_Data(), Table_SourceData_Scope3_Other[[#Headers],[Category]], 0, 2)</f>
        <v>Sorghum grain (for seed)</v>
      </c>
      <c r="F208" s="29" t="str" cm="1">
        <f t="array" ref="F208">Common_InputFunctions.Utility_DisplayArrayInTable(Scope3_SourceData.Scope3_Other_Data(), Table_SourceData_Scope3_Other[[#Headers],[Category]], 0, 2)</f>
        <v>Australia</v>
      </c>
      <c r="G208" s="29" t="str" cm="1">
        <f t="array" ref="G208">Common_InputFunctions.Utility_DisplayArrayInTable(Scope3_SourceData.Scope3_Other_Data(), Table_SourceData_Scope3_Other[[#Headers],[Category]], 0, 2)</f>
        <v>kg</v>
      </c>
      <c r="H208" s="29" cm="1">
        <f t="array" ref="H208">Common_InputFunctions.Utility_DisplayArrayInTable(Scope3_SourceData.Scope3_Other_Data(), Table_SourceData_Scope3_Other[[#Headers],[Category]], 0, 2)</f>
        <v>0.23200000000000001</v>
      </c>
      <c r="I208" s="29" t="str" cm="1">
        <f t="array" ref="I208">Common_InputFunctions.Utility_DisplayArrayInTable(Scope3_SourceData.Scope3_Other_Data(), Table_SourceData_Scope3_Other[[#Headers],[Category]], 0, 2)</f>
        <v>at market</v>
      </c>
      <c r="N208" s="29"/>
      <c r="O208" s="29"/>
      <c r="P208" s="29"/>
    </row>
    <row r="209" spans="4:16" ht="20.100000000000001" customHeight="1" x14ac:dyDescent="0.25">
      <c r="D209" s="29" t="str" cm="1">
        <f t="array" ref="D209">Common_InputFunctions.Utility_DisplayArrayInTable(Scope3_SourceData.Scope3_Other_Data(), Table_SourceData_Scope3_Other[[#Headers],[Category]], 0, 2)</f>
        <v>Other</v>
      </c>
      <c r="E209" s="29" t="str" cm="1">
        <f t="array" ref="E209">Common_InputFunctions.Utility_DisplayArrayInTable(Scope3_SourceData.Scope3_Other_Data(), Table_SourceData_Scope3_Other[[#Headers],[Category]], 0, 2)</f>
        <v>Wheat grain (for seed)</v>
      </c>
      <c r="F209" s="29" t="str" cm="1">
        <f t="array" ref="F209">Common_InputFunctions.Utility_DisplayArrayInTable(Scope3_SourceData.Scope3_Other_Data(), Table_SourceData_Scope3_Other[[#Headers],[Category]], 0, 2)</f>
        <v>Australia</v>
      </c>
      <c r="G209" s="29" t="str" cm="1">
        <f t="array" ref="G209">Common_InputFunctions.Utility_DisplayArrayInTable(Scope3_SourceData.Scope3_Other_Data(), Table_SourceData_Scope3_Other[[#Headers],[Category]], 0, 2)</f>
        <v>kg</v>
      </c>
      <c r="H209" s="29" cm="1">
        <f t="array" ref="H209">Common_InputFunctions.Utility_DisplayArrayInTable(Scope3_SourceData.Scope3_Other_Data(), Table_SourceData_Scope3_Other[[#Headers],[Category]], 0, 2)</f>
        <v>0.26800000000000002</v>
      </c>
      <c r="I209" s="29" t="str" cm="1">
        <f t="array" ref="I209">Common_InputFunctions.Utility_DisplayArrayInTable(Scope3_SourceData.Scope3_Other_Data(), Table_SourceData_Scope3_Other[[#Headers],[Category]], 0, 2)</f>
        <v>at market</v>
      </c>
      <c r="N209" s="29"/>
      <c r="O209" s="29"/>
      <c r="P209" s="29"/>
    </row>
    <row r="210" spans="4:16" ht="20.100000000000001" customHeight="1" x14ac:dyDescent="0.25">
      <c r="N210" s="29"/>
      <c r="O210" s="29"/>
      <c r="P210" s="29"/>
    </row>
    <row r="211" spans="4:16" ht="20.100000000000001" customHeight="1" x14ac:dyDescent="0.25">
      <c r="D211" s="2" t="s">
        <v>1096</v>
      </c>
    </row>
    <row r="212" spans="4:16" ht="20.100000000000001" customHeight="1" x14ac:dyDescent="0.25">
      <c r="D212" s="29" t="s">
        <v>1262</v>
      </c>
      <c r="E212" s="29" t="s">
        <v>138</v>
      </c>
      <c r="F212" s="29" t="s">
        <v>1263</v>
      </c>
      <c r="G212" s="29" t="s">
        <v>1264</v>
      </c>
      <c r="H212" s="29" t="s">
        <v>1265</v>
      </c>
      <c r="I212" s="29" t="s">
        <v>1266</v>
      </c>
    </row>
    <row r="213" spans="4:16" ht="20.100000000000001" customHeight="1" x14ac:dyDescent="0.25">
      <c r="D213" s="29" t="str" cm="1">
        <f t="array" ref="D213">Common_InputFunctions.Utility_DisplayArrayInTable(Scope3_SourceData.Scope3_Packaging_Data(), Table_SourceData_Scope3_Packaging[[#Headers],[Category]], 0, 2)</f>
        <v>Packaging</v>
      </c>
      <c r="E213" s="29" t="str" cm="1">
        <f t="array" ref="E213">Common_InputFunctions.Utility_DisplayArrayInTable(Scope3_SourceData.Scope3_Packaging_Data(), Table_SourceData_Scope3_Packaging[[#Headers],[Category]], 0, 2)</f>
        <v>Corrugated board</v>
      </c>
      <c r="F213" s="29" t="str" cm="1">
        <f t="array" ref="F213">Common_InputFunctions.Utility_DisplayArrayInTable(Scope3_SourceData.Scope3_Packaging_Data(), Table_SourceData_Scope3_Packaging[[#Headers],[Category]], 0, 2)</f>
        <v>Global</v>
      </c>
      <c r="G213" s="29" t="str" cm="1">
        <f t="array" ref="G213">Common_InputFunctions.Utility_DisplayArrayInTable(Scope3_SourceData.Scope3_Packaging_Data(), Table_SourceData_Scope3_Packaging[[#Headers],[Category]], 0, 2)</f>
        <v>kg</v>
      </c>
      <c r="H213" s="29" cm="1">
        <f t="array" ref="H213">Common_InputFunctions.Utility_DisplayArrayInTable(Scope3_SourceData.Scope3_Packaging_Data(), Table_SourceData_Scope3_Packaging[[#Headers],[Category]], 0, 2)</f>
        <v>1.05</v>
      </c>
      <c r="I213" s="29" t="str" cm="1">
        <f t="array" ref="I213">Common_InputFunctions.Utility_DisplayArrayInTable(Scope3_SourceData.Scope3_Packaging_Data(), Table_SourceData_Scope3_Packaging[[#Headers],[Category]], 0, 2)</f>
        <v>at manufacturer</v>
      </c>
    </row>
    <row r="214" spans="4:16" ht="20.100000000000001" customHeight="1" x14ac:dyDescent="0.25">
      <c r="D214" s="29" t="str" cm="1">
        <f t="array" ref="D214">Common_InputFunctions.Utility_DisplayArrayInTable(Scope3_SourceData.Scope3_Packaging_Data(), Table_SourceData_Scope3_Packaging[[#Headers],[Category]], 0, 2)</f>
        <v>Packaging</v>
      </c>
      <c r="E214" s="29" t="str" cm="1">
        <f t="array" ref="E214">Common_InputFunctions.Utility_DisplayArrayInTable(Scope3_SourceData.Scope3_Packaging_Data(), Table_SourceData_Scope3_Packaging[[#Headers],[Category]], 0, 2)</f>
        <v>Plastic crate polypropylene</v>
      </c>
      <c r="F214" s="29" t="str" cm="1">
        <f t="array" ref="F214">Common_InputFunctions.Utility_DisplayArrayInTable(Scope3_SourceData.Scope3_Packaging_Data(), Table_SourceData_Scope3_Packaging[[#Headers],[Category]], 0, 2)</f>
        <v>Global</v>
      </c>
      <c r="G214" s="29" t="str" cm="1">
        <f t="array" ref="G214">Common_InputFunctions.Utility_DisplayArrayInTable(Scope3_SourceData.Scope3_Packaging_Data(), Table_SourceData_Scope3_Packaging[[#Headers],[Category]], 0, 2)</f>
        <v>p</v>
      </c>
      <c r="H214" s="29" cm="1">
        <f t="array" ref="H214">Common_InputFunctions.Utility_DisplayArrayInTable(Scope3_SourceData.Scope3_Packaging_Data(), Table_SourceData_Scope3_Packaging[[#Headers],[Category]], 0, 2)</f>
        <v>3.99</v>
      </c>
      <c r="I214" s="29" t="str" cm="1">
        <f t="array" ref="I214">Common_InputFunctions.Utility_DisplayArrayInTable(Scope3_SourceData.Scope3_Packaging_Data(), Table_SourceData_Scope3_Packaging[[#Headers],[Category]], 0, 2)</f>
        <v>at manufacturer</v>
      </c>
    </row>
    <row r="215" spans="4:16" ht="20.100000000000001" customHeight="1" x14ac:dyDescent="0.25">
      <c r="D215" s="29" t="str" cm="1">
        <f t="array" ref="D215">Common_InputFunctions.Utility_DisplayArrayInTable(Scope3_SourceData.Scope3_Packaging_Data(), Table_SourceData_Scope3_Packaging[[#Headers],[Category]], 0, 2)</f>
        <v>Packaging</v>
      </c>
      <c r="E215" s="29" t="str" cm="1">
        <f t="array" ref="E215">Common_InputFunctions.Utility_DisplayArrayInTable(Scope3_SourceData.Scope3_Packaging_Data(), Table_SourceData_Scope3_Packaging[[#Headers],[Category]], 0, 2)</f>
        <v>Plastic film LDPE</v>
      </c>
      <c r="F215" s="29" t="str" cm="1">
        <f t="array" ref="F215">Common_InputFunctions.Utility_DisplayArrayInTable(Scope3_SourceData.Scope3_Packaging_Data(), Table_SourceData_Scope3_Packaging[[#Headers],[Category]], 0, 2)</f>
        <v>Global</v>
      </c>
      <c r="G215" s="29" t="str" cm="1">
        <f t="array" ref="G215">Common_InputFunctions.Utility_DisplayArrayInTable(Scope3_SourceData.Scope3_Packaging_Data(), Table_SourceData_Scope3_Packaging[[#Headers],[Category]], 0, 2)</f>
        <v>kg</v>
      </c>
      <c r="H215" s="29" cm="1">
        <f t="array" ref="H215">Common_InputFunctions.Utility_DisplayArrayInTable(Scope3_SourceData.Scope3_Packaging_Data(), Table_SourceData_Scope3_Packaging[[#Headers],[Category]], 0, 2)</f>
        <v>3.44</v>
      </c>
      <c r="I215" s="29" t="str" cm="1">
        <f t="array" ref="I215">Common_InputFunctions.Utility_DisplayArrayInTable(Scope3_SourceData.Scope3_Packaging_Data(), Table_SourceData_Scope3_Packaging[[#Headers],[Category]], 0, 2)</f>
        <v>at manufacturer</v>
      </c>
    </row>
    <row r="216" spans="4:16" ht="20.100000000000001" customHeight="1" x14ac:dyDescent="0.25">
      <c r="D216" s="29" t="str" cm="1">
        <f t="array" ref="D216">Common_InputFunctions.Utility_DisplayArrayInTable(Scope3_SourceData.Scope3_Packaging_Data(), Table_SourceData_Scope3_Packaging[[#Headers],[Category]], 0, 2)</f>
        <v>Packaging</v>
      </c>
      <c r="E216" s="29" t="str" cm="1">
        <f t="array" ref="E216">Common_InputFunctions.Utility_DisplayArrayInTable(Scope3_SourceData.Scope3_Packaging_Data(), Table_SourceData_Scope3_Packaging[[#Headers],[Category]], 0, 2)</f>
        <v>Plastic sheet HDPE</v>
      </c>
      <c r="F216" s="29" t="str" cm="1">
        <f t="array" ref="F216">Common_InputFunctions.Utility_DisplayArrayInTable(Scope3_SourceData.Scope3_Packaging_Data(), Table_SourceData_Scope3_Packaging[[#Headers],[Category]], 0, 2)</f>
        <v>Global</v>
      </c>
      <c r="G216" s="29" t="str" cm="1">
        <f t="array" ref="G216">Common_InputFunctions.Utility_DisplayArrayInTable(Scope3_SourceData.Scope3_Packaging_Data(), Table_SourceData_Scope3_Packaging[[#Headers],[Category]], 0, 2)</f>
        <v>kg</v>
      </c>
      <c r="H216" s="29" cm="1">
        <f t="array" ref="H216">Common_InputFunctions.Utility_DisplayArrayInTable(Scope3_SourceData.Scope3_Packaging_Data(), Table_SourceData_Scope3_Packaging[[#Headers],[Category]], 0, 2)</f>
        <v>3.72</v>
      </c>
      <c r="I216" s="29"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2" t="s">
        <v>1016</v>
      </c>
    </row>
    <row r="219" spans="4:16" ht="20.100000000000001" customHeight="1" x14ac:dyDescent="0.25">
      <c r="D219" s="29" t="s">
        <v>1262</v>
      </c>
      <c r="E219" s="29" t="s">
        <v>138</v>
      </c>
      <c r="F219" s="29" t="s">
        <v>1263</v>
      </c>
      <c r="G219" s="29" t="s">
        <v>1264</v>
      </c>
      <c r="H219" s="29" t="s">
        <v>1265</v>
      </c>
      <c r="I219" s="29" t="s">
        <v>1266</v>
      </c>
    </row>
    <row r="220" spans="4:16" ht="20.100000000000001" customHeight="1" x14ac:dyDescent="0.25">
      <c r="D220" s="29" t="str" cm="1">
        <f t="array" ref="D220">Common_InputFunctions.Utility_DisplayArrayInTable(Scope3_SourceData.Scope3_Pesticides_Data(), Table_SourceData_Scope3_Pesticides[[#Headers],[Category]], 0, 2)</f>
        <v>Pesticides</v>
      </c>
      <c r="E220" s="29" t="str" cm="1">
        <f t="array" ref="E220">Common_InputFunctions.Utility_DisplayArrayInTable(Scope3_SourceData.Scope3_Pesticides_Data(), Table_SourceData_Scope3_Pesticides[[#Headers],[Category]], 0, 2)</f>
        <v>2,4-D</v>
      </c>
      <c r="F220" s="29" t="str" cm="1">
        <f t="array" ref="F220">Common_InputFunctions.Utility_DisplayArrayInTable(Scope3_SourceData.Scope3_Pesticides_Data(), Table_SourceData_Scope3_Pesticides[[#Headers],[Category]], 0, 2)</f>
        <v>Global</v>
      </c>
      <c r="G220" s="29" t="str" cm="1">
        <f t="array" ref="G220">Common_InputFunctions.Utility_DisplayArrayInTable(Scope3_SourceData.Scope3_Pesticides_Data(), Table_SourceData_Scope3_Pesticides[[#Headers],[Category]], 0, 2)</f>
        <v>kg AI</v>
      </c>
      <c r="H220" s="29" cm="1">
        <f t="array" ref="H220">Common_InputFunctions.Utility_DisplayArrayInTable(Scope3_SourceData.Scope3_Pesticides_Data(), Table_SourceData_Scope3_Pesticides[[#Headers],[Category]], 0, 2)</f>
        <v>5.2</v>
      </c>
      <c r="I220" s="29" t="str" cm="1">
        <f t="array" ref="I220">Common_InputFunctions.Utility_DisplayArrayInTable(Scope3_SourceData.Scope3_Pesticides_Data(), Table_SourceData_Scope3_Pesticides[[#Headers],[Category]], 0, 2)</f>
        <v>at market</v>
      </c>
    </row>
    <row r="221" spans="4:16" ht="20.100000000000001" customHeight="1" x14ac:dyDescent="0.25">
      <c r="D221" s="29" t="str" cm="1">
        <f t="array" ref="D221">Common_InputFunctions.Utility_DisplayArrayInTable(Scope3_SourceData.Scope3_Pesticides_Data(), Table_SourceData_Scope3_Pesticides[[#Headers],[Category]], 0, 2)</f>
        <v>Pesticides</v>
      </c>
      <c r="E221" s="29" t="str" cm="1">
        <f t="array" ref="E221">Common_InputFunctions.Utility_DisplayArrayInTable(Scope3_SourceData.Scope3_Pesticides_Data(), Table_SourceData_Scope3_Pesticides[[#Headers],[Category]], 0, 2)</f>
        <v>Atrazine</v>
      </c>
      <c r="F221" s="29" t="str" cm="1">
        <f t="array" ref="F221">Common_InputFunctions.Utility_DisplayArrayInTable(Scope3_SourceData.Scope3_Pesticides_Data(), Table_SourceData_Scope3_Pesticides[[#Headers],[Category]], 0, 2)</f>
        <v>Global</v>
      </c>
      <c r="G221" s="29" t="str" cm="1">
        <f t="array" ref="G221">Common_InputFunctions.Utility_DisplayArrayInTable(Scope3_SourceData.Scope3_Pesticides_Data(), Table_SourceData_Scope3_Pesticides[[#Headers],[Category]], 0, 2)</f>
        <v>kg AI</v>
      </c>
      <c r="H221" s="29" cm="1">
        <f t="array" ref="H221">Common_InputFunctions.Utility_DisplayArrayInTable(Scope3_SourceData.Scope3_Pesticides_Data(), Table_SourceData_Scope3_Pesticides[[#Headers],[Category]], 0, 2)</f>
        <v>8.3800000000000008</v>
      </c>
      <c r="I221" s="29" t="str" cm="1">
        <f t="array" ref="I221">Common_InputFunctions.Utility_DisplayArrayInTable(Scope3_SourceData.Scope3_Pesticides_Data(), Table_SourceData_Scope3_Pesticides[[#Headers],[Category]], 0, 2)</f>
        <v>at market</v>
      </c>
    </row>
    <row r="222" spans="4:16" ht="20.100000000000001" customHeight="1" x14ac:dyDescent="0.25">
      <c r="D222" s="29" t="str" cm="1">
        <f t="array" ref="D222">Common_InputFunctions.Utility_DisplayArrayInTable(Scope3_SourceData.Scope3_Pesticides_Data(), Table_SourceData_Scope3_Pesticides[[#Headers],[Category]], 0, 2)</f>
        <v>Pesticides</v>
      </c>
      <c r="E222" s="29" t="str" cm="1">
        <f t="array" ref="E222">Common_InputFunctions.Utility_DisplayArrayInTable(Scope3_SourceData.Scope3_Pesticides_Data(), Table_SourceData_Scope3_Pesticides[[#Headers],[Category]], 0, 2)</f>
        <v>Diuron</v>
      </c>
      <c r="F222" s="29" t="str" cm="1">
        <f t="array" ref="F222">Common_InputFunctions.Utility_DisplayArrayInTable(Scope3_SourceData.Scope3_Pesticides_Data(), Table_SourceData_Scope3_Pesticides[[#Headers],[Category]], 0, 2)</f>
        <v>Global</v>
      </c>
      <c r="G222" s="29" t="str" cm="1">
        <f t="array" ref="G222">Common_InputFunctions.Utility_DisplayArrayInTable(Scope3_SourceData.Scope3_Pesticides_Data(), Table_SourceData_Scope3_Pesticides[[#Headers],[Category]], 0, 2)</f>
        <v>kg AI</v>
      </c>
      <c r="H222" s="29" cm="1">
        <f t="array" ref="H222">Common_InputFunctions.Utility_DisplayArrayInTable(Scope3_SourceData.Scope3_Pesticides_Data(), Table_SourceData_Scope3_Pesticides[[#Headers],[Category]], 0, 2)</f>
        <v>8.8000000000000007</v>
      </c>
      <c r="I222" s="29" t="str" cm="1">
        <f t="array" ref="I222">Common_InputFunctions.Utility_DisplayArrayInTable(Scope3_SourceData.Scope3_Pesticides_Data(), Table_SourceData_Scope3_Pesticides[[#Headers],[Category]], 0, 2)</f>
        <v>at market</v>
      </c>
    </row>
    <row r="223" spans="4:16" ht="20.100000000000001" customHeight="1" x14ac:dyDescent="0.25">
      <c r="D223" s="29" t="str" cm="1">
        <f t="array" ref="D223">Common_InputFunctions.Utility_DisplayArrayInTable(Scope3_SourceData.Scope3_Pesticides_Data(), Table_SourceData_Scope3_Pesticides[[#Headers],[Category]], 0, 2)</f>
        <v>Pesticides</v>
      </c>
      <c r="E223" s="29" t="str" cm="1">
        <f t="array" ref="E223">Common_InputFunctions.Utility_DisplayArrayInTable(Scope3_SourceData.Scope3_Pesticides_Data(), Table_SourceData_Scope3_Pesticides[[#Headers],[Category]], 0, 2)</f>
        <v>Glyphosate</v>
      </c>
      <c r="F223" s="29" t="str" cm="1">
        <f t="array" ref="F223">Common_InputFunctions.Utility_DisplayArrayInTable(Scope3_SourceData.Scope3_Pesticides_Data(), Table_SourceData_Scope3_Pesticides[[#Headers],[Category]], 0, 2)</f>
        <v>Global</v>
      </c>
      <c r="G223" s="29" t="str" cm="1">
        <f t="array" ref="G223">Common_InputFunctions.Utility_DisplayArrayInTable(Scope3_SourceData.Scope3_Pesticides_Data(), Table_SourceData_Scope3_Pesticides[[#Headers],[Category]], 0, 2)</f>
        <v>kg AI</v>
      </c>
      <c r="H223" s="29" cm="1">
        <f t="array" ref="H223">Common_InputFunctions.Utility_DisplayArrayInTable(Scope3_SourceData.Scope3_Pesticides_Data(), Table_SourceData_Scope3_Pesticides[[#Headers],[Category]], 0, 2)</f>
        <v>10.3</v>
      </c>
      <c r="I223" s="29" t="str" cm="1">
        <f t="array" ref="I223">Common_InputFunctions.Utility_DisplayArrayInTable(Scope3_SourceData.Scope3_Pesticides_Data(), Table_SourceData_Scope3_Pesticides[[#Headers],[Category]], 0, 2)</f>
        <v>at market</v>
      </c>
    </row>
    <row r="224" spans="4:16" ht="20.100000000000001" customHeight="1" x14ac:dyDescent="0.25">
      <c r="D224" s="29" t="str" cm="1">
        <f t="array" ref="D224">Common_InputFunctions.Utility_DisplayArrayInTable(Scope3_SourceData.Scope3_Pesticides_Data(), Table_SourceData_Scope3_Pesticides[[#Headers],[Category]], 0, 2)</f>
        <v>Pesticides</v>
      </c>
      <c r="E224" s="29" t="str" cm="1">
        <f t="array" ref="E224">Common_InputFunctions.Utility_DisplayArrayInTable(Scope3_SourceData.Scope3_Pesticides_Data(), Table_SourceData_Scope3_Pesticides[[#Headers],[Category]], 0, 2)</f>
        <v>Mancozeb</v>
      </c>
      <c r="F224" s="29" t="str" cm="1">
        <f t="array" ref="F224">Common_InputFunctions.Utility_DisplayArrayInTable(Scope3_SourceData.Scope3_Pesticides_Data(), Table_SourceData_Scope3_Pesticides[[#Headers],[Category]], 0, 2)</f>
        <v>Global</v>
      </c>
      <c r="G224" s="29" t="str" cm="1">
        <f t="array" ref="G224">Common_InputFunctions.Utility_DisplayArrayInTable(Scope3_SourceData.Scope3_Pesticides_Data(), Table_SourceData_Scope3_Pesticides[[#Headers],[Category]], 0, 2)</f>
        <v>kg AI</v>
      </c>
      <c r="H224" s="29" cm="1">
        <f t="array" ref="H224">Common_InputFunctions.Utility_DisplayArrayInTable(Scope3_SourceData.Scope3_Pesticides_Data(), Table_SourceData_Scope3_Pesticides[[#Headers],[Category]], 0, 2)</f>
        <v>4.55</v>
      </c>
      <c r="I224" s="29" t="str" cm="1">
        <f t="array" ref="I224">Common_InputFunctions.Utility_DisplayArrayInTable(Scope3_SourceData.Scope3_Pesticides_Data(), Table_SourceData_Scope3_Pesticides[[#Headers],[Category]], 0, 2)</f>
        <v>at market</v>
      </c>
    </row>
    <row r="225" spans="4:9" ht="20.100000000000001" customHeight="1" x14ac:dyDescent="0.25">
      <c r="D225" s="29" t="str" cm="1">
        <f t="array" ref="D225">Common_InputFunctions.Utility_DisplayArrayInTable(Scope3_SourceData.Scope3_Pesticides_Data(), Table_SourceData_Scope3_Pesticides[[#Headers],[Category]], 0, 2)</f>
        <v>Pesticides</v>
      </c>
      <c r="E225" s="29" t="str" cm="1">
        <f t="array" ref="E225">Common_InputFunctions.Utility_DisplayArrayInTable(Scope3_SourceData.Scope3_Pesticides_Data(), Table_SourceData_Scope3_Pesticides[[#Headers],[Category]], 0, 2)</f>
        <v>MCPA</v>
      </c>
      <c r="F225" s="29" t="str" cm="1">
        <f t="array" ref="F225">Common_InputFunctions.Utility_DisplayArrayInTable(Scope3_SourceData.Scope3_Pesticides_Data(), Table_SourceData_Scope3_Pesticides[[#Headers],[Category]], 0, 2)</f>
        <v>Global</v>
      </c>
      <c r="G225" s="29" t="str" cm="1">
        <f t="array" ref="G225">Common_InputFunctions.Utility_DisplayArrayInTable(Scope3_SourceData.Scope3_Pesticides_Data(), Table_SourceData_Scope3_Pesticides[[#Headers],[Category]], 0, 2)</f>
        <v>kg AI</v>
      </c>
      <c r="H225" s="29" cm="1">
        <f t="array" ref="H225">Common_InputFunctions.Utility_DisplayArrayInTable(Scope3_SourceData.Scope3_Pesticides_Data(), Table_SourceData_Scope3_Pesticides[[#Headers],[Category]], 0, 2)</f>
        <v>5.6</v>
      </c>
      <c r="I225" s="29" t="str" cm="1">
        <f t="array" ref="I225">Common_InputFunctions.Utility_DisplayArrayInTable(Scope3_SourceData.Scope3_Pesticides_Data(), Table_SourceData_Scope3_Pesticides[[#Headers],[Category]], 0, 2)</f>
        <v>at market</v>
      </c>
    </row>
    <row r="226" spans="4:9" ht="20.100000000000001" customHeight="1" x14ac:dyDescent="0.25">
      <c r="D226" s="29" t="str" cm="1">
        <f t="array" ref="D226">Common_InputFunctions.Utility_DisplayArrayInTable(Scope3_SourceData.Scope3_Pesticides_Data(), Table_SourceData_Scope3_Pesticides[[#Headers],[Category]], 0, 2)</f>
        <v>Pesticides</v>
      </c>
      <c r="E226" s="29" t="str" cm="1">
        <f t="array" ref="E226">Common_InputFunctions.Utility_DisplayArrayInTable(Scope3_SourceData.Scope3_Pesticides_Data(), Table_SourceData_Scope3_Pesticides[[#Headers],[Category]], 0, 2)</f>
        <v>Metolachlor</v>
      </c>
      <c r="F226" s="29" t="str" cm="1">
        <f t="array" ref="F226">Common_InputFunctions.Utility_DisplayArrayInTable(Scope3_SourceData.Scope3_Pesticides_Data(), Table_SourceData_Scope3_Pesticides[[#Headers],[Category]], 0, 2)</f>
        <v>Global</v>
      </c>
      <c r="G226" s="29" t="str" cm="1">
        <f t="array" ref="G226">Common_InputFunctions.Utility_DisplayArrayInTable(Scope3_SourceData.Scope3_Pesticides_Data(), Table_SourceData_Scope3_Pesticides[[#Headers],[Category]], 0, 2)</f>
        <v>kg AI</v>
      </c>
      <c r="H226" s="29" cm="1">
        <f t="array" ref="H226">Common_InputFunctions.Utility_DisplayArrayInTable(Scope3_SourceData.Scope3_Pesticides_Data(), Table_SourceData_Scope3_Pesticides[[#Headers],[Category]], 0, 2)</f>
        <v>8.06</v>
      </c>
      <c r="I226" s="29" t="str" cm="1">
        <f t="array" ref="I226">Common_InputFunctions.Utility_DisplayArrayInTable(Scope3_SourceData.Scope3_Pesticides_Data(), Table_SourceData_Scope3_Pesticides[[#Headers],[Category]], 0, 2)</f>
        <v>at market</v>
      </c>
    </row>
    <row r="227" spans="4:9" ht="20.100000000000001" customHeight="1" x14ac:dyDescent="0.25">
      <c r="D227" s="29" t="str" cm="1">
        <f t="array" ref="D227">Common_InputFunctions.Utility_DisplayArrayInTable(Scope3_SourceData.Scope3_Pesticides_Data(), Table_SourceData_Scope3_Pesticides[[#Headers],[Category]], 0, 2)</f>
        <v>Pesticides</v>
      </c>
      <c r="E227" s="29" t="str" cm="1">
        <f t="array" ref="E227">Common_InputFunctions.Utility_DisplayArrayInTable(Scope3_SourceData.Scope3_Pesticides_Data(), Table_SourceData_Scope3_Pesticides[[#Headers],[Category]], 0, 2)</f>
        <v>Metsulfuron-methyl</v>
      </c>
      <c r="F227" s="29" t="str" cm="1">
        <f t="array" ref="F227">Common_InputFunctions.Utility_DisplayArrayInTable(Scope3_SourceData.Scope3_Pesticides_Data(), Table_SourceData_Scope3_Pesticides[[#Headers],[Category]], 0, 2)</f>
        <v>Global</v>
      </c>
      <c r="G227" s="29" t="str" cm="1">
        <f t="array" ref="G227">Common_InputFunctions.Utility_DisplayArrayInTable(Scope3_SourceData.Scope3_Pesticides_Data(), Table_SourceData_Scope3_Pesticides[[#Headers],[Category]], 0, 2)</f>
        <v>kg AI</v>
      </c>
      <c r="H227" s="29" cm="1">
        <f t="array" ref="H227">Common_InputFunctions.Utility_DisplayArrayInTable(Scope3_SourceData.Scope3_Pesticides_Data(), Table_SourceData_Scope3_Pesticides[[#Headers],[Category]], 0, 2)</f>
        <v>8.8000000000000007</v>
      </c>
      <c r="I227" s="29" t="str" cm="1">
        <f t="array" ref="I227">Common_InputFunctions.Utility_DisplayArrayInTable(Scope3_SourceData.Scope3_Pesticides_Data(), Table_SourceData_Scope3_Pesticides[[#Headers],[Category]], 0, 2)</f>
        <v>at market</v>
      </c>
    </row>
    <row r="228" spans="4:9" ht="20.100000000000001" customHeight="1" x14ac:dyDescent="0.25">
      <c r="D228" s="29" t="str" cm="1">
        <f t="array" ref="D228">Common_InputFunctions.Utility_DisplayArrayInTable(Scope3_SourceData.Scope3_Pesticides_Data(), Table_SourceData_Scope3_Pesticides[[#Headers],[Category]], 0, 2)</f>
        <v>Pesticides</v>
      </c>
      <c r="E228" s="29" t="str" cm="1">
        <f t="array" ref="E228">Common_InputFunctions.Utility_DisplayArrayInTable(Scope3_SourceData.Scope3_Pesticides_Data(), Table_SourceData_Scope3_Pesticides[[#Headers],[Category]], 0, 2)</f>
        <v>Pesticides (generic)</v>
      </c>
      <c r="F228" s="29" t="str" cm="1">
        <f t="array" ref="F228">Common_InputFunctions.Utility_DisplayArrayInTable(Scope3_SourceData.Scope3_Pesticides_Data(), Table_SourceData_Scope3_Pesticides[[#Headers],[Category]], 0, 2)</f>
        <v>Global</v>
      </c>
      <c r="G228" s="29" t="str" cm="1">
        <f t="array" ref="G228">Common_InputFunctions.Utility_DisplayArrayInTable(Scope3_SourceData.Scope3_Pesticides_Data(), Table_SourceData_Scope3_Pesticides[[#Headers],[Category]], 0, 2)</f>
        <v>kg AI</v>
      </c>
      <c r="H228" s="29" cm="1">
        <f t="array" ref="H228">Common_InputFunctions.Utility_DisplayArrayInTable(Scope3_SourceData.Scope3_Pesticides_Data(), Table_SourceData_Scope3_Pesticides[[#Headers],[Category]], 0, 2)</f>
        <v>9.16</v>
      </c>
      <c r="I228" s="29" t="str" cm="1">
        <f t="array" ref="I228">Common_InputFunctions.Utility_DisplayArrayInTable(Scope3_SourceData.Scope3_Pesticides_Data(), Table_SourceData_Scope3_Pesticides[[#Headers],[Category]], 0, 2)</f>
        <v>at market</v>
      </c>
    </row>
    <row r="229" spans="4:9" ht="20.100000000000001" customHeight="1" x14ac:dyDescent="0.25">
      <c r="D229" s="29" t="str" cm="1">
        <f t="array" ref="D229">Common_InputFunctions.Utility_DisplayArrayInTable(Scope3_SourceData.Scope3_Pesticides_Data(), Table_SourceData_Scope3_Pesticides[[#Headers],[Category]], 0, 2)</f>
        <v>Pesticides</v>
      </c>
      <c r="E229" s="29" t="str" cm="1">
        <f t="array" ref="E229">Common_InputFunctions.Utility_DisplayArrayInTable(Scope3_SourceData.Scope3_Pesticides_Data(), Table_SourceData_Scope3_Pesticides[[#Headers],[Category]], 0, 2)</f>
        <v>Tri-allate</v>
      </c>
      <c r="F229" s="29" t="str" cm="1">
        <f t="array" ref="F229">Common_InputFunctions.Utility_DisplayArrayInTable(Scope3_SourceData.Scope3_Pesticides_Data(), Table_SourceData_Scope3_Pesticides[[#Headers],[Category]], 0, 2)</f>
        <v>Global</v>
      </c>
      <c r="G229" s="29" t="str" cm="1">
        <f t="array" ref="G229">Common_InputFunctions.Utility_DisplayArrayInTable(Scope3_SourceData.Scope3_Pesticides_Data(), Table_SourceData_Scope3_Pesticides[[#Headers],[Category]], 0, 2)</f>
        <v>kg AI</v>
      </c>
      <c r="H229" s="29" cm="1">
        <f t="array" ref="H229">Common_InputFunctions.Utility_DisplayArrayInTable(Scope3_SourceData.Scope3_Pesticides_Data(), Table_SourceData_Scope3_Pesticides[[#Headers],[Category]], 0, 2)</f>
        <v>8.57</v>
      </c>
      <c r="I229" s="29" t="str" cm="1">
        <f t="array" ref="I229">Common_InputFunctions.Utility_DisplayArrayInTable(Scope3_SourceData.Scope3_Pesticides_Data(), Table_SourceData_Scope3_Pesticides[[#Headers],[Category]], 0, 2)</f>
        <v>at market</v>
      </c>
    </row>
    <row r="230" spans="4:9" ht="20.100000000000001" customHeight="1" x14ac:dyDescent="0.25">
      <c r="D230" s="29" t="str" cm="1">
        <f t="array" ref="D230">Common_InputFunctions.Utility_DisplayArrayInTable(Scope3_SourceData.Scope3_Pesticides_Data(), Table_SourceData_Scope3_Pesticides[[#Headers],[Category]], 0, 2)</f>
        <v>Pesticides</v>
      </c>
      <c r="E230" s="29" t="str" cm="1">
        <f t="array" ref="E230">Common_InputFunctions.Utility_DisplayArrayInTable(Scope3_SourceData.Scope3_Pesticides_Data(), Table_SourceData_Scope3_Pesticides[[#Headers],[Category]], 0, 2)</f>
        <v>Tribenuron methyl</v>
      </c>
      <c r="F230" s="29" t="str" cm="1">
        <f t="array" ref="F230">Common_InputFunctions.Utility_DisplayArrayInTable(Scope3_SourceData.Scope3_Pesticides_Data(), Table_SourceData_Scope3_Pesticides[[#Headers],[Category]], 0, 2)</f>
        <v>Global</v>
      </c>
      <c r="G230" s="29" t="str" cm="1">
        <f t="array" ref="G230">Common_InputFunctions.Utility_DisplayArrayInTable(Scope3_SourceData.Scope3_Pesticides_Data(), Table_SourceData_Scope3_Pesticides[[#Headers],[Category]], 0, 2)</f>
        <v>kg AI</v>
      </c>
      <c r="H230" s="29" cm="1">
        <f t="array" ref="H230">Common_InputFunctions.Utility_DisplayArrayInTable(Scope3_SourceData.Scope3_Pesticides_Data(), Table_SourceData_Scope3_Pesticides[[#Headers],[Category]], 0, 2)</f>
        <v>8.8000000000000007</v>
      </c>
      <c r="I230" s="29" t="str" cm="1">
        <f t="array" ref="I230">Common_InputFunctions.Utility_DisplayArrayInTable(Scope3_SourceData.Scope3_Pesticides_Data(), Table_SourceData_Scope3_Pesticides[[#Headers],[Category]], 0, 2)</f>
        <v>at market</v>
      </c>
    </row>
    <row r="231" spans="4:9" ht="20.100000000000001" customHeight="1" x14ac:dyDescent="0.25">
      <c r="D231" s="29" t="str" cm="1">
        <f t="array" ref="D231">Common_InputFunctions.Utility_DisplayArrayInTable(Scope3_SourceData.Scope3_Pesticides_Data(), Table_SourceData_Scope3_Pesticides[[#Headers],[Category]], 0, 2)</f>
        <v>Pesticides</v>
      </c>
      <c r="E231" s="29" t="str" cm="1">
        <f t="array" ref="E231">Common_InputFunctions.Utility_DisplayArrayInTable(Scope3_SourceData.Scope3_Pesticides_Data(), Table_SourceData_Scope3_Pesticides[[#Headers],[Category]], 0, 2)</f>
        <v>Trifluralin</v>
      </c>
      <c r="F231" s="29" t="str" cm="1">
        <f t="array" ref="F231">Common_InputFunctions.Utility_DisplayArrayInTable(Scope3_SourceData.Scope3_Pesticides_Data(), Table_SourceData_Scope3_Pesticides[[#Headers],[Category]], 0, 2)</f>
        <v>Global</v>
      </c>
      <c r="G231" s="29" t="str" cm="1">
        <f t="array" ref="G231">Common_InputFunctions.Utility_DisplayArrayInTable(Scope3_SourceData.Scope3_Pesticides_Data(), Table_SourceData_Scope3_Pesticides[[#Headers],[Category]], 0, 2)</f>
        <v>kg AI</v>
      </c>
      <c r="H231" s="29" cm="1">
        <f t="array" ref="H231">Common_InputFunctions.Utility_DisplayArrayInTable(Scope3_SourceData.Scope3_Pesticides_Data(), Table_SourceData_Scope3_Pesticides[[#Headers],[Category]], 0, 2)</f>
        <v>6.16</v>
      </c>
      <c r="I231" s="29"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2" t="s">
        <v>1282</v>
      </c>
    </row>
    <row r="234" spans="4:9" ht="20.100000000000001" customHeight="1" x14ac:dyDescent="0.25">
      <c r="D234" s="29" t="s">
        <v>1262</v>
      </c>
      <c r="E234" s="29" t="s">
        <v>138</v>
      </c>
      <c r="F234" s="29" t="s">
        <v>1263</v>
      </c>
      <c r="G234" s="29" t="s">
        <v>1264</v>
      </c>
      <c r="H234" s="29" t="s">
        <v>1265</v>
      </c>
      <c r="I234" s="29" t="s">
        <v>1266</v>
      </c>
    </row>
    <row r="235" spans="4:9" ht="20.100000000000001" customHeight="1" x14ac:dyDescent="0.25">
      <c r="D235" s="29" t="str" cm="1">
        <f t="array" ref="D235">Common_InputFunctions.Utility_DisplayArrayInTable(Scope3_SourceData.Scope3_SoilAmendments_Data(), Table_SourceData_Scope3_SoilAmeliorants[[#Headers],[Category]], 0, 2)</f>
        <v>Soil ameliorants</v>
      </c>
      <c r="E235" s="29" t="str" cm="1">
        <f t="array" ref="E235">Common_InputFunctions.Utility_DisplayArrayInTable(Scope3_SourceData.Scope3_SoilAmendments_Data(), Table_SourceData_Scope3_SoilAmeliorants[[#Headers],[Category]], 0, 2)</f>
        <v>Dolomite</v>
      </c>
      <c r="F235" s="29" t="str" cm="1">
        <f t="array" ref="F235">Common_InputFunctions.Utility_DisplayArrayInTable(Scope3_SourceData.Scope3_SoilAmendments_Data(), Table_SourceData_Scope3_SoilAmeliorants[[#Headers],[Category]], 0, 2)</f>
        <v>Australia</v>
      </c>
      <c r="G235" s="29" t="str" cm="1">
        <f t="array" ref="G235">Common_InputFunctions.Utility_DisplayArrayInTable(Scope3_SourceData.Scope3_SoilAmendments_Data(), Table_SourceData_Scope3_SoilAmeliorants[[#Headers],[Category]], 0, 2)</f>
        <v>kg</v>
      </c>
      <c r="H235" s="29" cm="1">
        <f t="array" ref="H235">Common_InputFunctions.Utility_DisplayArrayInTable(Scope3_SourceData.Scope3_SoilAmendments_Data(), Table_SourceData_Scope3_SoilAmeliorants[[#Headers],[Category]], 0, 2)</f>
        <v>6.5199999999999994E-2</v>
      </c>
      <c r="I235" s="29" t="str" cm="1">
        <f t="array" ref="I235">Common_InputFunctions.Utility_DisplayArrayInTable(Scope3_SourceData.Scope3_SoilAmendments_Data(), Table_SourceData_Scope3_SoilAmeliorants[[#Headers],[Category]], 0, 2)</f>
        <v>at market</v>
      </c>
    </row>
    <row r="236" spans="4:9" ht="20.100000000000001" customHeight="1" x14ac:dyDescent="0.25">
      <c r="D236" s="29" t="str" cm="1">
        <f t="array" ref="D236">Common_InputFunctions.Utility_DisplayArrayInTable(Scope3_SourceData.Scope3_SoilAmendments_Data(), Table_SourceData_Scope3_SoilAmeliorants[[#Headers],[Category]], 0, 2)</f>
        <v>Soil ameliorants</v>
      </c>
      <c r="E236" s="29" t="str" cm="1">
        <f t="array" ref="E236">Common_InputFunctions.Utility_DisplayArrayInTable(Scope3_SourceData.Scope3_SoilAmendments_Data(), Table_SourceData_Scope3_SoilAmeliorants[[#Headers],[Category]], 0, 2)</f>
        <v>Gypsum</v>
      </c>
      <c r="F236" s="29" t="str" cm="1">
        <f t="array" ref="F236">Common_InputFunctions.Utility_DisplayArrayInTable(Scope3_SourceData.Scope3_SoilAmendments_Data(), Table_SourceData_Scope3_SoilAmeliorants[[#Headers],[Category]], 0, 2)</f>
        <v>Australia</v>
      </c>
      <c r="G236" s="29" t="str" cm="1">
        <f t="array" ref="G236">Common_InputFunctions.Utility_DisplayArrayInTable(Scope3_SourceData.Scope3_SoilAmendments_Data(), Table_SourceData_Scope3_SoilAmeliorants[[#Headers],[Category]], 0, 2)</f>
        <v>kg</v>
      </c>
      <c r="H236" s="29" cm="1">
        <f t="array" ref="H236">Common_InputFunctions.Utility_DisplayArrayInTable(Scope3_SourceData.Scope3_SoilAmendments_Data(), Table_SourceData_Scope3_SoilAmeliorants[[#Headers],[Category]], 0, 2)</f>
        <v>6.5199999999999994E-2</v>
      </c>
      <c r="I236" s="29" t="str" cm="1">
        <f t="array" ref="I236">Common_InputFunctions.Utility_DisplayArrayInTable(Scope3_SourceData.Scope3_SoilAmendments_Data(), Table_SourceData_Scope3_SoilAmeliorants[[#Headers],[Category]], 0, 2)</f>
        <v>at market</v>
      </c>
    </row>
    <row r="237" spans="4:9" ht="20.100000000000001" customHeight="1" x14ac:dyDescent="0.25">
      <c r="D237" s="29" t="str" cm="1">
        <f t="array" ref="D237">Common_InputFunctions.Utility_DisplayArrayInTable(Scope3_SourceData.Scope3_SoilAmendments_Data(), Table_SourceData_Scope3_SoilAmeliorants[[#Headers],[Category]], 0, 2)</f>
        <v>Soil ameliorants</v>
      </c>
      <c r="E237" s="29" t="str" cm="1">
        <f t="array" ref="E237">Common_InputFunctions.Utility_DisplayArrayInTable(Scope3_SourceData.Scope3_SoilAmendments_Data(), Table_SourceData_Scope3_SoilAmeliorants[[#Headers],[Category]], 0, 2)</f>
        <v>Limestone (crushed)</v>
      </c>
      <c r="F237" s="29" t="str" cm="1">
        <f t="array" ref="F237">Common_InputFunctions.Utility_DisplayArrayInTable(Scope3_SourceData.Scope3_SoilAmendments_Data(), Table_SourceData_Scope3_SoilAmeliorants[[#Headers],[Category]], 0, 2)</f>
        <v>Australia</v>
      </c>
      <c r="G237" s="29" t="str" cm="1">
        <f t="array" ref="G237">Common_InputFunctions.Utility_DisplayArrayInTable(Scope3_SourceData.Scope3_SoilAmendments_Data(), Table_SourceData_Scope3_SoilAmeliorants[[#Headers],[Category]], 0, 2)</f>
        <v>kg</v>
      </c>
      <c r="H237" s="29" cm="1">
        <f t="array" ref="H237">Common_InputFunctions.Utility_DisplayArrayInTable(Scope3_SourceData.Scope3_SoilAmendments_Data(), Table_SourceData_Scope3_SoilAmeliorants[[#Headers],[Category]], 0, 2)</f>
        <v>4.8500000000000001E-2</v>
      </c>
      <c r="I237" s="29"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72F5-D62F-448B-BE59-D05AA2138B09}">
  <sheetPr>
    <tabColor theme="2" tint="-0.499984740745262"/>
  </sheetPr>
  <dimension ref="A1:BY259"/>
  <sheetViews>
    <sheetView showGridLines="0" topLeftCell="A29" zoomScaleNormal="100" workbookViewId="0">
      <selection activeCell="A63" sqref="A63"/>
    </sheetView>
  </sheetViews>
  <sheetFormatPr defaultColWidth="9.140625" defaultRowHeight="15.75" x14ac:dyDescent="0.25"/>
  <cols>
    <col min="1" max="1" width="30.7109375" style="31" customWidth="1"/>
    <col min="2" max="2" width="2.7109375" style="31"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31" customWidth="1"/>
    <col min="34" max="39" width="21.85546875" style="31" customWidth="1"/>
    <col min="40" max="44" width="20.7109375" style="31" customWidth="1"/>
    <col min="45" max="65" width="9.140625" style="31"/>
    <col min="66" max="16384" width="9.140625" style="34"/>
  </cols>
  <sheetData>
    <row r="1" spans="1:65" s="30" customFormat="1" ht="30" customHeight="1" x14ac:dyDescent="0.35">
      <c r="A1" s="16" t="e" vm="1">
        <v>#VALUE!</v>
      </c>
      <c r="C1" s="30" t="s">
        <v>21</v>
      </c>
    </row>
    <row r="2" spans="1:65" s="3" customFormat="1" ht="20.100000000000001" customHeight="1" x14ac:dyDescent="0.25">
      <c r="A2"/>
    </row>
    <row r="3" spans="1:65" ht="20.100000000000001" customHeight="1" x14ac:dyDescent="0.25">
      <c r="A3" s="5" t="str">
        <f>HYPERLINK("#'Home'!A1", "Home")</f>
        <v>Home</v>
      </c>
      <c r="C3" s="32"/>
      <c r="D3" s="32"/>
      <c r="E3" s="32"/>
      <c r="F3" s="32"/>
      <c r="G3" s="32"/>
      <c r="H3" s="32"/>
      <c r="I3" s="32"/>
      <c r="J3" s="32"/>
      <c r="K3" s="32"/>
      <c r="L3" s="32"/>
      <c r="M3" s="32"/>
      <c r="N3" s="32"/>
      <c r="O3" s="32"/>
      <c r="P3" s="32"/>
      <c r="Q3" s="32"/>
      <c r="R3" s="32"/>
      <c r="S3" s="32"/>
      <c r="T3" s="32"/>
      <c r="U3" s="32"/>
      <c r="V3" s="33"/>
      <c r="W3" s="33"/>
    </row>
    <row r="4" spans="1:65" ht="20.100000000000001" customHeight="1" x14ac:dyDescent="0.25">
      <c r="A4" s="5" t="str">
        <f>HYPERLINK("#'Overview'!A1", "Overview")</f>
        <v>Overview</v>
      </c>
      <c r="BM4" s="34"/>
    </row>
    <row r="5" spans="1:65" ht="20.100000000000001" customHeight="1" x14ac:dyDescent="0.25">
      <c r="A5" s="5" t="str">
        <f>HYPERLINK("#'Results'!A1", "Results")</f>
        <v>Results</v>
      </c>
      <c r="D5" s="2" t="str" cm="1">
        <f t="array" ref="D5">Common_SourceData.Common_SourceData_AustralianStatesTerritories_Title()</f>
        <v>Australian states and territories</v>
      </c>
      <c r="BM5" s="34"/>
    </row>
    <row r="6" spans="1:65" ht="20.100000000000001" customHeight="1" x14ac:dyDescent="0.25">
      <c r="A6"/>
      <c r="D6" s="29" t="s">
        <v>22</v>
      </c>
      <c r="E6" s="29" t="s">
        <v>23</v>
      </c>
      <c r="F6" s="29" t="s">
        <v>24</v>
      </c>
    </row>
    <row r="7" spans="1:65" ht="20.100000000000001" customHeight="1" x14ac:dyDescent="0.25">
      <c r="A7"/>
      <c r="D7" s="29" t="str" cm="1">
        <f t="array" ref="D7">Common_InputFunctions.Utility_DisplayArrayInTable(Common_SourceData.Common_SourceData_AustralianStatesTerritories_Data(),Table_AustralianStates[[#Headers],[State/Territory]],0)</f>
        <v>New South Wales</v>
      </c>
      <c r="E7" s="29" t="str" cm="1">
        <f t="array" ref="E7">Common_InputFunctions.Utility_DisplayArrayInTable(Common_SourceData.Common_SourceData_AustralianStatesTerritories_Data(),Table_AustralianStates[[#Headers],[State/Territory]],0)</f>
        <v>New South Wales</v>
      </c>
      <c r="F7" s="29" t="str" cm="1">
        <f t="array" ref="F7">Common_InputFunctions.Utility_DisplayArrayInTable(Common_SourceData.Common_SourceData_AustralianStatesTerritories_Data(),Table_AustralianStates[[#Headers],[State/Territory]],0)</f>
        <v>NSW</v>
      </c>
    </row>
    <row r="8" spans="1:65" ht="20.100000000000001" customHeight="1" x14ac:dyDescent="0.25">
      <c r="A8" s="7" t="s">
        <v>0</v>
      </c>
      <c r="D8" s="29" t="str" cm="1">
        <f t="array" ref="D8">Common_InputFunctions.Utility_DisplayArrayInTable(Common_SourceData.Common_SourceData_AustralianStatesTerritories_Data(),Table_AustralianStates[[#Headers],[State/Territory]],0)</f>
        <v>Australian Capital Territory</v>
      </c>
      <c r="E8" s="29" t="str" cm="1">
        <f t="array" ref="E8">Common_InputFunctions.Utility_DisplayArrayInTable(Common_SourceData.Common_SourceData_AustralianStatesTerritories_Data(),Table_AustralianStates[[#Headers],[State/Territory]],0)</f>
        <v>ACT</v>
      </c>
      <c r="F8" s="29"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Enterprise'!A1", "Enterprise")</f>
        <v>Enterprise</v>
      </c>
      <c r="D9" s="29" t="str" cm="1">
        <f t="array" ref="D9">Common_InputFunctions.Utility_DisplayArrayInTable(Common_SourceData.Common_SourceData_AustralianStatesTerritories_Data(),Table_AustralianStates[[#Headers],[State/Territory]],0)</f>
        <v>Victoria</v>
      </c>
      <c r="E9" s="29" t="str" cm="1">
        <f t="array" ref="E9">Common_InputFunctions.Utility_DisplayArrayInTable(Common_SourceData.Common_SourceData_AustralianStatesTerritories_Data(),Table_AustralianStates[[#Headers],[State/Territory]],0)</f>
        <v>Victoria</v>
      </c>
      <c r="F9" s="29"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Site'!A1", "Site")</f>
        <v>Site</v>
      </c>
      <c r="D10" s="29" t="str" cm="1">
        <f t="array" ref="D10">Common_InputFunctions.Utility_DisplayArrayInTable(Common_SourceData.Common_SourceData_AustralianStatesTerritories_Data(),Table_AustralianStates[[#Headers],[State/Territory]],0)</f>
        <v>Queensland</v>
      </c>
      <c r="E10" s="29" t="str" cm="1">
        <f t="array" ref="E10">Common_InputFunctions.Utility_DisplayArrayInTable(Common_SourceData.Common_SourceData_AustralianStatesTerritories_Data(),Table_AustralianStates[[#Headers],[State/Territory]],0)</f>
        <v>Queensland</v>
      </c>
      <c r="F10" s="29"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Dairy'!A1", "Dairy")</f>
        <v>Dairy</v>
      </c>
      <c r="D11" s="29" t="str" cm="1">
        <f t="array" ref="D11">Common_InputFunctions.Utility_DisplayArrayInTable(Common_SourceData.Common_SourceData_AustralianStatesTerritories_Data(),Table_AustralianStates[[#Headers],[State/Territory]],0)</f>
        <v>South Australia</v>
      </c>
      <c r="E11" s="29" t="str" cm="1">
        <f t="array" ref="E11">Common_InputFunctions.Utility_DisplayArrayInTable(Common_SourceData.Common_SourceData_AustralianStatesTerritories_Data(),Table_AustralianStates[[#Headers],[State/Territory]],0)</f>
        <v>South Australia</v>
      </c>
      <c r="F11" s="29" t="str" cm="1">
        <f t="array" ref="F11">Common_InputFunctions.Utility_DisplayArrayInTable(Common_SourceData.Common_SourceData_AustralianStatesTerritories_Data(),Table_AustralianStates[[#Headers],[State/Territory]],0)</f>
        <v>SA</v>
      </c>
      <c r="BM11" s="34"/>
    </row>
    <row r="12" spans="1:65" ht="20.100000000000001" customHeight="1" x14ac:dyDescent="0.25">
      <c r="A12" s="5" t="str">
        <f>HYPERLINK("#'Input - Dairy (Enteric)'!A1", "Dairy (Enteric)")</f>
        <v>Dairy (Enteric)</v>
      </c>
      <c r="D12" s="29" t="str" cm="1">
        <f t="array" ref="D12">Common_InputFunctions.Utility_DisplayArrayInTable(Common_SourceData.Common_SourceData_AustralianStatesTerritories_Data(),Table_AustralianStates[[#Headers],[State/Territory]],0)</f>
        <v>Western Australia</v>
      </c>
      <c r="E12" s="29" t="str" cm="1">
        <f t="array" ref="E12">Common_InputFunctions.Utility_DisplayArrayInTable(Common_SourceData.Common_SourceData_AustralianStatesTerritories_Data(),Table_AustralianStates[[#Headers],[State/Territory]],0)</f>
        <v>Western Australia</v>
      </c>
      <c r="F12" s="29" t="str" cm="1">
        <f t="array" ref="F12">Common_InputFunctions.Utility_DisplayArrayInTable(Common_SourceData.Common_SourceData_AustralianStatesTerritories_Data(),Table_AustralianStates[[#Headers],[State/Territory]],0)</f>
        <v>WA</v>
      </c>
      <c r="BM12" s="34"/>
    </row>
    <row r="13" spans="1:65" ht="20.100000000000001" customHeight="1" x14ac:dyDescent="0.25">
      <c r="A13" s="5" t="str">
        <f>HYPERLINK("#'Input - Livestock sales'!A1", "Livestock sales")</f>
        <v>Livestock sales</v>
      </c>
      <c r="D13" s="29" t="str" cm="1">
        <f t="array" ref="D13">Common_InputFunctions.Utility_DisplayArrayInTable(Common_SourceData.Common_SourceData_AustralianStatesTerritories_Data(),Table_AustralianStates[[#Headers],[State/Territory]],0)</f>
        <v>Tasmania</v>
      </c>
      <c r="E13" s="29" t="str" cm="1">
        <f t="array" ref="E13">Common_InputFunctions.Utility_DisplayArrayInTable(Common_SourceData.Common_SourceData_AustralianStatesTerritories_Data(),Table_AustralianStates[[#Headers],[State/Territory]],0)</f>
        <v>Tasmania</v>
      </c>
      <c r="F13" s="29"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Dairy cattle purchases'!A1", "Dairy cattle purchases")</f>
        <v>Dairy cattle purchases</v>
      </c>
      <c r="D14" s="29" t="str" cm="1">
        <f t="array" ref="D14">Common_InputFunctions.Utility_DisplayArrayInTable(Common_SourceData.Common_SourceData_AustralianStatesTerritories_Data(),Table_AustralianStates[[#Headers],[State/Territory]],0)</f>
        <v>Northern Territory</v>
      </c>
      <c r="E14" s="29" t="str" cm="1">
        <f t="array" ref="E14">Common_InputFunctions.Utility_DisplayArrayInTable(Common_SourceData.Common_SourceData_AustralianStatesTerritories_Data(),Table_AustralianStates[[#Headers],[State/Territory]],0)</f>
        <v>Northern Territory</v>
      </c>
      <c r="F14" s="29"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Pasture'!A1", "Pasture")</f>
        <v>Pasture</v>
      </c>
    </row>
    <row r="16" spans="1:65" ht="20.100000000000001" customHeight="1" x14ac:dyDescent="0.25">
      <c r="A16" s="5" t="str">
        <f>HYPERLINK("#'Input - Fert Prod System'!A1", "Fert Prod System")</f>
        <v>Fert Prod System</v>
      </c>
    </row>
    <row r="17" spans="1:4" ht="20.100000000000001" customHeight="1" x14ac:dyDescent="0.25">
      <c r="A17" s="5" t="str">
        <f>HYPERLINK("#'Input - Fertiliser'!A1", "Fertiliser")</f>
        <v>Fertiliser</v>
      </c>
    </row>
    <row r="18" spans="1:4" ht="20.100000000000001" customHeight="1" x14ac:dyDescent="0.25">
      <c r="A18" s="5" t="str">
        <f>HYPERLINK("#'Input - Fuel'!A1", "Fuel")</f>
        <v>Fuel</v>
      </c>
      <c r="D18" s="2" t="str" cm="1">
        <f t="array" ref="D18">Common_SourceData.Common_SourceData_WASA4Areas_Title()</f>
        <v>ABS Statistcal Areas Level 4 - Western Australia</v>
      </c>
    </row>
    <row r="19" spans="1:4" ht="20.100000000000001" customHeight="1" x14ac:dyDescent="0.25">
      <c r="A19" s="5" t="str">
        <f>HYPERLINK("#'Input - Electricity'!A1", "Electricity")</f>
        <v>Electricity</v>
      </c>
      <c r="D19" s="27" t="str" cm="1">
        <f t="array" ref="D19">Common_SourceData.Common_SourceData_WASA4Areas_Source()</f>
        <v>Australian Bureau of Statistics (ABS) - Statistical Areas Level 2 - 2021 - Shapefile</v>
      </c>
    </row>
    <row r="20" spans="1:4" ht="20.100000000000001" customHeight="1" x14ac:dyDescent="0.25">
      <c r="A20" s="5" t="str">
        <f>HYPERLINK("#'Input - Farm Inputs'!A1", "Farm Inputs")</f>
        <v>Farm Inputs</v>
      </c>
      <c r="D20" s="29" t="s">
        <v>25</v>
      </c>
    </row>
    <row r="21" spans="1:4" ht="20.100000000000001" customHeight="1" x14ac:dyDescent="0.25">
      <c r="A21" s="5" t="str">
        <f>HYPERLINK("#'Input - Freight'!A1", "Freight")</f>
        <v>Freight</v>
      </c>
      <c r="D21" s="29" t="str" cm="1">
        <f t="array" ref="D21">Common_InputFunctions.Utility_DisplayArrayInTable(Common_SourceData.Common_SourceData_WASA4Areas_Data(), Table_WASA4Areas[[#Headers],[SA 4 Name]], 0)</f>
        <v>Bunbury</v>
      </c>
    </row>
    <row r="22" spans="1:4" ht="20.100000000000001" customHeight="1" x14ac:dyDescent="0.25">
      <c r="A22" s="5" t="str">
        <f>HYPERLINK("#'Input - Manure sent off-site'!A1", "Manure sent off-site")</f>
        <v>Manure sent off-site</v>
      </c>
      <c r="D22" s="29" t="str" cm="1">
        <f t="array" ref="D22">Common_InputFunctions.Utility_DisplayArrayInTable(Common_SourceData.Common_SourceData_WASA4Areas_Data(), Table_WASA4Areas[[#Headers],[SA 4 Name]], 0)</f>
        <v>Mandurah</v>
      </c>
    </row>
    <row r="23" spans="1:4" ht="20.100000000000001" customHeight="1" x14ac:dyDescent="0.25">
      <c r="A23" s="5" t="str">
        <f>HYPERLINK("#'Input - Solid waste'!A1", "Solid waste")</f>
        <v>Solid waste</v>
      </c>
      <c r="D23" s="29" t="str" cm="1">
        <f t="array" ref="D23">Common_InputFunctions.Utility_DisplayArrayInTable(Common_SourceData.Common_SourceData_WASA4Areas_Data(), Table_WASA4Areas[[#Headers],[SA 4 Name]], 0)</f>
        <v>Perth - Inner</v>
      </c>
    </row>
    <row r="24" spans="1:4" ht="20.100000000000001" customHeight="1" x14ac:dyDescent="0.25">
      <c r="A24" s="5" t="str">
        <f>HYPERLINK("#'Input - Data quality'!A1", "Data quality")</f>
        <v>Data quality</v>
      </c>
      <c r="D24" s="29" t="str" cm="1">
        <f t="array" ref="D24">Common_InputFunctions.Utility_DisplayArrayInTable(Common_SourceData.Common_SourceData_WASA4Areas_Data(), Table_WASA4Areas[[#Headers],[SA 4 Name]], 0)</f>
        <v>Perth - North East</v>
      </c>
    </row>
    <row r="25" spans="1:4" ht="20.100000000000001" customHeight="1" x14ac:dyDescent="0.25">
      <c r="A25"/>
      <c r="D25" s="29" t="str" cm="1">
        <f t="array" ref="D25">Common_InputFunctions.Utility_DisplayArrayInTable(Common_SourceData.Common_SourceData_WASA4Areas_Data(), Table_WASA4Areas[[#Headers],[SA 4 Name]], 0)</f>
        <v>Perth - North West</v>
      </c>
    </row>
    <row r="26" spans="1:4" ht="20.100000000000001" customHeight="1" x14ac:dyDescent="0.25">
      <c r="A26"/>
      <c r="D26" s="29" t="str" cm="1">
        <f t="array" ref="D26">Common_InputFunctions.Utility_DisplayArrayInTable(Common_SourceData.Common_SourceData_WASA4Areas_Data(), Table_WASA4Areas[[#Headers],[SA 4 Name]], 0)</f>
        <v>Perth - South East</v>
      </c>
    </row>
    <row r="27" spans="1:4" ht="20.100000000000001" customHeight="1" x14ac:dyDescent="0.25">
      <c r="A27" s="6" t="s">
        <v>2</v>
      </c>
      <c r="D27" s="29" t="str" cm="1">
        <f t="array" ref="D27">Common_InputFunctions.Utility_DisplayArrayInTable(Common_SourceData.Common_SourceData_WASA4Areas_Data(), Table_WASA4Areas[[#Headers],[SA 4 Name]], 0)</f>
        <v>Perth - South West</v>
      </c>
    </row>
    <row r="28" spans="1:4" ht="20.100000000000001" customHeight="1" x14ac:dyDescent="0.25">
      <c r="A28" s="5" t="str">
        <f>HYPERLINK("#'5.1.1.1-2 Inorganic fert N2O'!A1", "5.1.1.1-2 Inorganic fert N2O")</f>
        <v>5.1.1.1-2 Inorganic fert N2O</v>
      </c>
      <c r="D28" s="29"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HYPERLINK("#'5.1.1.3-4 Inorganic fert CO2'!A1", "5.1.1.3-4 Inorganic fert CO2")</f>
        <v>5.1.1.3-4 Inorganic fert CO2</v>
      </c>
      <c r="D29" s="29"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HYPERLINK("#'5.2.1.1-2 Organic Fert N2O'!A1", "5.2.1.1-2 Organic fert N2O")</f>
        <v>5.2.1.1-2 Organic fert N2O</v>
      </c>
      <c r="D30" s="29"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HYPERLINK("#'5.3.1.1-2 Lime CO2'!A1", "5.3.1.1-2 Lime CO2")</f>
        <v>5.3.1.1-2 Lime CO2</v>
      </c>
    </row>
    <row r="32" spans="1:4" ht="20.100000000000001" customHeight="1" x14ac:dyDescent="0.25">
      <c r="A32" s="5" t="str">
        <f>HYPERLINK("#'5.4.1.1-4 Atmos deposition'!A1", "5.4.1.1-4 Atmos. deposition")</f>
        <v>5.4.1.1-4 Atmos. deposition</v>
      </c>
    </row>
    <row r="33" spans="1:8" ht="20.100000000000001" customHeight="1" x14ac:dyDescent="0.25">
      <c r="A33" s="5" t="str">
        <f>HYPERLINK("#'5.5.1.1-2 Leaching and runoff'!A1", "5.5.1.1-2 Leaching &amp; runoff")</f>
        <v>5.5.1.1-2 Leaching &amp; runoff</v>
      </c>
    </row>
    <row r="34" spans="1:8" ht="20.100000000000001" customHeight="1" x14ac:dyDescent="0.25">
      <c r="A34" s="5" t="str">
        <f>HYPERLINK("#'6.2.1.1-2 Pasture residue N2O'!A1", "6.2.1.1-2 Pasture residue N2O")</f>
        <v>6.2.1.1-2 Pasture residue N2O</v>
      </c>
      <c r="D34" s="2" t="str" cm="1">
        <f t="array" ref="D34">Common_SourceData.Common_SourceData_GWP_Title()</f>
        <v>Global warming potential for greenhouse gases</v>
      </c>
    </row>
    <row r="35" spans="1:8" ht="20.100000000000001" customHeight="1" x14ac:dyDescent="0.25">
      <c r="A35" s="5" t="str">
        <f>HYPERLINK("#'6.3.1.1-2 Leach runoff pasture'!A1", "6.3.1.1-2 Leach &amp; runoff (pasture)")</f>
        <v>6.3.1.1-2 Leach &amp; runoff (pasture)</v>
      </c>
      <c r="D35" s="27" t="str" cm="1">
        <f t="array" ref="D35">Common_SourceData.Common_SourceData_GWP_Source()</f>
        <v>XXXXXXX</v>
      </c>
    </row>
    <row r="36" spans="1:8" ht="20.100000000000001" customHeight="1" x14ac:dyDescent="0.25">
      <c r="A36" s="5" t="str">
        <f>HYPERLINK("#'8.1.1.1-2 Transport fuel'!A1", "8.1.1.1-2 Transport fuel")</f>
        <v>8.1.1.1-2 Transport fuel</v>
      </c>
      <c r="D36" s="29" t="s">
        <v>26</v>
      </c>
      <c r="E36" s="29" t="s">
        <v>27</v>
      </c>
    </row>
    <row r="37" spans="1:8" ht="20.100000000000001" customHeight="1" x14ac:dyDescent="0.25">
      <c r="A37" s="5" t="str">
        <f>HYPERLINK("#'8.2.1.1-2 Stationary fuel'!A1", "8.2.1.1-2 Stationary fuel")</f>
        <v>8.2.1.1-2 Stationary fuel</v>
      </c>
      <c r="D37" s="29" t="str" cm="1">
        <f t="array" ref="D37">Common_InputFunctions.Utility_DisplayArrayInTable(Common_SourceData.Common_SourceData_GWP_Data(), Table_GWPData[[#Headers],[Gas]], 0)</f>
        <v>CO2</v>
      </c>
      <c r="E37" s="29" cm="1">
        <f t="array" ref="E37">Common_InputFunctions.Utility_DisplayArrayInTable(Common_SourceData.Common_SourceData_GWP_Data(), Table_GWPData[[#Headers],[Gas]], 0)</f>
        <v>1</v>
      </c>
    </row>
    <row r="38" spans="1:8" ht="20.100000000000001" customHeight="1" x14ac:dyDescent="0.25">
      <c r="A38" s="5" t="str">
        <f>HYPERLINK("#'14.1.1-2 Purchased electricity'!A1", "14.1.1-2 Purchased electricity")</f>
        <v>14.1.1-2 Purchased electricity</v>
      </c>
      <c r="D38" s="29" t="str" cm="1">
        <f t="array" ref="D38">Common_InputFunctions.Utility_DisplayArrayInTable(Common_SourceData.Common_SourceData_GWP_Data(), Table_GWPData[[#Headers],[Gas]], 0)</f>
        <v>CH4</v>
      </c>
      <c r="E38" s="29" cm="1">
        <f t="array" ref="E38">Common_InputFunctions.Utility_DisplayArrayInTable(Common_SourceData.Common_SourceData_GWP_Data(), Table_GWPData[[#Headers],[Gas]], 0)</f>
        <v>28</v>
      </c>
    </row>
    <row r="39" spans="1:8" ht="20.100000000000001" customHeight="1" x14ac:dyDescent="0.25">
      <c r="A39" s="5" t="str">
        <f>HYPERLINK("#'15 Scope 3'!A1", "15 Scope 3")</f>
        <v>15 Scope 3</v>
      </c>
      <c r="D39" s="29" t="str" cm="1">
        <f t="array" ref="D39">Common_InputFunctions.Utility_DisplayArrayInTable(Common_SourceData.Common_SourceData_GWP_Data(), Table_GWPData[[#Headers],[Gas]], 0)</f>
        <v>N2O</v>
      </c>
      <c r="E39" s="29" cm="1">
        <f t="array" ref="E39">Common_InputFunctions.Utility_DisplayArrayInTable(Common_SourceData.Common_SourceData_GWP_Data(), Table_GWPData[[#Headers],[Gas]], 0)</f>
        <v>265</v>
      </c>
    </row>
    <row r="40" spans="1:8" ht="20.100000000000001" customHeight="1" x14ac:dyDescent="0.25">
      <c r="A40" s="5" t="str">
        <f>HYPERLINK("#'Calcs - Manure sent off-site'!A1", "Calcs - Manure sent off-site")</f>
        <v>Calcs - Manure sent off-site</v>
      </c>
      <c r="D40" s="29" t="str" cm="1">
        <f t="array" ref="D40">Common_InputFunctions.Utility_DisplayArrayInTable(Common_SourceData.Common_SourceData_GWP_Data(), Table_GWPData[[#Headers],[Gas]], 0)</f>
        <v>CF4</v>
      </c>
      <c r="E40" s="29" cm="1">
        <f t="array" ref="E40">Common_InputFunctions.Utility_DisplayArrayInTable(Common_SourceData.Common_SourceData_GWP_Data(), Table_GWPData[[#Headers],[Gas]], 0)</f>
        <v>6630</v>
      </c>
    </row>
    <row r="41" spans="1:8" ht="20.100000000000001" customHeight="1" x14ac:dyDescent="0.25">
      <c r="A41" s="5" t="str">
        <f>HYPERLINK("#'4.3.1.1-2 Methane'!A1", "4.3.1.1-2 Methane")</f>
        <v>4.3.1.1-2 Methane</v>
      </c>
      <c r="D41" s="29" t="str" cm="1">
        <f t="array" ref="D41">Common_InputFunctions.Utility_DisplayArrayInTable(Common_SourceData.Common_SourceData_GWP_Data(), Table_GWPData[[#Headers],[Gas]], 0)</f>
        <v>C2F6</v>
      </c>
      <c r="E41" s="29" cm="1">
        <f t="array" ref="E41">Common_InputFunctions.Utility_DisplayArrayInTable(Common_SourceData.Common_SourceData_GWP_Data(), Table_GWPData[[#Headers],[Gas]], 0)</f>
        <v>12200</v>
      </c>
    </row>
    <row r="42" spans="1:8" ht="20.100000000000001" customHeight="1" x14ac:dyDescent="0.25">
      <c r="A42" s="5" t="str">
        <f>HYPERLINK("#'4.3.1.3-4 Direct N20'!A1", "4.3.1.3-4 Direct N20")</f>
        <v>4.3.1.3-4 Direct N20</v>
      </c>
      <c r="D42" s="29" t="str" cm="1">
        <f t="array" ref="D42">Common_InputFunctions.Utility_DisplayArrayInTable(Common_SourceData.Common_SourceData_GWP_Data(), Table_GWPData[[#Headers],[Gas]], 0)</f>
        <v>SF6</v>
      </c>
      <c r="E42" s="29" cm="1">
        <f t="array" ref="E42">Common_InputFunctions.Utility_DisplayArrayInTable(Common_SourceData.Common_SourceData_GWP_Data(), Table_GWPData[[#Headers],[Gas]], 0)</f>
        <v>22800</v>
      </c>
    </row>
    <row r="43" spans="1:8" ht="20.100000000000001" customHeight="1" x14ac:dyDescent="0.25">
      <c r="A43" s="5" t="str">
        <f>HYPERLINK("#'4.3.1.5 Atmos deposition'!A1", "4.3.1.5 Atmos deposition")</f>
        <v>4.3.1.5 Atmos deposition</v>
      </c>
      <c r="D43" s="29" t="str" cm="1">
        <f t="array" ref="D43">Common_InputFunctions.Utility_DisplayArrayInTable(Common_SourceData.Common_SourceData_GWP_Data(), Table_GWPData[[#Headers],[Gas]], 0)</f>
        <v>NF3</v>
      </c>
      <c r="E43" s="29" cm="1">
        <f t="array" ref="E43">Common_InputFunctions.Utility_DisplayArrayInTable(Common_SourceData.Common_SourceData_GWP_Data(), Table_GWPData[[#Headers],[Gas]], 0)</f>
        <v>17200</v>
      </c>
    </row>
    <row r="44" spans="1:8" ht="20.100000000000001" customHeight="1" x14ac:dyDescent="0.25">
      <c r="A44" s="5" t="str">
        <f>HYPERLINK("#'4.3.1.6-7 Leaching and runoff'!A1", "4.3.1.6-7 Leaching and runoff")</f>
        <v>4.3.1.6-7 Leaching and runoff</v>
      </c>
    </row>
    <row r="45" spans="1:8" ht="20.100000000000001" customHeight="1" x14ac:dyDescent="0.25">
      <c r="A45" s="5" t="str">
        <f>HYPERLINK("#'4.3.1.8 Manure applied to soils'!A1", "4.3.1.8 Manure applied to soils")</f>
        <v>4.3.1.8 Manure applied to soils</v>
      </c>
      <c r="D45" s="2" t="str" cm="1">
        <f t="array" ref="D45">Common_SourceData.Common_SourceData_ConvertGasElementalToMolecular_Title()</f>
        <v>Factor to convert elemental mass of gas to molecular mass</v>
      </c>
    </row>
    <row r="46" spans="1:8" ht="20.100000000000001" customHeight="1" x14ac:dyDescent="0.25">
      <c r="A46" s="5" t="str">
        <f>HYPERLINK("#'4.3.1.9 Soil direct N2O'!A1", "4.3.1.9 Soil direct N2O")</f>
        <v>4.3.1.9 Soil direct N2O</v>
      </c>
      <c r="D46" s="27" t="str" cm="1">
        <f t="array" ref="D46">Common_SourceData.Common_SourceData_ConvertGasElementalToMolecular_Source()</f>
        <v>XXXXXXX</v>
      </c>
    </row>
    <row r="47" spans="1:8" ht="20.100000000000001" customHeight="1" x14ac:dyDescent="0.25">
      <c r="A47" s="5" t="str">
        <f>HYPERLINK("#'4.3.1.10-11 Soil Atmos Dep'!A1", "4.3.1.10-11 Soil Atmos Dep")</f>
        <v>4.3.1.10-11 Soil Atmos Dep</v>
      </c>
      <c r="D47" s="29" t="s">
        <v>26</v>
      </c>
      <c r="E47" s="29" t="s">
        <v>28</v>
      </c>
      <c r="F47" s="29" t="s">
        <v>29</v>
      </c>
      <c r="G47" s="29" t="s">
        <v>30</v>
      </c>
      <c r="H47" s="29" t="s">
        <v>31</v>
      </c>
    </row>
    <row r="48" spans="1:8" ht="20.100000000000001" customHeight="1" x14ac:dyDescent="0.25">
      <c r="A48" s="5" t="str">
        <f>HYPERLINK("#'4.3.1.12-13 Soil leach runoff'!A1", "4.3.1.12-13 Soil leach runoff")</f>
        <v>4.3.1.12-13 Soil leach runoff</v>
      </c>
      <c r="D48" s="29" t="str" cm="1">
        <f t="array" ref="D48">Common_InputFunctions.Utility_DisplayArrayInTable(Common_SourceData.Common_SourceData_ConvertGasElementalToMolecular_Data(),Table_GasToMolecularConversionFactor[[#Headers],[Gas]], 0)</f>
        <v>CO2</v>
      </c>
      <c r="E48" s="29" t="str" cm="1">
        <f t="array" ref="E48">Common_InputFunctions.Utility_DisplayArrayInTable(Common_SourceData.Common_SourceData_ConvertGasElementalToMolecular_Data(),Table_GasToMolecularConversionFactor[[#Headers],[Gas]], 0)</f>
        <v>44/12</v>
      </c>
      <c r="F48" s="29" cm="1">
        <f t="array" ref="F48">Common_InputFunctions.Utility_DisplayArrayInTable(Common_SourceData.Common_SourceData_ConvertGasElementalToMolecular_Data(),Table_GasToMolecularConversionFactor[[#Headers],[Gas]], 0)</f>
        <v>44</v>
      </c>
      <c r="G48" s="29" cm="1">
        <f t="array" ref="G48">Common_InputFunctions.Utility_DisplayArrayInTable(Common_SourceData.Common_SourceData_ConvertGasElementalToMolecular_Data(),Table_GasToMolecularConversionFactor[[#Headers],[Gas]], 0)</f>
        <v>12</v>
      </c>
      <c r="H48" s="29">
        <f>Table_GasToMolecularConversionFactor[[#This Row],[Conversion factor 1]]/Table_GasToMolecularConversionFactor[[#This Row],[Conversion factor 2]]</f>
        <v>3.6666666666666665</v>
      </c>
    </row>
    <row r="49" spans="1:8" ht="20.100000000000001" customHeight="1" x14ac:dyDescent="0.25">
      <c r="A49" s="5" t="str">
        <f>HYPERLINK("#'3.3.1.1-2 Enteric Methane'!A1", "3.3.1.1-2 Enteric Methane")</f>
        <v>3.3.1.1-2 Enteric Methane</v>
      </c>
      <c r="D49" s="29" t="str" cm="1">
        <f t="array" ref="D49">Common_InputFunctions.Utility_DisplayArrayInTable(Common_SourceData.Common_SourceData_ConvertGasElementalToMolecular_Data(),Table_GasToMolecularConversionFactor[[#Headers],[Gas]], 0)</f>
        <v>CH4</v>
      </c>
      <c r="E49" s="29" t="str" cm="1">
        <f t="array" ref="E49">Common_InputFunctions.Utility_DisplayArrayInTable(Common_SourceData.Common_SourceData_ConvertGasElementalToMolecular_Data(),Table_GasToMolecularConversionFactor[[#Headers],[Gas]], 0)</f>
        <v>16/12</v>
      </c>
      <c r="F49" s="29" cm="1">
        <f t="array" ref="F49">Common_InputFunctions.Utility_DisplayArrayInTable(Common_SourceData.Common_SourceData_ConvertGasElementalToMolecular_Data(),Table_GasToMolecularConversionFactor[[#Headers],[Gas]], 0)</f>
        <v>16</v>
      </c>
      <c r="G49" s="29" cm="1">
        <f t="array" ref="G49">Common_InputFunctions.Utility_DisplayArrayInTable(Common_SourceData.Common_SourceData_ConvertGasElementalToMolecular_Data(),Table_GasToMolecularConversionFactor[[#Headers],[Gas]], 0)</f>
        <v>12</v>
      </c>
      <c r="H49" s="29">
        <f>Table_GasToMolecularConversionFactor[[#This Row],[Conversion factor 1]]/Table_GasToMolecularConversionFactor[[#This Row],[Conversion factor 2]]</f>
        <v>1.3333333333333333</v>
      </c>
    </row>
    <row r="50" spans="1:8" ht="20.100000000000001" customHeight="1" x14ac:dyDescent="0.25">
      <c r="A50" s="5" t="str">
        <f>HYPERLINK("#'10.1.1-2 Solid waste treatment'!A1", "10.1.1-2 Solid waste treatment")</f>
        <v>10.1.1-2 Solid waste treatment</v>
      </c>
      <c r="D50" s="29" t="str" cm="1">
        <f t="array" ref="D50">Common_InputFunctions.Utility_DisplayArrayInTable(Common_SourceData.Common_SourceData_ConvertGasElementalToMolecular_Data(),Table_GasToMolecularConversionFactor[[#Headers],[Gas]], 0)</f>
        <v>N2O</v>
      </c>
      <c r="E50" s="29" t="str" cm="1">
        <f t="array" ref="E50">Common_InputFunctions.Utility_DisplayArrayInTable(Common_SourceData.Common_SourceData_ConvertGasElementalToMolecular_Data(),Table_GasToMolecularConversionFactor[[#Headers],[Gas]], 0)</f>
        <v>44/28</v>
      </c>
      <c r="F50" s="29" cm="1">
        <f t="array" ref="F50">Common_InputFunctions.Utility_DisplayArrayInTable(Common_SourceData.Common_SourceData_ConvertGasElementalToMolecular_Data(),Table_GasToMolecularConversionFactor[[#Headers],[Gas]], 0)</f>
        <v>44</v>
      </c>
      <c r="G50" s="29" cm="1">
        <f t="array" ref="G50">Common_InputFunctions.Utility_DisplayArrayInTable(Common_SourceData.Common_SourceData_ConvertGasElementalToMolecular_Data(),Table_GasToMolecularConversionFactor[[#Headers],[Gas]], 0)</f>
        <v>28</v>
      </c>
      <c r="H50" s="29">
        <f>Table_GasToMolecularConversionFactor[[#This Row],[Conversion factor 1]]/Table_GasToMolecularConversionFactor[[#This Row],[Conversion factor 2]]</f>
        <v>1.5714285714285714</v>
      </c>
    </row>
    <row r="51" spans="1:8" ht="20.100000000000001" customHeight="1" x14ac:dyDescent="0.25">
      <c r="A51"/>
      <c r="D51" s="29" t="str" cm="1">
        <f t="array" ref="D51">Common_InputFunctions.Utility_DisplayArrayInTable(Common_SourceData.Common_SourceData_ConvertGasElementalToMolecular_Data(),Table_GasToMolecularConversionFactor[[#Headers],[Gas]], 0)</f>
        <v>Nox</v>
      </c>
      <c r="E51" s="29" t="str" cm="1">
        <f t="array" ref="E51">Common_InputFunctions.Utility_DisplayArrayInTable(Common_SourceData.Common_SourceData_ConvertGasElementalToMolecular_Data(),Table_GasToMolecularConversionFactor[[#Headers],[Gas]], 0)</f>
        <v>46/14</v>
      </c>
      <c r="F51" s="29" cm="1">
        <f t="array" ref="F51">Common_InputFunctions.Utility_DisplayArrayInTable(Common_SourceData.Common_SourceData_ConvertGasElementalToMolecular_Data(),Table_GasToMolecularConversionFactor[[#Headers],[Gas]], 0)</f>
        <v>46</v>
      </c>
      <c r="G51" s="29" cm="1">
        <f t="array" ref="G51">Common_InputFunctions.Utility_DisplayArrayInTable(Common_SourceData.Common_SourceData_ConvertGasElementalToMolecular_Data(),Table_GasToMolecularConversionFactor[[#Headers],[Gas]], 0)</f>
        <v>14</v>
      </c>
      <c r="H51" s="29">
        <f>Table_GasToMolecularConversionFactor[[#This Row],[Conversion factor 1]]/Table_GasToMolecularConversionFactor[[#This Row],[Conversion factor 2]]</f>
        <v>3.2857142857142856</v>
      </c>
    </row>
    <row r="52" spans="1:8" ht="20.100000000000001" customHeight="1" x14ac:dyDescent="0.25">
      <c r="A52"/>
      <c r="D52" s="29" t="str" cm="1">
        <f t="array" ref="D52">Common_InputFunctions.Utility_DisplayArrayInTable(Common_SourceData.Common_SourceData_ConvertGasElementalToMolecular_Data(),Table_GasToMolecularConversionFactor[[#Headers],[Gas]], 0)</f>
        <v>CO</v>
      </c>
      <c r="E52" s="29" t="str" cm="1">
        <f t="array" ref="E52">Common_InputFunctions.Utility_DisplayArrayInTable(Common_SourceData.Common_SourceData_ConvertGasElementalToMolecular_Data(),Table_GasToMolecularConversionFactor[[#Headers],[Gas]], 0)</f>
        <v>28/12</v>
      </c>
      <c r="F52" s="29" cm="1">
        <f t="array" ref="F52">Common_InputFunctions.Utility_DisplayArrayInTable(Common_SourceData.Common_SourceData_ConvertGasElementalToMolecular_Data(),Table_GasToMolecularConversionFactor[[#Headers],[Gas]], 0)</f>
        <v>28</v>
      </c>
      <c r="G52" s="29" cm="1">
        <f t="array" ref="G52">Common_InputFunctions.Utility_DisplayArrayInTable(Common_SourceData.Common_SourceData_ConvertGasElementalToMolecular_Data(),Table_GasToMolecularConversionFactor[[#Headers],[Gas]], 0)</f>
        <v>12</v>
      </c>
      <c r="H52" s="29">
        <f>Table_GasToMolecularConversionFactor[[#This Row],[Conversion factor 1]]/Table_GasToMolecularConversionFactor[[#This Row],[Conversion factor 2]]</f>
        <v>2.3333333333333335</v>
      </c>
    </row>
    <row r="53" spans="1:8" ht="20.100000000000001" customHeight="1" x14ac:dyDescent="0.25">
      <c r="A53" s="100" t="s">
        <v>1</v>
      </c>
      <c r="D53" s="29" t="str" cm="1">
        <f t="array" ref="D53">Common_InputFunctions.Utility_DisplayArrayInTable(Common_SourceData.Common_SourceData_ConvertGasElementalToMolecular_Data(),Table_GasToMolecularConversionFactor[[#Headers],[Gas]], 0)</f>
        <v>CO2 Lime</v>
      </c>
      <c r="E53" s="29" t="str" cm="1">
        <f t="array" ref="E53">Common_InputFunctions.Utility_DisplayArrayInTable(Common_SourceData.Common_SourceData_ConvertGasElementalToMolecular_Data(),Table_GasToMolecularConversionFactor[[#Headers],[Gas]], 0)</f>
        <v>44/12</v>
      </c>
      <c r="F53" s="29" cm="1">
        <f t="array" ref="F53">Common_InputFunctions.Utility_DisplayArrayInTable(Common_SourceData.Common_SourceData_ConvertGasElementalToMolecular_Data(),Table_GasToMolecularConversionFactor[[#Headers],[Gas]], 0)</f>
        <v>44</v>
      </c>
      <c r="G53" s="29" cm="1">
        <f t="array" ref="G53">Common_InputFunctions.Utility_DisplayArrayInTable(Common_SourceData.Common_SourceData_ConvertGasElementalToMolecular_Data(),Table_GasToMolecularConversionFactor[[#Headers],[Gas]], 0)</f>
        <v>12</v>
      </c>
      <c r="H53" s="29">
        <f>Table_GasToMolecularConversionFactor[[#This Row],[Conversion factor 1]]/Table_GasToMolecularConversionFactor[[#This Row],[Conversion factor 2]]</f>
        <v>3.6666666666666665</v>
      </c>
    </row>
    <row r="54" spans="1:8" ht="20.100000000000001" customHeight="1" x14ac:dyDescent="0.25">
      <c r="A54" s="5" t="str">
        <f>HYPERLINK("#'Constants - Dairy'!A1", "Constants - Dairy")</f>
        <v>Constants - Dairy</v>
      </c>
      <c r="D54" s="29" t="str" cm="1">
        <f t="array" ref="D54">Common_InputFunctions.Utility_DisplayArrayInTable(Common_SourceData.Common_SourceData_ConvertGasElementalToMolecular_Data(),Table_GasToMolecularConversionFactor[[#Headers],[Gas]], 0)</f>
        <v>NMVOC</v>
      </c>
      <c r="E54" s="29" t="str" cm="1">
        <f t="array" ref="E54">Common_InputFunctions.Utility_DisplayArrayInTable(Common_SourceData.Common_SourceData_ConvertGasElementalToMolecular_Data(),Table_GasToMolecularConversionFactor[[#Headers],[Gas]], 0)</f>
        <v>14/12</v>
      </c>
      <c r="F54" s="29" cm="1">
        <f t="array" ref="F54">Common_InputFunctions.Utility_DisplayArrayInTable(Common_SourceData.Common_SourceData_ConvertGasElementalToMolecular_Data(),Table_GasToMolecularConversionFactor[[#Headers],[Gas]], 0)</f>
        <v>14</v>
      </c>
      <c r="G54" s="29" cm="1">
        <f t="array" ref="G54">Common_InputFunctions.Utility_DisplayArrayInTable(Common_SourceData.Common_SourceData_ConvertGasElementalToMolecular_Data(),Table_GasToMolecularConversionFactor[[#Headers],[Gas]], 0)</f>
        <v>12</v>
      </c>
      <c r="H54" s="29">
        <f>Table_GasToMolecularConversionFactor[[#This Row],[Conversion factor 1]]/Table_GasToMolecularConversionFactor[[#This Row],[Conversion factor 2]]</f>
        <v>1.1666666666666667</v>
      </c>
    </row>
    <row r="55" spans="1:8" ht="20.100000000000001" customHeight="1" x14ac:dyDescent="0.25">
      <c r="A55" s="5" t="str">
        <f>HYPERLINK("#'Constants - Ag Residue'!A1", "Constants - Ag residue")</f>
        <v>Constants - Ag residue</v>
      </c>
    </row>
    <row r="56" spans="1:8" ht="20.100000000000001" customHeight="1" x14ac:dyDescent="0.25">
      <c r="A56" s="5" t="str">
        <f>HYPERLINK("#'Constants - Common Livestock'!A1", "Constants - Common Livestock")</f>
        <v>Constants - Common Livestock</v>
      </c>
    </row>
    <row r="57" spans="1:8" ht="20.100000000000001" customHeight="1" x14ac:dyDescent="0.25">
      <c r="A57" s="5" t="str">
        <f>HYPERLINK("#'Constants - Electricity'!A1", "Constants - Electricity")</f>
        <v>Constants - Electricity</v>
      </c>
      <c r="D57" s="2" t="str" cm="1">
        <f t="array" ref="D57">Common_SourceData.Common_SourceData_WetAndDryZones_Title()</f>
        <v>VEERG Australian wet and dry zones</v>
      </c>
    </row>
    <row r="58" spans="1:8" ht="20.100000000000001" customHeight="1" x14ac:dyDescent="0.25">
      <c r="A58" s="5" t="str">
        <f>HYPERLINK("#'Constants - Fertiliser'!A1", "Constants - Fertiliser")</f>
        <v>Constants - Fertiliser</v>
      </c>
      <c r="D58" s="27" t="str" cm="1">
        <f t="array" ref="D58">Common_SourceData.Common_SourceData_WetAndDryZones_Source()</f>
        <v>VEERG 2026: Table 1.2: Translating climate zones to wet and dry zones</v>
      </c>
    </row>
    <row r="59" spans="1:8" ht="20.100000000000001" customHeight="1" x14ac:dyDescent="0.25">
      <c r="A59" s="5" t="str">
        <f>HYPERLINK("#'Constants - Fuel'!A1", "Constants - Fuel")</f>
        <v>Constants - Fuel</v>
      </c>
      <c r="D59" s="35" t="str" cm="1">
        <f t="array" ref="D59:D61">"⚠️" &amp; Common_SourceData.Common_SourceData_WetAndDryZones_Variation()</f>
        <v>⚠️VARIATION OF SOURCE DATA:</v>
      </c>
    </row>
    <row r="60" spans="1:8" ht="20.100000000000001" customHeight="1" x14ac:dyDescent="0.25">
      <c r="A60" s="5" t="str">
        <f>HYPERLINK("#'Constants - Scope 3'!A1", "Constants - Scope 3")</f>
        <v>Constants - Scope 3</v>
      </c>
      <c r="D60" s="35" t="str">
        <v>⚠️Added warm / cool temperate moist / dry - low frost and high temp classes to accommodate climate scenarios excluded by VEERG criteria.</v>
      </c>
    </row>
    <row r="61" spans="1:8" ht="20.100000000000001" customHeight="1" x14ac:dyDescent="0.25">
      <c r="A61" s="148" t="str">
        <f>HYPERLINK("#'Constants - Common'!A1", "Constants - Common")</f>
        <v>Constants - Common</v>
      </c>
      <c r="D61" s="35" t="str">
        <v>⚠️Fixed typo - Changed 'Fry' to 'Dry'.</v>
      </c>
    </row>
    <row r="62" spans="1:8" ht="20.100000000000001" customHeight="1" x14ac:dyDescent="0.25">
      <c r="A62" s="5" t="str">
        <f>HYPERLINK("#'Acknowledgements'!A1", "Acknowledgements")</f>
        <v>Acknowledgements</v>
      </c>
    </row>
    <row r="63" spans="1:8" ht="20.100000000000001" customHeight="1" x14ac:dyDescent="0.25">
      <c r="A63" s="5" t="str">
        <f>HYPERLINK("#'Constants - Solid Waste'!A1", "Constants - Solid Waste")</f>
        <v>Constants - Solid Waste</v>
      </c>
      <c r="D63" s="29" t="s">
        <v>32</v>
      </c>
      <c r="E63" s="29" t="s">
        <v>33</v>
      </c>
    </row>
    <row r="64" spans="1:8" ht="20.100000000000001" customHeight="1" x14ac:dyDescent="0.25">
      <c r="A64"/>
      <c r="D64" s="29" t="str" cm="1">
        <f t="array" ref="D64">Common_InputFunctions.Utility_DisplayArrayInTable(Common_SourceData.Common_SourceData_WetAndDryZones_Data(), Table_SourceData_WetDryZones[[#Headers],[Climate zone]], 0)</f>
        <v>Tropical montane</v>
      </c>
      <c r="E64" s="29"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9" t="str" cm="1">
        <f t="array" ref="D65">Common_InputFunctions.Utility_DisplayArrayInTable(Common_SourceData.Common_SourceData_WetAndDryZones_Data(), Table_SourceData_WetDryZones[[#Headers],[Climate zone]], 0)</f>
        <v>Tropical wet</v>
      </c>
      <c r="E65" s="29"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9" t="str" cm="1">
        <f t="array" ref="D66">Common_InputFunctions.Utility_DisplayArrayInTable(Common_SourceData.Common_SourceData_WetAndDryZones_Data(), Table_SourceData_WetDryZones[[#Headers],[Climate zone]], 0)</f>
        <v>Tropical moist</v>
      </c>
      <c r="E66" s="29"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9" t="str" cm="1">
        <f t="array" ref="D67">Common_InputFunctions.Utility_DisplayArrayInTable(Common_SourceData.Common_SourceData_WetAndDryZones_Data(), Table_SourceData_WetDryZones[[#Headers],[Climate zone]], 0)</f>
        <v>Tropical dry</v>
      </c>
      <c r="E67" s="29"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9" t="str" cm="1">
        <f t="array" ref="D68">Common_InputFunctions.Utility_DisplayArrayInTable(Common_SourceData.Common_SourceData_WetAndDryZones_Data(), Table_SourceData_WetDryZones[[#Headers],[Climate zone]], 0)</f>
        <v>Warm temperate moist</v>
      </c>
      <c r="E68" s="29"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9" t="str" cm="1">
        <f t="array" ref="D69">Common_InputFunctions.Utility_DisplayArrayInTable(Common_SourceData.Common_SourceData_WetAndDryZones_Data(), Table_SourceData_WetDryZones[[#Headers],[Climate zone]], 0)</f>
        <v>Warm temperate dry</v>
      </c>
      <c r="E69" s="29"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9" t="str" cm="1">
        <f t="array" ref="D70">Common_InputFunctions.Utility_DisplayArrayInTable(Common_SourceData.Common_SourceData_WetAndDryZones_Data(), Table_SourceData_WetDryZones[[#Headers],[Climate zone]], 0)</f>
        <v>Cool temperate moist</v>
      </c>
      <c r="E70" s="29"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9" t="str" cm="1">
        <f t="array" ref="D71">Common_InputFunctions.Utility_DisplayArrayInTable(Common_SourceData.Common_SourceData_WetAndDryZones_Data(), Table_SourceData_WetDryZones[[#Headers],[Climate zone]], 0)</f>
        <v>Cool temperate dry</v>
      </c>
      <c r="E71" s="29"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9" t="str" cm="1">
        <f t="array" ref="D72">Common_InputFunctions.Utility_DisplayArrayInTable(Common_SourceData.Common_SourceData_WetAndDryZones_Data(), Table_SourceData_WetDryZones[[#Headers],[Climate zone]], 0)</f>
        <v>Warm temperate moist - low frost</v>
      </c>
      <c r="E72" s="29"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9" t="str" cm="1">
        <f t="array" ref="D73">Common_InputFunctions.Utility_DisplayArrayInTable(Common_SourceData.Common_SourceData_WetAndDryZones_Data(), Table_SourceData_WetDryZones[[#Headers],[Climate zone]], 0)</f>
        <v>Warm temperate dry - low frost</v>
      </c>
      <c r="E73" s="29"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9" t="str" cm="1">
        <f t="array" ref="D74">Common_InputFunctions.Utility_DisplayArrayInTable(Common_SourceData.Common_SourceData_WetAndDryZones_Data(), Table_SourceData_WetDryZones[[#Headers],[Climate zone]], 0)</f>
        <v>Warm temperate moist - high temp</v>
      </c>
      <c r="E74" s="29"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9" t="str" cm="1">
        <f t="array" ref="D75">Common_InputFunctions.Utility_DisplayArrayInTable(Common_SourceData.Common_SourceData_WetAndDryZones_Data(), Table_SourceData_WetDryZones[[#Headers],[Climate zone]], 0)</f>
        <v>Warm temperate dry - high temp</v>
      </c>
      <c r="E75" s="29"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9" t="str" cm="1">
        <f t="array" ref="D76">Common_InputFunctions.Utility_DisplayArrayInTable(Common_SourceData.Common_SourceData_WetAndDryZones_Data(), Table_SourceData_WetDryZones[[#Headers],[Climate zone]], 0)</f>
        <v>Cool temperate moist - low frost</v>
      </c>
      <c r="E76" s="29"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9" t="str" cm="1">
        <f t="array" ref="D77">Common_InputFunctions.Utility_DisplayArrayInTable(Common_SourceData.Common_SourceData_WetAndDryZones_Data(), Table_SourceData_WetDryZones[[#Headers],[Climate zone]], 0)</f>
        <v>Cool temperate dry - low frost</v>
      </c>
      <c r="E77" s="29"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27" t="str" cm="1">
        <f t="array" ref="D82">Common_SourceData.Common_SourceData_ClimateZones_Source()</f>
        <v>VEERG 2026: Table 1.3: Climate and Rainfall zone classifications and definitions</v>
      </c>
    </row>
    <row r="83" spans="1:20" ht="20.100000000000001" customHeight="1" x14ac:dyDescent="0.25">
      <c r="A83"/>
      <c r="D83" s="35" t="str" cm="1">
        <f t="array" ref="D83:D87">"⚠️" &amp; Common_SourceData.Common_SourceData_ClimateZones_Variation()</f>
        <v>⚠️VARIATION OF SOURCE DATA:</v>
      </c>
    </row>
    <row r="84" spans="1:20" ht="20.100000000000001" customHeight="1" x14ac:dyDescent="0.25">
      <c r="A84"/>
      <c r="D84" s="35" t="str">
        <v>⚠️Added warm / cool temperate moist / dry - low frost and high temp classes to accommodate climate scenarios excluded by VEERG criteria.</v>
      </c>
    </row>
    <row r="85" spans="1:20" ht="20.100000000000001" customHeight="1" x14ac:dyDescent="0.25">
      <c r="A85"/>
      <c r="D85" s="35" t="str">
        <v>⚠️Fixed typo in MAT value for warm temperate dry - changed 10 to 11.</v>
      </c>
    </row>
    <row r="86" spans="1:20" ht="20.100000000000001" customHeight="1" x14ac:dyDescent="0.25">
      <c r="A86"/>
      <c r="D86" s="35" t="str">
        <v>⚠️Added min and max columns for MAT, MAP, frost days per year, elevation, MAP:PET to calculate zones from real climate data.</v>
      </c>
    </row>
    <row r="87" spans="1:20" ht="20.100000000000001" customHeight="1" x14ac:dyDescent="0.25">
      <c r="A87"/>
      <c r="D87" s="35" t="str">
        <v>⚠️GAF accepts rainfall as a proxy for precipitation.</v>
      </c>
    </row>
    <row r="88" spans="1:20" ht="20.100000000000001" customHeight="1" x14ac:dyDescent="0.25">
      <c r="A88"/>
    </row>
    <row r="89" spans="1:20" ht="20.100000000000001" customHeight="1" x14ac:dyDescent="0.25">
      <c r="A89"/>
      <c r="D89" s="29" t="s">
        <v>32</v>
      </c>
      <c r="E89" s="29" t="s">
        <v>34</v>
      </c>
      <c r="F89" s="29" t="s">
        <v>35</v>
      </c>
      <c r="G89" s="29" t="s">
        <v>36</v>
      </c>
      <c r="H89" s="29" t="s">
        <v>37</v>
      </c>
      <c r="I89" s="29" t="s">
        <v>38</v>
      </c>
      <c r="J89" s="29" t="s">
        <v>39</v>
      </c>
      <c r="K89" s="29" t="s">
        <v>40</v>
      </c>
      <c r="L89" s="29" t="s">
        <v>41</v>
      </c>
      <c r="M89" s="29" t="s">
        <v>42</v>
      </c>
      <c r="N89" s="29" t="s">
        <v>43</v>
      </c>
      <c r="O89" s="29" t="s">
        <v>44</v>
      </c>
      <c r="P89" s="29" t="s">
        <v>45</v>
      </c>
      <c r="Q89" s="29" t="s">
        <v>46</v>
      </c>
      <c r="R89" s="29" t="s">
        <v>47</v>
      </c>
      <c r="S89" s="29" t="s">
        <v>48</v>
      </c>
      <c r="T89" s="29"/>
    </row>
    <row r="90" spans="1:20" ht="20.100000000000001" customHeight="1" x14ac:dyDescent="0.25">
      <c r="A90"/>
      <c r="D90" s="29" t="str" cm="1">
        <f t="array" ref="D90">Common_InputFunctions.Utility_DisplayArrayInTable(Common_SourceData.Common_SourceData_ClimateZones_Data(), Table_SourceData_ClimateZones[[#Headers],[Climate zone]], 0)</f>
        <v>Tropical montane</v>
      </c>
      <c r="E90" s="29" t="str" cm="1">
        <f t="array" ref="E90">Common_InputFunctions.Utility_DisplayArrayInTable(Common_SourceData.Common_SourceData_ClimateZones_Data(), Table_SourceData_ClimateZones[[#Headers],[Climate zone]], 0)</f>
        <v>&gt; 18 C</v>
      </c>
      <c r="F90" s="29" t="str" cm="1">
        <f t="array" ref="F90">Common_InputFunctions.Utility_DisplayArrayInTable(Common_SourceData.Common_SourceData_ClimateZones_Data(), Table_SourceData_ClimateZones[[#Headers],[Climate zone]], 0)</f>
        <v>Any</v>
      </c>
      <c r="G90" s="29" t="str" cm="1">
        <f t="array" ref="G90">Common_InputFunctions.Utility_DisplayArrayInTable(Common_SourceData.Common_SourceData_ClimateZones_Data(), Table_SourceData_ClimateZones[[#Headers],[Climate zone]], 0)</f>
        <v>≤ 7</v>
      </c>
      <c r="H90" s="29" t="str" cm="1">
        <f t="array" ref="H90">Common_InputFunctions.Utility_DisplayArrayInTable(Common_SourceData.Common_SourceData_ClimateZones_Data(), Table_SourceData_ClimateZones[[#Headers],[Climate zone]], 0)</f>
        <v>&gt; 1000 m</v>
      </c>
      <c r="I90" s="29" t="str" cm="1">
        <f t="array" ref="I90">Common_InputFunctions.Utility_DisplayArrayInTable(Common_SourceData.Common_SourceData_ClimateZones_Data(), Table_SourceData_ClimateZones[[#Headers],[Climate zone]], 0)</f>
        <v>Any</v>
      </c>
      <c r="J90" s="29" cm="1">
        <f t="array" ref="J90">Common_InputFunctions.Utility_DisplayArrayInTable(Common_SourceData.Common_SourceData_ClimateZones_Data(), Table_SourceData_ClimateZones[[#Headers],[Climate zone]], 0)</f>
        <v>18.001000000000001</v>
      </c>
      <c r="K90" s="29" cm="1">
        <f t="array" ref="K90">Common_InputFunctions.Utility_DisplayArrayInTable(Common_SourceData.Common_SourceData_ClimateZones_Data(), Table_SourceData_ClimateZones[[#Headers],[Climate zone]], 0)</f>
        <v>999999</v>
      </c>
      <c r="L90" s="29" cm="1">
        <f t="array" ref="L90">Common_InputFunctions.Utility_DisplayArrayInTable(Common_SourceData.Common_SourceData_ClimateZones_Data(), Table_SourceData_ClimateZones[[#Headers],[Climate zone]], 0)</f>
        <v>-999999</v>
      </c>
      <c r="M90" s="29" cm="1">
        <f t="array" ref="M90">Common_InputFunctions.Utility_DisplayArrayInTable(Common_SourceData.Common_SourceData_ClimateZones_Data(), Table_SourceData_ClimateZones[[#Headers],[Climate zone]], 0)</f>
        <v>999999</v>
      </c>
      <c r="N90" s="29" cm="1">
        <f t="array" ref="N90">Common_InputFunctions.Utility_DisplayArrayInTable(Common_SourceData.Common_SourceData_ClimateZones_Data(), Table_SourceData_ClimateZones[[#Headers],[Climate zone]], 0)</f>
        <v>-999999</v>
      </c>
      <c r="O90" s="29" cm="1">
        <f t="array" ref="O90">Common_InputFunctions.Utility_DisplayArrayInTable(Common_SourceData.Common_SourceData_ClimateZones_Data(), Table_SourceData_ClimateZones[[#Headers],[Climate zone]], 0)</f>
        <v>7</v>
      </c>
      <c r="P90" s="29" cm="1">
        <f t="array" ref="P90">Common_InputFunctions.Utility_DisplayArrayInTable(Common_SourceData.Common_SourceData_ClimateZones_Data(), Table_SourceData_ClimateZones[[#Headers],[Climate zone]], 0)</f>
        <v>1000</v>
      </c>
      <c r="Q90" s="29" cm="1">
        <f t="array" ref="Q90">Common_InputFunctions.Utility_DisplayArrayInTable(Common_SourceData.Common_SourceData_ClimateZones_Data(), Table_SourceData_ClimateZones[[#Headers],[Climate zone]], 0)</f>
        <v>999999</v>
      </c>
      <c r="R90" s="29" cm="1">
        <f t="array" ref="R90">Common_InputFunctions.Utility_DisplayArrayInTable(Common_SourceData.Common_SourceData_ClimateZones_Data(), Table_SourceData_ClimateZones[[#Headers],[Climate zone]], 0)</f>
        <v>-999999</v>
      </c>
      <c r="S90" s="29" cm="1">
        <f t="array" ref="S90">Common_InputFunctions.Utility_DisplayArrayInTable(Common_SourceData.Common_SourceData_ClimateZones_Data(), Table_SourceData_ClimateZones[[#Headers],[Climate zone]], 0)</f>
        <v>999999</v>
      </c>
      <c r="T90" s="29"/>
    </row>
    <row r="91" spans="1:20" ht="20.100000000000001" customHeight="1" x14ac:dyDescent="0.25">
      <c r="A91"/>
      <c r="D91" s="29" t="str" cm="1">
        <f t="array" ref="D91">Common_InputFunctions.Utility_DisplayArrayInTable(Common_SourceData.Common_SourceData_ClimateZones_Data(), Table_SourceData_ClimateZones[[#Headers],[Climate zone]], 0)</f>
        <v>Tropical wet</v>
      </c>
      <c r="E91" s="29" t="str" cm="1">
        <f t="array" ref="E91">Common_InputFunctions.Utility_DisplayArrayInTable(Common_SourceData.Common_SourceData_ClimateZones_Data(), Table_SourceData_ClimateZones[[#Headers],[Climate zone]], 0)</f>
        <v>&gt; 18 C</v>
      </c>
      <c r="F91" s="29" t="str" cm="1">
        <f t="array" ref="F91">Common_InputFunctions.Utility_DisplayArrayInTable(Common_SourceData.Common_SourceData_ClimateZones_Data(), Table_SourceData_ClimateZones[[#Headers],[Climate zone]], 0)</f>
        <v>&gt; 2000 mm</v>
      </c>
      <c r="G91" s="29" t="str" cm="1">
        <f t="array" ref="G91">Common_InputFunctions.Utility_DisplayArrayInTable(Common_SourceData.Common_SourceData_ClimateZones_Data(), Table_SourceData_ClimateZones[[#Headers],[Climate zone]], 0)</f>
        <v>≤ 7</v>
      </c>
      <c r="H91" s="29" t="str" cm="1">
        <f t="array" ref="H91">Common_InputFunctions.Utility_DisplayArrayInTable(Common_SourceData.Common_SourceData_ClimateZones_Data(), Table_SourceData_ClimateZones[[#Headers],[Climate zone]], 0)</f>
        <v>≤ 1000 m</v>
      </c>
      <c r="I91" s="29" t="str" cm="1">
        <f t="array" ref="I91">Common_InputFunctions.Utility_DisplayArrayInTable(Common_SourceData.Common_SourceData_ClimateZones_Data(), Table_SourceData_ClimateZones[[#Headers],[Climate zone]], 0)</f>
        <v>Any</v>
      </c>
      <c r="J91" s="29" cm="1">
        <f t="array" ref="J91">Common_InputFunctions.Utility_DisplayArrayInTable(Common_SourceData.Common_SourceData_ClimateZones_Data(), Table_SourceData_ClimateZones[[#Headers],[Climate zone]], 0)</f>
        <v>18.001000000000001</v>
      </c>
      <c r="K91" s="29" cm="1">
        <f t="array" ref="K91">Common_InputFunctions.Utility_DisplayArrayInTable(Common_SourceData.Common_SourceData_ClimateZones_Data(), Table_SourceData_ClimateZones[[#Headers],[Climate zone]], 0)</f>
        <v>999999</v>
      </c>
      <c r="L91" s="29" cm="1">
        <f t="array" ref="L91">Common_InputFunctions.Utility_DisplayArrayInTable(Common_SourceData.Common_SourceData_ClimateZones_Data(), Table_SourceData_ClimateZones[[#Headers],[Climate zone]], 0)</f>
        <v>2000.001</v>
      </c>
      <c r="M91" s="29" cm="1">
        <f t="array" ref="M91">Common_InputFunctions.Utility_DisplayArrayInTable(Common_SourceData.Common_SourceData_ClimateZones_Data(), Table_SourceData_ClimateZones[[#Headers],[Climate zone]], 0)</f>
        <v>999999</v>
      </c>
      <c r="N91" s="29" cm="1">
        <f t="array" ref="N91">Common_InputFunctions.Utility_DisplayArrayInTable(Common_SourceData.Common_SourceData_ClimateZones_Data(), Table_SourceData_ClimateZones[[#Headers],[Climate zone]], 0)</f>
        <v>-999999</v>
      </c>
      <c r="O91" s="29" cm="1">
        <f t="array" ref="O91">Common_InputFunctions.Utility_DisplayArrayInTable(Common_SourceData.Common_SourceData_ClimateZones_Data(), Table_SourceData_ClimateZones[[#Headers],[Climate zone]], 0)</f>
        <v>7</v>
      </c>
      <c r="P91" s="29" cm="1">
        <f t="array" ref="P91">Common_InputFunctions.Utility_DisplayArrayInTable(Common_SourceData.Common_SourceData_ClimateZones_Data(), Table_SourceData_ClimateZones[[#Headers],[Climate zone]], 0)</f>
        <v>-999999</v>
      </c>
      <c r="Q91" s="29" cm="1">
        <f t="array" ref="Q91">Common_InputFunctions.Utility_DisplayArrayInTable(Common_SourceData.Common_SourceData_ClimateZones_Data(), Table_SourceData_ClimateZones[[#Headers],[Climate zone]], 0)</f>
        <v>999.99900000000002</v>
      </c>
      <c r="R91" s="29" cm="1">
        <f t="array" ref="R91">Common_InputFunctions.Utility_DisplayArrayInTable(Common_SourceData.Common_SourceData_ClimateZones_Data(), Table_SourceData_ClimateZones[[#Headers],[Climate zone]], 0)</f>
        <v>-999999</v>
      </c>
      <c r="S91" s="29" cm="1">
        <f t="array" ref="S91">Common_InputFunctions.Utility_DisplayArrayInTable(Common_SourceData.Common_SourceData_ClimateZones_Data(), Table_SourceData_ClimateZones[[#Headers],[Climate zone]], 0)</f>
        <v>999999</v>
      </c>
      <c r="T91" s="29"/>
    </row>
    <row r="92" spans="1:20" ht="20.100000000000001" customHeight="1" x14ac:dyDescent="0.25">
      <c r="A92"/>
      <c r="D92" s="29" t="str" cm="1">
        <f t="array" ref="D92">Common_InputFunctions.Utility_DisplayArrayInTable(Common_SourceData.Common_SourceData_ClimateZones_Data(), Table_SourceData_ClimateZones[[#Headers],[Climate zone]], 0)</f>
        <v>Tropical moist</v>
      </c>
      <c r="E92" s="29" t="str" cm="1">
        <f t="array" ref="E92">Common_InputFunctions.Utility_DisplayArrayInTable(Common_SourceData.Common_SourceData_ClimateZones_Data(), Table_SourceData_ClimateZones[[#Headers],[Climate zone]], 0)</f>
        <v>&gt; 18 C</v>
      </c>
      <c r="F92" s="29" t="str" cm="1">
        <f t="array" ref="F92">Common_InputFunctions.Utility_DisplayArrayInTable(Common_SourceData.Common_SourceData_ClimateZones_Data(), Table_SourceData_ClimateZones[[#Headers],[Climate zone]], 0)</f>
        <v>&gt; 1000 mm - ≤ 2000 mm</v>
      </c>
      <c r="G92" s="29" t="str" cm="1">
        <f t="array" ref="G92">Common_InputFunctions.Utility_DisplayArrayInTable(Common_SourceData.Common_SourceData_ClimateZones_Data(), Table_SourceData_ClimateZones[[#Headers],[Climate zone]], 0)</f>
        <v>≤ 7</v>
      </c>
      <c r="H92" s="29" t="str" cm="1">
        <f t="array" ref="H92">Common_InputFunctions.Utility_DisplayArrayInTable(Common_SourceData.Common_SourceData_ClimateZones_Data(), Table_SourceData_ClimateZones[[#Headers],[Climate zone]], 0)</f>
        <v>≤ 1000 m</v>
      </c>
      <c r="I92" s="29" t="str" cm="1">
        <f t="array" ref="I92">Common_InputFunctions.Utility_DisplayArrayInTable(Common_SourceData.Common_SourceData_ClimateZones_Data(), Table_SourceData_ClimateZones[[#Headers],[Climate zone]], 0)</f>
        <v>Any</v>
      </c>
      <c r="J92" s="29" cm="1">
        <f t="array" ref="J92">Common_InputFunctions.Utility_DisplayArrayInTable(Common_SourceData.Common_SourceData_ClimateZones_Data(), Table_SourceData_ClimateZones[[#Headers],[Climate zone]], 0)</f>
        <v>18.001000000000001</v>
      </c>
      <c r="K92" s="29" cm="1">
        <f t="array" ref="K92">Common_InputFunctions.Utility_DisplayArrayInTable(Common_SourceData.Common_SourceData_ClimateZones_Data(), Table_SourceData_ClimateZones[[#Headers],[Climate zone]], 0)</f>
        <v>999999</v>
      </c>
      <c r="L92" s="29" cm="1">
        <f t="array" ref="L92">Common_InputFunctions.Utility_DisplayArrayInTable(Common_SourceData.Common_SourceData_ClimateZones_Data(), Table_SourceData_ClimateZones[[#Headers],[Climate zone]], 0)</f>
        <v>1000.001</v>
      </c>
      <c r="M92" s="29" cm="1">
        <f t="array" ref="M92">Common_InputFunctions.Utility_DisplayArrayInTable(Common_SourceData.Common_SourceData_ClimateZones_Data(), Table_SourceData_ClimateZones[[#Headers],[Climate zone]], 0)</f>
        <v>2000</v>
      </c>
      <c r="N92" s="29" cm="1">
        <f t="array" ref="N92">Common_InputFunctions.Utility_DisplayArrayInTable(Common_SourceData.Common_SourceData_ClimateZones_Data(), Table_SourceData_ClimateZones[[#Headers],[Climate zone]], 0)</f>
        <v>-999999</v>
      </c>
      <c r="O92" s="29" cm="1">
        <f t="array" ref="O92">Common_InputFunctions.Utility_DisplayArrayInTable(Common_SourceData.Common_SourceData_ClimateZones_Data(), Table_SourceData_ClimateZones[[#Headers],[Climate zone]], 0)</f>
        <v>7</v>
      </c>
      <c r="P92" s="29" cm="1">
        <f t="array" ref="P92">Common_InputFunctions.Utility_DisplayArrayInTable(Common_SourceData.Common_SourceData_ClimateZones_Data(), Table_SourceData_ClimateZones[[#Headers],[Climate zone]], 0)</f>
        <v>-999999</v>
      </c>
      <c r="Q92" s="29" cm="1">
        <f t="array" ref="Q92">Common_InputFunctions.Utility_DisplayArrayInTable(Common_SourceData.Common_SourceData_ClimateZones_Data(), Table_SourceData_ClimateZones[[#Headers],[Climate zone]], 0)</f>
        <v>999.99900000000002</v>
      </c>
      <c r="R92" s="29" cm="1">
        <f t="array" ref="R92">Common_InputFunctions.Utility_DisplayArrayInTable(Common_SourceData.Common_SourceData_ClimateZones_Data(), Table_SourceData_ClimateZones[[#Headers],[Climate zone]], 0)</f>
        <v>-999999</v>
      </c>
      <c r="S92" s="29" cm="1">
        <f t="array" ref="S92">Common_InputFunctions.Utility_DisplayArrayInTable(Common_SourceData.Common_SourceData_ClimateZones_Data(), Table_SourceData_ClimateZones[[#Headers],[Climate zone]], 0)</f>
        <v>999999</v>
      </c>
      <c r="T92" s="29"/>
    </row>
    <row r="93" spans="1:20" ht="20.100000000000001" customHeight="1" x14ac:dyDescent="0.25">
      <c r="A93"/>
      <c r="D93" s="29" t="str" cm="1">
        <f t="array" ref="D93">Common_InputFunctions.Utility_DisplayArrayInTable(Common_SourceData.Common_SourceData_ClimateZones_Data(), Table_SourceData_ClimateZones[[#Headers],[Climate zone]], 0)</f>
        <v>Tropical dry</v>
      </c>
      <c r="E93" s="29" t="str" cm="1">
        <f t="array" ref="E93">Common_InputFunctions.Utility_DisplayArrayInTable(Common_SourceData.Common_SourceData_ClimateZones_Data(), Table_SourceData_ClimateZones[[#Headers],[Climate zone]], 0)</f>
        <v>&gt; 18 C</v>
      </c>
      <c r="F93" s="29" t="str" cm="1">
        <f t="array" ref="F93">Common_InputFunctions.Utility_DisplayArrayInTable(Common_SourceData.Common_SourceData_ClimateZones_Data(), Table_SourceData_ClimateZones[[#Headers],[Climate zone]], 0)</f>
        <v>≤ 1000 mm</v>
      </c>
      <c r="G93" s="29" t="str" cm="1">
        <f t="array" ref="G93">Common_InputFunctions.Utility_DisplayArrayInTable(Common_SourceData.Common_SourceData_ClimateZones_Data(), Table_SourceData_ClimateZones[[#Headers],[Climate zone]], 0)</f>
        <v>≤ 7</v>
      </c>
      <c r="H93" s="29" t="str" cm="1">
        <f t="array" ref="H93">Common_InputFunctions.Utility_DisplayArrayInTable(Common_SourceData.Common_SourceData_ClimateZones_Data(), Table_SourceData_ClimateZones[[#Headers],[Climate zone]], 0)</f>
        <v>≤ 1000 m</v>
      </c>
      <c r="I93" s="29" t="str" cm="1">
        <f t="array" ref="I93">Common_InputFunctions.Utility_DisplayArrayInTable(Common_SourceData.Common_SourceData_ClimateZones_Data(), Table_SourceData_ClimateZones[[#Headers],[Climate zone]], 0)</f>
        <v>Any</v>
      </c>
      <c r="J93" s="29" cm="1">
        <f t="array" ref="J93">Common_InputFunctions.Utility_DisplayArrayInTable(Common_SourceData.Common_SourceData_ClimateZones_Data(), Table_SourceData_ClimateZones[[#Headers],[Climate zone]], 0)</f>
        <v>18.001000000000001</v>
      </c>
      <c r="K93" s="29" cm="1">
        <f t="array" ref="K93">Common_InputFunctions.Utility_DisplayArrayInTable(Common_SourceData.Common_SourceData_ClimateZones_Data(), Table_SourceData_ClimateZones[[#Headers],[Climate zone]], 0)</f>
        <v>999999</v>
      </c>
      <c r="L93" s="29" cm="1">
        <f t="array" ref="L93">Common_InputFunctions.Utility_DisplayArrayInTable(Common_SourceData.Common_SourceData_ClimateZones_Data(), Table_SourceData_ClimateZones[[#Headers],[Climate zone]], 0)</f>
        <v>-999999</v>
      </c>
      <c r="M93" s="29" cm="1">
        <f t="array" ref="M93">Common_InputFunctions.Utility_DisplayArrayInTable(Common_SourceData.Common_SourceData_ClimateZones_Data(), Table_SourceData_ClimateZones[[#Headers],[Climate zone]], 0)</f>
        <v>1000</v>
      </c>
      <c r="N93" s="29" cm="1">
        <f t="array" ref="N93">Common_InputFunctions.Utility_DisplayArrayInTable(Common_SourceData.Common_SourceData_ClimateZones_Data(), Table_SourceData_ClimateZones[[#Headers],[Climate zone]], 0)</f>
        <v>-999999</v>
      </c>
      <c r="O93" s="29" cm="1">
        <f t="array" ref="O93">Common_InputFunctions.Utility_DisplayArrayInTable(Common_SourceData.Common_SourceData_ClimateZones_Data(), Table_SourceData_ClimateZones[[#Headers],[Climate zone]], 0)</f>
        <v>7</v>
      </c>
      <c r="P93" s="29" cm="1">
        <f t="array" ref="P93">Common_InputFunctions.Utility_DisplayArrayInTable(Common_SourceData.Common_SourceData_ClimateZones_Data(), Table_SourceData_ClimateZones[[#Headers],[Climate zone]], 0)</f>
        <v>-999999</v>
      </c>
      <c r="Q93" s="29" cm="1">
        <f t="array" ref="Q93">Common_InputFunctions.Utility_DisplayArrayInTable(Common_SourceData.Common_SourceData_ClimateZones_Data(), Table_SourceData_ClimateZones[[#Headers],[Climate zone]], 0)</f>
        <v>999.99900000000002</v>
      </c>
      <c r="R93" s="29" cm="1">
        <f t="array" ref="R93">Common_InputFunctions.Utility_DisplayArrayInTable(Common_SourceData.Common_SourceData_ClimateZones_Data(), Table_SourceData_ClimateZones[[#Headers],[Climate zone]], 0)</f>
        <v>-999999</v>
      </c>
      <c r="S93" s="29" cm="1">
        <f t="array" ref="S93">Common_InputFunctions.Utility_DisplayArrayInTable(Common_SourceData.Common_SourceData_ClimateZones_Data(), Table_SourceData_ClimateZones[[#Headers],[Climate zone]], 0)</f>
        <v>999999</v>
      </c>
      <c r="T93" s="29"/>
    </row>
    <row r="94" spans="1:20" ht="20.100000000000001" customHeight="1" x14ac:dyDescent="0.25">
      <c r="A94"/>
      <c r="D94" s="29" t="str" cm="1">
        <f t="array" ref="D94">Common_InputFunctions.Utility_DisplayArrayInTable(Common_SourceData.Common_SourceData_ClimateZones_Data(), Table_SourceData_ClimateZones[[#Headers],[Climate zone]], 0)</f>
        <v>Warm temperate moist</v>
      </c>
      <c r="E94" s="29" t="str" cm="1">
        <f t="array" ref="E94">Common_InputFunctions.Utility_DisplayArrayInTable(Common_SourceData.Common_SourceData_ClimateZones_Data(), Table_SourceData_ClimateZones[[#Headers],[Climate zone]], 0)</f>
        <v>&gt; 10 C</v>
      </c>
      <c r="F94" s="29" t="str" cm="1">
        <f t="array" ref="F94">Common_InputFunctions.Utility_DisplayArrayInTable(Common_SourceData.Common_SourceData_ClimateZones_Data(), Table_SourceData_ClimateZones[[#Headers],[Climate zone]], 0)</f>
        <v>Any</v>
      </c>
      <c r="G94" s="29" t="str" cm="1">
        <f t="array" ref="G94">Common_InputFunctions.Utility_DisplayArrayInTable(Common_SourceData.Common_SourceData_ClimateZones_Data(), Table_SourceData_ClimateZones[[#Headers],[Climate zone]], 0)</f>
        <v>Any</v>
      </c>
      <c r="H94" s="29" t="str" cm="1">
        <f t="array" ref="H94">Common_InputFunctions.Utility_DisplayArrayInTable(Common_SourceData.Common_SourceData_ClimateZones_Data(), Table_SourceData_ClimateZones[[#Headers],[Climate zone]], 0)</f>
        <v>Any</v>
      </c>
      <c r="I94" s="29" t="str" cm="1">
        <f t="array" ref="I94">Common_InputFunctions.Utility_DisplayArrayInTable(Common_SourceData.Common_SourceData_ClimateZones_Data(), Table_SourceData_ClimateZones[[#Headers],[Climate zone]], 0)</f>
        <v>&gt; 1</v>
      </c>
      <c r="J94" s="29" cm="1">
        <f t="array" ref="J94">Common_InputFunctions.Utility_DisplayArrayInTable(Common_SourceData.Common_SourceData_ClimateZones_Data(), Table_SourceData_ClimateZones[[#Headers],[Climate zone]], 0)</f>
        <v>10.000999999999999</v>
      </c>
      <c r="K94" s="29" cm="1">
        <f t="array" ref="K94">Common_InputFunctions.Utility_DisplayArrayInTable(Common_SourceData.Common_SourceData_ClimateZones_Data(), Table_SourceData_ClimateZones[[#Headers],[Climate zone]], 0)</f>
        <v>999999</v>
      </c>
      <c r="L94" s="29" cm="1">
        <f t="array" ref="L94">Common_InputFunctions.Utility_DisplayArrayInTable(Common_SourceData.Common_SourceData_ClimateZones_Data(), Table_SourceData_ClimateZones[[#Headers],[Climate zone]], 0)</f>
        <v>-999999</v>
      </c>
      <c r="M94" s="29" cm="1">
        <f t="array" ref="M94">Common_InputFunctions.Utility_DisplayArrayInTable(Common_SourceData.Common_SourceData_ClimateZones_Data(), Table_SourceData_ClimateZones[[#Headers],[Climate zone]], 0)</f>
        <v>999999</v>
      </c>
      <c r="N94" s="29" cm="1">
        <f t="array" ref="N94">Common_InputFunctions.Utility_DisplayArrayInTable(Common_SourceData.Common_SourceData_ClimateZones_Data(), Table_SourceData_ClimateZones[[#Headers],[Climate zone]], 0)</f>
        <v>-999999</v>
      </c>
      <c r="O94" s="29" cm="1">
        <f t="array" ref="O94">Common_InputFunctions.Utility_DisplayArrayInTable(Common_SourceData.Common_SourceData_ClimateZones_Data(), Table_SourceData_ClimateZones[[#Headers],[Climate zone]], 0)</f>
        <v>999999</v>
      </c>
      <c r="P94" s="29" cm="1">
        <f t="array" ref="P94">Common_InputFunctions.Utility_DisplayArrayInTable(Common_SourceData.Common_SourceData_ClimateZones_Data(), Table_SourceData_ClimateZones[[#Headers],[Climate zone]], 0)</f>
        <v>-999999</v>
      </c>
      <c r="Q94" s="29" cm="1">
        <f t="array" ref="Q94">Common_InputFunctions.Utility_DisplayArrayInTable(Common_SourceData.Common_SourceData_ClimateZones_Data(), Table_SourceData_ClimateZones[[#Headers],[Climate zone]], 0)</f>
        <v>999999</v>
      </c>
      <c r="R94" s="29" cm="1">
        <f t="array" ref="R94">Common_InputFunctions.Utility_DisplayArrayInTable(Common_SourceData.Common_SourceData_ClimateZones_Data(), Table_SourceData_ClimateZones[[#Headers],[Climate zone]], 0)</f>
        <v>1.0009999999999999</v>
      </c>
      <c r="S94" s="29" cm="1">
        <f t="array" ref="S94">Common_InputFunctions.Utility_DisplayArrayInTable(Common_SourceData.Common_SourceData_ClimateZones_Data(), Table_SourceData_ClimateZones[[#Headers],[Climate zone]], 0)</f>
        <v>999999</v>
      </c>
      <c r="T94" s="29"/>
    </row>
    <row r="95" spans="1:20" ht="20.100000000000001" customHeight="1" x14ac:dyDescent="0.25">
      <c r="A95"/>
      <c r="D95" s="29" t="str" cm="1">
        <f t="array" ref="D95">Common_InputFunctions.Utility_DisplayArrayInTable(Common_SourceData.Common_SourceData_ClimateZones_Data(), Table_SourceData_ClimateZones[[#Headers],[Climate zone]], 0)</f>
        <v>Warm temperate dry</v>
      </c>
      <c r="E95" s="29" t="str" cm="1">
        <f t="array" ref="E95">Common_InputFunctions.Utility_DisplayArrayInTable(Common_SourceData.Common_SourceData_ClimateZones_Data(), Table_SourceData_ClimateZones[[#Headers],[Climate zone]], 0)</f>
        <v>&gt; 10 C</v>
      </c>
      <c r="F95" s="29" t="str" cm="1">
        <f t="array" ref="F95">Common_InputFunctions.Utility_DisplayArrayInTable(Common_SourceData.Common_SourceData_ClimateZones_Data(), Table_SourceData_ClimateZones[[#Headers],[Climate zone]], 0)</f>
        <v>Any</v>
      </c>
      <c r="G95" s="29" t="str" cm="1">
        <f t="array" ref="G95">Common_InputFunctions.Utility_DisplayArrayInTable(Common_SourceData.Common_SourceData_ClimateZones_Data(), Table_SourceData_ClimateZones[[#Headers],[Climate zone]], 0)</f>
        <v>Any</v>
      </c>
      <c r="H95" s="29" t="str" cm="1">
        <f t="array" ref="H95">Common_InputFunctions.Utility_DisplayArrayInTable(Common_SourceData.Common_SourceData_ClimateZones_Data(), Table_SourceData_ClimateZones[[#Headers],[Climate zone]], 0)</f>
        <v>Any</v>
      </c>
      <c r="I95" s="29" t="str" cm="1">
        <f t="array" ref="I95">Common_InputFunctions.Utility_DisplayArrayInTable(Common_SourceData.Common_SourceData_ClimateZones_Data(), Table_SourceData_ClimateZones[[#Headers],[Climate zone]], 0)</f>
        <v>≤ 1</v>
      </c>
      <c r="J95" s="29" cm="1">
        <f t="array" ref="J95">Common_InputFunctions.Utility_DisplayArrayInTable(Common_SourceData.Common_SourceData_ClimateZones_Data(), Table_SourceData_ClimateZones[[#Headers],[Climate zone]], 0)</f>
        <v>10.000999999999999</v>
      </c>
      <c r="K95" s="29" cm="1">
        <f t="array" ref="K95">Common_InputFunctions.Utility_DisplayArrayInTable(Common_SourceData.Common_SourceData_ClimateZones_Data(), Table_SourceData_ClimateZones[[#Headers],[Climate zone]], 0)</f>
        <v>999999</v>
      </c>
      <c r="L95" s="29" cm="1">
        <f t="array" ref="L95">Common_InputFunctions.Utility_DisplayArrayInTable(Common_SourceData.Common_SourceData_ClimateZones_Data(), Table_SourceData_ClimateZones[[#Headers],[Climate zone]], 0)</f>
        <v>-999999</v>
      </c>
      <c r="M95" s="29" cm="1">
        <f t="array" ref="M95">Common_InputFunctions.Utility_DisplayArrayInTable(Common_SourceData.Common_SourceData_ClimateZones_Data(), Table_SourceData_ClimateZones[[#Headers],[Climate zone]], 0)</f>
        <v>999999</v>
      </c>
      <c r="N95" s="29" cm="1">
        <f t="array" ref="N95">Common_InputFunctions.Utility_DisplayArrayInTable(Common_SourceData.Common_SourceData_ClimateZones_Data(), Table_SourceData_ClimateZones[[#Headers],[Climate zone]], 0)</f>
        <v>-999999</v>
      </c>
      <c r="O95" s="29" cm="1">
        <f t="array" ref="O95">Common_InputFunctions.Utility_DisplayArrayInTable(Common_SourceData.Common_SourceData_ClimateZones_Data(), Table_SourceData_ClimateZones[[#Headers],[Climate zone]], 0)</f>
        <v>999999</v>
      </c>
      <c r="P95" s="29" cm="1">
        <f t="array" ref="P95">Common_InputFunctions.Utility_DisplayArrayInTable(Common_SourceData.Common_SourceData_ClimateZones_Data(), Table_SourceData_ClimateZones[[#Headers],[Climate zone]], 0)</f>
        <v>-999999</v>
      </c>
      <c r="Q95" s="29" cm="1">
        <f t="array" ref="Q95">Common_InputFunctions.Utility_DisplayArrayInTable(Common_SourceData.Common_SourceData_ClimateZones_Data(), Table_SourceData_ClimateZones[[#Headers],[Climate zone]], 0)</f>
        <v>999999</v>
      </c>
      <c r="R95" s="29" cm="1">
        <f t="array" ref="R95">Common_InputFunctions.Utility_DisplayArrayInTable(Common_SourceData.Common_SourceData_ClimateZones_Data(), Table_SourceData_ClimateZones[[#Headers],[Climate zone]], 0)</f>
        <v>-999999</v>
      </c>
      <c r="S95" s="29" cm="1">
        <f t="array" ref="S95">Common_InputFunctions.Utility_DisplayArrayInTable(Common_SourceData.Common_SourceData_ClimateZones_Data(), Table_SourceData_ClimateZones[[#Headers],[Climate zone]], 0)</f>
        <v>1</v>
      </c>
      <c r="T95" s="29"/>
    </row>
    <row r="96" spans="1:20" ht="20.100000000000001" customHeight="1" x14ac:dyDescent="0.25">
      <c r="A96"/>
      <c r="D96" s="29" t="str" cm="1">
        <f t="array" ref="D96">Common_InputFunctions.Utility_DisplayArrayInTable(Common_SourceData.Common_SourceData_ClimateZones_Data(), Table_SourceData_ClimateZones[[#Headers],[Climate zone]], 0)</f>
        <v>Cool temperate moist</v>
      </c>
      <c r="E96" s="29" t="str" cm="1">
        <f t="array" ref="E96">Common_InputFunctions.Utility_DisplayArrayInTable(Common_SourceData.Common_SourceData_ClimateZones_Data(), Table_SourceData_ClimateZones[[#Headers],[Climate zone]], 0)</f>
        <v>&gt; 0 C - ≤ 10 C</v>
      </c>
      <c r="F96" s="29" t="str" cm="1">
        <f t="array" ref="F96">Common_InputFunctions.Utility_DisplayArrayInTable(Common_SourceData.Common_SourceData_ClimateZones_Data(), Table_SourceData_ClimateZones[[#Headers],[Climate zone]], 0)</f>
        <v>Any</v>
      </c>
      <c r="G96" s="29" t="str" cm="1">
        <f t="array" ref="G96">Common_InputFunctions.Utility_DisplayArrayInTable(Common_SourceData.Common_SourceData_ClimateZones_Data(), Table_SourceData_ClimateZones[[#Headers],[Climate zone]], 0)</f>
        <v>Any</v>
      </c>
      <c r="H96" s="29" t="str" cm="1">
        <f t="array" ref="H96">Common_InputFunctions.Utility_DisplayArrayInTable(Common_SourceData.Common_SourceData_ClimateZones_Data(), Table_SourceData_ClimateZones[[#Headers],[Climate zone]], 0)</f>
        <v>Any</v>
      </c>
      <c r="I96" s="29" t="str" cm="1">
        <f t="array" ref="I96">Common_InputFunctions.Utility_DisplayArrayInTable(Common_SourceData.Common_SourceData_ClimateZones_Data(), Table_SourceData_ClimateZones[[#Headers],[Climate zone]], 0)</f>
        <v>&gt; 1</v>
      </c>
      <c r="J96" s="29" cm="1">
        <f t="array" ref="J96">Common_InputFunctions.Utility_DisplayArrayInTable(Common_SourceData.Common_SourceData_ClimateZones_Data(), Table_SourceData_ClimateZones[[#Headers],[Climate zone]], 0)</f>
        <v>-999999</v>
      </c>
      <c r="K96" s="29" cm="1">
        <f t="array" ref="K96">Common_InputFunctions.Utility_DisplayArrayInTable(Common_SourceData.Common_SourceData_ClimateZones_Data(), Table_SourceData_ClimateZones[[#Headers],[Climate zone]], 0)</f>
        <v>10</v>
      </c>
      <c r="L96" s="29" cm="1">
        <f t="array" ref="L96">Common_InputFunctions.Utility_DisplayArrayInTable(Common_SourceData.Common_SourceData_ClimateZones_Data(), Table_SourceData_ClimateZones[[#Headers],[Climate zone]], 0)</f>
        <v>-999999</v>
      </c>
      <c r="M96" s="29" cm="1">
        <f t="array" ref="M96">Common_InputFunctions.Utility_DisplayArrayInTable(Common_SourceData.Common_SourceData_ClimateZones_Data(), Table_SourceData_ClimateZones[[#Headers],[Climate zone]], 0)</f>
        <v>999999</v>
      </c>
      <c r="N96" s="29" cm="1">
        <f t="array" ref="N96">Common_InputFunctions.Utility_DisplayArrayInTable(Common_SourceData.Common_SourceData_ClimateZones_Data(), Table_SourceData_ClimateZones[[#Headers],[Climate zone]], 0)</f>
        <v>-999999</v>
      </c>
      <c r="O96" s="29" cm="1">
        <f t="array" ref="O96">Common_InputFunctions.Utility_DisplayArrayInTable(Common_SourceData.Common_SourceData_ClimateZones_Data(), Table_SourceData_ClimateZones[[#Headers],[Climate zone]], 0)</f>
        <v>999999</v>
      </c>
      <c r="P96" s="29" cm="1">
        <f t="array" ref="P96">Common_InputFunctions.Utility_DisplayArrayInTable(Common_SourceData.Common_SourceData_ClimateZones_Data(), Table_SourceData_ClimateZones[[#Headers],[Climate zone]], 0)</f>
        <v>-999999</v>
      </c>
      <c r="Q96" s="29" cm="1">
        <f t="array" ref="Q96">Common_InputFunctions.Utility_DisplayArrayInTable(Common_SourceData.Common_SourceData_ClimateZones_Data(), Table_SourceData_ClimateZones[[#Headers],[Climate zone]], 0)</f>
        <v>999999</v>
      </c>
      <c r="R96" s="29" cm="1">
        <f t="array" ref="R96">Common_InputFunctions.Utility_DisplayArrayInTable(Common_SourceData.Common_SourceData_ClimateZones_Data(), Table_SourceData_ClimateZones[[#Headers],[Climate zone]], 0)</f>
        <v>1.0009999999999999</v>
      </c>
      <c r="S96" s="29" cm="1">
        <f t="array" ref="S96">Common_InputFunctions.Utility_DisplayArrayInTable(Common_SourceData.Common_SourceData_ClimateZones_Data(), Table_SourceData_ClimateZones[[#Headers],[Climate zone]], 0)</f>
        <v>999999</v>
      </c>
      <c r="T96" s="29"/>
    </row>
    <row r="97" spans="1:20" ht="20.100000000000001" customHeight="1" x14ac:dyDescent="0.25">
      <c r="A97"/>
      <c r="D97" s="29" t="str" cm="1">
        <f t="array" ref="D97">Common_InputFunctions.Utility_DisplayArrayInTable(Common_SourceData.Common_SourceData_ClimateZones_Data(), Table_SourceData_ClimateZones[[#Headers],[Climate zone]], 0)</f>
        <v>Cool temperate dry</v>
      </c>
      <c r="E97" s="29" t="str" cm="1">
        <f t="array" ref="E97">Common_InputFunctions.Utility_DisplayArrayInTable(Common_SourceData.Common_SourceData_ClimateZones_Data(), Table_SourceData_ClimateZones[[#Headers],[Climate zone]], 0)</f>
        <v>&gt; 0 C - ≤ 10 C</v>
      </c>
      <c r="F97" s="29" t="str" cm="1">
        <f t="array" ref="F97">Common_InputFunctions.Utility_DisplayArrayInTable(Common_SourceData.Common_SourceData_ClimateZones_Data(), Table_SourceData_ClimateZones[[#Headers],[Climate zone]], 0)</f>
        <v>Any</v>
      </c>
      <c r="G97" s="29" t="str" cm="1">
        <f t="array" ref="G97">Common_InputFunctions.Utility_DisplayArrayInTable(Common_SourceData.Common_SourceData_ClimateZones_Data(), Table_SourceData_ClimateZones[[#Headers],[Climate zone]], 0)</f>
        <v>Any</v>
      </c>
      <c r="H97" s="29" t="str" cm="1">
        <f t="array" ref="H97">Common_InputFunctions.Utility_DisplayArrayInTable(Common_SourceData.Common_SourceData_ClimateZones_Data(), Table_SourceData_ClimateZones[[#Headers],[Climate zone]], 0)</f>
        <v>Any</v>
      </c>
      <c r="I97" s="29" t="str" cm="1">
        <f t="array" ref="I97">Common_InputFunctions.Utility_DisplayArrayInTable(Common_SourceData.Common_SourceData_ClimateZones_Data(), Table_SourceData_ClimateZones[[#Headers],[Climate zone]], 0)</f>
        <v>≤ 1</v>
      </c>
      <c r="J97" s="29" cm="1">
        <f t="array" ref="J97">Common_InputFunctions.Utility_DisplayArrayInTable(Common_SourceData.Common_SourceData_ClimateZones_Data(), Table_SourceData_ClimateZones[[#Headers],[Climate zone]], 0)</f>
        <v>-999999</v>
      </c>
      <c r="K97" s="29" cm="1">
        <f t="array" ref="K97">Common_InputFunctions.Utility_DisplayArrayInTable(Common_SourceData.Common_SourceData_ClimateZones_Data(), Table_SourceData_ClimateZones[[#Headers],[Climate zone]], 0)</f>
        <v>10</v>
      </c>
      <c r="L97" s="29" cm="1">
        <f t="array" ref="L97">Common_InputFunctions.Utility_DisplayArrayInTable(Common_SourceData.Common_SourceData_ClimateZones_Data(), Table_SourceData_ClimateZones[[#Headers],[Climate zone]], 0)</f>
        <v>-999999</v>
      </c>
      <c r="M97" s="29" cm="1">
        <f t="array" ref="M97">Common_InputFunctions.Utility_DisplayArrayInTable(Common_SourceData.Common_SourceData_ClimateZones_Data(), Table_SourceData_ClimateZones[[#Headers],[Climate zone]], 0)</f>
        <v>999999</v>
      </c>
      <c r="N97" s="29" cm="1">
        <f t="array" ref="N97">Common_InputFunctions.Utility_DisplayArrayInTable(Common_SourceData.Common_SourceData_ClimateZones_Data(), Table_SourceData_ClimateZones[[#Headers],[Climate zone]], 0)</f>
        <v>-999999</v>
      </c>
      <c r="O97" s="29" cm="1">
        <f t="array" ref="O97">Common_InputFunctions.Utility_DisplayArrayInTable(Common_SourceData.Common_SourceData_ClimateZones_Data(), Table_SourceData_ClimateZones[[#Headers],[Climate zone]], 0)</f>
        <v>999999</v>
      </c>
      <c r="P97" s="29" cm="1">
        <f t="array" ref="P97">Common_InputFunctions.Utility_DisplayArrayInTable(Common_SourceData.Common_SourceData_ClimateZones_Data(), Table_SourceData_ClimateZones[[#Headers],[Climate zone]], 0)</f>
        <v>-999999</v>
      </c>
      <c r="Q97" s="29" cm="1">
        <f t="array" ref="Q97">Common_InputFunctions.Utility_DisplayArrayInTable(Common_SourceData.Common_SourceData_ClimateZones_Data(), Table_SourceData_ClimateZones[[#Headers],[Climate zone]], 0)</f>
        <v>999999</v>
      </c>
      <c r="R97" s="29" cm="1">
        <f t="array" ref="R97">Common_InputFunctions.Utility_DisplayArrayInTable(Common_SourceData.Common_SourceData_ClimateZones_Data(), Table_SourceData_ClimateZones[[#Headers],[Climate zone]], 0)</f>
        <v>-999999</v>
      </c>
      <c r="S97" s="29" cm="1">
        <f t="array" ref="S97">Common_InputFunctions.Utility_DisplayArrayInTable(Common_SourceData.Common_SourceData_ClimateZones_Data(), Table_SourceData_ClimateZones[[#Headers],[Climate zone]], 0)</f>
        <v>1</v>
      </c>
      <c r="T97" s="29"/>
    </row>
    <row r="98" spans="1:20" ht="20.100000000000001" customHeight="1" x14ac:dyDescent="0.25">
      <c r="A98"/>
    </row>
    <row r="99" spans="1:20" ht="20.100000000000001" customHeight="1" x14ac:dyDescent="0.25">
      <c r="A99"/>
      <c r="D99" s="15" t="str" cm="1">
        <f t="array" ref="D99:D102">Common_SourceData.Common_SourceData_ClimateZones_Appendices()</f>
        <v>Note:</v>
      </c>
    </row>
    <row r="100" spans="1:20" ht="20.100000000000001" customHeight="1" x14ac:dyDescent="0.25">
      <c r="A100"/>
      <c r="D100" s="15" t="str">
        <v>MAT = mean annual temperature</v>
      </c>
    </row>
    <row r="101" spans="1:20" ht="20.100000000000001" customHeight="1" x14ac:dyDescent="0.25">
      <c r="A101"/>
      <c r="D101" s="15" t="str">
        <v>MAP = mean annual precipitation</v>
      </c>
    </row>
    <row r="102" spans="1:20" ht="20.100000000000001" customHeight="1" x14ac:dyDescent="0.25">
      <c r="A102"/>
      <c r="D102" s="15" t="str">
        <v>PET = potential evapotranspiration</v>
      </c>
    </row>
    <row r="103" spans="1:20" ht="20.100000000000001" customHeight="1" x14ac:dyDescent="0.25">
      <c r="A103"/>
      <c r="D103" s="15"/>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27" t="str" cm="1">
        <f t="array" ref="D106">Common_SourceData.Common_SourceData_TemperatureZones_Source()</f>
        <v>VEERG 2026: Table 1.3: Climate and Rainfall zone classifications and definitions</v>
      </c>
    </row>
    <row r="107" spans="1:20" ht="20.100000000000001" customHeight="1" x14ac:dyDescent="0.25">
      <c r="A107"/>
      <c r="D107" s="3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9" t="s">
        <v>49</v>
      </c>
      <c r="E109" s="29" t="s">
        <v>34</v>
      </c>
      <c r="F109" s="29" t="s">
        <v>50</v>
      </c>
      <c r="G109" s="29" t="s">
        <v>51</v>
      </c>
    </row>
    <row r="110" spans="1:20" ht="20.100000000000001" customHeight="1" x14ac:dyDescent="0.25">
      <c r="A110"/>
      <c r="D110" s="29" t="str" cm="1">
        <f t="array" ref="D110">Common_InputFunctions.Utility_DisplayArrayInTable(Common_SourceData.Common_SourceData_TemperatureZones_Data(),Table_SourceData_TemperatureZones[[#Headers],[Temperature Zone]],0)</f>
        <v>Warm</v>
      </c>
      <c r="E110" s="29" t="str" cm="1">
        <f t="array" ref="E110">Common_InputFunctions.Utility_DisplayArrayInTable(Common_SourceData.Common_SourceData_TemperatureZones_Data(),Table_SourceData_TemperatureZones[[#Headers],[Temperature Zone]],0)</f>
        <v>≥ 26 C</v>
      </c>
      <c r="F110" s="29" cm="1">
        <f t="array" ref="F110">Common_InputFunctions.Utility_DisplayArrayInTable(Common_SourceData.Common_SourceData_TemperatureZones_Data(),Table_SourceData_TemperatureZones[[#Headers],[Temperature Zone]],0)</f>
        <v>26</v>
      </c>
      <c r="G110" s="29"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9" t="str" cm="1">
        <f t="array" ref="D111">Common_InputFunctions.Utility_DisplayArrayInTable(Common_SourceData.Common_SourceData_TemperatureZones_Data(),Table_SourceData_TemperatureZones[[#Headers],[Temperature Zone]],0)</f>
        <v>Temperate</v>
      </c>
      <c r="E111" s="29" t="str" cm="1">
        <f t="array" ref="E111">Common_InputFunctions.Utility_DisplayArrayInTable(Common_SourceData.Common_SourceData_TemperatureZones_Data(),Table_SourceData_TemperatureZones[[#Headers],[Temperature Zone]],0)</f>
        <v>15 - 25 C</v>
      </c>
      <c r="F111" s="29" cm="1">
        <f t="array" ref="F111">Common_InputFunctions.Utility_DisplayArrayInTable(Common_SourceData.Common_SourceData_TemperatureZones_Data(),Table_SourceData_TemperatureZones[[#Headers],[Temperature Zone]],0)</f>
        <v>15</v>
      </c>
      <c r="G111" s="29"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9" t="str" cm="1">
        <f t="array" ref="D112">Common_InputFunctions.Utility_DisplayArrayInTable(Common_SourceData.Common_SourceData_TemperatureZones_Data(),Table_SourceData_TemperatureZones[[#Headers],[Temperature Zone]],0)</f>
        <v>Cool</v>
      </c>
      <c r="E112" s="29" t="str" cm="1">
        <f t="array" ref="E112">Common_InputFunctions.Utility_DisplayArrayInTable(Common_SourceData.Common_SourceData_TemperatureZones_Data(),Table_SourceData_TemperatureZones[[#Headers],[Temperature Zone]],0)</f>
        <v>≤ 14 C</v>
      </c>
      <c r="F112" s="29" cm="1">
        <f t="array" ref="F112">Common_InputFunctions.Utility_DisplayArrayInTable(Common_SourceData.Common_SourceData_TemperatureZones_Data(),Table_SourceData_TemperatureZones[[#Headers],[Temperature Zone]],0)</f>
        <v>-999999</v>
      </c>
      <c r="G112" s="29"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31"/>
    </row>
    <row r="116" spans="1:66" ht="20.100000000000001" customHeight="1" x14ac:dyDescent="0.25">
      <c r="A116"/>
      <c r="D116" s="27" t="str" cm="1">
        <f t="array" ref="D116">Common_SourceData.Common_SourceData_RainfallZones_Source()</f>
        <v>VEERG 2026: Table 1.3: Climate and Rainfall zone classifications and definitions</v>
      </c>
      <c r="BN116" s="31"/>
    </row>
    <row r="117" spans="1:66" ht="20.100000000000001" customHeight="1" x14ac:dyDescent="0.25">
      <c r="A117"/>
      <c r="D117" s="35" t="str" cm="1">
        <f t="array" ref="D117">"⚠️" &amp; Common_SourceData.Common_SourceData_RainfallZones_Variation()</f>
        <v>⚠️VARIATION OF SOURCE DATA: Added extra Rainfall min and Rainfall max columns to calculate zone from real rainfall data.</v>
      </c>
      <c r="BN117" s="31"/>
    </row>
    <row r="118" spans="1:66" ht="20.100000000000001" customHeight="1" x14ac:dyDescent="0.25">
      <c r="A118"/>
      <c r="BN118" s="31"/>
    </row>
    <row r="119" spans="1:66" ht="20.100000000000001" customHeight="1" x14ac:dyDescent="0.25">
      <c r="A119"/>
      <c r="D119" s="29" t="s">
        <v>52</v>
      </c>
      <c r="E119" s="29" t="s">
        <v>53</v>
      </c>
      <c r="F119" s="29" t="s">
        <v>41</v>
      </c>
      <c r="G119" s="29" t="s">
        <v>42</v>
      </c>
      <c r="BN119" s="31"/>
    </row>
    <row r="120" spans="1:66" ht="20.100000000000001" customHeight="1" x14ac:dyDescent="0.25">
      <c r="A120"/>
      <c r="D120" s="29" t="str" cm="1">
        <f t="array" ref="D120">Common_InputFunctions.Utility_DisplayArrayInTable(Common_SourceData.Common_SourceData_RainfallZones_Data(),Table_SourceData_RainfallZones[[#Headers],[Rainfall Zone]],0)</f>
        <v>High rainfall</v>
      </c>
      <c r="E120" s="29" t="str" cm="1">
        <f t="array" ref="E120">Common_InputFunctions.Utility_DisplayArrayInTable(Common_SourceData.Common_SourceData_RainfallZones_Data(),Table_SourceData_RainfallZones[[#Headers],[Rainfall Zone]],0)</f>
        <v>Annual rainfall &gt; 600mm</v>
      </c>
      <c r="F120" s="29" cm="1">
        <f t="array" ref="F120">Common_InputFunctions.Utility_DisplayArrayInTable(Common_SourceData.Common_SourceData_RainfallZones_Data(),Table_SourceData_RainfallZones[[#Headers],[Rainfall Zone]],0)</f>
        <v>600.00099999999998</v>
      </c>
      <c r="G120" s="29" cm="1">
        <f t="array" ref="G120">Common_InputFunctions.Utility_DisplayArrayInTable(Common_SourceData.Common_SourceData_RainfallZones_Data(),Table_SourceData_RainfallZones[[#Headers],[Rainfall Zone]],0)</f>
        <v>999999</v>
      </c>
      <c r="BN120" s="31"/>
    </row>
    <row r="121" spans="1:66" ht="20.100000000000001" customHeight="1" x14ac:dyDescent="0.25">
      <c r="A121"/>
      <c r="D121" s="29" t="str" cm="1">
        <f t="array" ref="D121">Common_InputFunctions.Utility_DisplayArrayInTable(Common_SourceData.Common_SourceData_RainfallZones_Data(),Table_SourceData_RainfallZones[[#Headers],[Rainfall Zone]],0)</f>
        <v>Low rainfall</v>
      </c>
      <c r="E121" s="29" t="str" cm="1">
        <f t="array" ref="E121">Common_InputFunctions.Utility_DisplayArrayInTable(Common_SourceData.Common_SourceData_RainfallZones_Data(),Table_SourceData_RainfallZones[[#Headers],[Rainfall Zone]],0)</f>
        <v>Annual rainfall ≤ 600mm</v>
      </c>
      <c r="F121" s="29" cm="1">
        <f t="array" ref="F121">Common_InputFunctions.Utility_DisplayArrayInTable(Common_SourceData.Common_SourceData_RainfallZones_Data(),Table_SourceData_RainfallZones[[#Headers],[Rainfall Zone]],0)</f>
        <v>-999999</v>
      </c>
      <c r="G121" s="29" cm="1">
        <f t="array" ref="G121">Common_InputFunctions.Utility_DisplayArrayInTable(Common_SourceData.Common_SourceData_RainfallZones_Data(),Table_SourceData_RainfallZones[[#Headers],[Rainfall Zone]],0)</f>
        <v>600</v>
      </c>
      <c r="BN121" s="31"/>
    </row>
    <row r="122" spans="1:66" ht="20.100000000000001" customHeight="1" x14ac:dyDescent="0.25">
      <c r="A122"/>
      <c r="BN122" s="31"/>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2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9" t="s">
        <v>54</v>
      </c>
      <c r="E127" s="29" t="s">
        <v>55</v>
      </c>
    </row>
    <row r="128" spans="1:66" ht="20.100000000000001" customHeight="1" x14ac:dyDescent="0.25">
      <c r="A128"/>
      <c r="D128" s="29" t="str" cm="1">
        <f t="array" ref="D128">Common_InputFunctions.Utility_DisplayArrayInTable(Common_SourceData.Common_SourceData_LeachingZones_Data(), Table_SourceData_LeachingZones[[#Headers],[Leaching Zone]], 0)</f>
        <v>Leaching occurs</v>
      </c>
      <c r="E128" s="2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9" t="str" cm="1">
        <f t="array" ref="D129">Common_InputFunctions.Utility_DisplayArrayInTable(Common_SourceData.Common_SourceData_LeachingZones_Data(), Table_SourceData_LeachingZones[[#Headers],[Leaching Zone]], 0)</f>
        <v>Leaching does not occur</v>
      </c>
      <c r="E129" s="2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27" t="str" cm="1">
        <f t="array" ref="D133">Common_SourceData.Common_SourceData_FracWET_Source()</f>
        <v>VEERG 2026:5.5.2.3 Constant Parameters</v>
      </c>
      <c r="E133" s="8"/>
    </row>
    <row r="134" spans="1:77" ht="20.100000000000001" customHeight="1" x14ac:dyDescent="0.25">
      <c r="A134"/>
      <c r="D134" t="s">
        <v>56</v>
      </c>
      <c r="E134" t="s">
        <v>57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9"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31"/>
      <c r="BO138" s="31"/>
      <c r="BP138" s="31"/>
      <c r="BQ138" s="31"/>
      <c r="BR138" s="31"/>
      <c r="BS138" s="31"/>
      <c r="BT138" s="31"/>
      <c r="BU138" s="31"/>
      <c r="BV138" s="31"/>
      <c r="BW138" s="31"/>
      <c r="BX138" s="31"/>
      <c r="BY138" s="31"/>
    </row>
    <row r="139" spans="1:77" ht="20.100000000000001" customHeight="1" x14ac:dyDescent="0.25">
      <c r="A139"/>
      <c r="D139" s="2" t="str" cm="1">
        <f t="array" ref="D139">Common_SourceData.Common_SourceData_FracWETIrrigation_Title()</f>
        <v>FracWET for irrigation types</v>
      </c>
      <c r="BN139" s="31"/>
      <c r="BO139" s="31"/>
      <c r="BP139" s="31"/>
      <c r="BQ139" s="31"/>
      <c r="BR139" s="31"/>
      <c r="BS139" s="31"/>
      <c r="BT139" s="31"/>
      <c r="BU139" s="31"/>
      <c r="BV139" s="31"/>
      <c r="BW139" s="31"/>
      <c r="BX139" s="31"/>
      <c r="BY139" s="31"/>
    </row>
    <row r="140" spans="1:77" ht="20.100000000000001" customHeight="1" x14ac:dyDescent="0.25">
      <c r="A140"/>
      <c r="D140" s="27" t="str" cm="1">
        <f t="array" ref="D140">Common_SourceData.Common_SourceData_FracWETIrrigation_Source()</f>
        <v>VEERG 2026: Chapter 1, section 1.8.2 Leaching, climate and rainfall zones</v>
      </c>
      <c r="BN140" s="31"/>
      <c r="BO140" s="31"/>
      <c r="BP140" s="31"/>
      <c r="BQ140" s="31"/>
      <c r="BR140" s="31"/>
      <c r="BS140" s="31"/>
      <c r="BT140" s="31"/>
      <c r="BU140" s="31"/>
      <c r="BV140" s="31"/>
      <c r="BW140" s="31"/>
      <c r="BX140" s="31"/>
      <c r="BY140" s="31"/>
    </row>
    <row r="141" spans="1:77" ht="20.100000000000001" customHeight="1" x14ac:dyDescent="0.25">
      <c r="A141"/>
      <c r="D141" s="35" t="str" cm="1">
        <f t="array" ref="D141">Common_SourceData.Common_SourceData_FracWETIrrigation_Variation()</f>
        <v>VARIATION FROM SOURCE DATA: Table created based on VEERG text 'Areas are subject to leaching (i.e., in the leaching zone) when... the land is irrigated (except drip irrigation).'</v>
      </c>
      <c r="BN141" s="31"/>
    </row>
    <row r="142" spans="1:77" ht="20.100000000000001" customHeight="1" x14ac:dyDescent="0.25">
      <c r="A142"/>
      <c r="D142" s="29" t="s">
        <v>58</v>
      </c>
      <c r="E142" s="29" t="s">
        <v>57</v>
      </c>
      <c r="BN142" s="31"/>
    </row>
    <row r="143" spans="1:77" ht="20.100000000000001" customHeight="1" x14ac:dyDescent="0.25">
      <c r="A143"/>
      <c r="D143" s="29" t="str" cm="1">
        <f t="array" ref="D143">Common_InputFunctions.Utility_DisplayArrayInTable(Common_SourceData.Common_SourceData_FracWETIrrigation_Data(), Table_SourceData_FracWETIrrigation[[#Headers],[Irrigation type i]], 0)</f>
        <v>Not irrigated</v>
      </c>
      <c r="E143" s="29" cm="1">
        <f t="array" ref="E143">Common_InputFunctions.Utility_DisplayArrayInTable(Common_SourceData.Common_SourceData_FracWETIrrigation_Data(), Table_SourceData_FracWETIrrigation[[#Headers],[Irrigation type i]], 0)</f>
        <v>0</v>
      </c>
      <c r="BN143" s="31"/>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9" cm="1">
        <f t="array" ref="E144">Common_InputFunctions.Utility_DisplayArrayInTable(Common_SourceData.Common_SourceData_FracWETIrrigation_Data(), Table_SourceData_FracWETIrrigation[[#Headers],[Irrigation type i]], 0)</f>
        <v>0</v>
      </c>
      <c r="BN144" s="31"/>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9" cm="1">
        <f t="array" ref="E145">Common_InputFunctions.Utility_DisplayArrayInTable(Common_SourceData.Common_SourceData_FracWETIrrigation_Data(), Table_SourceData_FracWETIrrigation[[#Headers],[Irrigation type i]], 0)</f>
        <v>1</v>
      </c>
      <c r="BN145" s="31"/>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9" cm="1">
        <f t="array" ref="E146">Common_InputFunctions.Utility_DisplayArrayInTable(Common_SourceData.Common_SourceData_FracWETIrrigation_Data(), Table_SourceData_FracWETIrrigation[[#Headers],[Irrigation type i]], 0)</f>
        <v>1</v>
      </c>
      <c r="BN146" s="31"/>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9" cm="1">
        <f t="array" ref="E147">Common_InputFunctions.Utility_DisplayArrayInTable(Common_SourceData.Common_SourceData_FracWETIrrigation_Data(), Table_SourceData_FracWETIrrigation[[#Headers],[Irrigation type i]], 0)</f>
        <v>1</v>
      </c>
      <c r="BN147" s="31"/>
    </row>
    <row r="148" spans="1:66" ht="20.100000000000001" customHeight="1" x14ac:dyDescent="0.25">
      <c r="A148"/>
      <c r="BN148" s="31"/>
    </row>
    <row r="149" spans="1:66" ht="20.100000000000001" customHeight="1" x14ac:dyDescent="0.25">
      <c r="A149"/>
      <c r="BN149" s="31"/>
    </row>
    <row r="150" spans="1:66" ht="20.100000000000001" customHeight="1" x14ac:dyDescent="0.25">
      <c r="A150"/>
      <c r="D150" s="2" t="str" cm="1">
        <f t="array" ref="D150">Common_SourceData.Common_SourceData_DataScores_Scope3_Title()</f>
        <v>Australian data scores for scope 3</v>
      </c>
      <c r="BN150" s="31"/>
    </row>
    <row r="151" spans="1:66" ht="20.100000000000001" customHeight="1" x14ac:dyDescent="0.25">
      <c r="A151"/>
      <c r="D151" s="27" t="str" cm="1">
        <f t="array" ref="D151">Common_SourceData.Common_SourceData_DataScores_Scope3_Source()</f>
        <v>VEERG 2026: XXXXXXXX</v>
      </c>
      <c r="BN151" s="31"/>
    </row>
    <row r="152" spans="1:66" ht="20.100000000000001" customHeight="1" x14ac:dyDescent="0.25">
      <c r="A152"/>
      <c r="BN152" s="31"/>
    </row>
    <row r="153" spans="1:66" ht="20.100000000000001" customHeight="1" x14ac:dyDescent="0.25">
      <c r="A153"/>
      <c r="D153" s="29" t="s">
        <v>59</v>
      </c>
      <c r="E153" s="29" t="s">
        <v>60</v>
      </c>
      <c r="BC153" s="34"/>
      <c r="BD153" s="34"/>
      <c r="BE153" s="34"/>
      <c r="BF153" s="34"/>
      <c r="BG153" s="34"/>
      <c r="BH153" s="34"/>
      <c r="BI153" s="34"/>
      <c r="BJ153" s="34"/>
      <c r="BK153" s="34"/>
      <c r="BL153" s="34"/>
      <c r="BM153" s="34"/>
    </row>
    <row r="154" spans="1:66" ht="20.100000000000001" customHeight="1" x14ac:dyDescent="0.25">
      <c r="A154"/>
      <c r="D154" s="29" t="str" cm="1">
        <f t="array" ref="D154">Common_InputFunctions.Utility_DisplayArrayInTable(Common_SourceData.Common_SourceData_DataScores_Scope3_Data(), Table_SourceData_DataScores_Scope3[[#Headers],[Data source]], 0)</f>
        <v>International scope 3 database</v>
      </c>
      <c r="E154" s="29" cm="1">
        <f t="array" ref="E154">Common_InputFunctions.Utility_DisplayArrayInTable(Common_SourceData.Common_SourceData_DataScores_Scope3_Data(), Table_SourceData_DataScores_Scope3[[#Headers],[Data source]], 0)</f>
        <v>1</v>
      </c>
      <c r="BC154" s="34"/>
      <c r="BD154" s="34"/>
      <c r="BE154" s="34"/>
      <c r="BF154" s="34"/>
      <c r="BG154" s="34"/>
      <c r="BH154" s="34"/>
      <c r="BI154" s="34"/>
      <c r="BJ154" s="34"/>
      <c r="BK154" s="34"/>
      <c r="BL154" s="34"/>
      <c r="BM154" s="34"/>
    </row>
    <row r="155" spans="1:66" ht="20.100000000000001" customHeight="1" x14ac:dyDescent="0.25">
      <c r="A155"/>
      <c r="D155" s="29" t="str" cm="1">
        <f t="array" ref="D155">Common_InputFunctions.Utility_DisplayArrayInTable(Common_SourceData.Common_SourceData_DataScores_Scope3_Data(), Table_SourceData_DataScores_Scope3[[#Headers],[Data source]], 0)</f>
        <v>Australian scope 3 database</v>
      </c>
      <c r="E155" s="29" cm="1">
        <f t="array" ref="E155">Common_InputFunctions.Utility_DisplayArrayInTable(Common_SourceData.Common_SourceData_DataScores_Scope3_Data(), Table_SourceData_DataScores_Scope3[[#Headers],[Data source]], 0)</f>
        <v>2</v>
      </c>
      <c r="BC155" s="34"/>
      <c r="BD155" s="34"/>
      <c r="BE155" s="34"/>
      <c r="BF155" s="34"/>
      <c r="BG155" s="34"/>
      <c r="BH155" s="34"/>
      <c r="BI155" s="34"/>
      <c r="BJ155" s="34"/>
      <c r="BK155" s="34"/>
      <c r="BL155" s="34"/>
      <c r="BM155" s="34"/>
    </row>
    <row r="156" spans="1:66" ht="20.100000000000001" customHeight="1" x14ac:dyDescent="0.25">
      <c r="A156"/>
      <c r="D156" s="29" t="str" cm="1">
        <f t="array" ref="D156">Common_InputFunctions.Utility_DisplayArrayInTable(Common_SourceData.Common_SourceData_DataScores_Scope3_Data(), Table_SourceData_DataScores_Scope3[[#Headers],[Data source]], 0)</f>
        <v>State or regional scope 3 database</v>
      </c>
      <c r="E156" s="29"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9" t="str" cm="1">
        <f t="array" ref="D157">Common_InputFunctions.Utility_DisplayArrayInTable(Common_SourceData.Common_SourceData_DataScores_Scope3_Data(), Table_SourceData_DataScores_Scope3[[#Headers],[Data source]], 0)</f>
        <v>Emissions intensity calculated from approved method</v>
      </c>
      <c r="E157" s="29"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9" t="str" cm="1">
        <f t="array" ref="D158">Common_InputFunctions.Utility_DisplayArrayInTable(Common_SourceData.Common_SourceData_DataScores_Scope3_Data(), Table_SourceData_DataScores_Scope3[[#Headers],[Data source]], 0)</f>
        <v>Verified credential matching ISO14067</v>
      </c>
      <c r="E158" s="29"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27" t="str" cm="1">
        <f t="array" ref="D162">Common_SourceData.Common_SourceData_FracLEACH_Source()</f>
        <v>VEERG 2026:5.5.2.3 Constant Parameters</v>
      </c>
      <c r="E162" s="8"/>
    </row>
    <row r="163" spans="4:68" ht="20.100000000000001" customHeight="1" x14ac:dyDescent="0.25">
      <c r="D163" s="2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31"/>
      <c r="BO165" s="31"/>
      <c r="BP165" s="31"/>
    </row>
    <row r="166" spans="4:68" ht="20.100000000000001" customHeight="1" x14ac:dyDescent="0.25">
      <c r="BN166" s="31"/>
      <c r="BO166" s="31"/>
      <c r="BP166" s="31"/>
    </row>
    <row r="167" spans="4:68" ht="20.100000000000001" customHeight="1" x14ac:dyDescent="0.25">
      <c r="D167" s="2" t="str" cm="1">
        <f t="array" ref="D167">Common_SourceData.Common_SourceData_EFleach_Title()</f>
        <v>Emission factor for nitrogen leaching and runoff</v>
      </c>
      <c r="BN167" s="31"/>
      <c r="BO167" s="31"/>
      <c r="BP167" s="31"/>
    </row>
    <row r="168" spans="4:68" ht="20.100000000000001" customHeight="1" x14ac:dyDescent="0.25">
      <c r="D168" s="27" t="str" cm="1">
        <f t="array" ref="D168">Common_SourceData.Common_SourceData_EFleach_Source()</f>
        <v>VEERG 2026:5.5.2.3 Constant Parameters</v>
      </c>
      <c r="BN168" s="31"/>
      <c r="BO168" s="31"/>
      <c r="BP168" s="31"/>
    </row>
    <row r="169" spans="4:68" ht="20.100000000000001" customHeight="1" x14ac:dyDescent="0.25">
      <c r="D169" s="27" t="str" cm="1">
        <f t="array" ref="D169">Common_SourceData.Common_SourceData_EFleach_NIRReference()</f>
        <v>National Inventory Report Volume 1: Equation 3.D.B_10</v>
      </c>
      <c r="BN169" s="31"/>
      <c r="BO169" s="31"/>
      <c r="BP169" s="31"/>
    </row>
    <row r="170" spans="4:68" ht="20.100000000000001" customHeight="1" x14ac:dyDescent="0.25">
      <c r="D170" s="1" t="str" cm="1">
        <f t="array" ref="D170:E170">Common_SourceData.Common_SourceData_EFleach_Data()</f>
        <v>EFleach</v>
      </c>
      <c r="E170" s="1">
        <v>1.0999999999999999E-2</v>
      </c>
      <c r="BN170" s="31"/>
      <c r="BO170" s="31"/>
      <c r="BP170" s="31"/>
    </row>
    <row r="171" spans="4:68" ht="20.100000000000001" customHeight="1" x14ac:dyDescent="0.25">
      <c r="BN171" s="31"/>
      <c r="BO171" s="31"/>
      <c r="BP171" s="31"/>
    </row>
    <row r="172" spans="4:68" ht="20.100000000000001" customHeight="1" x14ac:dyDescent="0.25">
      <c r="BN172" s="31"/>
      <c r="BO172" s="31"/>
      <c r="BP172" s="31"/>
    </row>
    <row r="173" spans="4:68" ht="20.100000000000001" customHeight="1" x14ac:dyDescent="0.25">
      <c r="D173" s="2" t="str" cm="1">
        <f t="array" ref="D173">Common_SourceData.Common_SourceData_DensityOfMethane_Title()</f>
        <v>p = density of methane</v>
      </c>
      <c r="BN173" s="31"/>
      <c r="BO173" s="31"/>
      <c r="BP173" s="31"/>
    </row>
    <row r="174" spans="4:68" ht="20.100000000000001" customHeight="1" x14ac:dyDescent="0.25">
      <c r="D174" s="27" t="str" cm="1">
        <f t="array" ref="D174">Common_SourceData.Common_SourceData_DensityOfMethane_Source()</f>
        <v>National Inventory Report 2023 Volume 1: Equations 3.B.1a_2, 3.B.1c_2, 3.B.3_1, 3.B.4g_2</v>
      </c>
      <c r="BN174" s="31"/>
      <c r="BO174" s="31"/>
      <c r="BP174" s="31"/>
    </row>
    <row r="175" spans="4:68" ht="20.100000000000001" customHeight="1" x14ac:dyDescent="0.25">
      <c r="D175" s="1" cm="1">
        <f t="array" ref="D175">Common_SourceData.Common_SourceData_DensityOfMethane_Data()</f>
        <v>0.6784</v>
      </c>
      <c r="E175" s="15" t="str" cm="1">
        <f t="array" ref="E175">Common_SourceData.Common_SourceData_DensityOfMethane_Unit()</f>
        <v>kg/m3</v>
      </c>
      <c r="BN175" s="31"/>
      <c r="BO175" s="31"/>
      <c r="BP175" s="31"/>
    </row>
    <row r="176" spans="4:68" ht="20.100000000000001" customHeight="1" x14ac:dyDescent="0.25">
      <c r="BN176" s="31"/>
      <c r="BO176" s="31"/>
      <c r="BP176" s="31"/>
    </row>
    <row r="177" spans="4:68" ht="20.100000000000001" customHeight="1" x14ac:dyDescent="0.25">
      <c r="BN177" s="31"/>
      <c r="BO177" s="31"/>
      <c r="BP177" s="31"/>
    </row>
    <row r="178" spans="4:68" ht="20.100000000000001" customHeight="1" x14ac:dyDescent="0.25">
      <c r="D178" s="2" t="str" cm="1">
        <f t="array" ref="D178">Common_SourceData.Common_SourceData_EFN2O_Title()</f>
        <v>Nitrous oxide emission factors for inorganic fertiliser application</v>
      </c>
      <c r="BN178" s="31"/>
      <c r="BO178" s="31"/>
      <c r="BP178" s="31"/>
    </row>
    <row r="179" spans="4:68" ht="20.100000000000001" customHeight="1" x14ac:dyDescent="0.25">
      <c r="D179" s="27" t="str" cm="1">
        <f t="array" ref="D179">Common_SourceData.Common_SourceData_EFN2O_Source()</f>
        <v>VEERG 2026: Table A.2.2.1</v>
      </c>
      <c r="BN179" s="31"/>
      <c r="BO179" s="31"/>
      <c r="BP179" s="31"/>
    </row>
    <row r="180" spans="4:68" ht="20.100000000000001" customHeight="1" x14ac:dyDescent="0.25">
      <c r="D180" s="15" t="str" cm="1">
        <f t="array" ref="D180">Common_SourceData.Common_SourceData_EFN2O_Unit()</f>
        <v>(kg N2O-N / kg N</v>
      </c>
    </row>
    <row r="181" spans="4:68" ht="20.100000000000001" customHeight="1" x14ac:dyDescent="0.25">
      <c r="D181" s="35" t="str" cm="1">
        <f t="array" ref="D181:D185">Common_SourceData.Common_SourceData_EFN2O_Variation()</f>
        <v>VARIATION OF SOURCE DATA:</v>
      </c>
    </row>
    <row r="182" spans="4:68" ht="20.100000000000001" customHeight="1" x14ac:dyDescent="0.25">
      <c r="D182" s="35" t="str">
        <v>Removed duplicate 'Aquaculture' row.</v>
      </c>
    </row>
    <row r="183" spans="4:68" ht="20.100000000000001" customHeight="1" x14ac:dyDescent="0.25">
      <c r="D183" s="35" t="str">
        <v>Removed asterisks to aid lookup.</v>
      </c>
    </row>
    <row r="184" spans="4:68" ht="20.100000000000001" customHeight="1" x14ac:dyDescent="0.25">
      <c r="D184" s="35" t="str">
        <v>Added 'production system only', 'rainfall zone' and 'irrigation method' columns to aid lookup.</v>
      </c>
    </row>
    <row r="185" spans="4:68" ht="20.100000000000001" customHeight="1" x14ac:dyDescent="0.25">
      <c r="D185" s="35" t="str">
        <v>Duplicated 'non-irrigated pasture' row with same EF for low and high rainfall zones to aid lookup.</v>
      </c>
    </row>
    <row r="186" spans="4:68" ht="20.100000000000001" customHeight="1" x14ac:dyDescent="0.25">
      <c r="D186" s="29" t="s">
        <v>61</v>
      </c>
      <c r="E186" s="29" t="s">
        <v>62</v>
      </c>
      <c r="F186" s="29" t="s">
        <v>63</v>
      </c>
      <c r="G186" s="29" t="s">
        <v>64</v>
      </c>
      <c r="H186" s="29" t="s">
        <v>65</v>
      </c>
    </row>
    <row r="187" spans="4:68" ht="20.100000000000001" customHeight="1" x14ac:dyDescent="0.25">
      <c r="D187" s="29" t="str" cm="1">
        <f t="array" ref="D187">Common_InputFunctions.Utility_DisplayArrayInTable(Common_SourceData.Common_SourceData_EFN2O_Data(), Table_SourceData_Common_EFN2O[[#Headers],[Production system j]], 0)</f>
        <v>Irrigated pasture</v>
      </c>
      <c r="E187" s="29" cm="1">
        <f t="array" ref="E187">Common_InputFunctions.Utility_DisplayArrayInTable(Common_SourceData.Common_SourceData_EFN2O_Data(), Table_SourceData_Common_EFN2O[[#Headers],[Production system j]], 0)</f>
        <v>5.8999999999999999E-3</v>
      </c>
      <c r="F187" s="29" t="str" cm="1">
        <f t="array" ref="F187">Common_InputFunctions.Utility_DisplayArrayInTable(Common_SourceData.Common_SourceData_EFN2O_Data(), Table_SourceData_Common_EFN2O[[#Headers],[Production system j]], 0)</f>
        <v>Pasture</v>
      </c>
      <c r="G187" s="29" t="str" cm="1">
        <f t="array" ref="G187">Common_InputFunctions.Utility_DisplayArrayInTable(Common_SourceData.Common_SourceData_EFN2O_Data(), Table_SourceData_Common_EFN2O[[#Headers],[Production system j]], 0)</f>
        <v>Any</v>
      </c>
      <c r="H187" s="29" t="str" cm="1">
        <f t="array" ref="H187">Common_InputFunctions.Utility_DisplayArrayInTable(Common_SourceData.Common_SourceData_EFN2O_Data(), Table_SourceData_Common_EFN2O[[#Headers],[Production system j]], 0)</f>
        <v>Any</v>
      </c>
    </row>
    <row r="188" spans="4:68" ht="20.100000000000001" customHeight="1" x14ac:dyDescent="0.25">
      <c r="D188" s="29" t="str" cm="1">
        <f t="array" ref="D188">Common_InputFunctions.Utility_DisplayArrayInTable(Common_SourceData.Common_SourceData_EFN2O_Data(), Table_SourceData_Common_EFN2O[[#Headers],[Production system j]], 0)</f>
        <v>Irrigated crop</v>
      </c>
      <c r="E188" s="29" cm="1">
        <f t="array" ref="E188">Common_InputFunctions.Utility_DisplayArrayInTable(Common_SourceData.Common_SourceData_EFN2O_Data(), Table_SourceData_Common_EFN2O[[#Headers],[Production system j]], 0)</f>
        <v>7.0000000000000001E-3</v>
      </c>
      <c r="F188" s="29" t="str" cm="1">
        <f t="array" ref="F188">Common_InputFunctions.Utility_DisplayArrayInTable(Common_SourceData.Common_SourceData_EFN2O_Data(), Table_SourceData_Common_EFN2O[[#Headers],[Production system j]], 0)</f>
        <v>Crop</v>
      </c>
      <c r="G188" s="29" t="str" cm="1">
        <f t="array" ref="G188">Common_InputFunctions.Utility_DisplayArrayInTable(Common_SourceData.Common_SourceData_EFN2O_Data(), Table_SourceData_Common_EFN2O[[#Headers],[Production system j]], 0)</f>
        <v>Any</v>
      </c>
      <c r="H188" s="29" t="str" cm="1">
        <f t="array" ref="H188">Common_InputFunctions.Utility_DisplayArrayInTable(Common_SourceData.Common_SourceData_EFN2O_Data(), Table_SourceData_Common_EFN2O[[#Headers],[Production system j]], 0)</f>
        <v>Any</v>
      </c>
    </row>
    <row r="189" spans="4:68" ht="20.100000000000001" customHeight="1" x14ac:dyDescent="0.25">
      <c r="D189" s="29" t="str" cm="1">
        <f t="array" ref="D189">Common_InputFunctions.Utility_DisplayArrayInTable(Common_SourceData.Common_SourceData_EFN2O_Data(), Table_SourceData_Common_EFN2O[[#Headers],[Production system j]], 0)</f>
        <v>Non-irrigated pasture</v>
      </c>
      <c r="E189" s="29" cm="1">
        <f t="array" ref="E189">Common_InputFunctions.Utility_DisplayArrayInTable(Common_SourceData.Common_SourceData_EFN2O_Data(), Table_SourceData_Common_EFN2O[[#Headers],[Production system j]], 0)</f>
        <v>1.8E-3</v>
      </c>
      <c r="F189" s="29" t="str" cm="1">
        <f t="array" ref="F189">Common_InputFunctions.Utility_DisplayArrayInTable(Common_SourceData.Common_SourceData_EFN2O_Data(), Table_SourceData_Common_EFN2O[[#Headers],[Production system j]], 0)</f>
        <v>Pasture</v>
      </c>
      <c r="G189" s="29" t="str" cm="1">
        <f t="array" ref="G189">Common_InputFunctions.Utility_DisplayArrayInTable(Common_SourceData.Common_SourceData_EFN2O_Data(), Table_SourceData_Common_EFN2O[[#Headers],[Production system j]], 0)</f>
        <v>Not irrigated</v>
      </c>
      <c r="H189" s="2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9" t="str" cm="1">
        <f t="array" ref="D190">Common_InputFunctions.Utility_DisplayArrayInTable(Common_SourceData.Common_SourceData_EFN2O_Data(), Table_SourceData_Common_EFN2O[[#Headers],[Production system j]], 0)</f>
        <v>Non-irrigated pasture</v>
      </c>
      <c r="E190" s="29" cm="1">
        <f t="array" ref="E190">Common_InputFunctions.Utility_DisplayArrayInTable(Common_SourceData.Common_SourceData_EFN2O_Data(), Table_SourceData_Common_EFN2O[[#Headers],[Production system j]], 0)</f>
        <v>1.8E-3</v>
      </c>
      <c r="F190" s="29" t="str" cm="1">
        <f t="array" ref="F190">Common_InputFunctions.Utility_DisplayArrayInTable(Common_SourceData.Common_SourceData_EFN2O_Data(), Table_SourceData_Common_EFN2O[[#Headers],[Production system j]], 0)</f>
        <v>Pasture</v>
      </c>
      <c r="G190" s="29" t="str" cm="1">
        <f t="array" ref="G190">Common_InputFunctions.Utility_DisplayArrayInTable(Common_SourceData.Common_SourceData_EFN2O_Data(), Table_SourceData_Common_EFN2O[[#Headers],[Production system j]], 0)</f>
        <v>Not irrigated</v>
      </c>
      <c r="H190" s="2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9" t="str" cm="1">
        <f t="array" ref="D191">Common_InputFunctions.Utility_DisplayArrayInTable(Common_SourceData.Common_SourceData_EFN2O_Data(), Table_SourceData_Common_EFN2O[[#Headers],[Production system j]], 0)</f>
        <v>Non-irrigated crop (low rainfall)</v>
      </c>
      <c r="E191" s="29" cm="1">
        <f t="array" ref="E191">Common_InputFunctions.Utility_DisplayArrayInTable(Common_SourceData.Common_SourceData_EFN2O_Data(), Table_SourceData_Common_EFN2O[[#Headers],[Production system j]], 0)</f>
        <v>2.8999999999999998E-3</v>
      </c>
      <c r="F191" s="29" t="str" cm="1">
        <f t="array" ref="F191">Common_InputFunctions.Utility_DisplayArrayInTable(Common_SourceData.Common_SourceData_EFN2O_Data(), Table_SourceData_Common_EFN2O[[#Headers],[Production system j]], 0)</f>
        <v>Crop</v>
      </c>
      <c r="G191" s="29" t="str" cm="1">
        <f t="array" ref="G191">Common_InputFunctions.Utility_DisplayArrayInTable(Common_SourceData.Common_SourceData_EFN2O_Data(), Table_SourceData_Common_EFN2O[[#Headers],[Production system j]], 0)</f>
        <v>Not irrigated</v>
      </c>
      <c r="H191" s="2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9" t="str" cm="1">
        <f t="array" ref="D192">Common_InputFunctions.Utility_DisplayArrayInTable(Common_SourceData.Common_SourceData_EFN2O_Data(), Table_SourceData_Common_EFN2O[[#Headers],[Production system j]], 0)</f>
        <v>Non-irrigated crop (high rainfall)</v>
      </c>
      <c r="E192" s="29" cm="1">
        <f t="array" ref="E192">Common_InputFunctions.Utility_DisplayArrayInTable(Common_SourceData.Common_SourceData_EFN2O_Data(), Table_SourceData_Common_EFN2O[[#Headers],[Production system j]], 0)</f>
        <v>8.0000000000000002E-3</v>
      </c>
      <c r="F192" s="29" t="str" cm="1">
        <f t="array" ref="F192">Common_InputFunctions.Utility_DisplayArrayInTable(Common_SourceData.Common_SourceData_EFN2O_Data(), Table_SourceData_Common_EFN2O[[#Headers],[Production system j]], 0)</f>
        <v>Crop</v>
      </c>
      <c r="G192" s="29" t="str" cm="1">
        <f t="array" ref="G192">Common_InputFunctions.Utility_DisplayArrayInTable(Common_SourceData.Common_SourceData_EFN2O_Data(), Table_SourceData_Common_EFN2O[[#Headers],[Production system j]], 0)</f>
        <v>Not irrigated</v>
      </c>
      <c r="H192" s="2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9" t="str" cm="1">
        <f t="array" ref="D193">Common_InputFunctions.Utility_DisplayArrayInTable(Common_SourceData.Common_SourceData_EFN2O_Data(), Table_SourceData_Common_EFN2O[[#Headers],[Production system j]], 0)</f>
        <v>Sugar</v>
      </c>
      <c r="E193" s="29" cm="1">
        <f t="array" ref="E193">Common_InputFunctions.Utility_DisplayArrayInTable(Common_SourceData.Common_SourceData_EFN2O_Data(), Table_SourceData_Common_EFN2O[[#Headers],[Production system j]], 0)</f>
        <v>1.9900000000000001E-2</v>
      </c>
      <c r="F193" s="29" t="str" cm="1">
        <f t="array" ref="F193">Common_InputFunctions.Utility_DisplayArrayInTable(Common_SourceData.Common_SourceData_EFN2O_Data(), Table_SourceData_Common_EFN2O[[#Headers],[Production system j]], 0)</f>
        <v>Sugar</v>
      </c>
      <c r="G193" s="29" t="str" cm="1">
        <f t="array" ref="G193">Common_InputFunctions.Utility_DisplayArrayInTable(Common_SourceData.Common_SourceData_EFN2O_Data(), Table_SourceData_Common_EFN2O[[#Headers],[Production system j]], 0)</f>
        <v>Any</v>
      </c>
      <c r="H193" s="29" t="str" cm="1">
        <f t="array" ref="H193">Common_InputFunctions.Utility_DisplayArrayInTable(Common_SourceData.Common_SourceData_EFN2O_Data(), Table_SourceData_Common_EFN2O[[#Headers],[Production system j]], 0)</f>
        <v>Any</v>
      </c>
    </row>
    <row r="194" spans="4:8" ht="20.100000000000001" customHeight="1" x14ac:dyDescent="0.25">
      <c r="D194" s="29" t="str" cm="1">
        <f t="array" ref="D194">Common_InputFunctions.Utility_DisplayArrayInTable(Common_SourceData.Common_SourceData_EFN2O_Data(), Table_SourceData_Common_EFN2O[[#Headers],[Production system j]], 0)</f>
        <v>Cotton</v>
      </c>
      <c r="E194" s="29" cm="1">
        <f t="array" ref="E194">Common_InputFunctions.Utility_DisplayArrayInTable(Common_SourceData.Common_SourceData_EFN2O_Data(), Table_SourceData_Common_EFN2O[[#Headers],[Production system j]], 0)</f>
        <v>5.3E-3</v>
      </c>
      <c r="F194" s="29" t="str" cm="1">
        <f t="array" ref="F194">Common_InputFunctions.Utility_DisplayArrayInTable(Common_SourceData.Common_SourceData_EFN2O_Data(), Table_SourceData_Common_EFN2O[[#Headers],[Production system j]], 0)</f>
        <v>Cotton</v>
      </c>
      <c r="G194" s="29" t="str" cm="1">
        <f t="array" ref="G194">Common_InputFunctions.Utility_DisplayArrayInTable(Common_SourceData.Common_SourceData_EFN2O_Data(), Table_SourceData_Common_EFN2O[[#Headers],[Production system j]], 0)</f>
        <v>Any</v>
      </c>
      <c r="H194" s="29" t="str" cm="1">
        <f t="array" ref="H194">Common_InputFunctions.Utility_DisplayArrayInTable(Common_SourceData.Common_SourceData_EFN2O_Data(), Table_SourceData_Common_EFN2O[[#Headers],[Production system j]], 0)</f>
        <v>Any</v>
      </c>
    </row>
    <row r="195" spans="4:8" ht="20.100000000000001" customHeight="1" x14ac:dyDescent="0.25">
      <c r="D195" s="29" t="str" cm="1">
        <f t="array" ref="D195">Common_InputFunctions.Utility_DisplayArrayInTable(Common_SourceData.Common_SourceData_EFN2O_Data(), Table_SourceData_Common_EFN2O[[#Headers],[Production system j]], 0)</f>
        <v>Horticultural crops</v>
      </c>
      <c r="E195" s="29" cm="1">
        <f t="array" ref="E195">Common_InputFunctions.Utility_DisplayArrayInTable(Common_SourceData.Common_SourceData_EFN2O_Data(), Table_SourceData_Common_EFN2O[[#Headers],[Production system j]], 0)</f>
        <v>6.4000000000000003E-3</v>
      </c>
      <c r="F195" s="29" t="str" cm="1">
        <f t="array" ref="F195">Common_InputFunctions.Utility_DisplayArrayInTable(Common_SourceData.Common_SourceData_EFN2O_Data(), Table_SourceData_Common_EFN2O[[#Headers],[Production system j]], 0)</f>
        <v>Horticultural crops</v>
      </c>
      <c r="G195" s="29" t="str" cm="1">
        <f t="array" ref="G195">Common_InputFunctions.Utility_DisplayArrayInTable(Common_SourceData.Common_SourceData_EFN2O_Data(), Table_SourceData_Common_EFN2O[[#Headers],[Production system j]], 0)</f>
        <v>Any</v>
      </c>
      <c r="H195" s="29" t="str" cm="1">
        <f t="array" ref="H195">Common_InputFunctions.Utility_DisplayArrayInTable(Common_SourceData.Common_SourceData_EFN2O_Data(), Table_SourceData_Common_EFN2O[[#Headers],[Production system j]], 0)</f>
        <v>Any</v>
      </c>
    </row>
    <row r="196" spans="4:8" ht="20.100000000000001" customHeight="1" x14ac:dyDescent="0.25">
      <c r="D196" s="29" t="str" cm="1">
        <f t="array" ref="D196">Common_InputFunctions.Utility_DisplayArrayInTable(Common_SourceData.Common_SourceData_EFN2O_Data(), Table_SourceData_Common_EFN2O[[#Headers],[Production system j]], 0)</f>
        <v>Rice (continuous flooding)</v>
      </c>
      <c r="E196" s="29" cm="1">
        <f t="array" ref="E196">Common_InputFunctions.Utility_DisplayArrayInTable(Common_SourceData.Common_SourceData_EFN2O_Data(), Table_SourceData_Common_EFN2O[[#Headers],[Production system j]], 0)</f>
        <v>3.0000000000000001E-3</v>
      </c>
      <c r="F196" s="29" t="str" cm="1">
        <f t="array" ref="F196">Common_InputFunctions.Utility_DisplayArrayInTable(Common_SourceData.Common_SourceData_EFN2O_Data(), Table_SourceData_Common_EFN2O[[#Headers],[Production system j]], 0)</f>
        <v>Rice</v>
      </c>
      <c r="G196" s="29" t="str" cm="1">
        <f t="array" ref="G196">Common_InputFunctions.Utility_DisplayArrayInTable(Common_SourceData.Common_SourceData_EFN2O_Data(), Table_SourceData_Common_EFN2O[[#Headers],[Production system j]], 0)</f>
        <v>Continuous flooding</v>
      </c>
      <c r="H196" s="29" t="str" cm="1">
        <f t="array" ref="H196">Common_InputFunctions.Utility_DisplayArrayInTable(Common_SourceData.Common_SourceData_EFN2O_Data(), Table_SourceData_Common_EFN2O[[#Headers],[Production system j]], 0)</f>
        <v>Any</v>
      </c>
    </row>
    <row r="197" spans="4:8" x14ac:dyDescent="0.25">
      <c r="D197" s="29" t="str" cm="1">
        <f t="array" ref="D197">Common_InputFunctions.Utility_DisplayArrayInTable(Common_SourceData.Common_SourceData_EFN2O_Data(), Table_SourceData_Common_EFN2O[[#Headers],[Production system j]], 0)</f>
        <v>Rice (single and multiple drainage, or alternate wetting and drying)</v>
      </c>
      <c r="E197" s="29" cm="1">
        <f t="array" ref="E197">Common_InputFunctions.Utility_DisplayArrayInTable(Common_SourceData.Common_SourceData_EFN2O_Data(), Table_SourceData_Common_EFN2O[[#Headers],[Production system j]], 0)</f>
        <v>5.0000000000000001E-3</v>
      </c>
      <c r="F197" s="29" t="str" cm="1">
        <f t="array" ref="F197">Common_InputFunctions.Utility_DisplayArrayInTable(Common_SourceData.Common_SourceData_EFN2O_Data(), Table_SourceData_Common_EFN2O[[#Headers],[Production system j]], 0)</f>
        <v>Rice</v>
      </c>
      <c r="G197" s="29" t="str" cm="1">
        <f t="array" ref="G197">Common_InputFunctions.Utility_DisplayArrayInTable(Common_SourceData.Common_SourceData_EFN2O_Data(), Table_SourceData_Common_EFN2O[[#Headers],[Production system j]], 0)</f>
        <v>Single and multiple drainage, or alternate wetting and drying</v>
      </c>
      <c r="H197" s="29" t="str" cm="1">
        <f t="array" ref="H197">Common_InputFunctions.Utility_DisplayArrayInTable(Common_SourceData.Common_SourceData_EFN2O_Data(), Table_SourceData_Common_EFN2O[[#Headers],[Production system j]], 0)</f>
        <v>Any</v>
      </c>
    </row>
    <row r="198" spans="4:8" x14ac:dyDescent="0.25">
      <c r="D198" s="29" t="str" cm="1">
        <f t="array" ref="D198">Common_InputFunctions.Utility_DisplayArrayInTable(Common_SourceData.Common_SourceData_EFN2O_Data(), Table_SourceData_Common_EFN2O[[#Headers],[Production system j]], 0)</f>
        <v>Aquaculture</v>
      </c>
      <c r="E198" s="29" cm="1">
        <f t="array" ref="E198">Common_InputFunctions.Utility_DisplayArrayInTable(Common_SourceData.Common_SourceData_EFN2O_Data(), Table_SourceData_Common_EFN2O[[#Headers],[Production system j]], 0)</f>
        <v>2.5999999999999999E-3</v>
      </c>
      <c r="F198" s="29" t="str" cm="1">
        <f t="array" ref="F198">Common_InputFunctions.Utility_DisplayArrayInTable(Common_SourceData.Common_SourceData_EFN2O_Data(), Table_SourceData_Common_EFN2O[[#Headers],[Production system j]], 0)</f>
        <v>Aquaculture</v>
      </c>
      <c r="G198" s="29" t="str" cm="1">
        <f t="array" ref="G198">Common_InputFunctions.Utility_DisplayArrayInTable(Common_SourceData.Common_SourceData_EFN2O_Data(), Table_SourceData_Common_EFN2O[[#Headers],[Production system j]], 0)</f>
        <v>Any</v>
      </c>
      <c r="H198" s="29" t="str" cm="1">
        <f t="array" ref="H198">Common_InputFunctions.Utility_DisplayArrayInTable(Common_SourceData.Common_SourceData_EFN2O_Data(), Table_SourceData_Common_EFN2O[[#Headers],[Production system j]], 0)</f>
        <v>Any</v>
      </c>
    </row>
    <row r="199" spans="4:8" x14ac:dyDescent="0.25">
      <c r="D199" s="29" t="str" cm="1">
        <f t="array" ref="D199">Common_InputFunctions.Utility_DisplayArrayInTable(Common_SourceData.Common_SourceData_EFN2O_Data(), Table_SourceData_Common_EFN2O[[#Headers],[Production system j]], 0)</f>
        <v>Forestry</v>
      </c>
      <c r="E199" s="29" cm="1">
        <f t="array" ref="E199">Common_InputFunctions.Utility_DisplayArrayInTable(Common_SourceData.Common_SourceData_EFN2O_Data(), Table_SourceData_Common_EFN2O[[#Headers],[Production system j]], 0)</f>
        <v>1.8E-3</v>
      </c>
      <c r="F199" s="29" t="str" cm="1">
        <f t="array" ref="F199">Common_InputFunctions.Utility_DisplayArrayInTable(Common_SourceData.Common_SourceData_EFN2O_Data(), Table_SourceData_Common_EFN2O[[#Headers],[Production system j]], 0)</f>
        <v>Forestry</v>
      </c>
      <c r="G199" s="29" t="str" cm="1">
        <f t="array" ref="G199">Common_InputFunctions.Utility_DisplayArrayInTable(Common_SourceData.Common_SourceData_EFN2O_Data(), Table_SourceData_Common_EFN2O[[#Headers],[Production system j]], 0)</f>
        <v>Any</v>
      </c>
      <c r="H199" s="29"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27" t="str" cm="1">
        <f t="array" ref="D203">Common_SourceData.Common_SourceData_EFPastureRangeAndPaddock_Source()</f>
        <v>VEERG 2026: Table A.2.2.2</v>
      </c>
    </row>
    <row r="204" spans="4:8" x14ac:dyDescent="0.25">
      <c r="D204" s="35" t="str" cm="1">
        <f t="array" ref="D204">Common_SourceData.Common_SourceData_EFPastureRangeAndPaddock_Variation()</f>
        <v>VARIATION FROM SOURCE DATA: Changed 'Dry climate zones' to singular 'Dry climate zone' to aid lookup.</v>
      </c>
    </row>
    <row r="205" spans="4:8" x14ac:dyDescent="0.25">
      <c r="D205" s="15" t="str" cm="1">
        <f t="array" ref="D205">Common_SourceData.Common_SourceData_EFPastureRangeAndPaddock_Unit()</f>
        <v>kg N2O - N / kg N</v>
      </c>
    </row>
    <row r="206" spans="4:8" x14ac:dyDescent="0.25">
      <c r="D206" s="29" t="s">
        <v>32</v>
      </c>
      <c r="E206" s="29" t="s">
        <v>66</v>
      </c>
    </row>
    <row r="207" spans="4:8" x14ac:dyDescent="0.25">
      <c r="D207" s="29" t="str" cm="1">
        <f t="array" ref="D207">Common_InputFunctions.Utility_DisplayArrayInTable(Common_SourceData.Common_SourceData_EFPastureRangeAndPaddock_Data(), Table_SourceData_EFPastureRangeAndPaddock[[#Headers],[Climate zone]], 0)</f>
        <v>Wet climate zone</v>
      </c>
      <c r="E207" s="2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9" t="s">
        <v>67</v>
      </c>
      <c r="E212" s="29" t="s">
        <v>68</v>
      </c>
    </row>
    <row r="213" spans="4:5" x14ac:dyDescent="0.25">
      <c r="D213" s="29" t="str" cm="1">
        <f t="array" ref="D213">Common_InputFunctions.Utility_DisplayArrayInTable(Common_SourceData.Common_SourceData_MonthsToSeasons_Data(), Table_SourceData_Common_MonthToSeason[[#Headers],[Month]], 0)</f>
        <v>January</v>
      </c>
      <c r="E213" s="2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9"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27" t="str" cm="1">
        <f t="array" ref="D228">Common_SourceData.Common_SourceData_MCFTemperatureZone_Source()</f>
        <v>VEERG 2026: Table A.1.8.1</v>
      </c>
    </row>
    <row r="229" spans="4:19" x14ac:dyDescent="0.25">
      <c r="D229" s="3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9" t="s">
        <v>69</v>
      </c>
      <c r="E231" s="29" t="s">
        <v>70</v>
      </c>
      <c r="F231" s="36" t="s">
        <v>71</v>
      </c>
      <c r="G231" s="29" t="s">
        <v>72</v>
      </c>
      <c r="H231" s="29" t="s">
        <v>73</v>
      </c>
      <c r="I231" s="29" t="s">
        <v>74</v>
      </c>
      <c r="J231" s="29" t="s">
        <v>75</v>
      </c>
      <c r="K231" s="29" t="s">
        <v>76</v>
      </c>
      <c r="L231" s="29" t="s">
        <v>77</v>
      </c>
      <c r="M231" s="29" t="s">
        <v>78</v>
      </c>
      <c r="N231" s="29" t="s">
        <v>79</v>
      </c>
      <c r="O231" s="29" t="s">
        <v>80</v>
      </c>
      <c r="P231" s="29" t="s">
        <v>81</v>
      </c>
      <c r="Q231" s="29" t="s">
        <v>82</v>
      </c>
      <c r="R231" s="29" t="s">
        <v>83</v>
      </c>
      <c r="S231" s="29" t="s">
        <v>84</v>
      </c>
    </row>
    <row r="232" spans="4:19" x14ac:dyDescent="0.25">
      <c r="D232" s="29" t="str" cm="1">
        <f t="array" ref="D232">Common_InputFunctions.Utility_DisplayArrayInTable(Common_SourceData.Common_SourceData_MCFTemperatureZone_Data(),Table_SourceData_Common_MCFTemperatureZone[[#Headers],[Temperature zone]],0)</f>
        <v>Cool</v>
      </c>
      <c r="E232" s="29" t="str" cm="1">
        <f t="array" ref="E232">Common_InputFunctions.Utility_DisplayArrayInTable(Common_SourceData.Common_SourceData_MCFTemperatureZone_Data(),Table_SourceData_Common_MCFTemperatureZone[[#Headers],[Temperature zone]],0)</f>
        <v>≤10</v>
      </c>
      <c r="F232" s="29" cm="1">
        <f t="array" ref="F232">Common_InputFunctions.Utility_DisplayArrayInTable(Common_SourceData.Common_SourceData_MCFTemperatureZone_Data(),Table_SourceData_Common_MCFTemperatureZone[[#Headers],[Temperature zone]],0)</f>
        <v>0.66</v>
      </c>
      <c r="G232" s="29" cm="1">
        <f t="array" ref="G232">Common_InputFunctions.Utility_DisplayArrayInTable(Common_SourceData.Common_SourceData_MCFTemperatureZone_Data(),Table_SourceData_Common_MCFTemperatureZone[[#Headers],[Temperature zone]],0)</f>
        <v>0.1</v>
      </c>
      <c r="H232" s="29" cm="1">
        <f t="array" ref="H232">Common_InputFunctions.Utility_DisplayArrayInTable(Common_SourceData.Common_SourceData_MCFTemperatureZone_Data(),Table_SourceData_Common_MCFTemperatureZone[[#Headers],[Temperature zone]],0)</f>
        <v>0.1</v>
      </c>
      <c r="I232" s="29" cm="1">
        <f t="array" ref="I232">Common_InputFunctions.Utility_DisplayArrayInTable(Common_SourceData.Common_SourceData_MCFTemperatureZone_Data(),Table_SourceData_Common_MCFTemperatureZone[[#Headers],[Temperature zone]],0)</f>
        <v>1E-3</v>
      </c>
      <c r="J232" s="29" cm="1">
        <f t="array" ref="J232">Common_InputFunctions.Utility_DisplayArrayInTable(Common_SourceData.Common_SourceData_MCFTemperatureZone_Data(),Table_SourceData_Common_MCFTemperatureZone[[#Headers],[Temperature zone]],0)</f>
        <v>5.0000000000000001E-3</v>
      </c>
      <c r="K232" s="29" cm="1">
        <f t="array" ref="K232">Common_InputFunctions.Utility_DisplayArrayInTable(Common_SourceData.Common_SourceData_MCFTemperatureZone_Data(),Table_SourceData_Common_MCFTemperatureZone[[#Headers],[Temperature zone]],0)</f>
        <v>0.02</v>
      </c>
      <c r="L232" s="29" cm="1">
        <f t="array" ref="L232">Common_InputFunctions.Utility_DisplayArrayInTable(Common_SourceData.Common_SourceData_MCFTemperatureZone_Data(),Table_SourceData_Common_MCFTemperatureZone[[#Headers],[Temperature zone]],0)</f>
        <v>0.03</v>
      </c>
      <c r="M232" s="29" cm="1">
        <f t="array" ref="M232">Common_InputFunctions.Utility_DisplayArrayInTable(Common_SourceData.Common_SourceData_MCFTemperatureZone_Data(),Table_SourceData_Common_MCFTemperatureZone[[#Headers],[Temperature zone]],0)</f>
        <v>0.04</v>
      </c>
      <c r="N232" s="29" cm="1">
        <f t="array" ref="N232">Common_InputFunctions.Utility_DisplayArrayInTable(Common_SourceData.Common_SourceData_MCFTemperatureZone_Data(),Table_SourceData_Common_MCFTemperatureZone[[#Headers],[Temperature zone]],0)</f>
        <v>1.4999999999999999E-2</v>
      </c>
      <c r="O232" s="29" cm="1">
        <f t="array" ref="O232">Common_InputFunctions.Utility_DisplayArrayInTable(Common_SourceData.Common_SourceData_MCFTemperatureZone_Data(),Table_SourceData_Common_MCFTemperatureZone[[#Headers],[Temperature zone]],0)</f>
        <v>1.4999999999999999E-2</v>
      </c>
      <c r="P232" s="29" cm="1">
        <f t="array" ref="P232">Common_InputFunctions.Utility_DisplayArrayInTable(Common_SourceData.Common_SourceData_MCFTemperatureZone_Data(),Table_SourceData_Common_MCFTemperatureZone[[#Headers],[Temperature zone]],0)</f>
        <v>0</v>
      </c>
      <c r="Q232" s="29" cm="1">
        <f t="array" ref="Q232">Common_InputFunctions.Utility_DisplayArrayInTable(Common_SourceData.Common_SourceData_MCFTemperatureZone_Data(),Table_SourceData_Common_MCFTemperatureZone[[#Headers],[Temperature zone]],0)</f>
        <v>0</v>
      </c>
      <c r="R232" s="29" cm="1">
        <f t="array" ref="R232">Common_InputFunctions.Utility_DisplayArrayInTable(Common_SourceData.Common_SourceData_MCFTemperatureZone_Data(),Table_SourceData_Common_MCFTemperatureZone[[#Headers],[Temperature zone]],0)</f>
        <v>4.7000000000000002E-3</v>
      </c>
      <c r="S232" s="2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9" cm="1">
        <f t="array" ref="E233">Common_InputFunctions.Utility_DisplayArrayInTable(Common_SourceData.Common_SourceData_MCFTemperatureZone_Data(),Table_SourceData_Common_MCFTemperatureZone[[#Headers],[Temperature zone]],0)</f>
        <v>11</v>
      </c>
      <c r="F233" s="29" cm="1">
        <f t="array" ref="F233">Common_InputFunctions.Utility_DisplayArrayInTable(Common_SourceData.Common_SourceData_MCFTemperatureZone_Data(),Table_SourceData_Common_MCFTemperatureZone[[#Headers],[Temperature zone]],0)</f>
        <v>0.68</v>
      </c>
      <c r="G233" s="29" cm="1">
        <f t="array" ref="G233">Common_InputFunctions.Utility_DisplayArrayInTable(Common_SourceData.Common_SourceData_MCFTemperatureZone_Data(),Table_SourceData_Common_MCFTemperatureZone[[#Headers],[Temperature zone]],0)</f>
        <v>0.1</v>
      </c>
      <c r="H233" s="29" cm="1">
        <f t="array" ref="H233">Common_InputFunctions.Utility_DisplayArrayInTable(Common_SourceData.Common_SourceData_MCFTemperatureZone_Data(),Table_SourceData_Common_MCFTemperatureZone[[#Headers],[Temperature zone]],0)</f>
        <v>0.11</v>
      </c>
      <c r="I233" s="29" cm="1">
        <f t="array" ref="I233">Common_InputFunctions.Utility_DisplayArrayInTable(Common_SourceData.Common_SourceData_MCFTemperatureZone_Data(),Table_SourceData_Common_MCFTemperatureZone[[#Headers],[Temperature zone]],0)</f>
        <v>1E-3</v>
      </c>
      <c r="J233" s="29" cm="1">
        <f t="array" ref="J233">Common_InputFunctions.Utility_DisplayArrayInTable(Common_SourceData.Common_SourceData_MCFTemperatureZone_Data(),Table_SourceData_Common_MCFTemperatureZone[[#Headers],[Temperature zone]],0)</f>
        <v>5.0000000000000001E-3</v>
      </c>
      <c r="K233" s="29" cm="1">
        <f t="array" ref="K233">Common_InputFunctions.Utility_DisplayArrayInTable(Common_SourceData.Common_SourceData_MCFTemperatureZone_Data(),Table_SourceData_Common_MCFTemperatureZone[[#Headers],[Temperature zone]],0)</f>
        <v>0.02</v>
      </c>
      <c r="L233" s="29" cm="1">
        <f t="array" ref="L233">Common_InputFunctions.Utility_DisplayArrayInTable(Common_SourceData.Common_SourceData_MCFTemperatureZone_Data(),Table_SourceData_Common_MCFTemperatureZone[[#Headers],[Temperature zone]],0)</f>
        <v>0.03</v>
      </c>
      <c r="M233" s="29" cm="1">
        <f t="array" ref="M233">Common_InputFunctions.Utility_DisplayArrayInTable(Common_SourceData.Common_SourceData_MCFTemperatureZone_Data(),Table_SourceData_Common_MCFTemperatureZone[[#Headers],[Temperature zone]],0)</f>
        <v>0.04</v>
      </c>
      <c r="N233" s="29" cm="1">
        <f t="array" ref="N233">Common_InputFunctions.Utility_DisplayArrayInTable(Common_SourceData.Common_SourceData_MCFTemperatureZone_Data(),Table_SourceData_Common_MCFTemperatureZone[[#Headers],[Temperature zone]],0)</f>
        <v>1.4999999999999999E-2</v>
      </c>
      <c r="O233" s="29" cm="1">
        <f t="array" ref="O233">Common_InputFunctions.Utility_DisplayArrayInTable(Common_SourceData.Common_SourceData_MCFTemperatureZone_Data(),Table_SourceData_Common_MCFTemperatureZone[[#Headers],[Temperature zone]],0)</f>
        <v>1.4999999999999999E-2</v>
      </c>
      <c r="P233" s="29" cm="1">
        <f t="array" ref="P233">Common_InputFunctions.Utility_DisplayArrayInTable(Common_SourceData.Common_SourceData_MCFTemperatureZone_Data(),Table_SourceData_Common_MCFTemperatureZone[[#Headers],[Temperature zone]],0)</f>
        <v>0</v>
      </c>
      <c r="Q233" s="29" cm="1">
        <f t="array" ref="Q233">Common_InputFunctions.Utility_DisplayArrayInTable(Common_SourceData.Common_SourceData_MCFTemperatureZone_Data(),Table_SourceData_Common_MCFTemperatureZone[[#Headers],[Temperature zone]],0)</f>
        <v>0</v>
      </c>
      <c r="R233" s="29" cm="1">
        <f t="array" ref="R233">Common_InputFunctions.Utility_DisplayArrayInTable(Common_SourceData.Common_SourceData_MCFTemperatureZone_Data(),Table_SourceData_Common_MCFTemperatureZone[[#Headers],[Temperature zone]],0)</f>
        <v>4.7000000000000002E-3</v>
      </c>
      <c r="S233" s="2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9" cm="1">
        <f t="array" ref="E234">Common_InputFunctions.Utility_DisplayArrayInTable(Common_SourceData.Common_SourceData_MCFTemperatureZone_Data(),Table_SourceData_Common_MCFTemperatureZone[[#Headers],[Temperature zone]],0)</f>
        <v>12</v>
      </c>
      <c r="F234" s="29" cm="1">
        <f t="array" ref="F234">Common_InputFunctions.Utility_DisplayArrayInTable(Common_SourceData.Common_SourceData_MCFTemperatureZone_Data(),Table_SourceData_Common_MCFTemperatureZone[[#Headers],[Temperature zone]],0)</f>
        <v>0.7</v>
      </c>
      <c r="G234" s="29" cm="1">
        <f t="array" ref="G234">Common_InputFunctions.Utility_DisplayArrayInTable(Common_SourceData.Common_SourceData_MCFTemperatureZone_Data(),Table_SourceData_Common_MCFTemperatureZone[[#Headers],[Temperature zone]],0)</f>
        <v>0.1</v>
      </c>
      <c r="H234" s="29" cm="1">
        <f t="array" ref="H234">Common_InputFunctions.Utility_DisplayArrayInTable(Common_SourceData.Common_SourceData_MCFTemperatureZone_Data(),Table_SourceData_Common_MCFTemperatureZone[[#Headers],[Temperature zone]],0)</f>
        <v>0.13</v>
      </c>
      <c r="I234" s="29" cm="1">
        <f t="array" ref="I234">Common_InputFunctions.Utility_DisplayArrayInTable(Common_SourceData.Common_SourceData_MCFTemperatureZone_Data(),Table_SourceData_Common_MCFTemperatureZone[[#Headers],[Temperature zone]],0)</f>
        <v>1E-3</v>
      </c>
      <c r="J234" s="29" cm="1">
        <f t="array" ref="J234">Common_InputFunctions.Utility_DisplayArrayInTable(Common_SourceData.Common_SourceData_MCFTemperatureZone_Data(),Table_SourceData_Common_MCFTemperatureZone[[#Headers],[Temperature zone]],0)</f>
        <v>5.0000000000000001E-3</v>
      </c>
      <c r="K234" s="29" cm="1">
        <f t="array" ref="K234">Common_InputFunctions.Utility_DisplayArrayInTable(Common_SourceData.Common_SourceData_MCFTemperatureZone_Data(),Table_SourceData_Common_MCFTemperatureZone[[#Headers],[Temperature zone]],0)</f>
        <v>0.02</v>
      </c>
      <c r="L234" s="29" cm="1">
        <f t="array" ref="L234">Common_InputFunctions.Utility_DisplayArrayInTable(Common_SourceData.Common_SourceData_MCFTemperatureZone_Data(),Table_SourceData_Common_MCFTemperatureZone[[#Headers],[Temperature zone]],0)</f>
        <v>0.03</v>
      </c>
      <c r="M234" s="29" cm="1">
        <f t="array" ref="M234">Common_InputFunctions.Utility_DisplayArrayInTable(Common_SourceData.Common_SourceData_MCFTemperatureZone_Data(),Table_SourceData_Common_MCFTemperatureZone[[#Headers],[Temperature zone]],0)</f>
        <v>0.04</v>
      </c>
      <c r="N234" s="29" cm="1">
        <f t="array" ref="N234">Common_InputFunctions.Utility_DisplayArrayInTable(Common_SourceData.Common_SourceData_MCFTemperatureZone_Data(),Table_SourceData_Common_MCFTemperatureZone[[#Headers],[Temperature zone]],0)</f>
        <v>1.4999999999999999E-2</v>
      </c>
      <c r="O234" s="29" cm="1">
        <f t="array" ref="O234">Common_InputFunctions.Utility_DisplayArrayInTable(Common_SourceData.Common_SourceData_MCFTemperatureZone_Data(),Table_SourceData_Common_MCFTemperatureZone[[#Headers],[Temperature zone]],0)</f>
        <v>1.4999999999999999E-2</v>
      </c>
      <c r="P234" s="29" cm="1">
        <f t="array" ref="P234">Common_InputFunctions.Utility_DisplayArrayInTable(Common_SourceData.Common_SourceData_MCFTemperatureZone_Data(),Table_SourceData_Common_MCFTemperatureZone[[#Headers],[Temperature zone]],0)</f>
        <v>0</v>
      </c>
      <c r="Q234" s="29" cm="1">
        <f t="array" ref="Q234">Common_InputFunctions.Utility_DisplayArrayInTable(Common_SourceData.Common_SourceData_MCFTemperatureZone_Data(),Table_SourceData_Common_MCFTemperatureZone[[#Headers],[Temperature zone]],0)</f>
        <v>0</v>
      </c>
      <c r="R234" s="29" cm="1">
        <f t="array" ref="R234">Common_InputFunctions.Utility_DisplayArrayInTable(Common_SourceData.Common_SourceData_MCFTemperatureZone_Data(),Table_SourceData_Common_MCFTemperatureZone[[#Headers],[Temperature zone]],0)</f>
        <v>4.7000000000000002E-3</v>
      </c>
      <c r="S234" s="2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9" cm="1">
        <f t="array" ref="E235">Common_InputFunctions.Utility_DisplayArrayInTable(Common_SourceData.Common_SourceData_MCFTemperatureZone_Data(),Table_SourceData_Common_MCFTemperatureZone[[#Headers],[Temperature zone]],0)</f>
        <v>13</v>
      </c>
      <c r="F235" s="29" cm="1">
        <f t="array" ref="F235">Common_InputFunctions.Utility_DisplayArrayInTable(Common_SourceData.Common_SourceData_MCFTemperatureZone_Data(),Table_SourceData_Common_MCFTemperatureZone[[#Headers],[Temperature zone]],0)</f>
        <v>0.71</v>
      </c>
      <c r="G235" s="29" cm="1">
        <f t="array" ref="G235">Common_InputFunctions.Utility_DisplayArrayInTable(Common_SourceData.Common_SourceData_MCFTemperatureZone_Data(),Table_SourceData_Common_MCFTemperatureZone[[#Headers],[Temperature zone]],0)</f>
        <v>0.1</v>
      </c>
      <c r="H235" s="29" cm="1">
        <f t="array" ref="H235">Common_InputFunctions.Utility_DisplayArrayInTable(Common_SourceData.Common_SourceData_MCFTemperatureZone_Data(),Table_SourceData_Common_MCFTemperatureZone[[#Headers],[Temperature zone]],0)</f>
        <v>0.14000000000000001</v>
      </c>
      <c r="I235" s="29" cm="1">
        <f t="array" ref="I235">Common_InputFunctions.Utility_DisplayArrayInTable(Common_SourceData.Common_SourceData_MCFTemperatureZone_Data(),Table_SourceData_Common_MCFTemperatureZone[[#Headers],[Temperature zone]],0)</f>
        <v>1E-3</v>
      </c>
      <c r="J235" s="29" cm="1">
        <f t="array" ref="J235">Common_InputFunctions.Utility_DisplayArrayInTable(Common_SourceData.Common_SourceData_MCFTemperatureZone_Data(),Table_SourceData_Common_MCFTemperatureZone[[#Headers],[Temperature zone]],0)</f>
        <v>5.0000000000000001E-3</v>
      </c>
      <c r="K235" s="29" cm="1">
        <f t="array" ref="K235">Common_InputFunctions.Utility_DisplayArrayInTable(Common_SourceData.Common_SourceData_MCFTemperatureZone_Data(),Table_SourceData_Common_MCFTemperatureZone[[#Headers],[Temperature zone]],0)</f>
        <v>0.02</v>
      </c>
      <c r="L235" s="29" cm="1">
        <f t="array" ref="L235">Common_InputFunctions.Utility_DisplayArrayInTable(Common_SourceData.Common_SourceData_MCFTemperatureZone_Data(),Table_SourceData_Common_MCFTemperatureZone[[#Headers],[Temperature zone]],0)</f>
        <v>0.03</v>
      </c>
      <c r="M235" s="29" cm="1">
        <f t="array" ref="M235">Common_InputFunctions.Utility_DisplayArrayInTable(Common_SourceData.Common_SourceData_MCFTemperatureZone_Data(),Table_SourceData_Common_MCFTemperatureZone[[#Headers],[Temperature zone]],0)</f>
        <v>0.04</v>
      </c>
      <c r="N235" s="29" cm="1">
        <f t="array" ref="N235">Common_InputFunctions.Utility_DisplayArrayInTable(Common_SourceData.Common_SourceData_MCFTemperatureZone_Data(),Table_SourceData_Common_MCFTemperatureZone[[#Headers],[Temperature zone]],0)</f>
        <v>1.4999999999999999E-2</v>
      </c>
      <c r="O235" s="29" cm="1">
        <f t="array" ref="O235">Common_InputFunctions.Utility_DisplayArrayInTable(Common_SourceData.Common_SourceData_MCFTemperatureZone_Data(),Table_SourceData_Common_MCFTemperatureZone[[#Headers],[Temperature zone]],0)</f>
        <v>1.4999999999999999E-2</v>
      </c>
      <c r="P235" s="29" cm="1">
        <f t="array" ref="P235">Common_InputFunctions.Utility_DisplayArrayInTable(Common_SourceData.Common_SourceData_MCFTemperatureZone_Data(),Table_SourceData_Common_MCFTemperatureZone[[#Headers],[Temperature zone]],0)</f>
        <v>0</v>
      </c>
      <c r="Q235" s="29" cm="1">
        <f t="array" ref="Q235">Common_InputFunctions.Utility_DisplayArrayInTable(Common_SourceData.Common_SourceData_MCFTemperatureZone_Data(),Table_SourceData_Common_MCFTemperatureZone[[#Headers],[Temperature zone]],0)</f>
        <v>0</v>
      </c>
      <c r="R235" s="29" cm="1">
        <f t="array" ref="R235">Common_InputFunctions.Utility_DisplayArrayInTable(Common_SourceData.Common_SourceData_MCFTemperatureZone_Data(),Table_SourceData_Common_MCFTemperatureZone[[#Headers],[Temperature zone]],0)</f>
        <v>4.7000000000000002E-3</v>
      </c>
      <c r="S235" s="2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9" cm="1">
        <f t="array" ref="E236">Common_InputFunctions.Utility_DisplayArrayInTable(Common_SourceData.Common_SourceData_MCFTemperatureZone_Data(),Table_SourceData_Common_MCFTemperatureZone[[#Headers],[Temperature zone]],0)</f>
        <v>14</v>
      </c>
      <c r="F236" s="29" cm="1">
        <f t="array" ref="F236">Common_InputFunctions.Utility_DisplayArrayInTable(Common_SourceData.Common_SourceData_MCFTemperatureZone_Data(),Table_SourceData_Common_MCFTemperatureZone[[#Headers],[Temperature zone]],0)</f>
        <v>0.73</v>
      </c>
      <c r="G236" s="29" cm="1">
        <f t="array" ref="G236">Common_InputFunctions.Utility_DisplayArrayInTable(Common_SourceData.Common_SourceData_MCFTemperatureZone_Data(),Table_SourceData_Common_MCFTemperatureZone[[#Headers],[Temperature zone]],0)</f>
        <v>0.1</v>
      </c>
      <c r="H236" s="29" cm="1">
        <f t="array" ref="H236">Common_InputFunctions.Utility_DisplayArrayInTable(Common_SourceData.Common_SourceData_MCFTemperatureZone_Data(),Table_SourceData_Common_MCFTemperatureZone[[#Headers],[Temperature zone]],0)</f>
        <v>0.15</v>
      </c>
      <c r="I236" s="29" cm="1">
        <f t="array" ref="I236">Common_InputFunctions.Utility_DisplayArrayInTable(Common_SourceData.Common_SourceData_MCFTemperatureZone_Data(),Table_SourceData_Common_MCFTemperatureZone[[#Headers],[Temperature zone]],0)</f>
        <v>1E-3</v>
      </c>
      <c r="J236" s="29" cm="1">
        <f t="array" ref="J236">Common_InputFunctions.Utility_DisplayArrayInTable(Common_SourceData.Common_SourceData_MCFTemperatureZone_Data(),Table_SourceData_Common_MCFTemperatureZone[[#Headers],[Temperature zone]],0)</f>
        <v>5.0000000000000001E-3</v>
      </c>
      <c r="K236" s="29" cm="1">
        <f t="array" ref="K236">Common_InputFunctions.Utility_DisplayArrayInTable(Common_SourceData.Common_SourceData_MCFTemperatureZone_Data(),Table_SourceData_Common_MCFTemperatureZone[[#Headers],[Temperature zone]],0)</f>
        <v>0.02</v>
      </c>
      <c r="L236" s="29" cm="1">
        <f t="array" ref="L236">Common_InputFunctions.Utility_DisplayArrayInTable(Common_SourceData.Common_SourceData_MCFTemperatureZone_Data(),Table_SourceData_Common_MCFTemperatureZone[[#Headers],[Temperature zone]],0)</f>
        <v>0.03</v>
      </c>
      <c r="M236" s="29" cm="1">
        <f t="array" ref="M236">Common_InputFunctions.Utility_DisplayArrayInTable(Common_SourceData.Common_SourceData_MCFTemperatureZone_Data(),Table_SourceData_Common_MCFTemperatureZone[[#Headers],[Temperature zone]],0)</f>
        <v>0.04</v>
      </c>
      <c r="N236" s="29" cm="1">
        <f t="array" ref="N236">Common_InputFunctions.Utility_DisplayArrayInTable(Common_SourceData.Common_SourceData_MCFTemperatureZone_Data(),Table_SourceData_Common_MCFTemperatureZone[[#Headers],[Temperature zone]],0)</f>
        <v>1.4999999999999999E-2</v>
      </c>
      <c r="O236" s="29" cm="1">
        <f t="array" ref="O236">Common_InputFunctions.Utility_DisplayArrayInTable(Common_SourceData.Common_SourceData_MCFTemperatureZone_Data(),Table_SourceData_Common_MCFTemperatureZone[[#Headers],[Temperature zone]],0)</f>
        <v>1.4999999999999999E-2</v>
      </c>
      <c r="P236" s="29" cm="1">
        <f t="array" ref="P236">Common_InputFunctions.Utility_DisplayArrayInTable(Common_SourceData.Common_SourceData_MCFTemperatureZone_Data(),Table_SourceData_Common_MCFTemperatureZone[[#Headers],[Temperature zone]],0)</f>
        <v>0</v>
      </c>
      <c r="Q236" s="29" cm="1">
        <f t="array" ref="Q236">Common_InputFunctions.Utility_DisplayArrayInTable(Common_SourceData.Common_SourceData_MCFTemperatureZone_Data(),Table_SourceData_Common_MCFTemperatureZone[[#Headers],[Temperature zone]],0)</f>
        <v>0</v>
      </c>
      <c r="R236" s="29" cm="1">
        <f t="array" ref="R236">Common_InputFunctions.Utility_DisplayArrayInTable(Common_SourceData.Common_SourceData_MCFTemperatureZone_Data(),Table_SourceData_Common_MCFTemperatureZone[[#Headers],[Temperature zone]],0)</f>
        <v>4.7000000000000002E-3</v>
      </c>
      <c r="S236" s="2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9" cm="1">
        <f t="array" ref="E237">Common_InputFunctions.Utility_DisplayArrayInTable(Common_SourceData.Common_SourceData_MCFTemperatureZone_Data(),Table_SourceData_Common_MCFTemperatureZone[[#Headers],[Temperature zone]],0)</f>
        <v>15</v>
      </c>
      <c r="F237" s="29" cm="1">
        <f t="array" ref="F237">Common_InputFunctions.Utility_DisplayArrayInTable(Common_SourceData.Common_SourceData_MCFTemperatureZone_Data(),Table_SourceData_Common_MCFTemperatureZone[[#Headers],[Temperature zone]],0)</f>
        <v>0.74</v>
      </c>
      <c r="G237" s="29" cm="1">
        <f t="array" ref="G237">Common_InputFunctions.Utility_DisplayArrayInTable(Common_SourceData.Common_SourceData_MCFTemperatureZone_Data(),Table_SourceData_Common_MCFTemperatureZone[[#Headers],[Temperature zone]],0)</f>
        <v>0.1</v>
      </c>
      <c r="H237" s="29" cm="1">
        <f t="array" ref="H237">Common_InputFunctions.Utility_DisplayArrayInTable(Common_SourceData.Common_SourceData_MCFTemperatureZone_Data(),Table_SourceData_Common_MCFTemperatureZone[[#Headers],[Temperature zone]],0)</f>
        <v>0.17</v>
      </c>
      <c r="I237" s="29" cm="1">
        <f t="array" ref="I237">Common_InputFunctions.Utility_DisplayArrayInTable(Common_SourceData.Common_SourceData_MCFTemperatureZone_Data(),Table_SourceData_Common_MCFTemperatureZone[[#Headers],[Temperature zone]],0)</f>
        <v>5.0000000000000001E-3</v>
      </c>
      <c r="J237" s="29" cm="1">
        <f t="array" ref="J237">Common_InputFunctions.Utility_DisplayArrayInTable(Common_SourceData.Common_SourceData_MCFTemperatureZone_Data(),Table_SourceData_Common_MCFTemperatureZone[[#Headers],[Temperature zone]],0)</f>
        <v>0.01</v>
      </c>
      <c r="K237" s="29" cm="1">
        <f t="array" ref="K237">Common_InputFunctions.Utility_DisplayArrayInTable(Common_SourceData.Common_SourceData_MCFTemperatureZone_Data(),Table_SourceData_Common_MCFTemperatureZone[[#Headers],[Temperature zone]],0)</f>
        <v>0.02</v>
      </c>
      <c r="L237" s="29" cm="1">
        <f t="array" ref="L237">Common_InputFunctions.Utility_DisplayArrayInTable(Common_SourceData.Common_SourceData_MCFTemperatureZone_Data(),Table_SourceData_Common_MCFTemperatureZone[[#Headers],[Temperature zone]],0)</f>
        <v>0.03</v>
      </c>
      <c r="M237" s="29" cm="1">
        <f t="array" ref="M237">Common_InputFunctions.Utility_DisplayArrayInTable(Common_SourceData.Common_SourceData_MCFTemperatureZone_Data(),Table_SourceData_Common_MCFTemperatureZone[[#Headers],[Temperature zone]],0)</f>
        <v>0.04</v>
      </c>
      <c r="N237" s="29" cm="1">
        <f t="array" ref="N237">Common_InputFunctions.Utility_DisplayArrayInTable(Common_SourceData.Common_SourceData_MCFTemperatureZone_Data(),Table_SourceData_Common_MCFTemperatureZone[[#Headers],[Temperature zone]],0)</f>
        <v>1.4999999999999999E-2</v>
      </c>
      <c r="O237" s="29" cm="1">
        <f t="array" ref="O237">Common_InputFunctions.Utility_DisplayArrayInTable(Common_SourceData.Common_SourceData_MCFTemperatureZone_Data(),Table_SourceData_Common_MCFTemperatureZone[[#Headers],[Temperature zone]],0)</f>
        <v>1.4999999999999999E-2</v>
      </c>
      <c r="P237" s="29" cm="1">
        <f t="array" ref="P237">Common_InputFunctions.Utility_DisplayArrayInTable(Common_SourceData.Common_SourceData_MCFTemperatureZone_Data(),Table_SourceData_Common_MCFTemperatureZone[[#Headers],[Temperature zone]],0)</f>
        <v>0</v>
      </c>
      <c r="Q237" s="29" cm="1">
        <f t="array" ref="Q237">Common_InputFunctions.Utility_DisplayArrayInTable(Common_SourceData.Common_SourceData_MCFTemperatureZone_Data(),Table_SourceData_Common_MCFTemperatureZone[[#Headers],[Temperature zone]],0)</f>
        <v>0</v>
      </c>
      <c r="R237" s="29" cm="1">
        <f t="array" ref="R237">Common_InputFunctions.Utility_DisplayArrayInTable(Common_SourceData.Common_SourceData_MCFTemperatureZone_Data(),Table_SourceData_Common_MCFTemperatureZone[[#Headers],[Temperature zone]],0)</f>
        <v>4.7000000000000002E-3</v>
      </c>
      <c r="S237" s="2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9" cm="1">
        <f t="array" ref="E238">Common_InputFunctions.Utility_DisplayArrayInTable(Common_SourceData.Common_SourceData_MCFTemperatureZone_Data(),Table_SourceData_Common_MCFTemperatureZone[[#Headers],[Temperature zone]],0)</f>
        <v>16</v>
      </c>
      <c r="F238" s="29" cm="1">
        <f t="array" ref="F238">Common_InputFunctions.Utility_DisplayArrayInTable(Common_SourceData.Common_SourceData_MCFTemperatureZone_Data(),Table_SourceData_Common_MCFTemperatureZone[[#Headers],[Temperature zone]],0)</f>
        <v>0.75</v>
      </c>
      <c r="G238" s="29" cm="1">
        <f t="array" ref="G238">Common_InputFunctions.Utility_DisplayArrayInTable(Common_SourceData.Common_SourceData_MCFTemperatureZone_Data(),Table_SourceData_Common_MCFTemperatureZone[[#Headers],[Temperature zone]],0)</f>
        <v>0.1</v>
      </c>
      <c r="H238" s="29" cm="1">
        <f t="array" ref="H238">Common_InputFunctions.Utility_DisplayArrayInTable(Common_SourceData.Common_SourceData_MCFTemperatureZone_Data(),Table_SourceData_Common_MCFTemperatureZone[[#Headers],[Temperature zone]],0)</f>
        <v>0.18</v>
      </c>
      <c r="I238" s="29" cm="1">
        <f t="array" ref="I238">Common_InputFunctions.Utility_DisplayArrayInTable(Common_SourceData.Common_SourceData_MCFTemperatureZone_Data(),Table_SourceData_Common_MCFTemperatureZone[[#Headers],[Temperature zone]],0)</f>
        <v>5.0000000000000001E-3</v>
      </c>
      <c r="J238" s="29" cm="1">
        <f t="array" ref="J238">Common_InputFunctions.Utility_DisplayArrayInTable(Common_SourceData.Common_SourceData_MCFTemperatureZone_Data(),Table_SourceData_Common_MCFTemperatureZone[[#Headers],[Temperature zone]],0)</f>
        <v>0.01</v>
      </c>
      <c r="K238" s="29" cm="1">
        <f t="array" ref="K238">Common_InputFunctions.Utility_DisplayArrayInTable(Common_SourceData.Common_SourceData_MCFTemperatureZone_Data(),Table_SourceData_Common_MCFTemperatureZone[[#Headers],[Temperature zone]],0)</f>
        <v>0.02</v>
      </c>
      <c r="L238" s="29" cm="1">
        <f t="array" ref="L238">Common_InputFunctions.Utility_DisplayArrayInTable(Common_SourceData.Common_SourceData_MCFTemperatureZone_Data(),Table_SourceData_Common_MCFTemperatureZone[[#Headers],[Temperature zone]],0)</f>
        <v>0.03</v>
      </c>
      <c r="M238" s="29" cm="1">
        <f t="array" ref="M238">Common_InputFunctions.Utility_DisplayArrayInTable(Common_SourceData.Common_SourceData_MCFTemperatureZone_Data(),Table_SourceData_Common_MCFTemperatureZone[[#Headers],[Temperature zone]],0)</f>
        <v>0.04</v>
      </c>
      <c r="N238" s="29" cm="1">
        <f t="array" ref="N238">Common_InputFunctions.Utility_DisplayArrayInTable(Common_SourceData.Common_SourceData_MCFTemperatureZone_Data(),Table_SourceData_Common_MCFTemperatureZone[[#Headers],[Temperature zone]],0)</f>
        <v>1.4999999999999999E-2</v>
      </c>
      <c r="O238" s="29" cm="1">
        <f t="array" ref="O238">Common_InputFunctions.Utility_DisplayArrayInTable(Common_SourceData.Common_SourceData_MCFTemperatureZone_Data(),Table_SourceData_Common_MCFTemperatureZone[[#Headers],[Temperature zone]],0)</f>
        <v>1.4999999999999999E-2</v>
      </c>
      <c r="P238" s="29" cm="1">
        <f t="array" ref="P238">Common_InputFunctions.Utility_DisplayArrayInTable(Common_SourceData.Common_SourceData_MCFTemperatureZone_Data(),Table_SourceData_Common_MCFTemperatureZone[[#Headers],[Temperature zone]],0)</f>
        <v>0</v>
      </c>
      <c r="Q238" s="29" cm="1">
        <f t="array" ref="Q238">Common_InputFunctions.Utility_DisplayArrayInTable(Common_SourceData.Common_SourceData_MCFTemperatureZone_Data(),Table_SourceData_Common_MCFTemperatureZone[[#Headers],[Temperature zone]],0)</f>
        <v>0</v>
      </c>
      <c r="R238" s="29" cm="1">
        <f t="array" ref="R238">Common_InputFunctions.Utility_DisplayArrayInTable(Common_SourceData.Common_SourceData_MCFTemperatureZone_Data(),Table_SourceData_Common_MCFTemperatureZone[[#Headers],[Temperature zone]],0)</f>
        <v>4.7000000000000002E-3</v>
      </c>
      <c r="S238" s="2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9" cm="1">
        <f t="array" ref="E239">Common_InputFunctions.Utility_DisplayArrayInTable(Common_SourceData.Common_SourceData_MCFTemperatureZone_Data(),Table_SourceData_Common_MCFTemperatureZone[[#Headers],[Temperature zone]],0)</f>
        <v>17</v>
      </c>
      <c r="F239" s="29" cm="1">
        <f t="array" ref="F239">Common_InputFunctions.Utility_DisplayArrayInTable(Common_SourceData.Common_SourceData_MCFTemperatureZone_Data(),Table_SourceData_Common_MCFTemperatureZone[[#Headers],[Temperature zone]],0)</f>
        <v>0.76</v>
      </c>
      <c r="G239" s="29" cm="1">
        <f t="array" ref="G239">Common_InputFunctions.Utility_DisplayArrayInTable(Common_SourceData.Common_SourceData_MCFTemperatureZone_Data(),Table_SourceData_Common_MCFTemperatureZone[[#Headers],[Temperature zone]],0)</f>
        <v>0.1</v>
      </c>
      <c r="H239" s="29" cm="1">
        <f t="array" ref="H239">Common_InputFunctions.Utility_DisplayArrayInTable(Common_SourceData.Common_SourceData_MCFTemperatureZone_Data(),Table_SourceData_Common_MCFTemperatureZone[[#Headers],[Temperature zone]],0)</f>
        <v>0.2</v>
      </c>
      <c r="I239" s="29" cm="1">
        <f t="array" ref="I239">Common_InputFunctions.Utility_DisplayArrayInTable(Common_SourceData.Common_SourceData_MCFTemperatureZone_Data(),Table_SourceData_Common_MCFTemperatureZone[[#Headers],[Temperature zone]],0)</f>
        <v>5.0000000000000001E-3</v>
      </c>
      <c r="J239" s="29" cm="1">
        <f t="array" ref="J239">Common_InputFunctions.Utility_DisplayArrayInTable(Common_SourceData.Common_SourceData_MCFTemperatureZone_Data(),Table_SourceData_Common_MCFTemperatureZone[[#Headers],[Temperature zone]],0)</f>
        <v>0.01</v>
      </c>
      <c r="K239" s="29" cm="1">
        <f t="array" ref="K239">Common_InputFunctions.Utility_DisplayArrayInTable(Common_SourceData.Common_SourceData_MCFTemperatureZone_Data(),Table_SourceData_Common_MCFTemperatureZone[[#Headers],[Temperature zone]],0)</f>
        <v>0.02</v>
      </c>
      <c r="L239" s="29" cm="1">
        <f t="array" ref="L239">Common_InputFunctions.Utility_DisplayArrayInTable(Common_SourceData.Common_SourceData_MCFTemperatureZone_Data(),Table_SourceData_Common_MCFTemperatureZone[[#Headers],[Temperature zone]],0)</f>
        <v>0.03</v>
      </c>
      <c r="M239" s="29" cm="1">
        <f t="array" ref="M239">Common_InputFunctions.Utility_DisplayArrayInTable(Common_SourceData.Common_SourceData_MCFTemperatureZone_Data(),Table_SourceData_Common_MCFTemperatureZone[[#Headers],[Temperature zone]],0)</f>
        <v>0.04</v>
      </c>
      <c r="N239" s="29" cm="1">
        <f t="array" ref="N239">Common_InputFunctions.Utility_DisplayArrayInTable(Common_SourceData.Common_SourceData_MCFTemperatureZone_Data(),Table_SourceData_Common_MCFTemperatureZone[[#Headers],[Temperature zone]],0)</f>
        <v>1.4999999999999999E-2</v>
      </c>
      <c r="O239" s="29" cm="1">
        <f t="array" ref="O239">Common_InputFunctions.Utility_DisplayArrayInTable(Common_SourceData.Common_SourceData_MCFTemperatureZone_Data(),Table_SourceData_Common_MCFTemperatureZone[[#Headers],[Temperature zone]],0)</f>
        <v>1.4999999999999999E-2</v>
      </c>
      <c r="P239" s="29" cm="1">
        <f t="array" ref="P239">Common_InputFunctions.Utility_DisplayArrayInTable(Common_SourceData.Common_SourceData_MCFTemperatureZone_Data(),Table_SourceData_Common_MCFTemperatureZone[[#Headers],[Temperature zone]],0)</f>
        <v>0</v>
      </c>
      <c r="Q239" s="29" cm="1">
        <f t="array" ref="Q239">Common_InputFunctions.Utility_DisplayArrayInTable(Common_SourceData.Common_SourceData_MCFTemperatureZone_Data(),Table_SourceData_Common_MCFTemperatureZone[[#Headers],[Temperature zone]],0)</f>
        <v>0</v>
      </c>
      <c r="R239" s="29" cm="1">
        <f t="array" ref="R239">Common_InputFunctions.Utility_DisplayArrayInTable(Common_SourceData.Common_SourceData_MCFTemperatureZone_Data(),Table_SourceData_Common_MCFTemperatureZone[[#Headers],[Temperature zone]],0)</f>
        <v>4.7000000000000002E-3</v>
      </c>
      <c r="S239" s="2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9" cm="1">
        <f t="array" ref="E240">Common_InputFunctions.Utility_DisplayArrayInTable(Common_SourceData.Common_SourceData_MCFTemperatureZone_Data(),Table_SourceData_Common_MCFTemperatureZone[[#Headers],[Temperature zone]],0)</f>
        <v>18</v>
      </c>
      <c r="F240" s="29" cm="1">
        <f t="array" ref="F240">Common_InputFunctions.Utility_DisplayArrayInTable(Common_SourceData.Common_SourceData_MCFTemperatureZone_Data(),Table_SourceData_Common_MCFTemperatureZone[[#Headers],[Temperature zone]],0)</f>
        <v>0.77</v>
      </c>
      <c r="G240" s="29" cm="1">
        <f t="array" ref="G240">Common_InputFunctions.Utility_DisplayArrayInTable(Common_SourceData.Common_SourceData_MCFTemperatureZone_Data(),Table_SourceData_Common_MCFTemperatureZone[[#Headers],[Temperature zone]],0)</f>
        <v>0.1</v>
      </c>
      <c r="H240" s="29" cm="1">
        <f t="array" ref="H240">Common_InputFunctions.Utility_DisplayArrayInTable(Common_SourceData.Common_SourceData_MCFTemperatureZone_Data(),Table_SourceData_Common_MCFTemperatureZone[[#Headers],[Temperature zone]],0)</f>
        <v>0.22</v>
      </c>
      <c r="I240" s="29" cm="1">
        <f t="array" ref="I240">Common_InputFunctions.Utility_DisplayArrayInTable(Common_SourceData.Common_SourceData_MCFTemperatureZone_Data(),Table_SourceData_Common_MCFTemperatureZone[[#Headers],[Temperature zone]],0)</f>
        <v>5.0000000000000001E-3</v>
      </c>
      <c r="J240" s="29" cm="1">
        <f t="array" ref="J240">Common_InputFunctions.Utility_DisplayArrayInTable(Common_SourceData.Common_SourceData_MCFTemperatureZone_Data(),Table_SourceData_Common_MCFTemperatureZone[[#Headers],[Temperature zone]],0)</f>
        <v>0.01</v>
      </c>
      <c r="K240" s="29" cm="1">
        <f t="array" ref="K240">Common_InputFunctions.Utility_DisplayArrayInTable(Common_SourceData.Common_SourceData_MCFTemperatureZone_Data(),Table_SourceData_Common_MCFTemperatureZone[[#Headers],[Temperature zone]],0)</f>
        <v>0.02</v>
      </c>
      <c r="L240" s="29" cm="1">
        <f t="array" ref="L240">Common_InputFunctions.Utility_DisplayArrayInTable(Common_SourceData.Common_SourceData_MCFTemperatureZone_Data(),Table_SourceData_Common_MCFTemperatureZone[[#Headers],[Temperature zone]],0)</f>
        <v>0.03</v>
      </c>
      <c r="M240" s="29" cm="1">
        <f t="array" ref="M240">Common_InputFunctions.Utility_DisplayArrayInTable(Common_SourceData.Common_SourceData_MCFTemperatureZone_Data(),Table_SourceData_Common_MCFTemperatureZone[[#Headers],[Temperature zone]],0)</f>
        <v>0.04</v>
      </c>
      <c r="N240" s="29" cm="1">
        <f t="array" ref="N240">Common_InputFunctions.Utility_DisplayArrayInTable(Common_SourceData.Common_SourceData_MCFTemperatureZone_Data(),Table_SourceData_Common_MCFTemperatureZone[[#Headers],[Temperature zone]],0)</f>
        <v>1.4999999999999999E-2</v>
      </c>
      <c r="O240" s="29" cm="1">
        <f t="array" ref="O240">Common_InputFunctions.Utility_DisplayArrayInTable(Common_SourceData.Common_SourceData_MCFTemperatureZone_Data(),Table_SourceData_Common_MCFTemperatureZone[[#Headers],[Temperature zone]],0)</f>
        <v>1.4999999999999999E-2</v>
      </c>
      <c r="P240" s="29" cm="1">
        <f t="array" ref="P240">Common_InputFunctions.Utility_DisplayArrayInTable(Common_SourceData.Common_SourceData_MCFTemperatureZone_Data(),Table_SourceData_Common_MCFTemperatureZone[[#Headers],[Temperature zone]],0)</f>
        <v>0</v>
      </c>
      <c r="Q240" s="29" cm="1">
        <f t="array" ref="Q240">Common_InputFunctions.Utility_DisplayArrayInTable(Common_SourceData.Common_SourceData_MCFTemperatureZone_Data(),Table_SourceData_Common_MCFTemperatureZone[[#Headers],[Temperature zone]],0)</f>
        <v>0</v>
      </c>
      <c r="R240" s="29" cm="1">
        <f t="array" ref="R240">Common_InputFunctions.Utility_DisplayArrayInTable(Common_SourceData.Common_SourceData_MCFTemperatureZone_Data(),Table_SourceData_Common_MCFTemperatureZone[[#Headers],[Temperature zone]],0)</f>
        <v>4.7000000000000002E-3</v>
      </c>
      <c r="S240" s="2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9" cm="1">
        <f t="array" ref="E241">Common_InputFunctions.Utility_DisplayArrayInTable(Common_SourceData.Common_SourceData_MCFTemperatureZone_Data(),Table_SourceData_Common_MCFTemperatureZone[[#Headers],[Temperature zone]],0)</f>
        <v>19</v>
      </c>
      <c r="F241" s="29" cm="1">
        <f t="array" ref="F241">Common_InputFunctions.Utility_DisplayArrayInTable(Common_SourceData.Common_SourceData_MCFTemperatureZone_Data(),Table_SourceData_Common_MCFTemperatureZone[[#Headers],[Temperature zone]],0)</f>
        <v>0.77</v>
      </c>
      <c r="G241" s="29" cm="1">
        <f t="array" ref="G241">Common_InputFunctions.Utility_DisplayArrayInTable(Common_SourceData.Common_SourceData_MCFTemperatureZone_Data(),Table_SourceData_Common_MCFTemperatureZone[[#Headers],[Temperature zone]],0)</f>
        <v>0.1</v>
      </c>
      <c r="H241" s="29" cm="1">
        <f t="array" ref="H241">Common_InputFunctions.Utility_DisplayArrayInTable(Common_SourceData.Common_SourceData_MCFTemperatureZone_Data(),Table_SourceData_Common_MCFTemperatureZone[[#Headers],[Temperature zone]],0)</f>
        <v>0.24</v>
      </c>
      <c r="I241" s="29" cm="1">
        <f t="array" ref="I241">Common_InputFunctions.Utility_DisplayArrayInTable(Common_SourceData.Common_SourceData_MCFTemperatureZone_Data(),Table_SourceData_Common_MCFTemperatureZone[[#Headers],[Temperature zone]],0)</f>
        <v>5.0000000000000001E-3</v>
      </c>
      <c r="J241" s="29" cm="1">
        <f t="array" ref="J241">Common_InputFunctions.Utility_DisplayArrayInTable(Common_SourceData.Common_SourceData_MCFTemperatureZone_Data(),Table_SourceData_Common_MCFTemperatureZone[[#Headers],[Temperature zone]],0)</f>
        <v>0.01</v>
      </c>
      <c r="K241" s="29" cm="1">
        <f t="array" ref="K241">Common_InputFunctions.Utility_DisplayArrayInTable(Common_SourceData.Common_SourceData_MCFTemperatureZone_Data(),Table_SourceData_Common_MCFTemperatureZone[[#Headers],[Temperature zone]],0)</f>
        <v>0.02</v>
      </c>
      <c r="L241" s="29" cm="1">
        <f t="array" ref="L241">Common_InputFunctions.Utility_DisplayArrayInTable(Common_SourceData.Common_SourceData_MCFTemperatureZone_Data(),Table_SourceData_Common_MCFTemperatureZone[[#Headers],[Temperature zone]],0)</f>
        <v>0.03</v>
      </c>
      <c r="M241" s="29" cm="1">
        <f t="array" ref="M241">Common_InputFunctions.Utility_DisplayArrayInTable(Common_SourceData.Common_SourceData_MCFTemperatureZone_Data(),Table_SourceData_Common_MCFTemperatureZone[[#Headers],[Temperature zone]],0)</f>
        <v>0.04</v>
      </c>
      <c r="N241" s="29" cm="1">
        <f t="array" ref="N241">Common_InputFunctions.Utility_DisplayArrayInTable(Common_SourceData.Common_SourceData_MCFTemperatureZone_Data(),Table_SourceData_Common_MCFTemperatureZone[[#Headers],[Temperature zone]],0)</f>
        <v>1.4999999999999999E-2</v>
      </c>
      <c r="O241" s="29" cm="1">
        <f t="array" ref="O241">Common_InputFunctions.Utility_DisplayArrayInTable(Common_SourceData.Common_SourceData_MCFTemperatureZone_Data(),Table_SourceData_Common_MCFTemperatureZone[[#Headers],[Temperature zone]],0)</f>
        <v>1.4999999999999999E-2</v>
      </c>
      <c r="P241" s="29" cm="1">
        <f t="array" ref="P241">Common_InputFunctions.Utility_DisplayArrayInTable(Common_SourceData.Common_SourceData_MCFTemperatureZone_Data(),Table_SourceData_Common_MCFTemperatureZone[[#Headers],[Temperature zone]],0)</f>
        <v>0</v>
      </c>
      <c r="Q241" s="29" cm="1">
        <f t="array" ref="Q241">Common_InputFunctions.Utility_DisplayArrayInTable(Common_SourceData.Common_SourceData_MCFTemperatureZone_Data(),Table_SourceData_Common_MCFTemperatureZone[[#Headers],[Temperature zone]],0)</f>
        <v>0</v>
      </c>
      <c r="R241" s="29" cm="1">
        <f t="array" ref="R241">Common_InputFunctions.Utility_DisplayArrayInTable(Common_SourceData.Common_SourceData_MCFTemperatureZone_Data(),Table_SourceData_Common_MCFTemperatureZone[[#Headers],[Temperature zone]],0)</f>
        <v>4.7000000000000002E-3</v>
      </c>
      <c r="S241" s="2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9" cm="1">
        <f t="array" ref="E242">Common_InputFunctions.Utility_DisplayArrayInTable(Common_SourceData.Common_SourceData_MCFTemperatureZone_Data(),Table_SourceData_Common_MCFTemperatureZone[[#Headers],[Temperature zone]],0)</f>
        <v>20</v>
      </c>
      <c r="F242" s="29" cm="1">
        <f t="array" ref="F242">Common_InputFunctions.Utility_DisplayArrayInTable(Common_SourceData.Common_SourceData_MCFTemperatureZone_Data(),Table_SourceData_Common_MCFTemperatureZone[[#Headers],[Temperature zone]],0)</f>
        <v>0.78</v>
      </c>
      <c r="G242" s="29" cm="1">
        <f t="array" ref="G242">Common_InputFunctions.Utility_DisplayArrayInTable(Common_SourceData.Common_SourceData_MCFTemperatureZone_Data(),Table_SourceData_Common_MCFTemperatureZone[[#Headers],[Temperature zone]],0)</f>
        <v>0.1</v>
      </c>
      <c r="H242" s="29" cm="1">
        <f t="array" ref="H242">Common_InputFunctions.Utility_DisplayArrayInTable(Common_SourceData.Common_SourceData_MCFTemperatureZone_Data(),Table_SourceData_Common_MCFTemperatureZone[[#Headers],[Temperature zone]],0)</f>
        <v>0.26</v>
      </c>
      <c r="I242" s="29" cm="1">
        <f t="array" ref="I242">Common_InputFunctions.Utility_DisplayArrayInTable(Common_SourceData.Common_SourceData_MCFTemperatureZone_Data(),Table_SourceData_Common_MCFTemperatureZone[[#Headers],[Temperature zone]],0)</f>
        <v>5.0000000000000001E-3</v>
      </c>
      <c r="J242" s="29" cm="1">
        <f t="array" ref="J242">Common_InputFunctions.Utility_DisplayArrayInTable(Common_SourceData.Common_SourceData_MCFTemperatureZone_Data(),Table_SourceData_Common_MCFTemperatureZone[[#Headers],[Temperature zone]],0)</f>
        <v>0.01</v>
      </c>
      <c r="K242" s="29" cm="1">
        <f t="array" ref="K242">Common_InputFunctions.Utility_DisplayArrayInTable(Common_SourceData.Common_SourceData_MCFTemperatureZone_Data(),Table_SourceData_Common_MCFTemperatureZone[[#Headers],[Temperature zone]],0)</f>
        <v>0.02</v>
      </c>
      <c r="L242" s="29" cm="1">
        <f t="array" ref="L242">Common_InputFunctions.Utility_DisplayArrayInTable(Common_SourceData.Common_SourceData_MCFTemperatureZone_Data(),Table_SourceData_Common_MCFTemperatureZone[[#Headers],[Temperature zone]],0)</f>
        <v>0.03</v>
      </c>
      <c r="M242" s="29" cm="1">
        <f t="array" ref="M242">Common_InputFunctions.Utility_DisplayArrayInTable(Common_SourceData.Common_SourceData_MCFTemperatureZone_Data(),Table_SourceData_Common_MCFTemperatureZone[[#Headers],[Temperature zone]],0)</f>
        <v>0.04</v>
      </c>
      <c r="N242" s="29" cm="1">
        <f t="array" ref="N242">Common_InputFunctions.Utility_DisplayArrayInTable(Common_SourceData.Common_SourceData_MCFTemperatureZone_Data(),Table_SourceData_Common_MCFTemperatureZone[[#Headers],[Temperature zone]],0)</f>
        <v>1.4999999999999999E-2</v>
      </c>
      <c r="O242" s="29" cm="1">
        <f t="array" ref="O242">Common_InputFunctions.Utility_DisplayArrayInTable(Common_SourceData.Common_SourceData_MCFTemperatureZone_Data(),Table_SourceData_Common_MCFTemperatureZone[[#Headers],[Temperature zone]],0)</f>
        <v>1.4999999999999999E-2</v>
      </c>
      <c r="P242" s="29" cm="1">
        <f t="array" ref="P242">Common_InputFunctions.Utility_DisplayArrayInTable(Common_SourceData.Common_SourceData_MCFTemperatureZone_Data(),Table_SourceData_Common_MCFTemperatureZone[[#Headers],[Temperature zone]],0)</f>
        <v>0</v>
      </c>
      <c r="Q242" s="29" cm="1">
        <f t="array" ref="Q242">Common_InputFunctions.Utility_DisplayArrayInTable(Common_SourceData.Common_SourceData_MCFTemperatureZone_Data(),Table_SourceData_Common_MCFTemperatureZone[[#Headers],[Temperature zone]],0)</f>
        <v>0</v>
      </c>
      <c r="R242" s="29" cm="1">
        <f t="array" ref="R242">Common_InputFunctions.Utility_DisplayArrayInTable(Common_SourceData.Common_SourceData_MCFTemperatureZone_Data(),Table_SourceData_Common_MCFTemperatureZone[[#Headers],[Temperature zone]],0)</f>
        <v>4.7000000000000002E-3</v>
      </c>
      <c r="S242" s="2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9" cm="1">
        <f t="array" ref="E243">Common_InputFunctions.Utility_DisplayArrayInTable(Common_SourceData.Common_SourceData_MCFTemperatureZone_Data(),Table_SourceData_Common_MCFTemperatureZone[[#Headers],[Temperature zone]],0)</f>
        <v>21</v>
      </c>
      <c r="F243" s="29" cm="1">
        <f t="array" ref="F243">Common_InputFunctions.Utility_DisplayArrayInTable(Common_SourceData.Common_SourceData_MCFTemperatureZone_Data(),Table_SourceData_Common_MCFTemperatureZone[[#Headers],[Temperature zone]],0)</f>
        <v>0.78</v>
      </c>
      <c r="G243" s="29" cm="1">
        <f t="array" ref="G243">Common_InputFunctions.Utility_DisplayArrayInTable(Common_SourceData.Common_SourceData_MCFTemperatureZone_Data(),Table_SourceData_Common_MCFTemperatureZone[[#Headers],[Temperature zone]],0)</f>
        <v>0.1</v>
      </c>
      <c r="H243" s="29" cm="1">
        <f t="array" ref="H243">Common_InputFunctions.Utility_DisplayArrayInTable(Common_SourceData.Common_SourceData_MCFTemperatureZone_Data(),Table_SourceData_Common_MCFTemperatureZone[[#Headers],[Temperature zone]],0)</f>
        <v>0.28999999999999998</v>
      </c>
      <c r="I243" s="29" cm="1">
        <f t="array" ref="I243">Common_InputFunctions.Utility_DisplayArrayInTable(Common_SourceData.Common_SourceData_MCFTemperatureZone_Data(),Table_SourceData_Common_MCFTemperatureZone[[#Headers],[Temperature zone]],0)</f>
        <v>5.0000000000000001E-3</v>
      </c>
      <c r="J243" s="29" cm="1">
        <f t="array" ref="J243">Common_InputFunctions.Utility_DisplayArrayInTable(Common_SourceData.Common_SourceData_MCFTemperatureZone_Data(),Table_SourceData_Common_MCFTemperatureZone[[#Headers],[Temperature zone]],0)</f>
        <v>0.01</v>
      </c>
      <c r="K243" s="29" cm="1">
        <f t="array" ref="K243">Common_InputFunctions.Utility_DisplayArrayInTable(Common_SourceData.Common_SourceData_MCFTemperatureZone_Data(),Table_SourceData_Common_MCFTemperatureZone[[#Headers],[Temperature zone]],0)</f>
        <v>0.02</v>
      </c>
      <c r="L243" s="29" cm="1">
        <f t="array" ref="L243">Common_InputFunctions.Utility_DisplayArrayInTable(Common_SourceData.Common_SourceData_MCFTemperatureZone_Data(),Table_SourceData_Common_MCFTemperatureZone[[#Headers],[Temperature zone]],0)</f>
        <v>0.03</v>
      </c>
      <c r="M243" s="29" cm="1">
        <f t="array" ref="M243">Common_InputFunctions.Utility_DisplayArrayInTable(Common_SourceData.Common_SourceData_MCFTemperatureZone_Data(),Table_SourceData_Common_MCFTemperatureZone[[#Headers],[Temperature zone]],0)</f>
        <v>0.04</v>
      </c>
      <c r="N243" s="29" cm="1">
        <f t="array" ref="N243">Common_InputFunctions.Utility_DisplayArrayInTable(Common_SourceData.Common_SourceData_MCFTemperatureZone_Data(),Table_SourceData_Common_MCFTemperatureZone[[#Headers],[Temperature zone]],0)</f>
        <v>1.4999999999999999E-2</v>
      </c>
      <c r="O243" s="29" cm="1">
        <f t="array" ref="O243">Common_InputFunctions.Utility_DisplayArrayInTable(Common_SourceData.Common_SourceData_MCFTemperatureZone_Data(),Table_SourceData_Common_MCFTemperatureZone[[#Headers],[Temperature zone]],0)</f>
        <v>1.4999999999999999E-2</v>
      </c>
      <c r="P243" s="29" cm="1">
        <f t="array" ref="P243">Common_InputFunctions.Utility_DisplayArrayInTable(Common_SourceData.Common_SourceData_MCFTemperatureZone_Data(),Table_SourceData_Common_MCFTemperatureZone[[#Headers],[Temperature zone]],0)</f>
        <v>0</v>
      </c>
      <c r="Q243" s="29" cm="1">
        <f t="array" ref="Q243">Common_InputFunctions.Utility_DisplayArrayInTable(Common_SourceData.Common_SourceData_MCFTemperatureZone_Data(),Table_SourceData_Common_MCFTemperatureZone[[#Headers],[Temperature zone]],0)</f>
        <v>0</v>
      </c>
      <c r="R243" s="29" cm="1">
        <f t="array" ref="R243">Common_InputFunctions.Utility_DisplayArrayInTable(Common_SourceData.Common_SourceData_MCFTemperatureZone_Data(),Table_SourceData_Common_MCFTemperatureZone[[#Headers],[Temperature zone]],0)</f>
        <v>4.7000000000000002E-3</v>
      </c>
      <c r="S243" s="2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9" cm="1">
        <f t="array" ref="E244">Common_InputFunctions.Utility_DisplayArrayInTable(Common_SourceData.Common_SourceData_MCFTemperatureZone_Data(),Table_SourceData_Common_MCFTemperatureZone[[#Headers],[Temperature zone]],0)</f>
        <v>22</v>
      </c>
      <c r="F244" s="29" cm="1">
        <f t="array" ref="F244">Common_InputFunctions.Utility_DisplayArrayInTable(Common_SourceData.Common_SourceData_MCFTemperatureZone_Data(),Table_SourceData_Common_MCFTemperatureZone[[#Headers],[Temperature zone]],0)</f>
        <v>0.78</v>
      </c>
      <c r="G244" s="29" cm="1">
        <f t="array" ref="G244">Common_InputFunctions.Utility_DisplayArrayInTable(Common_SourceData.Common_SourceData_MCFTemperatureZone_Data(),Table_SourceData_Common_MCFTemperatureZone[[#Headers],[Temperature zone]],0)</f>
        <v>0.1</v>
      </c>
      <c r="H244" s="29" cm="1">
        <f t="array" ref="H244">Common_InputFunctions.Utility_DisplayArrayInTable(Common_SourceData.Common_SourceData_MCFTemperatureZone_Data(),Table_SourceData_Common_MCFTemperatureZone[[#Headers],[Temperature zone]],0)</f>
        <v>0.31</v>
      </c>
      <c r="I244" s="29" cm="1">
        <f t="array" ref="I244">Common_InputFunctions.Utility_DisplayArrayInTable(Common_SourceData.Common_SourceData_MCFTemperatureZone_Data(),Table_SourceData_Common_MCFTemperatureZone[[#Headers],[Temperature zone]],0)</f>
        <v>5.0000000000000001E-3</v>
      </c>
      <c r="J244" s="29" cm="1">
        <f t="array" ref="J244">Common_InputFunctions.Utility_DisplayArrayInTable(Common_SourceData.Common_SourceData_MCFTemperatureZone_Data(),Table_SourceData_Common_MCFTemperatureZone[[#Headers],[Temperature zone]],0)</f>
        <v>0.01</v>
      </c>
      <c r="K244" s="29" cm="1">
        <f t="array" ref="K244">Common_InputFunctions.Utility_DisplayArrayInTable(Common_SourceData.Common_SourceData_MCFTemperatureZone_Data(),Table_SourceData_Common_MCFTemperatureZone[[#Headers],[Temperature zone]],0)</f>
        <v>0.02</v>
      </c>
      <c r="L244" s="29" cm="1">
        <f t="array" ref="L244">Common_InputFunctions.Utility_DisplayArrayInTable(Common_SourceData.Common_SourceData_MCFTemperatureZone_Data(),Table_SourceData_Common_MCFTemperatureZone[[#Headers],[Temperature zone]],0)</f>
        <v>0.03</v>
      </c>
      <c r="M244" s="29" cm="1">
        <f t="array" ref="M244">Common_InputFunctions.Utility_DisplayArrayInTable(Common_SourceData.Common_SourceData_MCFTemperatureZone_Data(),Table_SourceData_Common_MCFTemperatureZone[[#Headers],[Temperature zone]],0)</f>
        <v>0.04</v>
      </c>
      <c r="N244" s="29" cm="1">
        <f t="array" ref="N244">Common_InputFunctions.Utility_DisplayArrayInTable(Common_SourceData.Common_SourceData_MCFTemperatureZone_Data(),Table_SourceData_Common_MCFTemperatureZone[[#Headers],[Temperature zone]],0)</f>
        <v>1.4999999999999999E-2</v>
      </c>
      <c r="O244" s="29" cm="1">
        <f t="array" ref="O244">Common_InputFunctions.Utility_DisplayArrayInTable(Common_SourceData.Common_SourceData_MCFTemperatureZone_Data(),Table_SourceData_Common_MCFTemperatureZone[[#Headers],[Temperature zone]],0)</f>
        <v>1.4999999999999999E-2</v>
      </c>
      <c r="P244" s="29" cm="1">
        <f t="array" ref="P244">Common_InputFunctions.Utility_DisplayArrayInTable(Common_SourceData.Common_SourceData_MCFTemperatureZone_Data(),Table_SourceData_Common_MCFTemperatureZone[[#Headers],[Temperature zone]],0)</f>
        <v>0</v>
      </c>
      <c r="Q244" s="29" cm="1">
        <f t="array" ref="Q244">Common_InputFunctions.Utility_DisplayArrayInTable(Common_SourceData.Common_SourceData_MCFTemperatureZone_Data(),Table_SourceData_Common_MCFTemperatureZone[[#Headers],[Temperature zone]],0)</f>
        <v>0</v>
      </c>
      <c r="R244" s="29" cm="1">
        <f t="array" ref="R244">Common_InputFunctions.Utility_DisplayArrayInTable(Common_SourceData.Common_SourceData_MCFTemperatureZone_Data(),Table_SourceData_Common_MCFTemperatureZone[[#Headers],[Temperature zone]],0)</f>
        <v>4.7000000000000002E-3</v>
      </c>
      <c r="S244" s="2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9" cm="1">
        <f t="array" ref="E245">Common_InputFunctions.Utility_DisplayArrayInTable(Common_SourceData.Common_SourceData_MCFTemperatureZone_Data(),Table_SourceData_Common_MCFTemperatureZone[[#Headers],[Temperature zone]],0)</f>
        <v>23</v>
      </c>
      <c r="F245" s="29" cm="1">
        <f t="array" ref="F245">Common_InputFunctions.Utility_DisplayArrayInTable(Common_SourceData.Common_SourceData_MCFTemperatureZone_Data(),Table_SourceData_Common_MCFTemperatureZone[[#Headers],[Temperature zone]],0)</f>
        <v>0.79</v>
      </c>
      <c r="G245" s="29" cm="1">
        <f t="array" ref="G245">Common_InputFunctions.Utility_DisplayArrayInTable(Common_SourceData.Common_SourceData_MCFTemperatureZone_Data(),Table_SourceData_Common_MCFTemperatureZone[[#Headers],[Temperature zone]],0)</f>
        <v>0.1</v>
      </c>
      <c r="H245" s="29" cm="1">
        <f t="array" ref="H245">Common_InputFunctions.Utility_DisplayArrayInTable(Common_SourceData.Common_SourceData_MCFTemperatureZone_Data(),Table_SourceData_Common_MCFTemperatureZone[[#Headers],[Temperature zone]],0)</f>
        <v>0.34</v>
      </c>
      <c r="I245" s="29" cm="1">
        <f t="array" ref="I245">Common_InputFunctions.Utility_DisplayArrayInTable(Common_SourceData.Common_SourceData_MCFTemperatureZone_Data(),Table_SourceData_Common_MCFTemperatureZone[[#Headers],[Temperature zone]],0)</f>
        <v>5.0000000000000001E-3</v>
      </c>
      <c r="J245" s="29" cm="1">
        <f t="array" ref="J245">Common_InputFunctions.Utility_DisplayArrayInTable(Common_SourceData.Common_SourceData_MCFTemperatureZone_Data(),Table_SourceData_Common_MCFTemperatureZone[[#Headers],[Temperature zone]],0)</f>
        <v>0.01</v>
      </c>
      <c r="K245" s="29" cm="1">
        <f t="array" ref="K245">Common_InputFunctions.Utility_DisplayArrayInTable(Common_SourceData.Common_SourceData_MCFTemperatureZone_Data(),Table_SourceData_Common_MCFTemperatureZone[[#Headers],[Temperature zone]],0)</f>
        <v>0.02</v>
      </c>
      <c r="L245" s="29" cm="1">
        <f t="array" ref="L245">Common_InputFunctions.Utility_DisplayArrayInTable(Common_SourceData.Common_SourceData_MCFTemperatureZone_Data(),Table_SourceData_Common_MCFTemperatureZone[[#Headers],[Temperature zone]],0)</f>
        <v>0.03</v>
      </c>
      <c r="M245" s="29" cm="1">
        <f t="array" ref="M245">Common_InputFunctions.Utility_DisplayArrayInTable(Common_SourceData.Common_SourceData_MCFTemperatureZone_Data(),Table_SourceData_Common_MCFTemperatureZone[[#Headers],[Temperature zone]],0)</f>
        <v>0.04</v>
      </c>
      <c r="N245" s="29" cm="1">
        <f t="array" ref="N245">Common_InputFunctions.Utility_DisplayArrayInTable(Common_SourceData.Common_SourceData_MCFTemperatureZone_Data(),Table_SourceData_Common_MCFTemperatureZone[[#Headers],[Temperature zone]],0)</f>
        <v>1.4999999999999999E-2</v>
      </c>
      <c r="O245" s="29" cm="1">
        <f t="array" ref="O245">Common_InputFunctions.Utility_DisplayArrayInTable(Common_SourceData.Common_SourceData_MCFTemperatureZone_Data(),Table_SourceData_Common_MCFTemperatureZone[[#Headers],[Temperature zone]],0)</f>
        <v>1.4999999999999999E-2</v>
      </c>
      <c r="P245" s="29" cm="1">
        <f t="array" ref="P245">Common_InputFunctions.Utility_DisplayArrayInTable(Common_SourceData.Common_SourceData_MCFTemperatureZone_Data(),Table_SourceData_Common_MCFTemperatureZone[[#Headers],[Temperature zone]],0)</f>
        <v>0</v>
      </c>
      <c r="Q245" s="29" cm="1">
        <f t="array" ref="Q245">Common_InputFunctions.Utility_DisplayArrayInTable(Common_SourceData.Common_SourceData_MCFTemperatureZone_Data(),Table_SourceData_Common_MCFTemperatureZone[[#Headers],[Temperature zone]],0)</f>
        <v>0</v>
      </c>
      <c r="R245" s="29" cm="1">
        <f t="array" ref="R245">Common_InputFunctions.Utility_DisplayArrayInTable(Common_SourceData.Common_SourceData_MCFTemperatureZone_Data(),Table_SourceData_Common_MCFTemperatureZone[[#Headers],[Temperature zone]],0)</f>
        <v>4.7000000000000002E-3</v>
      </c>
      <c r="S245" s="2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9" cm="1">
        <f t="array" ref="E246">Common_InputFunctions.Utility_DisplayArrayInTable(Common_SourceData.Common_SourceData_MCFTemperatureZone_Data(),Table_SourceData_Common_MCFTemperatureZone[[#Headers],[Temperature zone]],0)</f>
        <v>24</v>
      </c>
      <c r="F246" s="29" cm="1">
        <f t="array" ref="F246">Common_InputFunctions.Utility_DisplayArrayInTable(Common_SourceData.Common_SourceData_MCFTemperatureZone_Data(),Table_SourceData_Common_MCFTemperatureZone[[#Headers],[Temperature zone]],0)</f>
        <v>0.79</v>
      </c>
      <c r="G246" s="29" cm="1">
        <f t="array" ref="G246">Common_InputFunctions.Utility_DisplayArrayInTable(Common_SourceData.Common_SourceData_MCFTemperatureZone_Data(),Table_SourceData_Common_MCFTemperatureZone[[#Headers],[Temperature zone]],0)</f>
        <v>0.1</v>
      </c>
      <c r="H246" s="29" cm="1">
        <f t="array" ref="H246">Common_InputFunctions.Utility_DisplayArrayInTable(Common_SourceData.Common_SourceData_MCFTemperatureZone_Data(),Table_SourceData_Common_MCFTemperatureZone[[#Headers],[Temperature zone]],0)</f>
        <v>0.37</v>
      </c>
      <c r="I246" s="29" cm="1">
        <f t="array" ref="I246">Common_InputFunctions.Utility_DisplayArrayInTable(Common_SourceData.Common_SourceData_MCFTemperatureZone_Data(),Table_SourceData_Common_MCFTemperatureZone[[#Headers],[Temperature zone]],0)</f>
        <v>5.0000000000000001E-3</v>
      </c>
      <c r="J246" s="29" cm="1">
        <f t="array" ref="J246">Common_InputFunctions.Utility_DisplayArrayInTable(Common_SourceData.Common_SourceData_MCFTemperatureZone_Data(),Table_SourceData_Common_MCFTemperatureZone[[#Headers],[Temperature zone]],0)</f>
        <v>0.01</v>
      </c>
      <c r="K246" s="29" cm="1">
        <f t="array" ref="K246">Common_InputFunctions.Utility_DisplayArrayInTable(Common_SourceData.Common_SourceData_MCFTemperatureZone_Data(),Table_SourceData_Common_MCFTemperatureZone[[#Headers],[Temperature zone]],0)</f>
        <v>0.02</v>
      </c>
      <c r="L246" s="29" cm="1">
        <f t="array" ref="L246">Common_InputFunctions.Utility_DisplayArrayInTable(Common_SourceData.Common_SourceData_MCFTemperatureZone_Data(),Table_SourceData_Common_MCFTemperatureZone[[#Headers],[Temperature zone]],0)</f>
        <v>0.03</v>
      </c>
      <c r="M246" s="29" cm="1">
        <f t="array" ref="M246">Common_InputFunctions.Utility_DisplayArrayInTable(Common_SourceData.Common_SourceData_MCFTemperatureZone_Data(),Table_SourceData_Common_MCFTemperatureZone[[#Headers],[Temperature zone]],0)</f>
        <v>0.04</v>
      </c>
      <c r="N246" s="29" cm="1">
        <f t="array" ref="N246">Common_InputFunctions.Utility_DisplayArrayInTable(Common_SourceData.Common_SourceData_MCFTemperatureZone_Data(),Table_SourceData_Common_MCFTemperatureZone[[#Headers],[Temperature zone]],0)</f>
        <v>1.4999999999999999E-2</v>
      </c>
      <c r="O246" s="29" cm="1">
        <f t="array" ref="O246">Common_InputFunctions.Utility_DisplayArrayInTable(Common_SourceData.Common_SourceData_MCFTemperatureZone_Data(),Table_SourceData_Common_MCFTemperatureZone[[#Headers],[Temperature zone]],0)</f>
        <v>1.4999999999999999E-2</v>
      </c>
      <c r="P246" s="29" cm="1">
        <f t="array" ref="P246">Common_InputFunctions.Utility_DisplayArrayInTable(Common_SourceData.Common_SourceData_MCFTemperatureZone_Data(),Table_SourceData_Common_MCFTemperatureZone[[#Headers],[Temperature zone]],0)</f>
        <v>0</v>
      </c>
      <c r="Q246" s="29" cm="1">
        <f t="array" ref="Q246">Common_InputFunctions.Utility_DisplayArrayInTable(Common_SourceData.Common_SourceData_MCFTemperatureZone_Data(),Table_SourceData_Common_MCFTemperatureZone[[#Headers],[Temperature zone]],0)</f>
        <v>0</v>
      </c>
      <c r="R246" s="29" cm="1">
        <f t="array" ref="R246">Common_InputFunctions.Utility_DisplayArrayInTable(Common_SourceData.Common_SourceData_MCFTemperatureZone_Data(),Table_SourceData_Common_MCFTemperatureZone[[#Headers],[Temperature zone]],0)</f>
        <v>4.7000000000000002E-3</v>
      </c>
      <c r="S246" s="2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9" cm="1">
        <f t="array" ref="E247">Common_InputFunctions.Utility_DisplayArrayInTable(Common_SourceData.Common_SourceData_MCFTemperatureZone_Data(),Table_SourceData_Common_MCFTemperatureZone[[#Headers],[Temperature zone]],0)</f>
        <v>25</v>
      </c>
      <c r="F247" s="29" cm="1">
        <f t="array" ref="F247">Common_InputFunctions.Utility_DisplayArrayInTable(Common_SourceData.Common_SourceData_MCFTemperatureZone_Data(),Table_SourceData_Common_MCFTemperatureZone[[#Headers],[Temperature zone]],0)</f>
        <v>0.79</v>
      </c>
      <c r="G247" s="29" cm="1">
        <f t="array" ref="G247">Common_InputFunctions.Utility_DisplayArrayInTable(Common_SourceData.Common_SourceData_MCFTemperatureZone_Data(),Table_SourceData_Common_MCFTemperatureZone[[#Headers],[Temperature zone]],0)</f>
        <v>0.1</v>
      </c>
      <c r="H247" s="29" cm="1">
        <f t="array" ref="H247">Common_InputFunctions.Utility_DisplayArrayInTable(Common_SourceData.Common_SourceData_MCFTemperatureZone_Data(),Table_SourceData_Common_MCFTemperatureZone[[#Headers],[Temperature zone]],0)</f>
        <v>0.41</v>
      </c>
      <c r="I247" s="29" cm="1">
        <f t="array" ref="I247">Common_InputFunctions.Utility_DisplayArrayInTable(Common_SourceData.Common_SourceData_MCFTemperatureZone_Data(),Table_SourceData_Common_MCFTemperatureZone[[#Headers],[Temperature zone]],0)</f>
        <v>5.0000000000000001E-3</v>
      </c>
      <c r="J247" s="29" cm="1">
        <f t="array" ref="J247">Common_InputFunctions.Utility_DisplayArrayInTable(Common_SourceData.Common_SourceData_MCFTemperatureZone_Data(),Table_SourceData_Common_MCFTemperatureZone[[#Headers],[Temperature zone]],0)</f>
        <v>0.01</v>
      </c>
      <c r="K247" s="29" cm="1">
        <f t="array" ref="K247">Common_InputFunctions.Utility_DisplayArrayInTable(Common_SourceData.Common_SourceData_MCFTemperatureZone_Data(),Table_SourceData_Common_MCFTemperatureZone[[#Headers],[Temperature zone]],0)</f>
        <v>0.02</v>
      </c>
      <c r="L247" s="29" cm="1">
        <f t="array" ref="L247">Common_InputFunctions.Utility_DisplayArrayInTable(Common_SourceData.Common_SourceData_MCFTemperatureZone_Data(),Table_SourceData_Common_MCFTemperatureZone[[#Headers],[Temperature zone]],0)</f>
        <v>0.03</v>
      </c>
      <c r="M247" s="29" cm="1">
        <f t="array" ref="M247">Common_InputFunctions.Utility_DisplayArrayInTable(Common_SourceData.Common_SourceData_MCFTemperatureZone_Data(),Table_SourceData_Common_MCFTemperatureZone[[#Headers],[Temperature zone]],0)</f>
        <v>0.04</v>
      </c>
      <c r="N247" s="29" cm="1">
        <f t="array" ref="N247">Common_InputFunctions.Utility_DisplayArrayInTable(Common_SourceData.Common_SourceData_MCFTemperatureZone_Data(),Table_SourceData_Common_MCFTemperatureZone[[#Headers],[Temperature zone]],0)</f>
        <v>1.4999999999999999E-2</v>
      </c>
      <c r="O247" s="29" cm="1">
        <f t="array" ref="O247">Common_InputFunctions.Utility_DisplayArrayInTable(Common_SourceData.Common_SourceData_MCFTemperatureZone_Data(),Table_SourceData_Common_MCFTemperatureZone[[#Headers],[Temperature zone]],0)</f>
        <v>1.4999999999999999E-2</v>
      </c>
      <c r="P247" s="29" cm="1">
        <f t="array" ref="P247">Common_InputFunctions.Utility_DisplayArrayInTable(Common_SourceData.Common_SourceData_MCFTemperatureZone_Data(),Table_SourceData_Common_MCFTemperatureZone[[#Headers],[Temperature zone]],0)</f>
        <v>0</v>
      </c>
      <c r="Q247" s="29" cm="1">
        <f t="array" ref="Q247">Common_InputFunctions.Utility_DisplayArrayInTable(Common_SourceData.Common_SourceData_MCFTemperatureZone_Data(),Table_SourceData_Common_MCFTemperatureZone[[#Headers],[Temperature zone]],0)</f>
        <v>0</v>
      </c>
      <c r="R247" s="29" cm="1">
        <f t="array" ref="R247">Common_InputFunctions.Utility_DisplayArrayInTable(Common_SourceData.Common_SourceData_MCFTemperatureZone_Data(),Table_SourceData_Common_MCFTemperatureZone[[#Headers],[Temperature zone]],0)</f>
        <v>4.7000000000000002E-3</v>
      </c>
      <c r="S247" s="2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9" cm="1">
        <f t="array" ref="E248">Common_InputFunctions.Utility_DisplayArrayInTable(Common_SourceData.Common_SourceData_MCFTemperatureZone_Data(),Table_SourceData_Common_MCFTemperatureZone[[#Headers],[Temperature zone]],0)</f>
        <v>26</v>
      </c>
      <c r="F248" s="29" cm="1">
        <f t="array" ref="F248">Common_InputFunctions.Utility_DisplayArrayInTable(Common_SourceData.Common_SourceData_MCFTemperatureZone_Data(),Table_SourceData_Common_MCFTemperatureZone[[#Headers],[Temperature zone]],0)</f>
        <v>0.79</v>
      </c>
      <c r="G248" s="29" cm="1">
        <f t="array" ref="G248">Common_InputFunctions.Utility_DisplayArrayInTable(Common_SourceData.Common_SourceData_MCFTemperatureZone_Data(),Table_SourceData_Common_MCFTemperatureZone[[#Headers],[Temperature zone]],0)</f>
        <v>0.1</v>
      </c>
      <c r="H248" s="29" cm="1">
        <f t="array" ref="H248">Common_InputFunctions.Utility_DisplayArrayInTable(Common_SourceData.Common_SourceData_MCFTemperatureZone_Data(),Table_SourceData_Common_MCFTemperatureZone[[#Headers],[Temperature zone]],0)</f>
        <v>0.44</v>
      </c>
      <c r="I248" s="29" cm="1">
        <f t="array" ref="I248">Common_InputFunctions.Utility_DisplayArrayInTable(Common_SourceData.Common_SourceData_MCFTemperatureZone_Data(),Table_SourceData_Common_MCFTemperatureZone[[#Headers],[Temperature zone]],0)</f>
        <v>0.01</v>
      </c>
      <c r="J248" s="29" cm="1">
        <f t="array" ref="J248">Common_InputFunctions.Utility_DisplayArrayInTable(Common_SourceData.Common_SourceData_MCFTemperatureZone_Data(),Table_SourceData_Common_MCFTemperatureZone[[#Headers],[Temperature zone]],0)</f>
        <v>1.4999999999999999E-2</v>
      </c>
      <c r="K248" s="29" cm="1">
        <f t="array" ref="K248">Common_InputFunctions.Utility_DisplayArrayInTable(Common_SourceData.Common_SourceData_MCFTemperatureZone_Data(),Table_SourceData_Common_MCFTemperatureZone[[#Headers],[Temperature zone]],0)</f>
        <v>0.02</v>
      </c>
      <c r="L248" s="29" cm="1">
        <f t="array" ref="L248">Common_InputFunctions.Utility_DisplayArrayInTable(Common_SourceData.Common_SourceData_MCFTemperatureZone_Data(),Table_SourceData_Common_MCFTemperatureZone[[#Headers],[Temperature zone]],0)</f>
        <v>0.03</v>
      </c>
      <c r="M248" s="29" cm="1">
        <f t="array" ref="M248">Common_InputFunctions.Utility_DisplayArrayInTable(Common_SourceData.Common_SourceData_MCFTemperatureZone_Data(),Table_SourceData_Common_MCFTemperatureZone[[#Headers],[Temperature zone]],0)</f>
        <v>0.04</v>
      </c>
      <c r="N248" s="29" cm="1">
        <f t="array" ref="N248">Common_InputFunctions.Utility_DisplayArrayInTable(Common_SourceData.Common_SourceData_MCFTemperatureZone_Data(),Table_SourceData_Common_MCFTemperatureZone[[#Headers],[Temperature zone]],0)</f>
        <v>1.4999999999999999E-2</v>
      </c>
      <c r="O248" s="29" cm="1">
        <f t="array" ref="O248">Common_InputFunctions.Utility_DisplayArrayInTable(Common_SourceData.Common_SourceData_MCFTemperatureZone_Data(),Table_SourceData_Common_MCFTemperatureZone[[#Headers],[Temperature zone]],0)</f>
        <v>1.4999999999999999E-2</v>
      </c>
      <c r="P248" s="29" cm="1">
        <f t="array" ref="P248">Common_InputFunctions.Utility_DisplayArrayInTable(Common_SourceData.Common_SourceData_MCFTemperatureZone_Data(),Table_SourceData_Common_MCFTemperatureZone[[#Headers],[Temperature zone]],0)</f>
        <v>0</v>
      </c>
      <c r="Q248" s="29" cm="1">
        <f t="array" ref="Q248">Common_InputFunctions.Utility_DisplayArrayInTable(Common_SourceData.Common_SourceData_MCFTemperatureZone_Data(),Table_SourceData_Common_MCFTemperatureZone[[#Headers],[Temperature zone]],0)</f>
        <v>0</v>
      </c>
      <c r="R248" s="29" cm="1">
        <f t="array" ref="R248">Common_InputFunctions.Utility_DisplayArrayInTable(Common_SourceData.Common_SourceData_MCFTemperatureZone_Data(),Table_SourceData_Common_MCFTemperatureZone[[#Headers],[Temperature zone]],0)</f>
        <v>4.7000000000000002E-3</v>
      </c>
      <c r="S248" s="2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9" cm="1">
        <f t="array" ref="E249">Common_InputFunctions.Utility_DisplayArrayInTable(Common_SourceData.Common_SourceData_MCFTemperatureZone_Data(),Table_SourceData_Common_MCFTemperatureZone[[#Headers],[Temperature zone]],0)</f>
        <v>27</v>
      </c>
      <c r="F249" s="29" cm="1">
        <f t="array" ref="F249">Common_InputFunctions.Utility_DisplayArrayInTable(Common_SourceData.Common_SourceData_MCFTemperatureZone_Data(),Table_SourceData_Common_MCFTemperatureZone[[#Headers],[Temperature zone]],0)</f>
        <v>0.8</v>
      </c>
      <c r="G249" s="29" cm="1">
        <f t="array" ref="G249">Common_InputFunctions.Utility_DisplayArrayInTable(Common_SourceData.Common_SourceData_MCFTemperatureZone_Data(),Table_SourceData_Common_MCFTemperatureZone[[#Headers],[Temperature zone]],0)</f>
        <v>0.1</v>
      </c>
      <c r="H249" s="29" cm="1">
        <f t="array" ref="H249">Common_InputFunctions.Utility_DisplayArrayInTable(Common_SourceData.Common_SourceData_MCFTemperatureZone_Data(),Table_SourceData_Common_MCFTemperatureZone[[#Headers],[Temperature zone]],0)</f>
        <v>0.48</v>
      </c>
      <c r="I249" s="29" cm="1">
        <f t="array" ref="I249">Common_InputFunctions.Utility_DisplayArrayInTable(Common_SourceData.Common_SourceData_MCFTemperatureZone_Data(),Table_SourceData_Common_MCFTemperatureZone[[#Headers],[Temperature zone]],0)</f>
        <v>0.01</v>
      </c>
      <c r="J249" s="29" cm="1">
        <f t="array" ref="J249">Common_InputFunctions.Utility_DisplayArrayInTable(Common_SourceData.Common_SourceData_MCFTemperatureZone_Data(),Table_SourceData_Common_MCFTemperatureZone[[#Headers],[Temperature zone]],0)</f>
        <v>1.4999999999999999E-2</v>
      </c>
      <c r="K249" s="29" cm="1">
        <f t="array" ref="K249">Common_InputFunctions.Utility_DisplayArrayInTable(Common_SourceData.Common_SourceData_MCFTemperatureZone_Data(),Table_SourceData_Common_MCFTemperatureZone[[#Headers],[Temperature zone]],0)</f>
        <v>0.02</v>
      </c>
      <c r="L249" s="29" cm="1">
        <f t="array" ref="L249">Common_InputFunctions.Utility_DisplayArrayInTable(Common_SourceData.Common_SourceData_MCFTemperatureZone_Data(),Table_SourceData_Common_MCFTemperatureZone[[#Headers],[Temperature zone]],0)</f>
        <v>0.03</v>
      </c>
      <c r="M249" s="29" cm="1">
        <f t="array" ref="M249">Common_InputFunctions.Utility_DisplayArrayInTable(Common_SourceData.Common_SourceData_MCFTemperatureZone_Data(),Table_SourceData_Common_MCFTemperatureZone[[#Headers],[Temperature zone]],0)</f>
        <v>0.04</v>
      </c>
      <c r="N249" s="29" cm="1">
        <f t="array" ref="N249">Common_InputFunctions.Utility_DisplayArrayInTable(Common_SourceData.Common_SourceData_MCFTemperatureZone_Data(),Table_SourceData_Common_MCFTemperatureZone[[#Headers],[Temperature zone]],0)</f>
        <v>1.4999999999999999E-2</v>
      </c>
      <c r="O249" s="29" cm="1">
        <f t="array" ref="O249">Common_InputFunctions.Utility_DisplayArrayInTable(Common_SourceData.Common_SourceData_MCFTemperatureZone_Data(),Table_SourceData_Common_MCFTemperatureZone[[#Headers],[Temperature zone]],0)</f>
        <v>1.4999999999999999E-2</v>
      </c>
      <c r="P249" s="29" cm="1">
        <f t="array" ref="P249">Common_InputFunctions.Utility_DisplayArrayInTable(Common_SourceData.Common_SourceData_MCFTemperatureZone_Data(),Table_SourceData_Common_MCFTemperatureZone[[#Headers],[Temperature zone]],0)</f>
        <v>0</v>
      </c>
      <c r="Q249" s="29" cm="1">
        <f t="array" ref="Q249">Common_InputFunctions.Utility_DisplayArrayInTable(Common_SourceData.Common_SourceData_MCFTemperatureZone_Data(),Table_SourceData_Common_MCFTemperatureZone[[#Headers],[Temperature zone]],0)</f>
        <v>0</v>
      </c>
      <c r="R249" s="29" cm="1">
        <f t="array" ref="R249">Common_InputFunctions.Utility_DisplayArrayInTable(Common_SourceData.Common_SourceData_MCFTemperatureZone_Data(),Table_SourceData_Common_MCFTemperatureZone[[#Headers],[Temperature zone]],0)</f>
        <v>4.7000000000000002E-3</v>
      </c>
      <c r="S249" s="2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9" t="str" cm="1">
        <f t="array" ref="E250">Common_InputFunctions.Utility_DisplayArrayInTable(Common_SourceData.Common_SourceData_MCFTemperatureZone_Data(),Table_SourceData_Common_MCFTemperatureZone[[#Headers],[Temperature zone]],0)</f>
        <v>≥28</v>
      </c>
      <c r="F250" s="29" cm="1">
        <f t="array" ref="F250">Common_InputFunctions.Utility_DisplayArrayInTable(Common_SourceData.Common_SourceData_MCFTemperatureZone_Data(),Table_SourceData_Common_MCFTemperatureZone[[#Headers],[Temperature zone]],0)</f>
        <v>0.8</v>
      </c>
      <c r="G250" s="29" cm="1">
        <f t="array" ref="G250">Common_InputFunctions.Utility_DisplayArrayInTable(Common_SourceData.Common_SourceData_MCFTemperatureZone_Data(),Table_SourceData_Common_MCFTemperatureZone[[#Headers],[Temperature zone]],0)</f>
        <v>0.1</v>
      </c>
      <c r="H250" s="29" cm="1">
        <f t="array" ref="H250">Common_InputFunctions.Utility_DisplayArrayInTable(Common_SourceData.Common_SourceData_MCFTemperatureZone_Data(),Table_SourceData_Common_MCFTemperatureZone[[#Headers],[Temperature zone]],0)</f>
        <v>0.5</v>
      </c>
      <c r="I250" s="29" cm="1">
        <f t="array" ref="I250">Common_InputFunctions.Utility_DisplayArrayInTable(Common_SourceData.Common_SourceData_MCFTemperatureZone_Data(),Table_SourceData_Common_MCFTemperatureZone[[#Headers],[Temperature zone]],0)</f>
        <v>0.01</v>
      </c>
      <c r="J250" s="29" cm="1">
        <f t="array" ref="J250">Common_InputFunctions.Utility_DisplayArrayInTable(Common_SourceData.Common_SourceData_MCFTemperatureZone_Data(),Table_SourceData_Common_MCFTemperatureZone[[#Headers],[Temperature zone]],0)</f>
        <v>1.4999999999999999E-2</v>
      </c>
      <c r="K250" s="29" cm="1">
        <f t="array" ref="K250">Common_InputFunctions.Utility_DisplayArrayInTable(Common_SourceData.Common_SourceData_MCFTemperatureZone_Data(),Table_SourceData_Common_MCFTemperatureZone[[#Headers],[Temperature zone]],0)</f>
        <v>0.02</v>
      </c>
      <c r="L250" s="29" cm="1">
        <f t="array" ref="L250">Common_InputFunctions.Utility_DisplayArrayInTable(Common_SourceData.Common_SourceData_MCFTemperatureZone_Data(),Table_SourceData_Common_MCFTemperatureZone[[#Headers],[Temperature zone]],0)</f>
        <v>0.03</v>
      </c>
      <c r="M250" s="29" cm="1">
        <f t="array" ref="M250">Common_InputFunctions.Utility_DisplayArrayInTable(Common_SourceData.Common_SourceData_MCFTemperatureZone_Data(),Table_SourceData_Common_MCFTemperatureZone[[#Headers],[Temperature zone]],0)</f>
        <v>0.04</v>
      </c>
      <c r="N250" s="29" cm="1">
        <f t="array" ref="N250">Common_InputFunctions.Utility_DisplayArrayInTable(Common_SourceData.Common_SourceData_MCFTemperatureZone_Data(),Table_SourceData_Common_MCFTemperatureZone[[#Headers],[Temperature zone]],0)</f>
        <v>1.4999999999999999E-2</v>
      </c>
      <c r="O250" s="29" cm="1">
        <f t="array" ref="O250">Common_InputFunctions.Utility_DisplayArrayInTable(Common_SourceData.Common_SourceData_MCFTemperatureZone_Data(),Table_SourceData_Common_MCFTemperatureZone[[#Headers],[Temperature zone]],0)</f>
        <v>1.4999999999999999E-2</v>
      </c>
      <c r="P250" s="29" cm="1">
        <f t="array" ref="P250">Common_InputFunctions.Utility_DisplayArrayInTable(Common_SourceData.Common_SourceData_MCFTemperatureZone_Data(),Table_SourceData_Common_MCFTemperatureZone[[#Headers],[Temperature zone]],0)</f>
        <v>0</v>
      </c>
      <c r="Q250" s="29" cm="1">
        <f t="array" ref="Q250">Common_InputFunctions.Utility_DisplayArrayInTable(Common_SourceData.Common_SourceData_MCFTemperatureZone_Data(),Table_SourceData_Common_MCFTemperatureZone[[#Headers],[Temperature zone]],0)</f>
        <v>0</v>
      </c>
      <c r="R250" s="29" cm="1">
        <f t="array" ref="R250">Common_InputFunctions.Utility_DisplayArrayInTable(Common_SourceData.Common_SourceData_MCFTemperatureZone_Data(),Table_SourceData_Common_MCFTemperatureZone[[#Headers],[Temperature zone]],0)</f>
        <v>4.7000000000000002E-3</v>
      </c>
      <c r="S250" s="29"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2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5" t="str" cm="1">
        <f t="array" ref="D256">Common_SourceData.Common_SourceData_EFOrganicFertiliserAndCropResidues_Unit()</f>
        <v>kg N2O - N / kg N</v>
      </c>
    </row>
    <row r="257" spans="4:5" x14ac:dyDescent="0.25">
      <c r="D257" s="29" t="s">
        <v>85</v>
      </c>
      <c r="E257" s="29" t="s">
        <v>86</v>
      </c>
    </row>
    <row r="258" spans="4:5" x14ac:dyDescent="0.25">
      <c r="D258" s="29" t="str" cm="1">
        <f t="array" ref="D258">Common_InputFunctions.Utility_DisplayArrayInTable(Common_SourceData.Common_SourceData_EFOrganicFertiliserAndCropResidues_Data(), Table_SourceData_Common_EFOrganicFertCropResidues[[#Headers],[Climate Zone]], 0)</f>
        <v>Wet climate zone</v>
      </c>
      <c r="E258" s="2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D2BC4-FF12-4232-BECC-8F8FD9366DDD}">
  <dimension ref="A1:A63"/>
  <sheetViews>
    <sheetView zoomScaleNormal="100" workbookViewId="0">
      <selection activeCell="A63" sqref="A63"/>
    </sheetView>
  </sheetViews>
  <sheetFormatPr defaultRowHeight="15" x14ac:dyDescent="0.25"/>
  <sheetData>
    <row r="1" spans="1:1" ht="25.5" x14ac:dyDescent="0.35">
      <c r="A1" s="16" t="e" vm="1">
        <v>#VALUE!</v>
      </c>
    </row>
    <row r="3" spans="1:1" ht="15.75" x14ac:dyDescent="0.25">
      <c r="A3" s="5" t="str">
        <f>HYPERLINK("#'Home'!A1", "Home")</f>
        <v>Home</v>
      </c>
    </row>
    <row r="4" spans="1:1" ht="15.75" x14ac:dyDescent="0.25">
      <c r="A4" s="5" t="str">
        <f>HYPERLINK("#'Overview'!A1", "Overview")</f>
        <v>Overview</v>
      </c>
    </row>
    <row r="5" spans="1:1" ht="15.75" x14ac:dyDescent="0.25">
      <c r="A5" s="5" t="str">
        <f>HYPERLINK("#'Results'!A1", "Results")</f>
        <v>Results</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Dairy'!A1", "Dairy")</f>
        <v>Dairy</v>
      </c>
    </row>
    <row r="12" spans="1:1" ht="15.75" x14ac:dyDescent="0.25">
      <c r="A12" s="5" t="str">
        <f>HYPERLINK("#'Input - Dairy (Enteric)'!A1", "Dairy (Enteric)")</f>
        <v>Dairy (Enteric)</v>
      </c>
    </row>
    <row r="13" spans="1:1" ht="15.75" x14ac:dyDescent="0.25">
      <c r="A13" s="5" t="str">
        <f>HYPERLINK("#'Input - Livestock sales'!A1", "Livestock sales")</f>
        <v>Livestock sales</v>
      </c>
    </row>
    <row r="14" spans="1:1" ht="15.75" x14ac:dyDescent="0.25">
      <c r="A14" s="5" t="str">
        <f>HYPERLINK("#'Input - Dairy cattle purchases'!A1", "Dairy cattle purchases")</f>
        <v>Dairy cattle purchases</v>
      </c>
    </row>
    <row r="15" spans="1:1" ht="15.75" x14ac:dyDescent="0.25">
      <c r="A15" s="5" t="str">
        <f>HYPERLINK("#'Input - Pasture'!A1", "Pasture")</f>
        <v>Pasture</v>
      </c>
    </row>
    <row r="16" spans="1:1" ht="15.75" x14ac:dyDescent="0.25">
      <c r="A16" s="5" t="str">
        <f>HYPERLINK("#'Input - Fert Prod System'!A1", "Fert Prod System")</f>
        <v>Fert Prod System</v>
      </c>
    </row>
    <row r="17" spans="1:1" ht="15.75" x14ac:dyDescent="0.25">
      <c r="A17" s="5" t="str">
        <f>HYPERLINK("#'Input - Fertiliser'!A1", "Fertiliser")</f>
        <v>Fertiliser</v>
      </c>
    </row>
    <row r="18" spans="1:1" ht="15.75" x14ac:dyDescent="0.25">
      <c r="A18" s="5" t="str">
        <f>HYPERLINK("#'Input - Fuel'!A1", "Fuel")</f>
        <v>Fuel</v>
      </c>
    </row>
    <row r="19" spans="1:1" ht="15.75" x14ac:dyDescent="0.25">
      <c r="A19" s="5" t="str">
        <f>HYPERLINK("#'Input - Electricity'!A1", "Electricity")</f>
        <v>Electricity</v>
      </c>
    </row>
    <row r="20" spans="1:1" ht="15.75" x14ac:dyDescent="0.25">
      <c r="A20" s="5" t="str">
        <f>HYPERLINK("#'Input - Farm Inputs'!A1", "Farm Inputs")</f>
        <v>Farm Inputs</v>
      </c>
    </row>
    <row r="21" spans="1:1" ht="15.75" x14ac:dyDescent="0.25">
      <c r="A21" s="5" t="str">
        <f>HYPERLINK("#'Input - Freight'!A1", "Freight")</f>
        <v>Freight</v>
      </c>
    </row>
    <row r="22" spans="1:1" ht="15.75" x14ac:dyDescent="0.25">
      <c r="A22" s="5" t="str">
        <f>HYPERLINK("#'Input - Manure sent off-site'!A1", "Manure sent off-site")</f>
        <v>Manure sent off-site</v>
      </c>
    </row>
    <row r="23" spans="1:1" ht="15.75" x14ac:dyDescent="0.25">
      <c r="A23" s="5" t="str">
        <f>HYPERLINK("#'Input - Solid waste'!A1", "Solid waste")</f>
        <v>Solid waste</v>
      </c>
    </row>
    <row r="24" spans="1:1" ht="15.75" x14ac:dyDescent="0.25">
      <c r="A24" s="5" t="str">
        <f>HYPERLINK("#'Input - Data quality'!A1", "Data quality")</f>
        <v>Data quality</v>
      </c>
    </row>
    <row r="27" spans="1:1" x14ac:dyDescent="0.25">
      <c r="A27" s="6" t="s">
        <v>2</v>
      </c>
    </row>
    <row r="28" spans="1:1" ht="15.75" x14ac:dyDescent="0.25">
      <c r="A28" s="5" t="str">
        <f>HYPERLINK("#'5.1.1.1-2 Inorganic fert N2O'!A1", "5.1.1.1-2 Inorganic fert N2O")</f>
        <v>5.1.1.1-2 Inorganic fert N2O</v>
      </c>
    </row>
    <row r="29" spans="1:1" ht="15.75" x14ac:dyDescent="0.25">
      <c r="A29" s="5" t="str">
        <f>HYPERLINK("#'5.1.1.3-4 Inorganic fert CO2'!A1", "5.1.1.3-4 Inorganic fert CO2")</f>
        <v>5.1.1.3-4 Inorganic fert CO2</v>
      </c>
    </row>
    <row r="30" spans="1:1" ht="15.75" x14ac:dyDescent="0.25">
      <c r="A30" s="5" t="str">
        <f>HYPERLINK("#'5.2.1.1-2 Organic Fert N2O'!A1", "5.2.1.1-2 Organic fert N2O")</f>
        <v>5.2.1.1-2 Organic fert N2O</v>
      </c>
    </row>
    <row r="31" spans="1:1" ht="15.75" x14ac:dyDescent="0.25">
      <c r="A31" s="5" t="str">
        <f>HYPERLINK("#'5.3.1.1-2 Lime CO2'!A1", "5.3.1.1-2 Lime CO2")</f>
        <v>5.3.1.1-2 Lime CO2</v>
      </c>
    </row>
    <row r="32" spans="1:1" ht="15.75" x14ac:dyDescent="0.25">
      <c r="A32" s="5" t="str">
        <f>HYPERLINK("#'5.4.1.1-4 Atmos deposition'!A1", "5.4.1.1-4 Atmos. deposition")</f>
        <v>5.4.1.1-4 Atmos. deposition</v>
      </c>
    </row>
    <row r="33" spans="1:1" ht="15.75" x14ac:dyDescent="0.25">
      <c r="A33" s="5" t="str">
        <f>HYPERLINK("#'5.5.1.1-2 Leaching and runoff'!A1", "5.5.1.1-2 Leaching &amp; runoff")</f>
        <v>5.5.1.1-2 Leaching &amp; runoff</v>
      </c>
    </row>
    <row r="34" spans="1:1" ht="15.75" x14ac:dyDescent="0.25">
      <c r="A34" s="5" t="str">
        <f>HYPERLINK("#'6.2.1.1-2 Pasture residue N2O'!A1", "6.2.1.1-2 Pasture residue N2O")</f>
        <v>6.2.1.1-2 Pasture residue N2O</v>
      </c>
    </row>
    <row r="35" spans="1:1" ht="15.75" x14ac:dyDescent="0.25">
      <c r="A35" s="5" t="str">
        <f>HYPERLINK("#'6.3.1.1-2 Leach runoff pasture'!A1", "6.3.1.1-2 Leach &amp; runoff (pasture)")</f>
        <v>6.3.1.1-2 Leach &amp; runoff (pasture)</v>
      </c>
    </row>
    <row r="36" spans="1:1" ht="15.75" x14ac:dyDescent="0.25">
      <c r="A36" s="5" t="str">
        <f>HYPERLINK("#'8.1.1.1-2 Transport fuel'!A1", "8.1.1.1-2 Transport fuel")</f>
        <v>8.1.1.1-2 Transport fuel</v>
      </c>
    </row>
    <row r="37" spans="1:1" ht="15.75" x14ac:dyDescent="0.25">
      <c r="A37" s="5" t="str">
        <f>HYPERLINK("#'8.2.1.1-2 Stationary fuel'!A1", "8.2.1.1-2 Stationary fuel")</f>
        <v>8.2.1.1-2 Stationary fuel</v>
      </c>
    </row>
    <row r="38" spans="1:1" ht="15.75" x14ac:dyDescent="0.25">
      <c r="A38" s="5" t="str">
        <f>HYPERLINK("#'14.1.1-2 Purchased electricity'!A1", "14.1.1-2 Purchased electricity")</f>
        <v>14.1.1-2 Purchased electricity</v>
      </c>
    </row>
    <row r="39" spans="1:1" ht="15.75" x14ac:dyDescent="0.25">
      <c r="A39" s="5" t="str">
        <f>HYPERLINK("#'15 Scope 3'!A1", "15 Scope 3")</f>
        <v>15 Scope 3</v>
      </c>
    </row>
    <row r="40" spans="1:1" ht="15.75" x14ac:dyDescent="0.25">
      <c r="A40" s="5" t="str">
        <f>HYPERLINK("#'Calcs - Manure sent off-site'!A1", "Calcs - Manure sent off-site")</f>
        <v>Calcs - Manure sent off-site</v>
      </c>
    </row>
    <row r="41" spans="1:1" ht="15.75" x14ac:dyDescent="0.25">
      <c r="A41" s="5" t="str">
        <f>HYPERLINK("#'4.3.1.1-2 Methane'!A1", "4.3.1.1-2 Methane")</f>
        <v>4.3.1.1-2 Methane</v>
      </c>
    </row>
    <row r="42" spans="1:1" ht="15.75" x14ac:dyDescent="0.25">
      <c r="A42" s="5" t="str">
        <f>HYPERLINK("#'4.3.1.3-4 Direct N20'!A1", "4.3.1.3-4 Direct N20")</f>
        <v>4.3.1.3-4 Direct N20</v>
      </c>
    </row>
    <row r="43" spans="1:1" ht="15.75" x14ac:dyDescent="0.25">
      <c r="A43" s="5" t="str">
        <f>HYPERLINK("#'4.3.1.5 Atmos deposition'!A1", "4.3.1.5 Atmos deposition")</f>
        <v>4.3.1.5 Atmos deposition</v>
      </c>
    </row>
    <row r="44" spans="1:1" ht="15.75" x14ac:dyDescent="0.25">
      <c r="A44" s="5" t="str">
        <f>HYPERLINK("#'4.3.1.6-7 Leaching and runoff'!A1", "4.3.1.6-7 Leaching and runoff")</f>
        <v>4.3.1.6-7 Leaching and runoff</v>
      </c>
    </row>
    <row r="45" spans="1:1" ht="15.75" x14ac:dyDescent="0.25">
      <c r="A45" s="5" t="str">
        <f>HYPERLINK("#'4.3.1.8 Manure applied to soils'!A1", "4.3.1.8 Manure applied to soils")</f>
        <v>4.3.1.8 Manure applied to soils</v>
      </c>
    </row>
    <row r="46" spans="1:1" ht="15.75" x14ac:dyDescent="0.25">
      <c r="A46" s="5" t="str">
        <f>HYPERLINK("#'4.3.1.9 Soil direct N2O'!A1", "4.3.1.9 Soil direct N2O")</f>
        <v>4.3.1.9 Soil direct N2O</v>
      </c>
    </row>
    <row r="47" spans="1:1" ht="15.75" x14ac:dyDescent="0.25">
      <c r="A47" s="5" t="str">
        <f>HYPERLINK("#'4.3.1.10-11 Soil Atmos Dep'!A1", "4.3.1.10-11 Soil Atmos Dep")</f>
        <v>4.3.1.10-11 Soil Atmos Dep</v>
      </c>
    </row>
    <row r="48" spans="1:1" ht="15.75" x14ac:dyDescent="0.25">
      <c r="A48" s="5" t="str">
        <f>HYPERLINK("#'4.3.1.12-13 Soil leach runoff'!A1", "4.3.1.12-13 Soil leach runoff")</f>
        <v>4.3.1.12-13 Soil leach runoff</v>
      </c>
    </row>
    <row r="49" spans="1:1" ht="15.75" x14ac:dyDescent="0.25">
      <c r="A49" s="5" t="str">
        <f>HYPERLINK("#'3.3.1.1-2 Enteric Methane'!A1", "3.3.1.1-2 Enteric Methane")</f>
        <v>3.3.1.1-2 Enteric Methane</v>
      </c>
    </row>
    <row r="50" spans="1:1" ht="15.75" x14ac:dyDescent="0.25">
      <c r="A50" s="5" t="str">
        <f>HYPERLINK("#'10.1.1-2 Solid waste treatment'!A1", "10.1.1-2 Solid waste treatment")</f>
        <v>10.1.1-2 Solid waste treatment</v>
      </c>
    </row>
    <row r="53" spans="1:1" x14ac:dyDescent="0.25">
      <c r="A53" s="100" t="s">
        <v>1</v>
      </c>
    </row>
    <row r="54" spans="1:1" ht="15.75" x14ac:dyDescent="0.25">
      <c r="A54" s="5" t="str">
        <f>HYPERLINK("#'Constants - Dairy'!A1", "Constants - Dairy")</f>
        <v>Constants - Dairy</v>
      </c>
    </row>
    <row r="55" spans="1:1" ht="15.75" x14ac:dyDescent="0.25">
      <c r="A55" s="5" t="str">
        <f>HYPERLINK("#'Constants - Ag Residue'!A1", "Constants - Ag residue")</f>
        <v>Constants - Ag residue</v>
      </c>
    </row>
    <row r="56" spans="1:1" ht="15.75" x14ac:dyDescent="0.25">
      <c r="A56" s="5" t="str">
        <f>HYPERLINK("#'Constants - Common Livestock'!A1", "Constants - Common Livestock")</f>
        <v>Constants - Common Livestock</v>
      </c>
    </row>
    <row r="57" spans="1:1" ht="15.75" x14ac:dyDescent="0.25">
      <c r="A57" s="5" t="str">
        <f>HYPERLINK("#'Constants - Electricity'!A1", "Constants - Electricity")</f>
        <v>Constants - Electricity</v>
      </c>
    </row>
    <row r="58" spans="1:1" ht="15.75" x14ac:dyDescent="0.25">
      <c r="A58" s="5" t="str">
        <f>HYPERLINK("#'Constants - Fertiliser'!A1", "Constants - Fertiliser")</f>
        <v>Constants - Fertiliser</v>
      </c>
    </row>
    <row r="59" spans="1:1" ht="15.75" x14ac:dyDescent="0.25">
      <c r="A59" s="5" t="str">
        <f>HYPERLINK("#'Constants - Fuel'!A1", "Constants - Fuel")</f>
        <v>Constants - Fuel</v>
      </c>
    </row>
    <row r="60" spans="1:1" ht="15.75" x14ac:dyDescent="0.25">
      <c r="A60" s="5" t="str">
        <f>HYPERLINK("#'Constants - Scope 3'!A1", "Constants - Scope 3")</f>
        <v>Constants - Scope 3</v>
      </c>
    </row>
    <row r="61" spans="1:1" ht="15.75" x14ac:dyDescent="0.25">
      <c r="A61" s="5" t="str">
        <f>HYPERLINK("#'Constants - Common'!A1", "Constants - Common")</f>
        <v>Constants - Common</v>
      </c>
    </row>
    <row r="62" spans="1:1" ht="15.75" x14ac:dyDescent="0.25">
      <c r="A62" s="148" t="str">
        <f>HYPERLINK("#'Acknowledgements'!A1", "Acknowledgements")</f>
        <v>Acknowledgements</v>
      </c>
    </row>
    <row r="63" spans="1:1" ht="15.75" x14ac:dyDescent="0.25">
      <c r="A63" s="5" t="str">
        <f>HYPERLINK("#'Constants - Solid Waste'!A1", "Constants - Solid Waste")</f>
        <v>Constants - Solid Waste</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233B2-C524-47C0-A408-74155979AA30}">
  <sheetPr>
    <tabColor theme="5" tint="-0.249977111117893"/>
  </sheetPr>
  <dimension ref="A1:L385"/>
  <sheetViews>
    <sheetView showGridLines="0"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6" customFormat="1" ht="30" customHeight="1" x14ac:dyDescent="0.35">
      <c r="A1" s="16" t="e" vm="1">
        <v>#VALUE!</v>
      </c>
      <c r="C1" s="16" t="s">
        <v>876</v>
      </c>
    </row>
    <row r="2" spans="1:10" s="3" customFormat="1" ht="20.100000000000001" customHeight="1" x14ac:dyDescent="0.25">
      <c r="A2"/>
    </row>
    <row r="3" spans="1:10" ht="20.100000000000001" customHeight="1" x14ac:dyDescent="0.25">
      <c r="A3" s="5" t="str">
        <f>HYPERLINK("#'Home'!A1", "Home")</f>
        <v>Home</v>
      </c>
      <c r="C3" s="38"/>
      <c r="D3" s="38"/>
      <c r="E3" s="38"/>
      <c r="F3" s="38"/>
      <c r="G3" s="38"/>
      <c r="H3" s="38"/>
      <c r="I3" s="38"/>
      <c r="J3" s="38"/>
    </row>
    <row r="4" spans="1:10" ht="20.100000000000001" customHeight="1" x14ac:dyDescent="0.25">
      <c r="A4" s="5" t="str">
        <f>HYPERLINK("#'Overview'!A1", "Overview")</f>
        <v>Overview</v>
      </c>
    </row>
    <row r="5" spans="1:10" ht="20.100000000000001" customHeight="1" x14ac:dyDescent="0.25">
      <c r="A5" s="5" t="str">
        <f>HYPERLINK("#'Results'!A1", "Results")</f>
        <v>Results</v>
      </c>
      <c r="D5" s="2" t="s">
        <v>877</v>
      </c>
    </row>
    <row r="6" spans="1:10" ht="20.100000000000001" customHeight="1" x14ac:dyDescent="0.25"/>
    <row r="7" spans="1:10" ht="20.100000000000001" customHeight="1" x14ac:dyDescent="0.25">
      <c r="D7" s="45" t="s">
        <v>751</v>
      </c>
      <c r="E7" s="48"/>
    </row>
    <row r="8" spans="1:10" ht="20.100000000000001" customHeight="1" x14ac:dyDescent="0.25">
      <c r="A8" s="7" t="s">
        <v>0</v>
      </c>
    </row>
    <row r="9" spans="1:10" ht="20.100000000000001" customHeight="1" x14ac:dyDescent="0.25">
      <c r="A9" s="5" t="str">
        <f>HYPERLINK("#'Input - Enterprise'!A1", "Enterprise")</f>
        <v>Enterprise</v>
      </c>
      <c r="D9" s="94" t="s">
        <v>752</v>
      </c>
      <c r="E9" s="94" t="s">
        <v>878</v>
      </c>
      <c r="F9" s="94" t="s">
        <v>879</v>
      </c>
      <c r="G9" s="94" t="s">
        <v>880</v>
      </c>
      <c r="H9" s="94" t="s">
        <v>881</v>
      </c>
      <c r="I9" s="94" t="s">
        <v>882</v>
      </c>
    </row>
    <row r="10" spans="1:10" ht="20.100000000000001" customHeight="1" x14ac:dyDescent="0.25">
      <c r="A10" s="5" t="str">
        <f>HYPERLINK("#'Input - Site'!A1", "Site")</f>
        <v>Site</v>
      </c>
      <c r="D10" s="29" t="s">
        <v>883</v>
      </c>
      <c r="E10" s="23" t="s">
        <v>884</v>
      </c>
      <c r="F10" s="23" t="s">
        <v>885</v>
      </c>
      <c r="G10" s="23" t="s">
        <v>886</v>
      </c>
      <c r="H10" s="85">
        <v>50</v>
      </c>
      <c r="I10" s="23" t="s">
        <v>20</v>
      </c>
    </row>
    <row r="11" spans="1:10" ht="20.100000000000001" customHeight="1" x14ac:dyDescent="0.25">
      <c r="A11" s="5" t="str">
        <f>HYPERLINK("#'Input - Dairy'!A1", "Dairy")</f>
        <v>Dairy</v>
      </c>
      <c r="D11" s="29" t="s">
        <v>887</v>
      </c>
      <c r="E11" s="23" t="s">
        <v>884</v>
      </c>
      <c r="F11" s="23" t="s">
        <v>885</v>
      </c>
      <c r="G11" s="23" t="s">
        <v>888</v>
      </c>
      <c r="H11" s="85">
        <v>50</v>
      </c>
      <c r="I11" s="23" t="s">
        <v>889</v>
      </c>
    </row>
    <row r="12" spans="1:10" ht="20.100000000000001" customHeight="1" x14ac:dyDescent="0.25">
      <c r="A12" s="5" t="str">
        <f>HYPERLINK("#'Input - Dairy (Enteric)'!A1", "Dairy (Enteric)")</f>
        <v>Dairy (Enteric)</v>
      </c>
      <c r="D12" s="29" t="s">
        <v>890</v>
      </c>
      <c r="E12" s="23" t="s">
        <v>884</v>
      </c>
      <c r="F12" s="23" t="s">
        <v>891</v>
      </c>
      <c r="G12" s="23" t="s">
        <v>886</v>
      </c>
      <c r="H12" s="85">
        <v>50</v>
      </c>
      <c r="I12" s="23" t="s">
        <v>20</v>
      </c>
    </row>
    <row r="13" spans="1:10" ht="20.100000000000001" customHeight="1" x14ac:dyDescent="0.25">
      <c r="A13" s="5" t="str">
        <f>HYPERLINK("#'Input - Livestock sales'!A1", "Livestock sales")</f>
        <v>Livestock sales</v>
      </c>
      <c r="D13" s="29" t="s">
        <v>892</v>
      </c>
      <c r="E13" s="23" t="s">
        <v>884</v>
      </c>
      <c r="F13" s="23" t="s">
        <v>891</v>
      </c>
      <c r="G13" s="23" t="s">
        <v>888</v>
      </c>
      <c r="H13" s="85">
        <v>50</v>
      </c>
      <c r="I13" s="23" t="s">
        <v>889</v>
      </c>
    </row>
    <row r="14" spans="1:10" ht="20.100000000000001" customHeight="1" x14ac:dyDescent="0.25">
      <c r="A14" s="5" t="str">
        <f>HYPERLINK("#'Input - Dairy cattle purchases'!A1", "Dairy cattle purchases")</f>
        <v>Dairy cattle purchases</v>
      </c>
      <c r="D14" s="29" t="s">
        <v>893</v>
      </c>
      <c r="E14" s="23" t="s">
        <v>894</v>
      </c>
      <c r="F14" s="23" t="s">
        <v>891</v>
      </c>
      <c r="G14" s="23" t="s">
        <v>886</v>
      </c>
      <c r="H14" s="85">
        <v>50</v>
      </c>
      <c r="I14" s="23" t="s">
        <v>20</v>
      </c>
    </row>
    <row r="15" spans="1:10" ht="20.100000000000001" customHeight="1" x14ac:dyDescent="0.25">
      <c r="A15" s="5" t="str">
        <f>HYPERLINK("#'Input - Pasture'!A1", "Pasture")</f>
        <v>Pasture</v>
      </c>
      <c r="D15" s="29" t="s">
        <v>895</v>
      </c>
      <c r="E15" s="23" t="s">
        <v>894</v>
      </c>
      <c r="F15" s="23" t="s">
        <v>891</v>
      </c>
      <c r="G15" s="23" t="s">
        <v>886</v>
      </c>
      <c r="H15" s="85">
        <v>50</v>
      </c>
      <c r="I15" s="23" t="s">
        <v>889</v>
      </c>
    </row>
    <row r="16" spans="1:10" ht="20.100000000000001" customHeight="1" x14ac:dyDescent="0.25">
      <c r="A16" s="5" t="str">
        <f>HYPERLINK("#'Input - Fert Prod System'!A1", "Fert Prod System")</f>
        <v>Fert Prod System</v>
      </c>
      <c r="D16" s="29" t="s">
        <v>896</v>
      </c>
      <c r="E16" s="23" t="s">
        <v>894</v>
      </c>
      <c r="F16" s="23" t="s">
        <v>891</v>
      </c>
      <c r="G16" s="23" t="s">
        <v>888</v>
      </c>
      <c r="H16" s="85">
        <v>50</v>
      </c>
      <c r="I16" s="23" t="s">
        <v>20</v>
      </c>
    </row>
    <row r="17" spans="1:11" ht="20.100000000000001" customHeight="1" x14ac:dyDescent="0.25">
      <c r="A17" s="5" t="str">
        <f>HYPERLINK("#'Input - Fertiliser'!A1", "Fertiliser")</f>
        <v>Fertiliser</v>
      </c>
      <c r="D17" s="29" t="s">
        <v>897</v>
      </c>
      <c r="E17" s="23" t="s">
        <v>894</v>
      </c>
      <c r="F17" s="23" t="s">
        <v>891</v>
      </c>
      <c r="G17" s="23" t="s">
        <v>888</v>
      </c>
      <c r="H17" s="85">
        <v>50</v>
      </c>
      <c r="I17" s="23" t="s">
        <v>889</v>
      </c>
    </row>
    <row r="18" spans="1:11" ht="20.100000000000001" customHeight="1" x14ac:dyDescent="0.25">
      <c r="A18" s="5" t="str">
        <f>HYPERLINK("#'Input - Fuel'!A1", "Fuel")</f>
        <v>Fuel</v>
      </c>
      <c r="D18" s="29" t="s">
        <v>898</v>
      </c>
      <c r="E18" s="23" t="s">
        <v>894</v>
      </c>
      <c r="F18" s="23" t="s">
        <v>885</v>
      </c>
      <c r="G18" s="23" t="s">
        <v>886</v>
      </c>
      <c r="H18" s="85">
        <v>50</v>
      </c>
      <c r="I18" s="23" t="s">
        <v>20</v>
      </c>
    </row>
    <row r="19" spans="1:11" ht="20.100000000000001" customHeight="1" x14ac:dyDescent="0.25">
      <c r="A19" s="5" t="str">
        <f>HYPERLINK("#'Input - Electricity'!A1", "Electricity")</f>
        <v>Electricity</v>
      </c>
      <c r="D19" s="29" t="s">
        <v>899</v>
      </c>
      <c r="E19" s="23" t="s">
        <v>894</v>
      </c>
      <c r="F19" s="23" t="s">
        <v>885</v>
      </c>
      <c r="G19" s="23" t="s">
        <v>886</v>
      </c>
      <c r="H19" s="85">
        <v>50</v>
      </c>
      <c r="I19" s="23" t="s">
        <v>889</v>
      </c>
    </row>
    <row r="20" spans="1:11" ht="20.100000000000001" customHeight="1" x14ac:dyDescent="0.25">
      <c r="A20" s="5" t="str">
        <f>HYPERLINK("#'Input - Farm Inputs'!A1", "Farm Inputs")</f>
        <v>Farm Inputs</v>
      </c>
      <c r="D20" s="29" t="s">
        <v>900</v>
      </c>
      <c r="E20" s="23" t="s">
        <v>894</v>
      </c>
      <c r="F20" s="23" t="s">
        <v>885</v>
      </c>
      <c r="G20" s="23" t="s">
        <v>888</v>
      </c>
      <c r="H20" s="85">
        <v>50</v>
      </c>
      <c r="I20" s="23" t="s">
        <v>20</v>
      </c>
    </row>
    <row r="21" spans="1:11" ht="20.100000000000001" customHeight="1" x14ac:dyDescent="0.25">
      <c r="A21" s="5" t="str">
        <f>HYPERLINK("#'Input - Freight'!A1", "Freight")</f>
        <v>Freight</v>
      </c>
      <c r="D21" s="29" t="s">
        <v>901</v>
      </c>
      <c r="E21" s="23" t="s">
        <v>894</v>
      </c>
      <c r="F21" s="23" t="s">
        <v>885</v>
      </c>
      <c r="G21" s="23" t="s">
        <v>888</v>
      </c>
      <c r="H21" s="85">
        <v>50</v>
      </c>
      <c r="I21" s="23" t="s">
        <v>889</v>
      </c>
    </row>
    <row r="22" spans="1:11" ht="20.100000000000001" customHeight="1" x14ac:dyDescent="0.25">
      <c r="A22" s="5" t="str">
        <f>HYPERLINK("#'Input - Manure sent off-site'!A1", "Manure sent off-site")</f>
        <v>Manure sent off-site</v>
      </c>
      <c r="D22" s="29" t="s">
        <v>902</v>
      </c>
      <c r="E22" s="23" t="s">
        <v>894</v>
      </c>
      <c r="F22" s="23" t="s">
        <v>903</v>
      </c>
      <c r="G22" s="23" t="s">
        <v>886</v>
      </c>
      <c r="H22" s="85">
        <v>50</v>
      </c>
      <c r="I22" s="23" t="s">
        <v>20</v>
      </c>
    </row>
    <row r="23" spans="1:11" ht="20.100000000000001" customHeight="1" x14ac:dyDescent="0.25">
      <c r="A23" s="98" t="str">
        <f>HYPERLINK("#'Input - Solid waste'!A1", "Solid waste")</f>
        <v>Solid waste</v>
      </c>
      <c r="D23" s="29" t="s">
        <v>904</v>
      </c>
      <c r="E23" s="23" t="s">
        <v>894</v>
      </c>
      <c r="F23" s="23" t="s">
        <v>903</v>
      </c>
      <c r="G23" s="23" t="s">
        <v>886</v>
      </c>
      <c r="H23" s="85">
        <v>50</v>
      </c>
      <c r="I23" s="23" t="s">
        <v>889</v>
      </c>
    </row>
    <row r="24" spans="1:11" ht="20.100000000000001" customHeight="1" x14ac:dyDescent="0.25">
      <c r="A24" s="5" t="str">
        <f>HYPERLINK("#'Input - Data quality'!A1", "Data quality")</f>
        <v>Data quality</v>
      </c>
      <c r="D24" s="29" t="s">
        <v>905</v>
      </c>
      <c r="E24" s="23" t="s">
        <v>894</v>
      </c>
      <c r="F24" s="23" t="s">
        <v>903</v>
      </c>
      <c r="G24" s="23" t="s">
        <v>888</v>
      </c>
      <c r="H24" s="85">
        <v>50</v>
      </c>
      <c r="I24" s="23" t="s">
        <v>20</v>
      </c>
    </row>
    <row r="25" spans="1:11" ht="20.100000000000001" customHeight="1" x14ac:dyDescent="0.25">
      <c r="D25" s="29" t="s">
        <v>906</v>
      </c>
      <c r="E25" s="23" t="s">
        <v>894</v>
      </c>
      <c r="F25" s="23" t="s">
        <v>903</v>
      </c>
      <c r="G25" s="23" t="s">
        <v>888</v>
      </c>
      <c r="H25" s="85">
        <v>50</v>
      </c>
      <c r="I25" s="23" t="s">
        <v>889</v>
      </c>
    </row>
    <row r="26" spans="1:11" ht="20.100000000000001" customHeight="1" x14ac:dyDescent="0.25">
      <c r="D26" s="29" t="s">
        <v>907</v>
      </c>
      <c r="E26" s="23" t="s">
        <v>908</v>
      </c>
      <c r="F26" s="23" t="s">
        <v>885</v>
      </c>
      <c r="G26" s="23" t="s">
        <v>888</v>
      </c>
      <c r="H26" s="85">
        <v>50</v>
      </c>
      <c r="I26" s="23" t="s">
        <v>20</v>
      </c>
    </row>
    <row r="27" spans="1:11" ht="20.100000000000001" customHeight="1" x14ac:dyDescent="0.25">
      <c r="A27" s="6" t="s">
        <v>2</v>
      </c>
      <c r="D27" s="29" t="s">
        <v>909</v>
      </c>
      <c r="E27" s="23" t="s">
        <v>908</v>
      </c>
      <c r="F27" s="23" t="s">
        <v>885</v>
      </c>
      <c r="G27" s="23" t="s">
        <v>888</v>
      </c>
      <c r="H27" s="85">
        <v>50</v>
      </c>
      <c r="I27" s="23" t="s">
        <v>889</v>
      </c>
    </row>
    <row r="28" spans="1:11" ht="20.100000000000001" customHeight="1" x14ac:dyDescent="0.25">
      <c r="A28" s="5" t="str">
        <f>HYPERLINK("#'5.1.1.1-2 Inorganic fert N2O'!A1", "5.1.1.1-2 Inorganic fert N2O")</f>
        <v>5.1.1.1-2 Inorganic fert N2O</v>
      </c>
      <c r="D28" s="29" t="s">
        <v>910</v>
      </c>
      <c r="E28" s="23" t="s">
        <v>908</v>
      </c>
      <c r="F28" s="23" t="s">
        <v>903</v>
      </c>
      <c r="G28" s="23" t="s">
        <v>888</v>
      </c>
      <c r="H28" s="85">
        <v>50</v>
      </c>
      <c r="I28" s="23" t="s">
        <v>20</v>
      </c>
    </row>
    <row r="29" spans="1:11" ht="20.100000000000001" customHeight="1" x14ac:dyDescent="0.25">
      <c r="A29" s="5" t="str">
        <f>HYPERLINK("#'5.1.1.3-4 Inorganic fert CO2'!A1", "5.1.1.3-4 Inorganic fert CO2")</f>
        <v>5.1.1.3-4 Inorganic fert CO2</v>
      </c>
      <c r="D29" s="29" t="s">
        <v>911</v>
      </c>
      <c r="E29" s="23" t="s">
        <v>908</v>
      </c>
      <c r="F29" s="23" t="s">
        <v>903</v>
      </c>
      <c r="G29" s="23" t="s">
        <v>888</v>
      </c>
      <c r="H29" s="85">
        <v>50</v>
      </c>
      <c r="I29" s="23" t="s">
        <v>889</v>
      </c>
      <c r="K29" s="184"/>
    </row>
    <row r="30" spans="1:11" ht="20.100000000000001" customHeight="1" x14ac:dyDescent="0.25">
      <c r="A30" s="5" t="str">
        <f>HYPERLINK("#'5.2.1.1-2 Organic Fert N2O'!A1", "5.2.1.1-2 Organic fert N2O")</f>
        <v>5.2.1.1-2 Organic fert N2O</v>
      </c>
      <c r="D30" s="29" t="s">
        <v>912</v>
      </c>
      <c r="E30" s="23" t="s">
        <v>908</v>
      </c>
      <c r="F30" s="23" t="s">
        <v>903</v>
      </c>
      <c r="G30" s="23" t="s">
        <v>886</v>
      </c>
      <c r="H30" s="85">
        <v>50</v>
      </c>
      <c r="I30" s="23" t="s">
        <v>20</v>
      </c>
      <c r="K30" s="184"/>
    </row>
    <row r="31" spans="1:11" ht="20.100000000000001" customHeight="1" x14ac:dyDescent="0.25">
      <c r="A31" s="5" t="str">
        <f>HYPERLINK("#'5.3.1.1-2 Lime CO2'!A1", "5.3.1.1-2 Lime CO2")</f>
        <v>5.3.1.1-2 Lime CO2</v>
      </c>
      <c r="D31" s="29" t="s">
        <v>913</v>
      </c>
      <c r="E31" s="23" t="s">
        <v>908</v>
      </c>
      <c r="F31" s="23" t="s">
        <v>903</v>
      </c>
      <c r="G31" s="23" t="s">
        <v>886</v>
      </c>
      <c r="H31" s="85">
        <v>50</v>
      </c>
      <c r="I31" s="23" t="s">
        <v>889</v>
      </c>
      <c r="K31" s="184"/>
    </row>
    <row r="32" spans="1:11" ht="20.100000000000001" customHeight="1" x14ac:dyDescent="0.25">
      <c r="A32" s="5" t="str">
        <f>HYPERLINK("#'5.4.1.1-4 Atmos deposition'!A1", "5.4.1.1-4 Atmos. deposition")</f>
        <v>5.4.1.1-4 Atmos. deposition</v>
      </c>
      <c r="D32" s="29" t="s">
        <v>911</v>
      </c>
      <c r="E32" s="23" t="s">
        <v>908</v>
      </c>
      <c r="F32" s="23" t="s">
        <v>903</v>
      </c>
      <c r="G32" s="23" t="s">
        <v>888</v>
      </c>
      <c r="H32" s="85">
        <v>50</v>
      </c>
      <c r="I32" s="23" t="s">
        <v>889</v>
      </c>
      <c r="K32" s="184"/>
    </row>
    <row r="33" spans="1:12" ht="20.100000000000001" customHeight="1" x14ac:dyDescent="0.25">
      <c r="A33" s="5" t="str">
        <f>HYPERLINK("#'5.5.1.1-2 Leaching and runoff'!A1", "5.5.1.1-2 Leaching &amp; runoff")</f>
        <v>5.5.1.1-2 Leaching &amp; runoff</v>
      </c>
      <c r="K33" s="184"/>
    </row>
    <row r="34" spans="1:12" ht="20.100000000000001" customHeight="1" x14ac:dyDescent="0.25">
      <c r="A34" s="5" t="str">
        <f>HYPERLINK("#'6.2.1.1-2 Pasture residue N2O'!A1", "6.2.1.1-2 Pasture residue N2O")</f>
        <v>6.2.1.1-2 Pasture residue N2O</v>
      </c>
      <c r="K34" s="184"/>
    </row>
    <row r="35" spans="1:12" ht="20.100000000000001" customHeight="1" x14ac:dyDescent="0.25">
      <c r="A35" s="5" t="str">
        <f>HYPERLINK("#'6.3.1.1-2 Leach runoff pasture'!A1", "6.3.1.1-2 Leach &amp; runoff (pasture)")</f>
        <v>6.3.1.1-2 Leach &amp; runoff (pasture)</v>
      </c>
    </row>
    <row r="36" spans="1:12" ht="20.100000000000001" customHeight="1" x14ac:dyDescent="0.25">
      <c r="A36" s="5" t="str">
        <f>HYPERLINK("#'8.1.1.1-2 Transport fuel'!A1", "8.1.1.1-2 Transport fuel")</f>
        <v>8.1.1.1-2 Transport fuel</v>
      </c>
      <c r="L36" s="184"/>
    </row>
    <row r="37" spans="1:12" ht="20.100000000000001" customHeight="1" x14ac:dyDescent="0.25">
      <c r="A37" s="5" t="str">
        <f>HYPERLINK("#'8.2.1.1-2 Stationary fuel'!A1", "8.2.1.1-2 Stationary fuel")</f>
        <v>8.2.1.1-2 Stationary fuel</v>
      </c>
      <c r="L37" s="184"/>
    </row>
    <row r="38" spans="1:12" ht="20.100000000000001" customHeight="1" x14ac:dyDescent="0.25">
      <c r="A38" s="5" t="str">
        <f>HYPERLINK("#'14.1.1-2 Purchased electricity'!A1", "14.1.1-2 Purchased electricity")</f>
        <v>14.1.1-2 Purchased electricity</v>
      </c>
      <c r="C38" s="169"/>
    </row>
    <row r="39" spans="1:12" ht="20.100000000000001" customHeight="1" x14ac:dyDescent="0.25">
      <c r="A39" s="5" t="str">
        <f>HYPERLINK("#'15 Scope 3'!A1", "15 Scope 3")</f>
        <v>15 Scope 3</v>
      </c>
      <c r="C39" s="169"/>
      <c r="J39" s="169"/>
    </row>
    <row r="40" spans="1:12" s="184" customFormat="1" ht="20.100000000000001" customHeight="1" x14ac:dyDescent="0.25">
      <c r="A40" s="5" t="str">
        <f>HYPERLINK("#'Calcs - Manure sent off-site'!A1", "Calcs - Manure sent off-site")</f>
        <v>Calcs - Manure sent off-site</v>
      </c>
      <c r="C40" s="1"/>
      <c r="D40" s="1"/>
      <c r="E40" s="1"/>
      <c r="F40" s="1"/>
      <c r="G40" s="1"/>
      <c r="H40" s="1"/>
      <c r="I40" s="1"/>
      <c r="J40" s="1"/>
    </row>
    <row r="41" spans="1:12" s="184" customFormat="1" ht="20.100000000000001" customHeight="1" x14ac:dyDescent="0.25">
      <c r="A41" s="5" t="str">
        <f>HYPERLINK("#'4.3.1.1-2 Methane'!A1", "4.3.1.1-2 Methane")</f>
        <v>4.3.1.1-2 Methane</v>
      </c>
      <c r="C41" s="1"/>
      <c r="D41" s="1"/>
      <c r="E41" s="1"/>
      <c r="F41" s="1"/>
      <c r="G41" s="1"/>
      <c r="H41" s="1"/>
      <c r="I41" s="1"/>
      <c r="J41" s="1"/>
      <c r="L41" s="184" t="s">
        <v>487</v>
      </c>
    </row>
    <row r="42" spans="1:12" ht="20.100000000000001" customHeight="1" x14ac:dyDescent="0.25">
      <c r="A42" s="5" t="str">
        <f>HYPERLINK("#'4.3.1.3-4 Direct N20'!A1", "4.3.1.3-4 Direct N20")</f>
        <v>4.3.1.3-4 Direct N20</v>
      </c>
    </row>
    <row r="43" spans="1:12" ht="20.100000000000001" customHeight="1" x14ac:dyDescent="0.25">
      <c r="A43" s="5" t="str">
        <f>HYPERLINK("#'4.3.1.5 Atmos deposition'!A1", "4.3.1.5 Atmos deposition")</f>
        <v>4.3.1.5 Atmos deposition</v>
      </c>
    </row>
    <row r="44" spans="1:12" ht="20.100000000000001" customHeight="1" x14ac:dyDescent="0.25">
      <c r="A44" s="5" t="str">
        <f>HYPERLINK("#'4.3.1.6-7 Leaching and runoff'!A1", "4.3.1.6-7 Leaching and runoff")</f>
        <v>4.3.1.6-7 Leaching and runoff</v>
      </c>
    </row>
    <row r="45" spans="1:12" ht="20.100000000000001" customHeight="1" x14ac:dyDescent="0.25">
      <c r="A45" s="5" t="str">
        <f>HYPERLINK("#'4.3.1.8 Manure applied to soils'!A1", "4.3.1.8 Manure applied to soils")</f>
        <v>4.3.1.8 Manure applied to soils</v>
      </c>
    </row>
    <row r="46" spans="1:12" ht="20.100000000000001" customHeight="1" x14ac:dyDescent="0.25">
      <c r="A46" s="5" t="str">
        <f>HYPERLINK("#'4.3.1.9 Soil direct N2O'!A1", "4.3.1.9 Soil direct N2O")</f>
        <v>4.3.1.9 Soil direct N2O</v>
      </c>
    </row>
    <row r="47" spans="1:12" ht="20.100000000000001" customHeight="1" x14ac:dyDescent="0.25">
      <c r="A47" s="5" t="str">
        <f>HYPERLINK("#'4.3.1.10-11 Soil Atmos Dep'!A1", "4.3.1.10-11 Soil Atmos Dep")</f>
        <v>4.3.1.10-11 Soil Atmos Dep</v>
      </c>
    </row>
    <row r="48" spans="1:12" ht="20.100000000000001" customHeight="1" x14ac:dyDescent="0.25">
      <c r="A48" s="5" t="str">
        <f>HYPERLINK("#'4.3.1.12-13 Soil leach runoff'!A1", "4.3.1.12-13 Soil leach runoff")</f>
        <v>4.3.1.12-13 Soil leach runoff</v>
      </c>
    </row>
    <row r="49" spans="1:1" ht="20.100000000000001" customHeight="1" x14ac:dyDescent="0.25">
      <c r="A49" s="5" t="str">
        <f>HYPERLINK("#'3.3.1.1-2 Enteric Methane'!A1", "3.3.1.1-2 Enteric Methane")</f>
        <v>3.3.1.1-2 Enteric Methane</v>
      </c>
    </row>
    <row r="50" spans="1:1" ht="20.100000000000001" customHeight="1" x14ac:dyDescent="0.25">
      <c r="A50" s="5" t="str">
        <f>HYPERLINK("#'10.1.1-2 Solid waste treatment'!A1", "10.1.1-2 Solid waste treatment")</f>
        <v>10.1.1-2 Solid waste treatment</v>
      </c>
    </row>
    <row r="51" spans="1:1" ht="20.100000000000001" customHeight="1" x14ac:dyDescent="0.25"/>
    <row r="52" spans="1:1" ht="20.100000000000001" customHeight="1" x14ac:dyDescent="0.25"/>
    <row r="53" spans="1:1" ht="20.100000000000001" customHeight="1" x14ac:dyDescent="0.25">
      <c r="A53" s="100" t="s">
        <v>1</v>
      </c>
    </row>
    <row r="54" spans="1:1" ht="20.100000000000001" customHeight="1" x14ac:dyDescent="0.25">
      <c r="A54" s="5" t="str">
        <f>HYPERLINK("#'Constants - Dairy'!A1", "Constants - Dairy")</f>
        <v>Constants - Dairy</v>
      </c>
    </row>
    <row r="55" spans="1:1" ht="20.100000000000001" customHeight="1" x14ac:dyDescent="0.25">
      <c r="A55" s="5" t="str">
        <f>HYPERLINK("#'Constants - Ag Residue'!A1", "Constants - Ag residue")</f>
        <v>Constants - Ag residue</v>
      </c>
    </row>
    <row r="56" spans="1:1" ht="20.100000000000001" customHeight="1" x14ac:dyDescent="0.25">
      <c r="A56" s="5" t="str">
        <f>HYPERLINK("#'Constants - Common Livestock'!A1", "Constants - Common Livestock")</f>
        <v>Constants - Common Livestock</v>
      </c>
    </row>
    <row r="57" spans="1:1" ht="20.100000000000001" customHeight="1" x14ac:dyDescent="0.25">
      <c r="A57" s="5" t="str">
        <f>HYPERLINK("#'Constants - Electricity'!A1", "Constants - Electricity")</f>
        <v>Constants - Electricity</v>
      </c>
    </row>
    <row r="58" spans="1:1" ht="20.100000000000001" customHeight="1" x14ac:dyDescent="0.25">
      <c r="A58" s="5" t="str">
        <f>HYPERLINK("#'Constants - Fertiliser'!A1", "Constants - Fertiliser")</f>
        <v>Constants - Fertiliser</v>
      </c>
    </row>
    <row r="59" spans="1:1" ht="20.100000000000001" customHeight="1" x14ac:dyDescent="0.25">
      <c r="A59" s="5" t="str">
        <f>HYPERLINK("#'Constants - Fuel'!A1", "Constants - Fuel")</f>
        <v>Constants - Fuel</v>
      </c>
    </row>
    <row r="60" spans="1:1" ht="20.100000000000001" customHeight="1" x14ac:dyDescent="0.25">
      <c r="A60" s="5" t="str">
        <f>HYPERLINK("#'Constants - Scope 3'!A1", "Constants - Scope 3")</f>
        <v>Constants - Scope 3</v>
      </c>
    </row>
    <row r="61" spans="1:1" ht="20.100000000000001" customHeight="1" x14ac:dyDescent="0.25">
      <c r="A61" s="5" t="str">
        <f>HYPERLINK("#'Constants - Common'!A1", "Constants - Common")</f>
        <v>Constants - Common</v>
      </c>
    </row>
    <row r="62" spans="1:1" ht="20.100000000000001" customHeight="1" x14ac:dyDescent="0.25">
      <c r="A62" s="5" t="str">
        <f>HYPERLINK("#'Acknowledgements'!A1", "Acknowledgements")</f>
        <v>Acknowledgements</v>
      </c>
    </row>
    <row r="63" spans="1:1" ht="20.100000000000001" customHeight="1" x14ac:dyDescent="0.25">
      <c r="A63" s="5" t="str">
        <f>HYPERLINK("#'Constants - Solid Waste'!A1", "Constants - Solid Waste")</f>
        <v>Constants - Solid Waste</v>
      </c>
    </row>
    <row r="64" spans="1:1"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206"/>
    </row>
    <row r="74" spans="4:4" ht="20.100000000000001" customHeight="1" x14ac:dyDescent="0.25"/>
    <row r="75" spans="4:4" ht="20.100000000000001" customHeight="1" x14ac:dyDescent="0.25">
      <c r="D75" s="206"/>
    </row>
    <row r="76" spans="4:4" ht="20.100000000000001" customHeight="1" x14ac:dyDescent="0.25">
      <c r="D76" s="206"/>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91"/>
    </row>
  </sheetData>
  <conditionalFormatting sqref="F162:F163">
    <cfRule type="cellIs" dxfId="16" priority="7" operator="lessThan">
      <formula>0</formula>
    </cfRule>
  </conditionalFormatting>
  <conditionalFormatting sqref="F174:F175">
    <cfRule type="cellIs" dxfId="15" priority="6" operator="lessThan">
      <formula>0</formula>
    </cfRule>
  </conditionalFormatting>
  <conditionalFormatting sqref="F186:F187">
    <cfRule type="cellIs" dxfId="14" priority="5" operator="lessThan">
      <formula>0</formula>
    </cfRule>
  </conditionalFormatting>
  <conditionalFormatting sqref="F274:F275">
    <cfRule type="cellIs" dxfId="13" priority="17" operator="lessThan">
      <formula>0</formula>
    </cfRule>
  </conditionalFormatting>
  <conditionalFormatting sqref="F279:F280">
    <cfRule type="cellIs" dxfId="12" priority="16" operator="lessThan">
      <formula>0</formula>
    </cfRule>
  </conditionalFormatting>
  <conditionalFormatting sqref="F284:F285">
    <cfRule type="cellIs" dxfId="11" priority="15" operator="lessThan">
      <formula>0</formula>
    </cfRule>
  </conditionalFormatting>
  <conditionalFormatting sqref="F308:F309">
    <cfRule type="cellIs" dxfId="10" priority="14" operator="lessThan">
      <formula>0</formula>
    </cfRule>
  </conditionalFormatting>
  <conditionalFormatting sqref="F313:F314">
    <cfRule type="cellIs" dxfId="9" priority="13" operator="lessThan">
      <formula>0</formula>
    </cfRule>
  </conditionalFormatting>
  <conditionalFormatting sqref="F318:F319">
    <cfRule type="cellIs" dxfId="8" priority="12" operator="lessThan">
      <formula>0</formula>
    </cfRule>
  </conditionalFormatting>
  <conditionalFormatting sqref="I33 F71">
    <cfRule type="cellIs" dxfId="7" priority="9" operator="lessThan">
      <formula>0</formula>
    </cfRule>
  </conditionalFormatting>
  <conditionalFormatting sqref="I79:I83">
    <cfRule type="cellIs" dxfId="6" priority="4" operator="lessThan">
      <formula>0</formula>
    </cfRule>
  </conditionalFormatting>
  <conditionalFormatting sqref="I87 I146">
    <cfRule type="cellIs" dxfId="5" priority="10" operator="lessThan">
      <formula>0</formula>
    </cfRule>
  </conditionalFormatting>
  <conditionalFormatting sqref="I98:I100">
    <cfRule type="cellIs" dxfId="4" priority="3" operator="lessThan">
      <formula>0</formula>
    </cfRule>
  </conditionalFormatting>
  <conditionalFormatting sqref="I104:I107">
    <cfRule type="cellIs" dxfId="3" priority="2"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11" operator="lessThan">
      <formula>0</formula>
    </cfRule>
  </conditionalFormatting>
  <conditionalFormatting sqref="J37 I59 F150:F151">
    <cfRule type="cellIs" dxfId="0" priority="8" operator="lessThan">
      <formula>0</formula>
    </cfRule>
  </conditionalFormatting>
  <dataValidations count="9">
    <dataValidation type="list" allowBlank="1" showInputMessage="1" showErrorMessage="1" sqref="F10:F32" xr:uid="{DC64F99D-5700-40A6-895D-E6C1291E5C65}">
      <formula1>INDIRECT("Table_WasteTypes_" &amp; SUBSTITUTE(E10, " ", "") &amp; "[Waste type w]")</formula1>
    </dataValidation>
    <dataValidation type="list" allowBlank="1" showInputMessage="1" showErrorMessage="1" sqref="I10:I32" xr:uid="{3059F524-B7E6-4CC8-B0AD-405D6F3E9228}">
      <formula1>"tonnes, cubic metres m3"</formula1>
    </dataValidation>
    <dataValidation type="list" allowBlank="1" showInputMessage="1" showErrorMessage="1" sqref="G10:G32" xr:uid="{9A03988E-9DFC-4A37-9700-61FE9B06E7FA}">
      <formula1>"Treated on-site, Removed and treated off-site"</formula1>
    </dataValidation>
    <dataValidation type="list" allowBlank="1" showInputMessage="1" showErrorMessage="1" sqref="E10:E32" xr:uid="{32FD5DF7-A1F4-4042-B00B-3D8BBADF406F}">
      <formula1>INDIRECT(_xlfn.UNIQUE("Table_SourceData_WasteSolid_WasteTreatmentEFs[Treatment type t]"))</formula1>
    </dataValidation>
    <dataValidation type="list" allowBlank="1" showInputMessage="1" showErrorMessage="1" sqref="E35" xr:uid="{F529D9B6-FA8A-4FDF-9BEF-F4BD3ED1F097}">
      <formula1>INDIRECT("Table_SourceData_ElectricityEFs[State, Territory or grid description]")</formula1>
    </dataValidation>
    <dataValidation type="list" allowBlank="1" showInputMessage="1" showErrorMessage="1" sqref="E89" xr:uid="{247908F8-39E8-47C5-821F-C8A8872140FB}">
      <formula1>INDIRECT("Table_SourceData_Swine_IrrigationMethods[Irrigation method]")</formula1>
    </dataValidation>
    <dataValidation type="list" allowBlank="1" showInputMessage="1" showErrorMessage="1" sqref="E273 E278 E283 E317 E312 E307 E185 E173 E149 E161" xr:uid="{A1E60CC7-A9E4-4C03-BF65-18F1D41E398D}">
      <formula1>"Yes, No"</formula1>
    </dataValidation>
    <dataValidation type="list" allowBlank="1" showInputMessage="1" showErrorMessage="1" sqref="E249" xr:uid="{474FA28C-2033-45E2-9300-97495831EE6D}">
      <formula1>INDIRECT("Table_SourceData_Dairy_ProductionSystemTemplates[Area]")</formula1>
    </dataValidation>
    <dataValidation type="list" allowBlank="1" showInputMessage="1" showErrorMessage="1" sqref="D301" xr:uid="{ABE961A5-92F7-42C6-B539-78C23E051788}">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FCF4-F989-4E81-BDFC-0BAD9A112750}">
  <dimension ref="A1:W305"/>
  <sheetViews>
    <sheetView showGridLines="0" topLeftCell="A48"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30" customFormat="1" ht="30" customHeight="1" x14ac:dyDescent="0.35">
      <c r="A1" s="16" t="e" vm="1">
        <v>#VALUE!</v>
      </c>
      <c r="C1" s="30" t="s">
        <v>261</v>
      </c>
    </row>
    <row r="2" spans="1:23" s="3" customFormat="1" ht="20.100000000000001" customHeight="1" x14ac:dyDescent="0.25">
      <c r="A2"/>
    </row>
    <row r="3" spans="1:23" ht="20.100000000000001" customHeight="1" x14ac:dyDescent="0.25">
      <c r="A3" s="5" t="str">
        <f>HYPERLINK("#'Home'!A1", "Home")</f>
        <v>Home</v>
      </c>
      <c r="C3" s="32"/>
      <c r="D3" s="32" t="s">
        <v>136</v>
      </c>
      <c r="E3" s="32"/>
      <c r="F3" s="32"/>
      <c r="G3" s="32"/>
      <c r="H3" s="32"/>
      <c r="I3" s="32"/>
      <c r="J3" s="32"/>
      <c r="K3" s="32"/>
      <c r="L3" s="32"/>
      <c r="N3" s="32"/>
      <c r="O3" s="32" t="s">
        <v>137</v>
      </c>
      <c r="P3" s="32"/>
      <c r="Q3" s="32"/>
      <c r="R3" s="32"/>
      <c r="S3" s="32"/>
      <c r="T3" s="32"/>
      <c r="U3" s="32"/>
      <c r="V3" s="32"/>
      <c r="W3" s="32"/>
    </row>
    <row r="4" spans="1:23" ht="20.100000000000001" customHeight="1" x14ac:dyDescent="0.25">
      <c r="A4" s="5" t="str">
        <f>HYPERLINK("#'Overview'!A1", "Overview")</f>
        <v>Overview</v>
      </c>
    </row>
    <row r="5" spans="1:23" ht="20.100000000000001" customHeight="1" x14ac:dyDescent="0.25">
      <c r="A5" s="5" t="str">
        <f>HYPERLINK("#'Results'!A1", "Results")</f>
        <v>Results</v>
      </c>
      <c r="D5" s="2" t="str" cm="1">
        <f t="array" ref="D5">EntericMethane_Dairy_Equations.VEERG_3_3_1_1__6_MetabolisabilityOfDiet_Title()</f>
        <v>Metabolisability of diet</v>
      </c>
    </row>
    <row r="6" spans="1:23" ht="20.100000000000001" customHeight="1" x14ac:dyDescent="0.25">
      <c r="D6" s="27" t="str" cm="1">
        <f t="array" ref="D6">EntericMethane_Dairy_Equations.VEERG_3_3_1_1__6_MetabolisabilityOfDiet_Source()</f>
        <v>VEERG 2026: 3.3.1.1, Equation (6)</v>
      </c>
    </row>
    <row r="7" spans="1:23" ht="20.100000000000001" customHeight="1" x14ac:dyDescent="0.25">
      <c r="D7" s="35"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7" t="s">
        <v>0</v>
      </c>
      <c r="D8" s="118" t="s">
        <v>262</v>
      </c>
      <c r="E8" s="118" t="str" cm="1">
        <f t="array" aca="1" ref="E8" ca="1">Common_InputFunctions.Utility_DisplayFunctionName(D24)</f>
        <v>=EntericMethane_Dairy_Equations.VEERG_3_3_1_1__6_MetabolisabilityOfDietVariation</v>
      </c>
    </row>
    <row r="9" spans="1:23" ht="20.100000000000001" customHeight="1" x14ac:dyDescent="0.25">
      <c r="A9" s="5" t="str">
        <f>HYPERLINK("#'Input - Enterprise'!A1", "Enterprise")</f>
        <v>Enterprise</v>
      </c>
    </row>
    <row r="10" spans="1:23" ht="20.100000000000001" customHeight="1" x14ac:dyDescent="0.25">
      <c r="A10" s="5" t="str">
        <f>HYPERLINK("#'Input - Site'!A1", "Site")</f>
        <v>Site</v>
      </c>
    </row>
    <row r="11" spans="1:23" ht="20.100000000000001" customHeight="1" x14ac:dyDescent="0.25">
      <c r="A11" s="5" t="str">
        <f>HYPERLINK("#'Input - Dairy'!A1", "Dairy")</f>
        <v>Dairy</v>
      </c>
      <c r="D11" s="87" t="s">
        <v>263</v>
      </c>
      <c r="E11" s="1" t="str" cm="1">
        <f t="array" ref="E11">EntericMethane_Dairy_Equations.VEERG_3_3_1_1__6_MetabolisabilityOfDiet_Variable()</f>
        <v>qm_j</v>
      </c>
    </row>
    <row r="12" spans="1:23" ht="20.100000000000001" customHeight="1" x14ac:dyDescent="0.25">
      <c r="A12" s="5" t="str">
        <f>HYPERLINK("#'Input - Dairy (Enteric)'!A1", "Dairy (Enteric)")</f>
        <v>Dairy (Enteric)</v>
      </c>
      <c r="D12" s="87" t="s">
        <v>122</v>
      </c>
      <c r="E12" s="15" t="str" cm="1">
        <f t="array" ref="E12">EntericMethane_Dairy_Equations.VEERG_3_3_1_1__6_MetabolisabilityOfDiet_Unit()</f>
        <v>fraction</v>
      </c>
    </row>
    <row r="13" spans="1:23" ht="20.100000000000001" customHeight="1" x14ac:dyDescent="0.25">
      <c r="A13" s="5" t="str">
        <f>HYPERLINK("#'Input - Livestock sales'!A1", "Livestock sales")</f>
        <v>Livestock sales</v>
      </c>
    </row>
    <row r="14" spans="1:23" ht="20.100000000000001" customHeight="1" x14ac:dyDescent="0.25">
      <c r="A14" s="5" t="str">
        <f>HYPERLINK("#'Input - Dairy cattle purchases'!A1", "Dairy cattle purchases")</f>
        <v>Dairy cattle purchases</v>
      </c>
      <c r="D14" s="120" t="str" cm="1">
        <f t="array" ref="D14:E14">_xlfn.CHOOSECOLS(EntericMethane_Dairy_Equations.VEERG_3_3_1_1__6_MetabolisabilityOfDiet_Arguments(), 1,2)</f>
        <v>DMD_j</v>
      </c>
      <c r="E14" s="120" t="str">
        <v>dry matter digestibility expressed as a fraction</v>
      </c>
      <c r="F14" s="120"/>
      <c r="G14" s="120" t="str" cm="1">
        <f t="array" ref="G14:H14">_xlfn.CHOOSECOLS(EntericMethane_Dairy_Equations.VEERG_3_3_1_1__6_MetabolisabilityOfDiet_Arguments(), 3,4)</f>
        <v>fraction</v>
      </c>
      <c r="H14" s="121" t="str">
        <v>Input</v>
      </c>
      <c r="I14" s="120" t="str">
        <f>"See " &amp; D16</f>
        <v>See M1_Table_DMD_j</v>
      </c>
    </row>
    <row r="15" spans="1:23" ht="20.100000000000001" customHeight="1" x14ac:dyDescent="0.25">
      <c r="A15" s="5" t="str">
        <f>HYPERLINK("#'Input - Pasture'!A1", "Pasture")</f>
        <v>Pasture</v>
      </c>
    </row>
    <row r="16" spans="1:23" ht="20.100000000000001" customHeight="1" x14ac:dyDescent="0.25">
      <c r="A16" s="5" t="str">
        <f>HYPERLINK("#'Input - Fert Prod System'!A1", "Fert Prod System")</f>
        <v>Fert Prod System</v>
      </c>
      <c r="D16" s="122" t="s">
        <v>264</v>
      </c>
      <c r="O16" s="122" t="s">
        <v>265</v>
      </c>
    </row>
    <row r="17" spans="1:23" ht="20.100000000000001" customHeight="1" x14ac:dyDescent="0.25">
      <c r="A17" s="5" t="str">
        <f>HYPERLINK("#'Input - Fertiliser'!A1", "Fertiliser")</f>
        <v>Fertiliser</v>
      </c>
      <c r="D17" s="123" t="s">
        <v>266</v>
      </c>
      <c r="O17" s="123" t="s">
        <v>267</v>
      </c>
    </row>
    <row r="18" spans="1:23" ht="20.100000000000001" customHeight="1" x14ac:dyDescent="0.25">
      <c r="A18" s="5" t="str">
        <f>HYPERLINK("#'Input - Fuel'!A1", "Fuel")</f>
        <v>Fuel</v>
      </c>
      <c r="D18" s="94" t="s">
        <v>213</v>
      </c>
      <c r="E18" s="94" t="s">
        <v>214</v>
      </c>
      <c r="F18" s="94" t="s">
        <v>215</v>
      </c>
      <c r="G18" s="94" t="s">
        <v>216</v>
      </c>
      <c r="H18" s="94" t="s">
        <v>217</v>
      </c>
      <c r="O18" s="94" t="s">
        <v>213</v>
      </c>
      <c r="P18" s="94" t="s">
        <v>214</v>
      </c>
      <c r="Q18" s="94" t="s">
        <v>215</v>
      </c>
      <c r="R18" s="94" t="s">
        <v>216</v>
      </c>
      <c r="S18" s="94" t="s">
        <v>217</v>
      </c>
    </row>
    <row r="19" spans="1:23" ht="20.100000000000001" customHeight="1" x14ac:dyDescent="0.25">
      <c r="A19" s="5" t="str">
        <f>HYPERLINK("#'Input - Electricity'!A1", "Electricity")</f>
        <v>Electricity</v>
      </c>
      <c r="D19" s="25">
        <f>INDEX(X_Table_Dairy_Diet_Method1,2,2)</f>
        <v>0.75</v>
      </c>
      <c r="E19" s="25">
        <f>INDEX(X_Table_Dairy_Diet_Method1,2,3)</f>
        <v>0.75</v>
      </c>
      <c r="F19" s="25">
        <f>INDEX(X_Table_Dairy_Diet_Method1,2,4)</f>
        <v>0.75</v>
      </c>
      <c r="G19" s="25">
        <f>INDEX(X_Table_Dairy_Diet_Method1,2,5)</f>
        <v>0.75</v>
      </c>
      <c r="H19" s="25">
        <f>INDEX(X_Table_Dairy_Diet_Method1,2,6)</f>
        <v>0.75</v>
      </c>
      <c r="I19" s="26" t="s">
        <v>268</v>
      </c>
      <c r="J19" s="26"/>
      <c r="K19" s="26"/>
      <c r="O19" s="25">
        <f>INDEX(X_Table_Dairy_Diet_Method2,2,2)</f>
        <v>0.75</v>
      </c>
      <c r="P19" s="25">
        <f>INDEX(X_Table_Dairy_Diet_Method2,2,3)</f>
        <v>0.75</v>
      </c>
      <c r="Q19" s="25">
        <f>INDEX(X_Table_Dairy_Diet_Method2,2,4)</f>
        <v>0.75</v>
      </c>
      <c r="R19" s="25">
        <f>INDEX(X_Table_Dairy_Diet_Method2,2,5)</f>
        <v>0.75</v>
      </c>
      <c r="S19" s="25">
        <f>INDEX(X_Table_Dairy_Diet_Method2,2,6)</f>
        <v>0.75</v>
      </c>
      <c r="T19" s="26" t="s">
        <v>268</v>
      </c>
      <c r="U19" s="26"/>
      <c r="V19" s="26"/>
    </row>
    <row r="20" spans="1:23" ht="20.100000000000001" customHeight="1" x14ac:dyDescent="0.25">
      <c r="A20" s="5" t="str">
        <f>HYPERLINK("#'Input - Farm Inputs'!A1", "Farm Inputs")</f>
        <v>Farm Inputs</v>
      </c>
    </row>
    <row r="21" spans="1:23" ht="20.100000000000001" customHeight="1" x14ac:dyDescent="0.25">
      <c r="A21" s="5" t="str">
        <f>HYPERLINK("#'Input - Freight'!A1", "Freight")</f>
        <v>Freight</v>
      </c>
      <c r="D21" s="122" t="s">
        <v>269</v>
      </c>
      <c r="O21" s="122" t="s">
        <v>270</v>
      </c>
    </row>
    <row r="22" spans="1:23" ht="20.100000000000001" customHeight="1" x14ac:dyDescent="0.25">
      <c r="A22" s="5" t="str">
        <f>HYPERLINK("#'Input - Manure sent off-site'!A1", "Manure sent off-site")</f>
        <v>Manure sent off-site</v>
      </c>
      <c r="D22" s="123" t="s">
        <v>271</v>
      </c>
      <c r="O22" s="123" t="s">
        <v>272</v>
      </c>
    </row>
    <row r="23" spans="1:23" ht="20.100000000000001" customHeight="1" x14ac:dyDescent="0.25">
      <c r="A23" s="5" t="str">
        <f>HYPERLINK("#'Input - Solid waste'!A1", "Solid waste")</f>
        <v>Solid waste</v>
      </c>
      <c r="D23" s="124" t="s">
        <v>213</v>
      </c>
      <c r="E23" s="124" t="s">
        <v>214</v>
      </c>
      <c r="F23" s="124" t="s">
        <v>215</v>
      </c>
      <c r="G23" s="124" t="s">
        <v>216</v>
      </c>
      <c r="H23" s="124" t="s">
        <v>217</v>
      </c>
      <c r="O23" s="124" t="s">
        <v>213</v>
      </c>
      <c r="P23" s="124" t="s">
        <v>214</v>
      </c>
      <c r="Q23" s="124" t="s">
        <v>215</v>
      </c>
      <c r="R23" s="124" t="s">
        <v>216</v>
      </c>
      <c r="S23" s="124" t="s">
        <v>217</v>
      </c>
    </row>
    <row r="24" spans="1:23" ht="20.100000000000001" customHeight="1" x14ac:dyDescent="0.25">
      <c r="A24" s="5" t="str">
        <f>HYPERLINK("#'Input - Data quality'!A1", "Data quality")</f>
        <v>Data quality</v>
      </c>
      <c r="D24" s="25" cm="1">
        <f t="array" ref="D24">EntericMethane_Dairy_Equations.VEERG_3_3_1_1__6_MetabolisabilityOfDietVariation(D19)</f>
        <v>0.5948500000000001</v>
      </c>
      <c r="E24" s="25" cm="1">
        <f t="array" ref="E24">EntericMethane_Dairy_Equations.VEERG_3_3_1_1__6_MetabolisabilityOfDietVariation(E19)</f>
        <v>0.5948500000000001</v>
      </c>
      <c r="F24" s="25" cm="1">
        <f t="array" ref="F24">EntericMethane_Dairy_Equations.VEERG_3_3_1_1__6_MetabolisabilityOfDietVariation(F19)</f>
        <v>0.5948500000000001</v>
      </c>
      <c r="G24" s="25" cm="1">
        <f t="array" ref="G24">EntericMethane_Dairy_Equations.VEERG_3_3_1_1__6_MetabolisabilityOfDietVariation(G19)</f>
        <v>0.5948500000000001</v>
      </c>
      <c r="H24" s="25" cm="1">
        <f t="array" ref="H24">EntericMethane_Dairy_Equations.VEERG_3_3_1_1__6_MetabolisabilityOfDietVariation(H19)</f>
        <v>0.5948500000000001</v>
      </c>
      <c r="I24" s="26" t="str">
        <f>$E$12</f>
        <v>fraction</v>
      </c>
      <c r="J24" s="26"/>
      <c r="K24" s="26"/>
      <c r="O24" s="25" cm="1">
        <f t="array" ref="O24">EntericMethane_Dairy_Equations.VEERG_3_3_1_1__6_MetabolisabilityOfDietVariation(O19)</f>
        <v>0.5948500000000001</v>
      </c>
      <c r="P24" s="25" cm="1">
        <f t="array" ref="P24">EntericMethane_Dairy_Equations.VEERG_3_3_1_1__6_MetabolisabilityOfDietVariation(P19)</f>
        <v>0.5948500000000001</v>
      </c>
      <c r="Q24" s="25" cm="1">
        <f t="array" ref="Q24">EntericMethane_Dairy_Equations.VEERG_3_3_1_1__6_MetabolisabilityOfDietVariation(Q19)</f>
        <v>0.5948500000000001</v>
      </c>
      <c r="R24" s="25" cm="1">
        <f t="array" ref="R24">EntericMethane_Dairy_Equations.VEERG_3_3_1_1__6_MetabolisabilityOfDietVariation(R19)</f>
        <v>0.5948500000000001</v>
      </c>
      <c r="S24" s="25" cm="1">
        <f t="array" ref="S24">EntericMethane_Dairy_Equations.VEERG_3_3_1_1__6_MetabolisabilityOfDietVariation(S19)</f>
        <v>0.5948500000000001</v>
      </c>
      <c r="T24" s="26" t="str">
        <f>$E$12</f>
        <v>fraction</v>
      </c>
      <c r="U24" s="26"/>
      <c r="V24" s="26"/>
    </row>
    <row r="25" spans="1:23" ht="20.100000000000001" customHeight="1" x14ac:dyDescent="0.25"/>
    <row r="26" spans="1:23" ht="20.100000000000001" customHeight="1" x14ac:dyDescent="0.25"/>
    <row r="27" spans="1:23" ht="20.100000000000001" customHeight="1" x14ac:dyDescent="0.25">
      <c r="A27" s="6" t="s">
        <v>2</v>
      </c>
      <c r="C27" s="101"/>
      <c r="D27" s="101"/>
      <c r="E27" s="101"/>
      <c r="F27" s="101"/>
      <c r="G27" s="101"/>
      <c r="H27" s="101"/>
      <c r="I27" s="101"/>
      <c r="J27" s="101"/>
      <c r="K27" s="101"/>
      <c r="L27" s="101"/>
      <c r="N27" s="101"/>
      <c r="O27" s="101"/>
      <c r="P27" s="101"/>
      <c r="Q27" s="101"/>
      <c r="R27" s="101"/>
      <c r="S27" s="101"/>
      <c r="T27" s="101"/>
      <c r="U27" s="101"/>
      <c r="V27" s="101"/>
      <c r="W27" s="101"/>
    </row>
    <row r="28" spans="1:23" ht="20.100000000000001" customHeight="1" x14ac:dyDescent="0.25">
      <c r="A28" s="5" t="str">
        <f>HYPERLINK("#'5.1.1.1-2 Inorganic fert N2O'!A1", "5.1.1.1-2 Inorganic fert N2O")</f>
        <v>5.1.1.1-2 Inorganic fert N2O</v>
      </c>
      <c r="D28" s="2" t="str" cm="1">
        <f t="array" ref="D28">EntericMethane_Dairy_Equations.VEERG_3_3_1_1__5_MilkProductionFromMilkSolids_Title()</f>
        <v>Milk production converted from milk solids</v>
      </c>
    </row>
    <row r="29" spans="1:23" ht="20.100000000000001" customHeight="1" x14ac:dyDescent="0.25">
      <c r="A29" s="5" t="str">
        <f>HYPERLINK("#'5.1.1.3-4 Inorganic fert CO2'!A1", "5.1.1.3-4 Inorganic fert CO2")</f>
        <v>5.1.1.3-4 Inorganic fert CO2</v>
      </c>
      <c r="D29" s="27" t="str" cm="1">
        <f t="array" ref="D29">EntericMethane_Dairy_Equations.VEERG_3_3_1_1__5_MilkProductionFromMilkSolids_Source()</f>
        <v>VEERG 2026: 3.3.1.1, Equation (5)</v>
      </c>
    </row>
    <row r="30" spans="1:23" ht="20.100000000000001" customHeight="1" x14ac:dyDescent="0.25">
      <c r="A30" s="5" t="str">
        <f>HYPERLINK("#'5.2.1.1-2 Organic Fert N2O'!A1", "5.2.1.1-2 Organic fert N2O")</f>
        <v>5.2.1.1-2 Organic fert N2O</v>
      </c>
      <c r="D30" s="3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A31" s="5" t="str">
        <f>HYPERLINK("#'5.3.1.1-2 Lime CO2'!A1", "5.3.1.1-2 Lime CO2")</f>
        <v>5.3.1.1-2 Lime CO2</v>
      </c>
      <c r="D31" s="118" t="s">
        <v>262</v>
      </c>
      <c r="E31" s="118" t="str" cm="1">
        <f t="array" aca="1" ref="E31" ca="1">Common_InputFunctions.Utility_DisplayFunctionName(D50)</f>
        <v>=EntericMethane_Dairy_Equations.VEERG_3_3_1_1__5_MilkProductionFromMilkSolids</v>
      </c>
    </row>
    <row r="32" spans="1:23" ht="20.100000000000001" customHeight="1" x14ac:dyDescent="0.25">
      <c r="A32" s="5" t="str">
        <f>HYPERLINK("#'5.4.1.1-4 Atmos deposition'!A1", "5.4.1.1-4 Atmos. deposition")</f>
        <v>5.4.1.1-4 Atmos. deposition</v>
      </c>
    </row>
    <row r="33" spans="1:20" ht="20.100000000000001" customHeight="1" x14ac:dyDescent="0.25">
      <c r="A33" s="5" t="str">
        <f>HYPERLINK("#'5.5.1.1-2 Leaching and runoff'!A1", "5.5.1.1-2 Leaching &amp; runoff")</f>
        <v>5.5.1.1-2 Leaching &amp; runoff</v>
      </c>
    </row>
    <row r="34" spans="1:20" ht="20.100000000000001" customHeight="1" x14ac:dyDescent="0.25">
      <c r="A34" s="5" t="str">
        <f>HYPERLINK("#'6.2.1.1-2 Pasture residue N2O'!A1", "6.2.1.1-2 Pasture residue N2O")</f>
        <v>6.2.1.1-2 Pasture residue N2O</v>
      </c>
      <c r="D34" s="87" t="s">
        <v>263</v>
      </c>
      <c r="E34" s="1" t="str" cm="1">
        <f t="array" ref="E34">EntericMethane_Dairy_Equations.VEERG_3_3_1_1__5_MilkProductionFromMilkSolids_Variable()</f>
        <v>MP_j</v>
      </c>
    </row>
    <row r="35" spans="1:20" ht="20.100000000000001" customHeight="1" x14ac:dyDescent="0.25">
      <c r="A35" s="5" t="str">
        <f>HYPERLINK("#'6.3.1.1-2 Leach runoff pasture'!A1", "6.3.1.1-2 Leach &amp; runoff (pasture)")</f>
        <v>6.3.1.1-2 Leach &amp; runoff (pasture)</v>
      </c>
      <c r="D35" s="87" t="s">
        <v>122</v>
      </c>
      <c r="E35" s="15" t="str" cm="1">
        <f t="array" ref="E35">EntericMethane_Dairy_Equations.VEERG_3_3_1_1__5_MilkProductionFromMilkSolids_Unit()</f>
        <v>L/head/day</v>
      </c>
    </row>
    <row r="36" spans="1:20" ht="20.100000000000001" customHeight="1" x14ac:dyDescent="0.25">
      <c r="A36" s="5" t="str">
        <f>HYPERLINK("#'8.1.1.1-2 Transport fuel'!A1", "8.1.1.1-2 Transport fuel")</f>
        <v>8.1.1.1-2 Transport fuel</v>
      </c>
    </row>
    <row r="37" spans="1:20" ht="20.100000000000001" customHeight="1" x14ac:dyDescent="0.25">
      <c r="A37" s="5" t="str">
        <f>HYPERLINK("#'8.2.1.1-2 Stationary fuel'!A1", "8.2.1.1-2 Stationary fuel")</f>
        <v>8.2.1.1-2 Stationary fuel</v>
      </c>
      <c r="D37" s="120" t="str" cm="1">
        <f t="array" ref="D37:E40">_xlfn.CHOOSECOLS(EntericMethane_Dairy_Equations.VEERG_3_3_1_1__5_MilkProductionFromMilkSolids_Arguments(),1,2)</f>
        <v>MPU</v>
      </c>
      <c r="E37" s="125" t="str">
        <v>input milk production unit</v>
      </c>
      <c r="F37" s="126"/>
      <c r="G37" s="120" t="str" cm="1">
        <f t="array" ref="G37:H40">_xlfn.CHOOSECOLS(EntericMethane_Dairy_Equations.VEERG_3_3_1_1__5_MilkProductionFromMilkSolids_Arguments(),3,4)</f>
        <v/>
      </c>
      <c r="H37" s="121" t="str">
        <v>Input</v>
      </c>
      <c r="I37" s="120" t="str">
        <f>X_Cell_Dairy_MilkProductionUnit</f>
        <v>Litres of milk</v>
      </c>
      <c r="O37" s="120" t="str" cm="1">
        <f t="array" ref="O37:P40">_xlfn.CHOOSECOLS(EntericMethane_Dairy_Equations.VEERG_3_3_1_1__5_MilkProductionFromMilkSolids_Arguments_Method2(),1,2)</f>
        <v>MPU</v>
      </c>
      <c r="P37" s="125" t="str">
        <v>milk production unit</v>
      </c>
      <c r="Q37" s="126"/>
      <c r="R37" s="120" t="str" cm="1">
        <f t="array" ref="R37:S40">_xlfn.CHOOSECOLS(EntericMethane_Dairy_Equations.VEERG_3_3_1_1__5_MilkProductionFromMilkSolids_Arguments_Method2(),3,4)</f>
        <v/>
      </c>
      <c r="S37" s="121" t="str">
        <v>Input</v>
      </c>
      <c r="T37" s="120"/>
    </row>
    <row r="38" spans="1:20" ht="20.100000000000001" customHeight="1" x14ac:dyDescent="0.25">
      <c r="A38" s="5" t="str">
        <f>HYPERLINK("#'14.1.1-2 Purchased electricity'!A1", "14.1.1-2 Purchased electricity")</f>
        <v>14.1.1-2 Purchased electricity</v>
      </c>
      <c r="D38" s="120" t="str">
        <v>MS_j</v>
      </c>
      <c r="E38" s="125" t="str">
        <v>daily production of milk solids</v>
      </c>
      <c r="F38" s="126"/>
      <c r="G38" s="120" t="str">
        <v>kg MS/head/day</v>
      </c>
      <c r="H38" s="121" t="str">
        <v>Input</v>
      </c>
      <c r="I38" s="127" t="str" cm="1">
        <f t="array" aca="1" ref="I38" ca="1">HYPERLINK(Common_InputFunctions.Utility_SourceHyperlink($D$42),$D$42)</f>
        <v>M1_Table_MS_j</v>
      </c>
      <c r="O38" s="120" t="str">
        <v>MS_j</v>
      </c>
      <c r="P38" s="125" t="str">
        <v>daily production of milk solids</v>
      </c>
      <c r="Q38" s="126"/>
      <c r="R38" s="120" t="str">
        <v>kg MS/head/day</v>
      </c>
      <c r="S38" s="121" t="str">
        <v>Input</v>
      </c>
      <c r="T38" s="127"/>
    </row>
    <row r="39" spans="1:20" ht="20.100000000000001" customHeight="1" x14ac:dyDescent="0.25">
      <c r="A39" s="5" t="str">
        <f>HYPERLINK("#'15 Scope 3'!A1", "15 Scope 3")</f>
        <v>15 Scope 3</v>
      </c>
      <c r="D39" s="120" t="str">
        <v>FC_j</v>
      </c>
      <c r="E39" s="125" t="str">
        <v>fat content in fat and protein corrected milk</v>
      </c>
      <c r="F39" s="126"/>
      <c r="G39" s="120" t="str">
        <v>per cent</v>
      </c>
      <c r="H39" s="121" t="str">
        <v>Input</v>
      </c>
      <c r="I39" s="120">
        <f>INDEX(X_Table_Dairy_MilkSolidAttributes,2,2)*100</f>
        <v>4</v>
      </c>
      <c r="O39" s="120" t="str">
        <v>FC_j</v>
      </c>
      <c r="P39" s="125" t="str">
        <v>fat content in fat and protein corrected milk</v>
      </c>
      <c r="Q39" s="126"/>
      <c r="R39" s="120" t="str">
        <v>per cent</v>
      </c>
      <c r="S39" s="121" t="str">
        <v>Input</v>
      </c>
      <c r="T39" s="120">
        <f>INDEX(X_Table_Dairy_MilkSolidAttributes,2,3)*100</f>
        <v>4</v>
      </c>
    </row>
    <row r="40" spans="1:20" ht="20.100000000000001" customHeight="1" x14ac:dyDescent="0.25">
      <c r="A40" s="5" t="str">
        <f>HYPERLINK("#'Calcs - Manure sent off-site'!A1", "Calcs - Manure sent off-site")</f>
        <v>Calcs - Manure sent off-site</v>
      </c>
      <c r="D40" s="120" t="str">
        <v>PC_j</v>
      </c>
      <c r="E40" s="120" t="str">
        <v>protein content in fat and protein corrected milk</v>
      </c>
      <c r="F40" s="120"/>
      <c r="G40" s="120" t="str">
        <v>per cent</v>
      </c>
      <c r="H40" s="121" t="str">
        <v>Input</v>
      </c>
      <c r="I40" s="120">
        <f>INDEX(X_Table_Dairy_MilkSolidAttributes,3,2)*100</f>
        <v>3.3000000000000003</v>
      </c>
      <c r="O40" s="120" t="str">
        <v>PC_j</v>
      </c>
      <c r="P40" s="120" t="str">
        <v>protein content in fat and protein corrected milk</v>
      </c>
      <c r="Q40" s="120"/>
      <c r="R40" s="120" t="str">
        <v>per cent</v>
      </c>
      <c r="S40" s="121" t="str">
        <v>Input</v>
      </c>
      <c r="T40" s="120">
        <f>INDEX(X_Table_Dairy_MilkSolidAttributes,3,3)*100</f>
        <v>3.3000000000000003</v>
      </c>
    </row>
    <row r="41" spans="1:20" ht="20.100000000000001" customHeight="1" x14ac:dyDescent="0.25">
      <c r="A41" s="119" t="str">
        <f>HYPERLINK("#'4.3.1.1-2 Methane'!A1", "4.3.1.1-2 Methane")</f>
        <v>4.3.1.1-2 Methane</v>
      </c>
    </row>
    <row r="42" spans="1:20" ht="20.100000000000001" customHeight="1" x14ac:dyDescent="0.25">
      <c r="A42" s="5" t="str">
        <f>HYPERLINK("#'4.3.1.3-4 Direct N20'!A1", "4.3.1.3-4 Direct N20")</f>
        <v>4.3.1.3-4 Direct N20</v>
      </c>
      <c r="D42" s="122" t="s">
        <v>273</v>
      </c>
    </row>
    <row r="43" spans="1:20" ht="20.100000000000001" customHeight="1" x14ac:dyDescent="0.25">
      <c r="A43" s="5" t="str">
        <f>HYPERLINK("#'4.3.1.5 Atmos deposition'!A1", "4.3.1.5 Atmos deposition")</f>
        <v>4.3.1.5 Atmos deposition</v>
      </c>
      <c r="D43" s="123" t="s">
        <v>274</v>
      </c>
    </row>
    <row r="44" spans="1:20" ht="20.100000000000001" customHeight="1" x14ac:dyDescent="0.25">
      <c r="A44" s="5" t="str">
        <f>HYPERLINK("#'4.3.1.6-7 Leaching and runoff'!A1", "4.3.1.6-7 Leaching and runoff")</f>
        <v>4.3.1.6-7 Leaching and runoff</v>
      </c>
      <c r="D44" s="94" t="s">
        <v>213</v>
      </c>
      <c r="E44" s="94" t="s">
        <v>214</v>
      </c>
      <c r="F44" s="94" t="s">
        <v>215</v>
      </c>
      <c r="G44" s="94" t="s">
        <v>216</v>
      </c>
      <c r="H44" s="94" t="s">
        <v>217</v>
      </c>
    </row>
    <row r="45" spans="1:20" ht="20.100000000000001" customHeight="1" x14ac:dyDescent="0.25">
      <c r="A45" s="5" t="str">
        <f>HYPERLINK("#'4.3.1.8 Manure applied to soils'!A1", "4.3.1.8 Manure applied to soils")</f>
        <v>4.3.1.8 Manure applied to soils</v>
      </c>
      <c r="D45" s="25">
        <f>IF($I$37="Milk solids", X_Cell_Dairy_MilkProductionAmount, 0)</f>
        <v>0</v>
      </c>
      <c r="E45" s="25">
        <v>0</v>
      </c>
      <c r="F45" s="25">
        <v>0</v>
      </c>
      <c r="G45" s="25">
        <v>0</v>
      </c>
      <c r="H45" s="25">
        <v>0</v>
      </c>
      <c r="I45" s="26" t="str">
        <f>G38</f>
        <v>kg MS/head/day</v>
      </c>
    </row>
    <row r="46" spans="1:20" ht="20.100000000000001" customHeight="1" x14ac:dyDescent="0.25">
      <c r="A46" s="5" t="str">
        <f>HYPERLINK("#'4.3.1.9 Soil direct N2O'!A1", "4.3.1.9 Soil direct N2O")</f>
        <v>4.3.1.9 Soil direct N2O</v>
      </c>
    </row>
    <row r="47" spans="1:20" ht="20.100000000000001" customHeight="1" x14ac:dyDescent="0.25">
      <c r="A47" s="5" t="str">
        <f>HYPERLINK("#'4.3.1.10-11 Soil Atmos Dep'!A1", "4.3.1.10-11 Soil Atmos Dep")</f>
        <v>4.3.1.10-11 Soil Atmos Dep</v>
      </c>
      <c r="D47" s="122" t="s">
        <v>275</v>
      </c>
      <c r="O47" s="122" t="s">
        <v>276</v>
      </c>
    </row>
    <row r="48" spans="1:20" ht="20.100000000000001" customHeight="1" x14ac:dyDescent="0.25">
      <c r="A48" s="5" t="str">
        <f>HYPERLINK("#'4.3.1.12-13 Soil leach runoff'!A1", "4.3.1.12-13 Soil leach runoff")</f>
        <v>4.3.1.12-13 Soil leach runoff</v>
      </c>
      <c r="D48" s="123" t="s">
        <v>277</v>
      </c>
      <c r="O48" s="123" t="s">
        <v>278</v>
      </c>
    </row>
    <row r="49" spans="1:23" ht="20.100000000000001" customHeight="1" x14ac:dyDescent="0.25">
      <c r="A49" s="5" t="str">
        <f>HYPERLINK("#'3.3.1.1-2 Enteric Methane'!A1", "3.3.1.1-2 Enteric Methane")</f>
        <v>3.3.1.1-2 Enteric Methane</v>
      </c>
      <c r="D49" s="124" t="s">
        <v>213</v>
      </c>
      <c r="E49" s="124" t="s">
        <v>214</v>
      </c>
      <c r="F49" s="124" t="s">
        <v>215</v>
      </c>
      <c r="G49" s="124" t="s">
        <v>216</v>
      </c>
      <c r="H49" s="124" t="s">
        <v>217</v>
      </c>
      <c r="O49" s="124" t="s">
        <v>213</v>
      </c>
      <c r="P49" s="124" t="s">
        <v>214</v>
      </c>
      <c r="Q49" s="124" t="s">
        <v>215</v>
      </c>
      <c r="R49" s="124" t="s">
        <v>216</v>
      </c>
      <c r="S49" s="124" t="s">
        <v>217</v>
      </c>
    </row>
    <row r="50" spans="1:23" ht="20.100000000000001" customHeight="1" x14ac:dyDescent="0.25">
      <c r="A50" s="5" t="str">
        <f>HYPERLINK("#'10.1.1-2 Solid waste treatment'!A1", "10.1.1-2 Solid waste treatment")</f>
        <v>10.1.1-2 Solid waste treatment</v>
      </c>
      <c r="D50" s="25" cm="1">
        <f t="array" ref="D50">EntericMethane_Dairy_Equations.VEERG_3_3_1_1__5_MilkProductionFromMilkSolids(D45,$I$39,$I$40)</f>
        <v>0</v>
      </c>
      <c r="E50" s="25">
        <v>0</v>
      </c>
      <c r="F50" s="25">
        <v>0</v>
      </c>
      <c r="G50" s="25">
        <v>0</v>
      </c>
      <c r="H50" s="25">
        <v>0</v>
      </c>
      <c r="I50" s="26" t="s">
        <v>279</v>
      </c>
      <c r="O50" s="25" cm="1">
        <f t="array" ref="O50">EntericMethane_Dairy_Equations.VEERG_3_3_1_1__5_MilkProductionFromMilkSolids(D45,$T$39,$T$40)</f>
        <v>0</v>
      </c>
      <c r="P50" s="25">
        <v>0</v>
      </c>
      <c r="Q50" s="25">
        <v>0</v>
      </c>
      <c r="R50" s="25">
        <v>0</v>
      </c>
      <c r="S50" s="25">
        <v>0</v>
      </c>
      <c r="T50" s="26" t="s">
        <v>279</v>
      </c>
    </row>
    <row r="51" spans="1:23" ht="20.100000000000001" customHeight="1" x14ac:dyDescent="0.25"/>
    <row r="52" spans="1:23" ht="20.100000000000001" customHeight="1" x14ac:dyDescent="0.25"/>
    <row r="53" spans="1:23" ht="20.100000000000001" customHeight="1" x14ac:dyDescent="0.25">
      <c r="A53" s="100" t="s">
        <v>1</v>
      </c>
      <c r="C53" s="101"/>
      <c r="D53" s="101"/>
      <c r="E53" s="101"/>
      <c r="F53" s="101"/>
      <c r="G53" s="101"/>
      <c r="H53" s="101"/>
      <c r="I53" s="101"/>
      <c r="J53" s="101"/>
      <c r="K53" s="101"/>
      <c r="L53" s="101"/>
      <c r="N53" s="101"/>
      <c r="O53" s="101"/>
      <c r="P53" s="101"/>
      <c r="Q53" s="101"/>
      <c r="R53" s="101"/>
      <c r="S53" s="101"/>
      <c r="T53" s="101"/>
      <c r="U53" s="101"/>
      <c r="V53" s="101"/>
      <c r="W53" s="101"/>
    </row>
    <row r="54" spans="1:23" ht="20.100000000000001" customHeight="1" x14ac:dyDescent="0.25">
      <c r="A54" s="5" t="str">
        <f>HYPERLINK("#'Constants - Dairy'!A1", "Constants - Dairy")</f>
        <v>Constants - Dairy</v>
      </c>
      <c r="D54" s="2" t="str" cm="1">
        <f t="array" ref="D54">EntericMethane_Dairy_Equations.VEERG_3_3_1_1__4_AdditionalIntakeForMilkProduction_Title()</f>
        <v>Additional intake required for milk production</v>
      </c>
    </row>
    <row r="55" spans="1:23" ht="20.100000000000001" customHeight="1" x14ac:dyDescent="0.25">
      <c r="A55" s="5" t="str">
        <f>HYPERLINK("#'Constants - Ag Residue'!A1", "Constants - Ag residue")</f>
        <v>Constants - Ag residue</v>
      </c>
      <c r="D55" s="27" t="str" cm="1">
        <f t="array" ref="D55">EntericMethane_Dairy_Equations.VEERG_3_3_1_1__4_AdditionalIntakeForMilkProduction_Source()</f>
        <v>VEERG 2026: 3.3.1.1, Equation (4)</v>
      </c>
    </row>
    <row r="56" spans="1:23" ht="20.100000000000001" customHeight="1" x14ac:dyDescent="0.25">
      <c r="A56" s="5" t="str">
        <f>HYPERLINK("#'Constants - Common Livestock'!A1", "Constants - Common Livestock")</f>
        <v>Constants - Common Livestock</v>
      </c>
      <c r="D56" s="118" t="s">
        <v>262</v>
      </c>
      <c r="E56" s="118" t="str" cm="1">
        <f t="array" aca="1" ref="E56" ca="1">Common_InputFunctions.Utility_DisplayFunctionName(D79)</f>
        <v>=EntericMethane_Dairy_Equations.VEERG_3_3_1_1__4_AdditionalIntakeForMilkProduction</v>
      </c>
    </row>
    <row r="57" spans="1:23" ht="20.100000000000001" customHeight="1" x14ac:dyDescent="0.25">
      <c r="A57" s="5" t="str">
        <f>HYPERLINK("#'Constants - Electricity'!A1", "Constants - Electricity")</f>
        <v>Constants - Electricity</v>
      </c>
    </row>
    <row r="58" spans="1:23" ht="20.100000000000001" customHeight="1" x14ac:dyDescent="0.25">
      <c r="A58" s="5" t="str">
        <f>HYPERLINK("#'Constants - Fertiliser'!A1", "Constants - Fertiliser")</f>
        <v>Constants - Fertiliser</v>
      </c>
      <c r="D58" s="2"/>
    </row>
    <row r="59" spans="1:23" ht="20.100000000000001" customHeight="1" x14ac:dyDescent="0.25">
      <c r="A59" s="5" t="str">
        <f>HYPERLINK("#'Constants - Fuel'!A1", "Constants - Fuel")</f>
        <v>Constants - Fuel</v>
      </c>
      <c r="D59" s="87" t="s">
        <v>263</v>
      </c>
      <c r="E59" s="1" t="str" cm="1">
        <f t="array" ref="E59">EntericMethane_Dairy_Equations.VEERG_3_3_1_1__4_AdditionalIntakeForMilkProduction_Variable()</f>
        <v>MI_j</v>
      </c>
    </row>
    <row r="60" spans="1:23" ht="20.100000000000001" customHeight="1" x14ac:dyDescent="0.25">
      <c r="A60" s="5" t="str">
        <f>HYPERLINK("#'Constants - Scope 3'!A1", "Constants - Scope 3")</f>
        <v>Constants - Scope 3</v>
      </c>
      <c r="D60" s="87" t="s">
        <v>122</v>
      </c>
      <c r="E60" s="15" t="str" cm="1">
        <f t="array" ref="E60">EntericMethane_Dairy_Equations.VEERG_3_3_1_1__4_AdditionalIntakeForMilkProduction_Unit()</f>
        <v>kg DM/head/day</v>
      </c>
    </row>
    <row r="61" spans="1:23" ht="20.100000000000001" customHeight="1" x14ac:dyDescent="0.25">
      <c r="A61" s="5" t="str">
        <f>HYPERLINK("#'Constants - Common'!A1", "Constants - Common")</f>
        <v>Constants - Common</v>
      </c>
    </row>
    <row r="62" spans="1:23" ht="20.100000000000001" customHeight="1" x14ac:dyDescent="0.25">
      <c r="A62" s="5" t="str">
        <f>HYPERLINK("#'Acknowledgements'!A1", "Acknowledgements")</f>
        <v>Acknowledgements</v>
      </c>
      <c r="D62" s="120" t="str" cm="1">
        <f t="array" ref="D62:E68">_xlfn.CHOOSECOLS(EntericMethane_Dairy_Equations.VEERG_3_3_1_1__4_AdditionalIntakeForMilkProduction_Arguments(), 1,2)</f>
        <v>MPU</v>
      </c>
      <c r="E62" s="125" t="str">
        <v>input milk production unit</v>
      </c>
      <c r="F62" s="126"/>
      <c r="G62" s="120" t="str" cm="1">
        <f t="array" ref="G62:H68">_xlfn.CHOOSECOLS(EntericMethane_Dairy_Equations.VEERG_3_3_1_1__4_AdditionalIntakeForMilkProduction_Arguments(), 3,4)</f>
        <v/>
      </c>
      <c r="H62" s="121" t="str">
        <v>Input</v>
      </c>
      <c r="I62" s="120" t="str">
        <f>X_Cell_Dairy_MilkProductionUnit</f>
        <v>Litres of milk</v>
      </c>
    </row>
    <row r="63" spans="1:23" ht="20.100000000000001" customHeight="1" x14ac:dyDescent="0.25">
      <c r="A63" s="5" t="str">
        <f>HYPERLINK("#'Constants - Solid Waste'!A1", "Constants - Solid Waste")</f>
        <v>Constants - Solid Waste</v>
      </c>
      <c r="D63" s="120" t="str">
        <v>MP_j</v>
      </c>
      <c r="E63" s="125" t="str">
        <v>milk production (if input as litres of milk)</v>
      </c>
      <c r="F63" s="126"/>
      <c r="G63" s="120" t="str">
        <v>L/head/day</v>
      </c>
      <c r="H63" s="128" t="str">
        <v>Input</v>
      </c>
      <c r="I63" s="127" t="str" cm="1">
        <f t="array" aca="1" ref="I63" ca="1">HYPERLINK(Common_InputFunctions.Utility_SourceHyperlink($D$71), $D$71)</f>
        <v>Table_MP_j</v>
      </c>
    </row>
    <row r="64" spans="1:23" ht="20.100000000000001" customHeight="1" x14ac:dyDescent="0.25">
      <c r="D64" s="120" t="str">
        <v>MP_j</v>
      </c>
      <c r="E64" s="125" t="str">
        <v>milk production (if input as milk solids)</v>
      </c>
      <c r="F64" s="126"/>
      <c r="G64" s="120" t="str">
        <v>L/head/day</v>
      </c>
      <c r="H64" s="128" t="str">
        <v>Calculated from 3.3.1.1 (5)</v>
      </c>
      <c r="I64" s="127" t="str" cm="1">
        <f t="array" aca="1" ref="I64" ca="1">HYPERLINK(Common_InputFunctions.Utility_SourceHyperlink($D$47),$D$47)</f>
        <v>M1_Table_MP_j_from_solids</v>
      </c>
    </row>
    <row r="65" spans="4:22" ht="20.100000000000001" customHeight="1" x14ac:dyDescent="0.25">
      <c r="D65" s="120" t="str">
        <v>NE</v>
      </c>
      <c r="E65" s="125" t="str">
        <v>net energy</v>
      </c>
      <c r="F65" s="126"/>
      <c r="G65" s="120" t="str">
        <v>MJ net energy/kg milk</v>
      </c>
      <c r="H65" s="128" t="str">
        <v>Constant</v>
      </c>
      <c r="I65" s="120">
        <f>SourceData_Dairy_NetEnergy_Data</f>
        <v>3.0539999999999998</v>
      </c>
    </row>
    <row r="66" spans="4:22" ht="20.100000000000001" customHeight="1" x14ac:dyDescent="0.25">
      <c r="D66" s="120" t="str">
        <v>GEC</v>
      </c>
      <c r="E66" s="125" t="str">
        <v>gross energy content</v>
      </c>
      <c r="F66" s="126"/>
      <c r="G66" s="120" t="str">
        <v>MJ/kgDM</v>
      </c>
      <c r="H66" s="128" t="str">
        <v>Constant</v>
      </c>
      <c r="I66" s="120">
        <f>SourceData_Dairy_GrossEnergyContent_Data</f>
        <v>18.399999999999999</v>
      </c>
    </row>
    <row r="67" spans="4:22" ht="20.100000000000001" customHeight="1" x14ac:dyDescent="0.25">
      <c r="D67" s="120" t="str">
        <v>k</v>
      </c>
      <c r="E67" s="120" t="str">
        <v>efficiency of metabolizable energy use for milk production</v>
      </c>
      <c r="F67" s="120"/>
      <c r="G67" s="120" t="str">
        <v>fraction</v>
      </c>
      <c r="H67" s="128" t="str">
        <v>Constant</v>
      </c>
      <c r="I67" s="120">
        <f>SourceData_Dairy_EfficiencyOfUseOfMetabolizableEnergy_Data</f>
        <v>0.6</v>
      </c>
    </row>
    <row r="68" spans="4:22" ht="20.100000000000001" customHeight="1" x14ac:dyDescent="0.25">
      <c r="D68" s="120" t="str">
        <v>qm_j</v>
      </c>
      <c r="E68" s="125" t="str">
        <v>metabolisability of the diet</v>
      </c>
      <c r="F68" s="126"/>
      <c r="G68" s="120" t="str">
        <v>fraction</v>
      </c>
      <c r="H68" s="128" t="str">
        <v>Calculated from 3.3.1.1 (6)</v>
      </c>
      <c r="I68" s="127"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22" t="s">
        <v>280</v>
      </c>
    </row>
    <row r="72" spans="4:22" ht="20.100000000000001" customHeight="1" x14ac:dyDescent="0.25">
      <c r="D72" s="123" t="s">
        <v>231</v>
      </c>
    </row>
    <row r="73" spans="4:22" ht="20.100000000000001" customHeight="1" x14ac:dyDescent="0.25">
      <c r="D73" s="94" t="s">
        <v>213</v>
      </c>
      <c r="E73" s="94" t="s">
        <v>214</v>
      </c>
      <c r="F73" s="94" t="s">
        <v>215</v>
      </c>
      <c r="G73" s="94" t="s">
        <v>216</v>
      </c>
      <c r="H73" s="94" t="s">
        <v>217</v>
      </c>
    </row>
    <row r="74" spans="4:22" ht="20.100000000000001" customHeight="1" x14ac:dyDescent="0.25">
      <c r="D74" s="25">
        <f>IF(I62="Milk solids", 0, X_Cell_Dairy_MilkProductionAmount)</f>
        <v>20</v>
      </c>
      <c r="E74" s="25">
        <v>0</v>
      </c>
      <c r="F74" s="25">
        <v>0</v>
      </c>
      <c r="G74" s="25">
        <v>0</v>
      </c>
      <c r="H74" s="25">
        <v>0</v>
      </c>
      <c r="I74" s="26" t="s">
        <v>279</v>
      </c>
      <c r="J74" s="26"/>
      <c r="K74" s="26"/>
    </row>
    <row r="75" spans="4:22" ht="20.100000000000001" customHeight="1" x14ac:dyDescent="0.25"/>
    <row r="76" spans="4:22" ht="20.100000000000001" customHeight="1" x14ac:dyDescent="0.25">
      <c r="D76" s="122" t="s">
        <v>281</v>
      </c>
      <c r="O76" s="122" t="s">
        <v>282</v>
      </c>
    </row>
    <row r="77" spans="4:22" ht="20.100000000000001" customHeight="1" x14ac:dyDescent="0.25">
      <c r="D77" s="123" t="s">
        <v>283</v>
      </c>
      <c r="O77" s="123" t="s">
        <v>284</v>
      </c>
    </row>
    <row r="78" spans="4:22" ht="20.100000000000001" customHeight="1" x14ac:dyDescent="0.25">
      <c r="D78" s="124" t="s">
        <v>213</v>
      </c>
      <c r="E78" s="124" t="s">
        <v>214</v>
      </c>
      <c r="F78" s="124" t="s">
        <v>215</v>
      </c>
      <c r="G78" s="124" t="s">
        <v>216</v>
      </c>
      <c r="H78" s="124" t="s">
        <v>217</v>
      </c>
      <c r="O78" s="124" t="s">
        <v>213</v>
      </c>
      <c r="P78" s="124" t="s">
        <v>214</v>
      </c>
      <c r="Q78" s="124" t="s">
        <v>215</v>
      </c>
      <c r="R78" s="124" t="s">
        <v>216</v>
      </c>
      <c r="S78" s="124" t="s">
        <v>217</v>
      </c>
    </row>
    <row r="79" spans="4:22" ht="20.100000000000001" customHeight="1" x14ac:dyDescent="0.25">
      <c r="D79" s="25" cm="1">
        <f t="array" ref="D79">EntericMethane_Dairy_Equations.VEERG_3_3_1_1__4_AdditionalIntakeForMilkProduction(IF(I62="Milk solids", D50, D74), $I$65,$I$66,$I$67,D24)</f>
        <v>9.5798721636071917</v>
      </c>
      <c r="E79" s="25" cm="1">
        <f t="array" ref="E79">EntericMethane_Dairy_Equations.VEERG_3_3_1_1__4_AdditionalIntakeForMilkProduction(E74, $I$65,$I$66,$I$67,E24)</f>
        <v>0</v>
      </c>
      <c r="F79" s="25" cm="1">
        <f t="array" ref="F79">EntericMethane_Dairy_Equations.VEERG_3_3_1_1__4_AdditionalIntakeForMilkProduction(F74, $I$65,$I$66,$I$67,F24)</f>
        <v>0</v>
      </c>
      <c r="G79" s="25" cm="1">
        <f t="array" ref="G79">EntericMethane_Dairy_Equations.VEERG_3_3_1_1__4_AdditionalIntakeForMilkProduction(G74, $I$65,$I$66,$I$67,G24)</f>
        <v>0</v>
      </c>
      <c r="H79" s="25" cm="1">
        <f t="array" ref="H79">EntericMethane_Dairy_Equations.VEERG_3_3_1_1__4_AdditionalIntakeForMilkProduction(H74, $I$65,$I$66,$I$67,H24)</f>
        <v>0</v>
      </c>
      <c r="I79" s="26" t="str">
        <f>$E$60</f>
        <v>kg DM/head/day</v>
      </c>
      <c r="J79" s="26"/>
      <c r="K79" s="26"/>
      <c r="O79" s="25" cm="1">
        <f t="array" ref="O79">EntericMethane_Dairy_Equations.VEERG_3_3_1_1__4_AdditionalIntakeForMilkProduction(IF(I62="Milk solids", O50, D74), $I$65,$I$66,$I$67,O24)</f>
        <v>9.5798721636071917</v>
      </c>
      <c r="P79" s="25" cm="1">
        <f t="array" ref="P79">EntericMethane_Dairy_Equations.VEERG_3_3_1_1__4_AdditionalIntakeForMilkProduction(E74, $I$65,$I$66,$I$67,P24)</f>
        <v>0</v>
      </c>
      <c r="Q79" s="25" cm="1">
        <f t="array" ref="Q79">EntericMethane_Dairy_Equations.VEERG_3_3_1_1__4_AdditionalIntakeForMilkProduction(F74, $I$65,$I$66,$I$67,Q24)</f>
        <v>0</v>
      </c>
      <c r="R79" s="25" cm="1">
        <f t="array" ref="R79">EntericMethane_Dairy_Equations.VEERG_3_3_1_1__4_AdditionalIntakeForMilkProduction(G74, $I$65,$I$66,$I$67,R24)</f>
        <v>0</v>
      </c>
      <c r="S79" s="25" cm="1">
        <f t="array" ref="S79">EntericMethane_Dairy_Equations.VEERG_3_3_1_1__4_AdditionalIntakeForMilkProduction(H74, $I$65,$I$66,$I$67,S24)</f>
        <v>0</v>
      </c>
      <c r="T79" s="26" t="str">
        <f>$E$60</f>
        <v>kg DM/head/day</v>
      </c>
      <c r="U79" s="26"/>
      <c r="V79" s="26"/>
    </row>
    <row r="80" spans="4:22" ht="20.100000000000001" customHeight="1" x14ac:dyDescent="0.25"/>
    <row r="81" spans="3:23" ht="20.100000000000001" customHeight="1" x14ac:dyDescent="0.25"/>
    <row r="82" spans="3:23" ht="20.100000000000001" customHeight="1" x14ac:dyDescent="0.25">
      <c r="C82" s="101"/>
      <c r="D82" s="101"/>
      <c r="E82" s="101"/>
      <c r="F82" s="101"/>
      <c r="G82" s="101"/>
      <c r="H82" s="101"/>
      <c r="I82" s="101"/>
      <c r="J82" s="101"/>
      <c r="K82" s="101"/>
      <c r="L82" s="101"/>
      <c r="N82" s="101"/>
      <c r="O82" s="101"/>
      <c r="P82" s="101"/>
      <c r="Q82" s="101"/>
      <c r="R82" s="101"/>
      <c r="S82" s="101"/>
      <c r="T82" s="101"/>
      <c r="U82" s="101"/>
      <c r="V82" s="101"/>
      <c r="W82" s="101"/>
    </row>
    <row r="83" spans="3:23" ht="20.100000000000001" customHeight="1" x14ac:dyDescent="0.25">
      <c r="D83" s="2" t="str" cm="1">
        <f t="array" ref="D83">EntericMethane_Dairy_Equations.VEERG_3_3_1_1__3_DryMatterFeedIntake_Title()</f>
        <v>Feed intake</v>
      </c>
    </row>
    <row r="84" spans="3:23" ht="20.100000000000001" customHeight="1" x14ac:dyDescent="0.25">
      <c r="D84" s="27" t="str" cm="1">
        <f t="array" ref="D84">EntericMethane_Dairy_Equations.VEERG_3_3_1_1__3_DryMatterFeedIntake_Source()</f>
        <v>VEERG 2026: 3.3.1.1, Equation (3)</v>
      </c>
    </row>
    <row r="85" spans="3:23" ht="20.100000000000001" customHeight="1" x14ac:dyDescent="0.25">
      <c r="D85" s="118" t="s">
        <v>262</v>
      </c>
      <c r="E85" s="118"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87" t="s">
        <v>263</v>
      </c>
      <c r="E88" s="1" t="str" cm="1">
        <f t="array" ref="E88">EntericMethane_Dairy_Equations.VEERG_3_3_1_1__3_DryMatterFeedIntake_Variable()</f>
        <v>I_j</v>
      </c>
    </row>
    <row r="89" spans="3:23" ht="20.100000000000001" customHeight="1" x14ac:dyDescent="0.25">
      <c r="D89" s="87" t="s">
        <v>122</v>
      </c>
      <c r="E89" s="15" t="str" cm="1">
        <f t="array" ref="E89">EntericMethane_Dairy_Equations.VEERG_3_3_1_1__3_DryMatterFeedIntake_Unit()</f>
        <v>kg DM/head/day</v>
      </c>
    </row>
    <row r="90" spans="3:23" ht="20.100000000000001" customHeight="1" x14ac:dyDescent="0.25"/>
    <row r="91" spans="3:23" ht="20.100000000000001" customHeight="1" x14ac:dyDescent="0.25">
      <c r="D91" s="120" t="str" cm="1">
        <f t="array" ref="D91:E94">_xlfn.CHOOSECOLS(EntericMethane_Dairy_Equations.VEERG_3_3_1_1__3_DryMatterFeedIntake_Arguments(),1,2)</f>
        <v>W_j</v>
      </c>
      <c r="E91" s="125" t="str">
        <v>liveweight</v>
      </c>
      <c r="F91" s="126"/>
      <c r="G91" s="120" t="str" cm="1">
        <f t="array" ref="G91:H94">_xlfn.CHOOSECOLS(EntericMethane_Dairy_Equations.VEERG_3_3_1_1__3_DryMatterFeedIntake_Arguments(),3,4)</f>
        <v>kg</v>
      </c>
      <c r="H91" s="121" t="str">
        <v>Input</v>
      </c>
      <c r="I91" s="127" t="str" cm="1">
        <f t="array" aca="1" ref="I91" ca="1">HYPERLINK(Common_InputFunctions.Utility_SourceHyperlink($D$96), $D$96)</f>
        <v>M1_Table_W_j</v>
      </c>
    </row>
    <row r="92" spans="3:23" ht="20.100000000000001" customHeight="1" x14ac:dyDescent="0.25">
      <c r="D92" s="120" t="str">
        <v>LWG_j</v>
      </c>
      <c r="E92" s="125" t="str">
        <v>liveweight gain</v>
      </c>
      <c r="F92" s="126"/>
      <c r="G92" s="120" t="str">
        <v>kg/head/day</v>
      </c>
      <c r="H92" s="121" t="str">
        <v>Input</v>
      </c>
      <c r="I92" s="127" t="str" cm="1">
        <f t="array" aca="1" ref="I92" ca="1">HYPERLINK(Common_InputFunctions.Utility_SourceHyperlink($D$101), $D$101)</f>
        <v>M1_Table_LWG_j</v>
      </c>
    </row>
    <row r="93" spans="3:23" ht="20.100000000000001" customHeight="1" x14ac:dyDescent="0.25">
      <c r="D93" s="120" t="str">
        <v>MR_j</v>
      </c>
      <c r="E93" s="125" t="str">
        <v>increase in metabolic rate when producing milk</v>
      </c>
      <c r="F93" s="126"/>
      <c r="G93" s="120" t="str">
        <v>fraction</v>
      </c>
      <c r="H93" s="128" t="str">
        <v>Constant</v>
      </c>
      <c r="I93" s="127" t="str" cm="1">
        <f t="array" aca="1" ref="I93" ca="1">HYPERLINK(Common_InputFunctions.Utility_SourceHyperlink($D$106), $D$106)</f>
        <v>Table_MR_j</v>
      </c>
    </row>
    <row r="94" spans="3:23" ht="20.100000000000001" customHeight="1" x14ac:dyDescent="0.25">
      <c r="D94" s="120" t="str">
        <v>MI_j</v>
      </c>
      <c r="E94" s="125" t="str">
        <v>additional intake required for milk production</v>
      </c>
      <c r="F94" s="126"/>
      <c r="G94" s="120" t="str">
        <v>kg DM/head/day</v>
      </c>
      <c r="H94" s="128" t="str">
        <v>Calculated from 3.3.1.1 (4)</v>
      </c>
      <c r="I94" s="127" t="str" cm="1">
        <f t="array" aca="1" ref="I94" ca="1">HYPERLINK(Common_InputFunctions.Utility_SourceHyperlink($D$76), $D$76)</f>
        <v>M1_Table_MI_j</v>
      </c>
    </row>
    <row r="95" spans="3:23" ht="20.100000000000001" customHeight="1" x14ac:dyDescent="0.25"/>
    <row r="96" spans="3:23" ht="20.100000000000001" customHeight="1" x14ac:dyDescent="0.25">
      <c r="D96" s="122" t="s">
        <v>285</v>
      </c>
      <c r="O96" s="122" t="s">
        <v>286</v>
      </c>
    </row>
    <row r="97" spans="4:22" ht="20.100000000000001" customHeight="1" x14ac:dyDescent="0.25">
      <c r="D97" s="123" t="s">
        <v>287</v>
      </c>
      <c r="O97" s="123" t="s">
        <v>288</v>
      </c>
    </row>
    <row r="98" spans="4:22" ht="20.100000000000001" customHeight="1" x14ac:dyDescent="0.25">
      <c r="D98" s="94" t="s">
        <v>213</v>
      </c>
      <c r="E98" s="94" t="s">
        <v>214</v>
      </c>
      <c r="F98" s="94" t="s">
        <v>215</v>
      </c>
      <c r="G98" s="94" t="s">
        <v>216</v>
      </c>
      <c r="H98" s="94" t="s">
        <v>217</v>
      </c>
      <c r="O98" s="94" t="s">
        <v>213</v>
      </c>
      <c r="P98" s="94" t="s">
        <v>214</v>
      </c>
      <c r="Q98" s="94" t="s">
        <v>215</v>
      </c>
      <c r="R98" s="94" t="s">
        <v>216</v>
      </c>
      <c r="S98" s="94" t="s">
        <v>217</v>
      </c>
    </row>
    <row r="99" spans="4:22" ht="20.100000000000001" customHeight="1" x14ac:dyDescent="0.25">
      <c r="D99" s="25">
        <f>INDEX(X_Table_Dairy_Liveweight_Method1,2,2)</f>
        <v>550</v>
      </c>
      <c r="E99" s="25">
        <f>INDEX(X_Table_Dairy_Liveweight_Method1,2,3)</f>
        <v>380</v>
      </c>
      <c r="F99" s="25">
        <f>INDEX(X_Table_Dairy_Liveweight_Method1,2,4)</f>
        <v>155</v>
      </c>
      <c r="G99" s="25">
        <f>INDEX(X_Table_Dairy_Liveweight_Method1,2,5)</f>
        <v>600</v>
      </c>
      <c r="H99" s="25">
        <f>INDEX(X_Table_Dairy_Liveweight_Method1,2,6)</f>
        <v>225</v>
      </c>
      <c r="I99" s="26" t="s">
        <v>222</v>
      </c>
      <c r="J99" s="26"/>
      <c r="K99" s="26"/>
      <c r="O99" s="25">
        <f>INDEX(X_Table_Dairy_Liveweight_Method2,2,2)</f>
        <v>550</v>
      </c>
      <c r="P99" s="25">
        <f>INDEX(X_Table_Dairy_Liveweight_Method2,2,3)</f>
        <v>380</v>
      </c>
      <c r="Q99" s="25">
        <f>INDEX(X_Table_Dairy_Liveweight_Method2,2,4)</f>
        <v>155</v>
      </c>
      <c r="R99" s="25">
        <f>INDEX(X_Table_Dairy_Liveweight_Method2,2,5)</f>
        <v>600</v>
      </c>
      <c r="S99" s="25">
        <f>INDEX(X_Table_Dairy_Liveweight_Method2,2,6)</f>
        <v>225</v>
      </c>
      <c r="T99" s="26" t="s">
        <v>222</v>
      </c>
      <c r="U99" s="26"/>
      <c r="V99" s="26"/>
    </row>
    <row r="100" spans="4:22" ht="20.100000000000001" customHeight="1" x14ac:dyDescent="0.25"/>
    <row r="101" spans="4:22" ht="20.100000000000001" customHeight="1" x14ac:dyDescent="0.25">
      <c r="D101" s="122" t="s">
        <v>289</v>
      </c>
      <c r="O101" s="122" t="s">
        <v>290</v>
      </c>
    </row>
    <row r="102" spans="4:22" ht="20.100000000000001" customHeight="1" x14ac:dyDescent="0.25">
      <c r="D102" s="123" t="s">
        <v>291</v>
      </c>
      <c r="O102" s="123" t="s">
        <v>292</v>
      </c>
    </row>
    <row r="103" spans="4:22" ht="20.100000000000001" customHeight="1" x14ac:dyDescent="0.25">
      <c r="D103" s="94" t="s">
        <v>213</v>
      </c>
      <c r="E103" s="94" t="s">
        <v>214</v>
      </c>
      <c r="F103" s="94" t="s">
        <v>215</v>
      </c>
      <c r="G103" s="94" t="s">
        <v>216</v>
      </c>
      <c r="H103" s="94" t="s">
        <v>217</v>
      </c>
      <c r="O103" s="94" t="s">
        <v>213</v>
      </c>
      <c r="P103" s="94" t="s">
        <v>214</v>
      </c>
      <c r="Q103" s="94" t="s">
        <v>215</v>
      </c>
      <c r="R103" s="94" t="s">
        <v>216</v>
      </c>
      <c r="S103" s="94" t="s">
        <v>217</v>
      </c>
    </row>
    <row r="104" spans="4:22" ht="20.100000000000001" customHeight="1" x14ac:dyDescent="0.25">
      <c r="D104" s="25">
        <f>INDEX(X_Table_Dairy_Liveweight_Method1,3,2)</f>
        <v>1.6E-2</v>
      </c>
      <c r="E104" s="25">
        <f>INDEX(X_Table_Dairy_Liveweight_Method1,3,3)</f>
        <v>0.6</v>
      </c>
      <c r="F104" s="25">
        <f>INDEX(X_Table_Dairy_Liveweight_Method1,3,4)</f>
        <v>0.56999999999999995</v>
      </c>
      <c r="G104" s="25">
        <f>INDEX(X_Table_Dairy_Liveweight_Method1,3,5)</f>
        <v>0.1</v>
      </c>
      <c r="H104" s="25">
        <f>INDEX(X_Table_Dairy_Liveweight_Method1,3,6)</f>
        <v>0.8</v>
      </c>
      <c r="I104" s="26" t="s">
        <v>224</v>
      </c>
      <c r="J104" s="26"/>
      <c r="K104" s="26"/>
      <c r="O104" s="25">
        <f>INDEX(X_Table_Dairy_Liveweight_Method2,3,2)</f>
        <v>1.6E-2</v>
      </c>
      <c r="P104" s="25">
        <f>INDEX(X_Table_Dairy_Liveweight_Method2,3,3)</f>
        <v>0.6</v>
      </c>
      <c r="Q104" s="25">
        <f>INDEX(X_Table_Dairy_Liveweight_Method2,3,4)</f>
        <v>0.56999999999999995</v>
      </c>
      <c r="R104" s="25">
        <f>INDEX(X_Table_Dairy_Liveweight_Method2,3,5)</f>
        <v>0.1</v>
      </c>
      <c r="S104" s="25">
        <f>INDEX(X_Table_Dairy_Liveweight_Method2,3,6)</f>
        <v>0.8</v>
      </c>
      <c r="T104" s="26" t="s">
        <v>224</v>
      </c>
      <c r="U104" s="26"/>
      <c r="V104" s="26"/>
    </row>
    <row r="105" spans="4:22" ht="20.100000000000001" customHeight="1" x14ac:dyDescent="0.25"/>
    <row r="106" spans="4:22" ht="20.100000000000001" customHeight="1" x14ac:dyDescent="0.25">
      <c r="D106" s="122" t="s">
        <v>293</v>
      </c>
    </row>
    <row r="107" spans="4:22" ht="20.100000000000001" customHeight="1" x14ac:dyDescent="0.25">
      <c r="D107" s="123" t="s">
        <v>294</v>
      </c>
    </row>
    <row r="108" spans="4:22" ht="20.100000000000001" customHeight="1" x14ac:dyDescent="0.25">
      <c r="D108" s="124" t="s">
        <v>213</v>
      </c>
      <c r="E108" s="124" t="s">
        <v>214</v>
      </c>
      <c r="F108" s="124" t="s">
        <v>215</v>
      </c>
      <c r="G108" s="124" t="s">
        <v>216</v>
      </c>
      <c r="H108" s="124" t="s">
        <v>217</v>
      </c>
    </row>
    <row r="109" spans="4:22" ht="20.100000000000001" customHeight="1" x14ac:dyDescent="0.25">
      <c r="D109" s="25">
        <f>'Constants - Dairy'!$E$108</f>
        <v>1.1000000000000001</v>
      </c>
      <c r="E109" s="25">
        <f>'Constants - Dairy'!$E$109</f>
        <v>1</v>
      </c>
      <c r="F109" s="25">
        <f>'Constants - Dairy'!$E$109</f>
        <v>1</v>
      </c>
      <c r="G109" s="25">
        <f>'Constants - Dairy'!$E$109</f>
        <v>1</v>
      </c>
      <c r="H109" s="25">
        <f>'Constants - Dairy'!$E$109</f>
        <v>1</v>
      </c>
      <c r="I109" s="26" t="s">
        <v>229</v>
      </c>
      <c r="J109" s="26"/>
      <c r="K109" s="26"/>
    </row>
    <row r="110" spans="4:22" ht="20.100000000000001" customHeight="1" x14ac:dyDescent="0.25"/>
    <row r="111" spans="4:22" ht="20.100000000000001" customHeight="1" x14ac:dyDescent="0.25">
      <c r="D111" s="122" t="s">
        <v>295</v>
      </c>
      <c r="O111" s="122" t="s">
        <v>296</v>
      </c>
    </row>
    <row r="112" spans="4:22" ht="20.100000000000001" customHeight="1" x14ac:dyDescent="0.25">
      <c r="D112" s="123" t="s">
        <v>297</v>
      </c>
      <c r="O112" s="123" t="s">
        <v>298</v>
      </c>
    </row>
    <row r="113" spans="3:23" ht="20.100000000000001" customHeight="1" x14ac:dyDescent="0.25">
      <c r="D113" s="124" t="s">
        <v>213</v>
      </c>
      <c r="E113" s="124" t="s">
        <v>214</v>
      </c>
      <c r="F113" s="124" t="s">
        <v>215</v>
      </c>
      <c r="G113" s="124" t="s">
        <v>216</v>
      </c>
      <c r="H113" s="124" t="s">
        <v>217</v>
      </c>
      <c r="O113" s="124" t="s">
        <v>213</v>
      </c>
      <c r="P113" s="124" t="s">
        <v>214</v>
      </c>
      <c r="Q113" s="124" t="s">
        <v>215</v>
      </c>
      <c r="R113" s="124" t="s">
        <v>216</v>
      </c>
      <c r="S113" s="124" t="s">
        <v>217</v>
      </c>
    </row>
    <row r="114" spans="3:23" ht="20.100000000000001" customHeight="1" x14ac:dyDescent="0.25">
      <c r="D114" s="25" cm="1">
        <f t="array" ref="D114">EntericMethane_Dairy_Equations.VEERG_3_3_1_1__3_DryMatterFeedIntake(D99,D104,D109,D79)</f>
        <v>18.834317684367193</v>
      </c>
      <c r="E114" s="25" cm="1">
        <f t="array" ref="E114">EntericMethane_Dairy_Equations.VEERG_3_3_1_1__3_DryMatterFeedIntake(E99,E104,E109,E79)</f>
        <v>7.4188685375999972</v>
      </c>
      <c r="F114" s="25" cm="1">
        <f t="array" ref="F114">EntericMethane_Dairy_Equations.VEERG_3_3_1_1__3_DryMatterFeedIntake(F99,F104,F109,F79)</f>
        <v>4.0231734662249998</v>
      </c>
      <c r="G114" s="25" cm="1">
        <f t="array" ref="G114">EntericMethane_Dairy_Equations.VEERG_3_3_1_1__3_DryMatterFeedIntake(G99,G104,G109,G79)</f>
        <v>9.0270202499999979</v>
      </c>
      <c r="H114" s="25" cm="1">
        <f t="array" ref="H114">EntericMethane_Dairy_Equations.VEERG_3_3_1_1__3_DryMatterFeedIntake(H99,H104,H109,H79)</f>
        <v>5.4143472656250013</v>
      </c>
      <c r="I114" s="26" t="str">
        <f>$E$89</f>
        <v>kg DM/head/day</v>
      </c>
      <c r="J114" s="26"/>
      <c r="K114" s="26"/>
      <c r="O114" s="25" cm="1">
        <f t="array" ref="O114">EntericMethane_Dairy_Equations.VEERG_3_3_1_1__3_DryMatterFeedIntake(O99,O104,D109,O79)</f>
        <v>18.834317684367193</v>
      </c>
      <c r="P114" s="25" cm="1">
        <f t="array" ref="P114">EntericMethane_Dairy_Equations.VEERG_3_3_1_1__3_DryMatterFeedIntake(P99,P104,E109,P79)</f>
        <v>7.4188685375999972</v>
      </c>
      <c r="Q114" s="25" cm="1">
        <f t="array" ref="Q114">EntericMethane_Dairy_Equations.VEERG_3_3_1_1__3_DryMatterFeedIntake(Q99,Q104,F109,Q79)</f>
        <v>4.0231734662249998</v>
      </c>
      <c r="R114" s="25" cm="1">
        <f t="array" ref="R114">EntericMethane_Dairy_Equations.VEERG_3_3_1_1__3_DryMatterFeedIntake(R99,R104,G109,R79)</f>
        <v>9.0270202499999979</v>
      </c>
      <c r="S114" s="25" cm="1">
        <f t="array" ref="S114">EntericMethane_Dairy_Equations.VEERG_3_3_1_1__3_DryMatterFeedIntake(S99,S104,H109,S79)</f>
        <v>5.4143472656250013</v>
      </c>
      <c r="T114" s="26" t="str">
        <f>$E$89</f>
        <v>kg DM/head/day</v>
      </c>
      <c r="U114" s="26"/>
      <c r="V114" s="26"/>
    </row>
    <row r="115" spans="3:23" ht="20.100000000000001" customHeight="1" x14ac:dyDescent="0.25"/>
    <row r="116" spans="3:23" ht="20.100000000000001" customHeight="1" x14ac:dyDescent="0.25"/>
    <row r="117" spans="3:23" ht="20.100000000000001" customHeight="1" x14ac:dyDescent="0.25">
      <c r="C117" s="101"/>
      <c r="D117" s="101"/>
      <c r="E117" s="101"/>
      <c r="F117" s="101"/>
      <c r="G117" s="101"/>
      <c r="H117" s="101"/>
      <c r="I117" s="101"/>
      <c r="J117" s="101"/>
      <c r="K117" s="101"/>
      <c r="L117" s="101"/>
      <c r="N117" s="101"/>
      <c r="O117" s="101"/>
      <c r="P117" s="101"/>
      <c r="Q117" s="101"/>
      <c r="R117" s="101"/>
      <c r="S117" s="101"/>
      <c r="T117" s="101"/>
      <c r="U117" s="101"/>
      <c r="V117" s="101"/>
      <c r="W117" s="101"/>
    </row>
    <row r="118" spans="3:23" ht="20.100000000000001" customHeight="1" x14ac:dyDescent="0.25">
      <c r="D118" s="2" t="str" cm="1">
        <f t="array" ref="D118">MMS_Dairy_Methane_Equations.VEERG_4_3_1_1__3_VolatileSolidsForWeanedDairyCattle_Title()</f>
        <v>Volatile solids for weaned dairy cattle</v>
      </c>
    </row>
    <row r="119" spans="3:23" ht="20.100000000000001" customHeight="1" x14ac:dyDescent="0.25">
      <c r="D119" s="27" t="str" cm="1">
        <f t="array" ref="D119">MMS_Dairy_Methane_Equations.VEERG_4_3_1_1__3_VolatileSolidsForWeanedDairyCattle_Source()</f>
        <v>VEERG 2026: 4.3.1.1, Equation (3)</v>
      </c>
    </row>
    <row r="120" spans="3:23" ht="20.100000000000001" customHeight="1" x14ac:dyDescent="0.25">
      <c r="D120" s="118" t="s">
        <v>262</v>
      </c>
      <c r="E120" s="118"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87" t="s">
        <v>263</v>
      </c>
      <c r="E123" s="1" t="str" cm="1">
        <f t="array" ref="E123">MMS_Dairy_Methane_Equations.VEERG_4_3_1_1__3_VolatileSolidsForWeanedDairyCattle_Variable()</f>
        <v>VS_j</v>
      </c>
    </row>
    <row r="124" spans="3:23" ht="20.100000000000001" customHeight="1" x14ac:dyDescent="0.25">
      <c r="D124" s="87" t="s">
        <v>122</v>
      </c>
      <c r="E124" s="15" t="str" cm="1">
        <f t="array" ref="E124">MMS_Dairy_Methane_Equations.VEERG_4_3_1_1__3_VolatileSolidsForWeanedDairyCattle_Unit()</f>
        <v>kg/head/day</v>
      </c>
    </row>
    <row r="125" spans="3:23" ht="20.100000000000001" customHeight="1" x14ac:dyDescent="0.25"/>
    <row r="126" spans="3:23" ht="20.100000000000001" customHeight="1" x14ac:dyDescent="0.25">
      <c r="D126" s="120" t="str" cm="1">
        <f t="array" ref="D126:E128">_xlfn.CHOOSECOLS(MMS_Dairy_Methane_Equations.VEERG_4_3_1_1__3_VolatileSolidsForWeanedDairyCattle_Arguments(), 1,2)</f>
        <v>I_j</v>
      </c>
      <c r="E126" s="125" t="str">
        <v>dry matter feed intake (kgDM/head/day)</v>
      </c>
      <c r="F126" s="126"/>
      <c r="G126" s="120" t="str" cm="1">
        <f t="array" ref="G126:H128">_xlfn.CHOOSECOLS(MMS_Dairy_Methane_Equations.VEERG_4_3_1_1__3_VolatileSolidsForWeanedDairyCattle_Arguments(), 3,4)</f>
        <v>kgDM/head/day</v>
      </c>
      <c r="H126" s="128" t="str">
        <v>Calculated from 3.3.1.1 (3)</v>
      </c>
      <c r="I126" s="127" t="str" cm="1">
        <f t="array" aca="1" ref="I126" ca="1">HYPERLINK(Common_InputFunctions.Utility_SourceHyperlink($D$111), $D$111)</f>
        <v>M1_Table_I_j</v>
      </c>
    </row>
    <row r="127" spans="3:23" ht="20.100000000000001" customHeight="1" x14ac:dyDescent="0.25">
      <c r="D127" s="120" t="str">
        <v>DMD_j</v>
      </c>
      <c r="E127" s="125" t="str">
        <v>dry matter digestibility</v>
      </c>
      <c r="F127" s="126"/>
      <c r="G127" s="120" t="str">
        <v>fraction</v>
      </c>
      <c r="H127" s="121" t="str">
        <v>Input</v>
      </c>
      <c r="I127" s="127" t="str" cm="1">
        <f t="array" aca="1" ref="I127" ca="1">HYPERLINK(Common_InputFunctions.Utility_SourceHyperlink($D$16), $D$16)</f>
        <v>M1_Table_DMD_j</v>
      </c>
    </row>
    <row r="128" spans="3:23" ht="20.100000000000001" customHeight="1" x14ac:dyDescent="0.25">
      <c r="D128" s="120" t="str">
        <v>A</v>
      </c>
      <c r="E128" s="125" t="str">
        <v>ash content of feed intake</v>
      </c>
      <c r="F128" s="126"/>
      <c r="G128" s="120" t="str">
        <v>fraction</v>
      </c>
      <c r="H128" s="128" t="str">
        <v>Constant</v>
      </c>
      <c r="I128" s="120">
        <f>SourceData_Dairy_AshContent_Data</f>
        <v>0.08</v>
      </c>
    </row>
    <row r="129" spans="3:23" ht="20.100000000000001" customHeight="1" x14ac:dyDescent="0.25"/>
    <row r="130" spans="3:23" ht="20.100000000000001" customHeight="1" x14ac:dyDescent="0.25">
      <c r="D130" s="122" t="s">
        <v>299</v>
      </c>
      <c r="O130" s="122" t="s">
        <v>300</v>
      </c>
    </row>
    <row r="131" spans="3:23" ht="20.100000000000001" customHeight="1" x14ac:dyDescent="0.25">
      <c r="D131" s="123" t="s">
        <v>301</v>
      </c>
      <c r="O131" s="123" t="s">
        <v>302</v>
      </c>
    </row>
    <row r="132" spans="3:23" ht="20.100000000000001" customHeight="1" x14ac:dyDescent="0.25">
      <c r="D132" s="124" t="s">
        <v>213</v>
      </c>
      <c r="E132" s="124" t="s">
        <v>214</v>
      </c>
      <c r="F132" s="124" t="s">
        <v>215</v>
      </c>
      <c r="G132" s="124" t="s">
        <v>216</v>
      </c>
      <c r="H132" s="124" t="s">
        <v>217</v>
      </c>
      <c r="O132" s="124" t="s">
        <v>213</v>
      </c>
      <c r="P132" s="124" t="s">
        <v>214</v>
      </c>
      <c r="Q132" s="124" t="s">
        <v>215</v>
      </c>
      <c r="R132" s="124" t="s">
        <v>216</v>
      </c>
      <c r="S132" s="124" t="s">
        <v>217</v>
      </c>
    </row>
    <row r="133" spans="3:23" ht="20.100000000000001" customHeight="1" x14ac:dyDescent="0.25">
      <c r="D133" s="25" cm="1">
        <f t="array" ref="D133">MMS_Dairy_Methane_Equations.VEERG_4_3_1_1__3_VolatileSolidsForWeanedDairyCattle(D114,D19,$I$128)</f>
        <v>5.0249959581891668</v>
      </c>
      <c r="E133" s="25" cm="1">
        <f t="array" ref="E133">MMS_Dairy_Methane_Equations.VEERG_4_3_1_1__3_VolatileSolidsForWeanedDairyCattle(E114,E19,$I$128)</f>
        <v>1.9793541258316791</v>
      </c>
      <c r="F133" s="25" cm="1">
        <f t="array" ref="F133">MMS_Dairy_Methane_Equations.VEERG_4_3_1_1__3_VolatileSolidsForWeanedDairyCattle(F114,F19,$I$128)</f>
        <v>1.07338268078883</v>
      </c>
      <c r="G133" s="25" cm="1">
        <f t="array" ref="G133">MMS_Dairy_Methane_Equations.VEERG_4_3_1_1__3_VolatileSolidsForWeanedDairyCattle(G114,G19,$I$128)</f>
        <v>2.4084090026999996</v>
      </c>
      <c r="H133" s="25" cm="1">
        <f t="array" ref="H133">MMS_Dairy_Methane_Equations.VEERG_4_3_1_1__3_VolatileSolidsForWeanedDairyCattle(H114,H19,$I$128)</f>
        <v>1.4445478504687506</v>
      </c>
      <c r="I133" s="26" t="str">
        <f>$E$124</f>
        <v>kg/head/day</v>
      </c>
      <c r="O133" s="25" cm="1">
        <f t="array" ref="O133">MMS_Dairy_Methane_Equations.VEERG_4_3_1_1__3_VolatileSolidsForWeanedDairyCattle(O114,O19,$I$128)</f>
        <v>5.0249959581891668</v>
      </c>
      <c r="P133" s="25" cm="1">
        <f t="array" ref="P133">MMS_Dairy_Methane_Equations.VEERG_4_3_1_1__3_VolatileSolidsForWeanedDairyCattle(P114,P19,$I$128)</f>
        <v>1.9793541258316791</v>
      </c>
      <c r="Q133" s="25" cm="1">
        <f t="array" ref="Q133">MMS_Dairy_Methane_Equations.VEERG_4_3_1_1__3_VolatileSolidsForWeanedDairyCattle(Q114,Q19,$I$128)</f>
        <v>1.07338268078883</v>
      </c>
      <c r="R133" s="25" cm="1">
        <f t="array" ref="R133">MMS_Dairy_Methane_Equations.VEERG_4_3_1_1__3_VolatileSolidsForWeanedDairyCattle(R114,R19,$I$128)</f>
        <v>2.4084090026999996</v>
      </c>
      <c r="S133" s="25" cm="1">
        <f t="array" ref="S133">MMS_Dairy_Methane_Equations.VEERG_4_3_1_1__3_VolatileSolidsForWeanedDairyCattle(S114,S19,$I$128)</f>
        <v>1.4445478504687506</v>
      </c>
      <c r="T133" s="26" t="str">
        <f>$E$124</f>
        <v>kg/head/day</v>
      </c>
    </row>
    <row r="134" spans="3:23" ht="20.100000000000001" customHeight="1" x14ac:dyDescent="0.25"/>
    <row r="135" spans="3:23" ht="20.100000000000001" customHeight="1" x14ac:dyDescent="0.25"/>
    <row r="136" spans="3:23" ht="20.100000000000001" customHeight="1" x14ac:dyDescent="0.25">
      <c r="C136" s="101"/>
      <c r="D136" s="101"/>
      <c r="E136" s="101"/>
      <c r="F136" s="101"/>
      <c r="G136" s="101"/>
      <c r="H136" s="101"/>
      <c r="I136" s="101"/>
      <c r="J136" s="101"/>
      <c r="K136" s="101"/>
      <c r="L136" s="101"/>
      <c r="N136" s="101"/>
      <c r="O136" s="101"/>
      <c r="P136" s="101"/>
      <c r="Q136" s="101"/>
      <c r="R136" s="101"/>
      <c r="S136" s="101"/>
      <c r="T136" s="101"/>
      <c r="U136" s="101"/>
      <c r="V136" s="101"/>
      <c r="W136" s="101"/>
    </row>
    <row r="137" spans="3:23" ht="20.100000000000001" customHeight="1" x14ac:dyDescent="0.25">
      <c r="D137" s="2" t="str" cm="1">
        <f t="array" ref="D137">MMS_Dairy_Methane_Equations.VEERG_4_3_1_1__4_FractionVolatileSolidsNotSolidStorage_Title()</f>
        <v>Fraction of volatile solids in each system other than solid storage</v>
      </c>
    </row>
    <row r="138" spans="3:23" ht="20.100000000000001" customHeight="1" x14ac:dyDescent="0.25">
      <c r="D138" s="27" t="str" cm="1">
        <f t="array" ref="D138">MMS_Dairy_Methane_Equations.VEERG_4_3_1_1__4_FractionVolatileSolidsNotSolidStorage_Source()</f>
        <v>VEERG 2026: 4.3.1.1, Equation (4)</v>
      </c>
      <c r="E138" s="118"/>
    </row>
    <row r="139" spans="3:23" ht="20.100000000000001" customHeight="1" x14ac:dyDescent="0.25">
      <c r="D139" s="118" t="s">
        <v>262</v>
      </c>
      <c r="E139" s="118" t="str" cm="1">
        <f t="array" aca="1" ref="E139" ca="1">Common_InputFunctions.Utility_DisplayFunctionName(F174)</f>
        <v>=MMS_Dairy_Methane_Equations.VEERG_4_3_1_1__4_FractionVolatileSolidsNotSolidStorage</v>
      </c>
    </row>
    <row r="140" spans="3:23" ht="20.100000000000001" customHeight="1" x14ac:dyDescent="0.25">
      <c r="D140" s="2"/>
    </row>
    <row r="141" spans="3:23" ht="20.100000000000001" customHeight="1" x14ac:dyDescent="0.25"/>
    <row r="142" spans="3:23" ht="20.100000000000001" customHeight="1" x14ac:dyDescent="0.25">
      <c r="D142" s="87" t="s">
        <v>263</v>
      </c>
      <c r="E142" s="1" t="str" cm="1">
        <f t="array" ref="E142">MMS_Dairy_Methane_Equations.VEERG_4_3_1_1__4_FractionVolatileSolidsNotSolidStorage_Variable()</f>
        <v>FVS_jm</v>
      </c>
    </row>
    <row r="143" spans="3:23" ht="20.100000000000001" customHeight="1" x14ac:dyDescent="0.25">
      <c r="D143" s="87" t="s">
        <v>122</v>
      </c>
      <c r="E143" s="15" t="str" cm="1">
        <f t="array" ref="E143">MMS_Dairy_Methane_Equations.VEERG_4_3_1_1__4_FractionVolatileSolidsNotSolidStorage_Unit()</f>
        <v>fraction</v>
      </c>
    </row>
    <row r="144" spans="3:23" ht="20.100000000000001" customHeight="1" x14ac:dyDescent="0.25"/>
    <row r="145" spans="4:22" ht="20.100000000000001" customHeight="1" x14ac:dyDescent="0.25">
      <c r="D145" s="120" t="str" cm="1">
        <f t="array" ref="D145:E146">_xlfn.CHOOSECOLS(MMS_Dairy_Methane_Equations.VEERG_4_3_1_1__4_FractionVolatileSolidsNotSolidStorage_Arguments(),1,2)</f>
        <v>MMS_jm</v>
      </c>
      <c r="E145" s="120" t="str">
        <v>fraction of manure to each primary MMS for each class prior to solid separation</v>
      </c>
      <c r="F145" s="120"/>
      <c r="G145" s="120" t="str" cm="1">
        <f t="array" ref="G145:H146">_xlfn.CHOOSECOLS(MMS_Dairy_Methane_Equations.VEERG_4_3_1_1__4_FractionVolatileSolidsNotSolidStorage_Arguments(),3,4)</f>
        <v>fraction</v>
      </c>
      <c r="H145" s="121" t="str">
        <v>Input</v>
      </c>
      <c r="I145" s="127" t="str" cm="1">
        <f t="array" aca="1" ref="I145" ca="1">HYPERLINK(Common_InputFunctions.Utility_SourceHyperlink($D$148),$D$148)</f>
        <v>M1_Table_MMS_j_m</v>
      </c>
    </row>
    <row r="146" spans="4:22" ht="20.100000000000001" customHeight="1" x14ac:dyDescent="0.25">
      <c r="D146" s="120" t="str">
        <v>SS_m</v>
      </c>
      <c r="E146" s="120" t="str">
        <v>fraction of volatile solids separated to solid storage for each MMS</v>
      </c>
      <c r="F146" s="120"/>
      <c r="G146" s="120" t="str">
        <v>fraction</v>
      </c>
      <c r="H146" s="121" t="str">
        <v>Input</v>
      </c>
      <c r="I146" s="127" t="str" cm="1">
        <f t="array" aca="1" ref="I146" ca="1">HYPERLINK(Common_InputFunctions.Utility_SourceHyperlink($D$159),$D$159)</f>
        <v>M1_Table_SS_m</v>
      </c>
    </row>
    <row r="147" spans="4:22" ht="20.100000000000001" customHeight="1" x14ac:dyDescent="0.25"/>
    <row r="148" spans="4:22" ht="20.100000000000001" customHeight="1" x14ac:dyDescent="0.25">
      <c r="D148" s="122" t="s">
        <v>303</v>
      </c>
      <c r="O148" s="122" t="s">
        <v>304</v>
      </c>
    </row>
    <row r="149" spans="4:22" ht="20.100000000000001" customHeight="1" x14ac:dyDescent="0.25">
      <c r="D149" s="123" t="s">
        <v>305</v>
      </c>
      <c r="O149" s="123" t="s">
        <v>306</v>
      </c>
    </row>
    <row r="150" spans="4:22" ht="20.100000000000001" customHeight="1" x14ac:dyDescent="0.25">
      <c r="D150" s="94" t="s">
        <v>168</v>
      </c>
      <c r="E150" s="94" t="s">
        <v>307</v>
      </c>
      <c r="F150" s="94" t="s">
        <v>213</v>
      </c>
      <c r="G150" s="94" t="s">
        <v>214</v>
      </c>
      <c r="H150" s="94" t="s">
        <v>215</v>
      </c>
      <c r="I150" s="94" t="s">
        <v>216</v>
      </c>
      <c r="J150" s="94" t="s">
        <v>217</v>
      </c>
      <c r="O150" s="94" t="s">
        <v>168</v>
      </c>
      <c r="P150" s="94" t="s">
        <v>307</v>
      </c>
      <c r="Q150" s="94" t="s">
        <v>213</v>
      </c>
      <c r="R150" s="94" t="s">
        <v>214</v>
      </c>
      <c r="S150" s="94" t="s">
        <v>215</v>
      </c>
      <c r="T150" s="94" t="s">
        <v>216</v>
      </c>
      <c r="U150" s="94" t="s">
        <v>217</v>
      </c>
    </row>
    <row r="151" spans="4:22" ht="20.100000000000001" customHeight="1" x14ac:dyDescent="0.25">
      <c r="D151" s="25" t="str">
        <f>INDEX(X_Table_Dairy_ProductionSystems_Method1,2,1)</f>
        <v>Pasture</v>
      </c>
      <c r="E151" s="25" t="str">
        <f>'Constants - Common Livestock'!$E$27</f>
        <v>Pasture range and paddock</v>
      </c>
      <c r="F151" s="25" cm="1">
        <f t="array" aca="1" ref="F151:J151" ca="1">OFFSET(X_Table_Dairy_ProductionSystems_Method1, 1,1,1,5)</f>
        <v>0.53400000000000003</v>
      </c>
      <c r="G151" s="25">
        <f ca="1"/>
        <v>0.53400000000000003</v>
      </c>
      <c r="H151" s="25">
        <f ca="1"/>
        <v>0.53400000000000003</v>
      </c>
      <c r="I151" s="25">
        <f ca="1"/>
        <v>0.53400000000000003</v>
      </c>
      <c r="J151" s="25">
        <f ca="1"/>
        <v>0.53400000000000003</v>
      </c>
      <c r="K151" s="26" t="str">
        <f>$G$145</f>
        <v>fraction</v>
      </c>
      <c r="O151" s="25" t="str">
        <f>INDEX(X_Table_Dairy_ProductionSystems_Method1,2,1)</f>
        <v>Pasture</v>
      </c>
      <c r="P151" s="25" t="str">
        <f>'Constants - Common Livestock'!$E$27</f>
        <v>Pasture range and paddock</v>
      </c>
      <c r="Q151" s="25" cm="1">
        <f t="array" aca="1" ref="Q151:U151" ca="1">OFFSET(X_Table_Dairy_ProductionSystems_Method2, 1,1,1,5)</f>
        <v>0.53400000000000003</v>
      </c>
      <c r="R151" s="25">
        <f ca="1"/>
        <v>0.53400000000000003</v>
      </c>
      <c r="S151" s="25">
        <f ca="1"/>
        <v>0.53400000000000003</v>
      </c>
      <c r="T151" s="25">
        <f ca="1"/>
        <v>0.53400000000000003</v>
      </c>
      <c r="U151" s="25">
        <f ca="1"/>
        <v>0.53400000000000003</v>
      </c>
    </row>
    <row r="152" spans="4:22" ht="20.100000000000001" customHeight="1" x14ac:dyDescent="0.25">
      <c r="D152" s="25" t="str">
        <f>INDEX(X_Table_Dairy_ProductionSystems_Method1,3,1)</f>
        <v>Milking shed</v>
      </c>
      <c r="E152" s="25" t="str">
        <f>INDEX(X_Table_Dairy_Stage1MMS_1_AnaerobicLagoon,2,1)</f>
        <v>Anaerobic lagoon</v>
      </c>
      <c r="F152" s="25" cm="1">
        <f t="array" aca="1" ref="F152:J152" ca="1">OFFSET(X_Table_Dairy_ProductionSystems_Method1, 2,1,1,5)*OFFSET(X_Table_Dairy_Stage1MMS_1_AnaerobicLagoon, 1,1,1,5)</f>
        <v>2.75E-2</v>
      </c>
      <c r="G152" s="25">
        <f ca="1"/>
        <v>2.75E-2</v>
      </c>
      <c r="H152" s="25">
        <f ca="1"/>
        <v>2.75E-2</v>
      </c>
      <c r="I152" s="25">
        <f ca="1"/>
        <v>2.75E-2</v>
      </c>
      <c r="J152" s="25">
        <f ca="1"/>
        <v>2.75E-2</v>
      </c>
      <c r="K152" s="26"/>
      <c r="O152" s="25" t="str">
        <f>INDEX(X_Table_Dairy_ProductionSystems_Method1,3,1)</f>
        <v>Milking shed</v>
      </c>
      <c r="P152" s="25" t="str">
        <f>INDEX(X_Table_Dairy_Stage1MMS_1_AnaerobicLagoon,2,1)</f>
        <v>Anaerobic lagoon</v>
      </c>
      <c r="Q152" s="25" cm="1">
        <f t="array" aca="1" ref="Q152:U152" ca="1">OFFSET(X_Table_Dairy_ProductionSystems_Method2, 2,1,1,5)*OFFSET(X_Table_Dairy_Stage1MMS_1_AnaerobicLagoon, 1,1,1,5)</f>
        <v>2.75E-2</v>
      </c>
      <c r="R152" s="25">
        <f ca="1"/>
        <v>2.75E-2</v>
      </c>
      <c r="S152" s="25">
        <f ca="1"/>
        <v>2.75E-2</v>
      </c>
      <c r="T152" s="25">
        <f ca="1"/>
        <v>2.75E-2</v>
      </c>
      <c r="U152" s="25">
        <f ca="1"/>
        <v>2.75E-2</v>
      </c>
      <c r="V152" s="26" t="str">
        <f>$G$145</f>
        <v>fraction</v>
      </c>
    </row>
    <row r="153" spans="4:22" ht="20.100000000000001" customHeight="1" x14ac:dyDescent="0.25">
      <c r="D153" s="25" t="str">
        <f>INDEX(X_Table_Dairy_ProductionSystems_Method1,3,1)</f>
        <v>Milking shed</v>
      </c>
      <c r="E153" s="25" t="str">
        <f>INDEX(X_Table_Dairy_Stage1MMS_1_SumpAndDispersal,2,1)</f>
        <v>Sump and dispersal system</v>
      </c>
      <c r="F153" s="25" cm="1">
        <f t="array" aca="1" ref="F153:J153" ca="1">OFFSET(X_Table_Dairy_ProductionSystems_Method1, 2,1,1,5)*OFFSET(X_Table_Dairy_Stage1MMS_1_SumpAndDispersal, 1,1,1,5)</f>
        <v>2.75E-2</v>
      </c>
      <c r="G153" s="25">
        <f ca="1"/>
        <v>2.75E-2</v>
      </c>
      <c r="H153" s="25">
        <f ca="1"/>
        <v>2.75E-2</v>
      </c>
      <c r="I153" s="25">
        <f ca="1"/>
        <v>2.75E-2</v>
      </c>
      <c r="J153" s="25">
        <f ca="1"/>
        <v>2.75E-2</v>
      </c>
      <c r="K153" s="26"/>
      <c r="O153" s="25" t="str">
        <f>INDEX(X_Table_Dairy_ProductionSystems_Method1,3,1)</f>
        <v>Milking shed</v>
      </c>
      <c r="P153" s="25" t="str">
        <f>INDEX(X_Table_Dairy_Stage1MMS_1_SumpAndDispersal,2,1)</f>
        <v>Sump and dispersal system</v>
      </c>
      <c r="Q153" s="25" cm="1">
        <f t="array" aca="1" ref="Q153:U153" ca="1">OFFSET(X_Table_Dairy_ProductionSystems_Method2, 2,1,1,5)*OFFSET(X_Table_Dairy_Stage1MMS_1_SumpAndDispersal, 1,1,1,5)</f>
        <v>2.75E-2</v>
      </c>
      <c r="R153" s="25">
        <f ca="1"/>
        <v>2.75E-2</v>
      </c>
      <c r="S153" s="25">
        <f ca="1"/>
        <v>2.75E-2</v>
      </c>
      <c r="T153" s="25">
        <f ca="1"/>
        <v>2.75E-2</v>
      </c>
      <c r="U153" s="25">
        <f ca="1"/>
        <v>2.75E-2</v>
      </c>
      <c r="V153" s="26"/>
    </row>
    <row r="154" spans="4:22" ht="20.100000000000001" customHeight="1" x14ac:dyDescent="0.25">
      <c r="D154" s="25" t="str">
        <f>INDEX(X_Table_Dairy_ProductionSystems_Method1,3,1)</f>
        <v>Milking shed</v>
      </c>
      <c r="E154" s="25" t="str">
        <f>INDEX(X_Table_Dairy_Stage1MMS_1_DrainsToPaddock,2,1)</f>
        <v>Drains to paddock</v>
      </c>
      <c r="F154" s="25" cm="1">
        <f t="array" aca="1" ref="F154:J154" ca="1">OFFSET(X_Table_Dairy_ProductionSystems_Method1, 2,1,1,5)*OFFSET(X_Table_Dairy_Stage1MMS_1_DrainsToPaddock, 1,1,1,5)</f>
        <v>2.75E-2</v>
      </c>
      <c r="G154" s="25">
        <f ca="1"/>
        <v>2.75E-2</v>
      </c>
      <c r="H154" s="25">
        <f ca="1"/>
        <v>2.75E-2</v>
      </c>
      <c r="I154" s="25">
        <f ca="1"/>
        <v>2.75E-2</v>
      </c>
      <c r="J154" s="25">
        <f ca="1"/>
        <v>2.75E-2</v>
      </c>
      <c r="K154" s="26"/>
      <c r="O154" s="25" t="str">
        <f>INDEX(X_Table_Dairy_ProductionSystems_Method1,3,1)</f>
        <v>Milking shed</v>
      </c>
      <c r="P154" s="25" t="str">
        <f>INDEX(X_Table_Dairy_Stage1MMS_1_DrainsToPaddock,2,1)</f>
        <v>Drains to paddock</v>
      </c>
      <c r="Q154" s="25" cm="1">
        <f t="array" aca="1" ref="Q154:U154" ca="1">OFFSET(X_Table_Dairy_ProductionSystems_Method2, 2,1,1,5)*OFFSET(X_Table_Dairy_Stage1MMS_1_DrainsToPaddock, 1,1,1,5)</f>
        <v>2.75E-2</v>
      </c>
      <c r="R154" s="25">
        <f ca="1"/>
        <v>2.75E-2</v>
      </c>
      <c r="S154" s="25">
        <f ca="1"/>
        <v>2.75E-2</v>
      </c>
      <c r="T154" s="25">
        <f ca="1"/>
        <v>2.75E-2</v>
      </c>
      <c r="U154" s="25">
        <f ca="1"/>
        <v>2.75E-2</v>
      </c>
      <c r="V154" s="26"/>
    </row>
    <row r="155" spans="4:22" ht="20.100000000000001" customHeight="1" x14ac:dyDescent="0.25">
      <c r="D155" s="25" t="str">
        <f>INDEX(X_Table_Dairy_ProductionSystems_Method1,4,1)</f>
        <v>Feed pad</v>
      </c>
      <c r="E155" s="25" t="str">
        <f>INDEX(X_Table_Dairy_Stage1MMS_2_AnaerobicLagoon,2,1)</f>
        <v>Anaerobic lagoon</v>
      </c>
      <c r="F155" s="25" cm="1">
        <f t="array" aca="1" ref="F155:J155" ca="1">OFFSET(X_Table_Dairy_ProductionSystems_Method1, 3,1,1,5)*OFFSET(X_Table_Dairy_Stage1MMS_1_AnaerobicLagoon, 1,1,1,5)</f>
        <v>8.8999999999999996E-2</v>
      </c>
      <c r="G155" s="25">
        <f ca="1"/>
        <v>8.8999999999999996E-2</v>
      </c>
      <c r="H155" s="25">
        <f ca="1"/>
        <v>8.8999999999999996E-2</v>
      </c>
      <c r="I155" s="25">
        <f ca="1"/>
        <v>8.8999999999999996E-2</v>
      </c>
      <c r="J155" s="25">
        <f ca="1"/>
        <v>8.8999999999999996E-2</v>
      </c>
      <c r="K155" s="26"/>
      <c r="O155" s="25" t="str">
        <f>INDEX(X_Table_Dairy_ProductionSystems_Method1,4,1)</f>
        <v>Feed pad</v>
      </c>
      <c r="P155" s="25" t="str">
        <f>INDEX(X_Table_Dairy_Stage1MMS_2_AnaerobicLagoon,2,1)</f>
        <v>Anaerobic lagoon</v>
      </c>
      <c r="Q155" s="25" cm="1">
        <f t="array" aca="1" ref="Q155:U155" ca="1">OFFSET(X_Table_Dairy_ProductionSystems_Method2, 3,1,1,5)*OFFSET(X_Table_Dairy_Stage1MMS_1_AnaerobicLagoon, 1,1,1,5)</f>
        <v>8.8999999999999996E-2</v>
      </c>
      <c r="R155" s="25">
        <f ca="1"/>
        <v>8.8999999999999996E-2</v>
      </c>
      <c r="S155" s="25">
        <f ca="1"/>
        <v>8.8999999999999996E-2</v>
      </c>
      <c r="T155" s="25">
        <f ca="1"/>
        <v>8.8999999999999996E-2</v>
      </c>
      <c r="U155" s="25">
        <f ca="1"/>
        <v>8.8999999999999996E-2</v>
      </c>
      <c r="V155" s="26"/>
    </row>
    <row r="156" spans="4:22" ht="20.100000000000001" customHeight="1" x14ac:dyDescent="0.25">
      <c r="D156" s="25" t="str">
        <f>INDEX(X_Table_Dairy_ProductionSystems_Method1,4,1)</f>
        <v>Feed pad</v>
      </c>
      <c r="E156" s="25" t="str">
        <f>INDEX(X_Table_Dairy_Stage1MMS_2_SumpAndDispersal,2,1)</f>
        <v>Sump and dispersal system</v>
      </c>
      <c r="F156" s="25" cm="1">
        <f t="array" aca="1" ref="F156:J156" ca="1">OFFSET(X_Table_Dairy_ProductionSystems_Method1, 3,1,1,5)*OFFSET(X_Table_Dairy_Stage1MMS_1_SumpAndDispersal, 1,1,1,5)</f>
        <v>8.8999999999999996E-2</v>
      </c>
      <c r="G156" s="25">
        <f ca="1"/>
        <v>8.8999999999999996E-2</v>
      </c>
      <c r="H156" s="25">
        <f ca="1"/>
        <v>8.8999999999999996E-2</v>
      </c>
      <c r="I156" s="25">
        <f ca="1"/>
        <v>8.8999999999999996E-2</v>
      </c>
      <c r="J156" s="25">
        <f ca="1"/>
        <v>8.8999999999999996E-2</v>
      </c>
      <c r="K156" s="26"/>
      <c r="O156" s="25" t="str">
        <f>INDEX(X_Table_Dairy_ProductionSystems_Method1,4,1)</f>
        <v>Feed pad</v>
      </c>
      <c r="P156" s="25" t="str">
        <f>INDEX(X_Table_Dairy_Stage1MMS_2_SumpAndDispersal,2,1)</f>
        <v>Sump and dispersal system</v>
      </c>
      <c r="Q156" s="25" cm="1">
        <f t="array" aca="1" ref="Q156:U156" ca="1">OFFSET(X_Table_Dairy_ProductionSystems_Method2, 3,1,1,5)*OFFSET(X_Table_Dairy_Stage1MMS_1_SumpAndDispersal, 1,1,1,5)</f>
        <v>8.8999999999999996E-2</v>
      </c>
      <c r="R156" s="25">
        <f ca="1"/>
        <v>8.8999999999999996E-2</v>
      </c>
      <c r="S156" s="25">
        <f ca="1"/>
        <v>8.8999999999999996E-2</v>
      </c>
      <c r="T156" s="25">
        <f ca="1"/>
        <v>8.8999999999999996E-2</v>
      </c>
      <c r="U156" s="25">
        <f ca="1"/>
        <v>8.8999999999999996E-2</v>
      </c>
      <c r="V156" s="26"/>
    </row>
    <row r="157" spans="4:22" ht="20.100000000000001" customHeight="1" x14ac:dyDescent="0.25">
      <c r="D157" s="25" t="str">
        <f>INDEX(X_Table_Dairy_ProductionSystems_Method1,4,1)</f>
        <v>Feed pad</v>
      </c>
      <c r="E157" s="25" t="str">
        <f>INDEX(X_Table_Dairy_Stage1MMS_2_DrainsToPaddock,2,1)</f>
        <v>Drains to paddock</v>
      </c>
      <c r="F157" s="25" cm="1">
        <f t="array" aca="1" ref="F157:J157" ca="1">OFFSET(X_Table_Dairy_ProductionSystems_Method1, 3,1,1,5)*OFFSET(X_Table_Dairy_Stage1MMS_1_DrainsToPaddock, 1,1,1,5)</f>
        <v>8.8999999999999996E-2</v>
      </c>
      <c r="G157" s="25">
        <f ca="1"/>
        <v>8.8999999999999996E-2</v>
      </c>
      <c r="H157" s="25">
        <f ca="1"/>
        <v>8.8999999999999996E-2</v>
      </c>
      <c r="I157" s="25">
        <f ca="1"/>
        <v>8.8999999999999996E-2</v>
      </c>
      <c r="J157" s="25">
        <f ca="1"/>
        <v>8.8999999999999996E-2</v>
      </c>
      <c r="K157" s="26"/>
      <c r="O157" s="25" t="str">
        <f>INDEX(X_Table_Dairy_ProductionSystems_Method1,4,1)</f>
        <v>Feed pad</v>
      </c>
      <c r="P157" s="25" t="str">
        <f>INDEX(X_Table_Dairy_Stage1MMS_2_DrainsToPaddock,2,1)</f>
        <v>Drains to paddock</v>
      </c>
      <c r="Q157" s="25" cm="1">
        <f t="array" aca="1" ref="Q157:U157" ca="1">OFFSET(X_Table_Dairy_ProductionSystems_Method2, 3,1,1,5)*OFFSET(X_Table_Dairy_Stage1MMS_1_DrainsToPaddock, 1,1,1,5)</f>
        <v>8.8999999999999996E-2</v>
      </c>
      <c r="R157" s="25">
        <f ca="1"/>
        <v>8.8999999999999996E-2</v>
      </c>
      <c r="S157" s="25">
        <f ca="1"/>
        <v>8.8999999999999996E-2</v>
      </c>
      <c r="T157" s="25">
        <f ca="1"/>
        <v>8.8999999999999996E-2</v>
      </c>
      <c r="U157" s="25">
        <f ca="1"/>
        <v>8.8999999999999996E-2</v>
      </c>
      <c r="V157" s="26"/>
    </row>
    <row r="158" spans="4:22" ht="20.100000000000001" customHeight="1" x14ac:dyDescent="0.25"/>
    <row r="159" spans="4:22" ht="20.100000000000001" customHeight="1" x14ac:dyDescent="0.25">
      <c r="D159" s="122" t="s">
        <v>308</v>
      </c>
      <c r="O159" s="122" t="s">
        <v>309</v>
      </c>
    </row>
    <row r="160" spans="4:22" ht="20.100000000000001" customHeight="1" x14ac:dyDescent="0.25">
      <c r="D160" s="123" t="s">
        <v>310</v>
      </c>
      <c r="O160" s="123" t="s">
        <v>311</v>
      </c>
    </row>
    <row r="161" spans="4:22" ht="20.100000000000001" customHeight="1" x14ac:dyDescent="0.25">
      <c r="D161" s="94" t="s">
        <v>168</v>
      </c>
      <c r="E161" s="94" t="s">
        <v>307</v>
      </c>
      <c r="F161" s="94" t="s">
        <v>312</v>
      </c>
      <c r="O161" s="94" t="s">
        <v>168</v>
      </c>
      <c r="P161" s="94" t="s">
        <v>307</v>
      </c>
      <c r="Q161" s="94" t="s">
        <v>312</v>
      </c>
    </row>
    <row r="162" spans="4:22" ht="20.100000000000001" customHeight="1" x14ac:dyDescent="0.25">
      <c r="D162" s="25" t="str">
        <f>INDEX(X_Table_Dairy_ProductionSystems_Method1,2,1)</f>
        <v>Pasture</v>
      </c>
      <c r="E162" s="25" t="str">
        <f>'Constants - Common Livestock'!$E$27</f>
        <v>Pasture range and paddock</v>
      </c>
      <c r="F162" s="25">
        <v>0</v>
      </c>
      <c r="G162" s="26" t="str">
        <f>$G$146</f>
        <v>fraction</v>
      </c>
      <c r="O162" s="25" t="str">
        <f>INDEX(X_Table_Dairy_ProductionSystems_Method1,2,1)</f>
        <v>Pasture</v>
      </c>
      <c r="P162" s="25" t="str">
        <f>'Constants - Common Livestock'!$E$27</f>
        <v>Pasture range and paddock</v>
      </c>
      <c r="Q162" s="25">
        <v>0</v>
      </c>
      <c r="R162" s="26" t="str">
        <f>$G$146</f>
        <v>fraction</v>
      </c>
    </row>
    <row r="163" spans="4:22" ht="20.100000000000001" customHeight="1" x14ac:dyDescent="0.25">
      <c r="D163" s="25" t="str">
        <f>INDEX(X_Table_Dairy_ProductionSystems_Method1,3,1)</f>
        <v>Milking shed</v>
      </c>
      <c r="E163" s="25" t="str">
        <f>INDEX(X_Table_Dairy_Stage1MMS_1_AnaerobicLagoon,2,1)</f>
        <v>Anaerobic lagoon</v>
      </c>
      <c r="F163" s="25">
        <f>X_Cell_Dairy_Stage1MMS_1_AnaerobicLagoon_AmountSeparated_Method1</f>
        <v>0.2</v>
      </c>
      <c r="O163" s="25" t="str">
        <f>INDEX(X_Table_Dairy_ProductionSystems_Method1,3,1)</f>
        <v>Milking shed</v>
      </c>
      <c r="P163" s="25" t="str">
        <f>INDEX(X_Table_Dairy_Stage1MMS_1_AnaerobicLagoon,2,1)</f>
        <v>Anaerobic lagoon</v>
      </c>
      <c r="Q163" s="25">
        <f>X_Cell_Dairy_Stage1MMS_1_AnaerobicLagoon_AmountSeparated_Method2</f>
        <v>0.2</v>
      </c>
      <c r="R163" s="26"/>
    </row>
    <row r="164" spans="4:22" ht="20.100000000000001" customHeight="1" x14ac:dyDescent="0.25">
      <c r="D164" s="25" t="str">
        <f>INDEX(X_Table_Dairy_ProductionSystems_Method1,3,1)</f>
        <v>Milking shed</v>
      </c>
      <c r="E164" s="25" t="str">
        <f>INDEX(X_Table_Dairy_Stage1MMS_1_SumpAndDispersal,2,1)</f>
        <v>Sump and dispersal system</v>
      </c>
      <c r="F164" s="25">
        <f>X_Cell_Dairy_Stage1MMS_1_SumpAndDispersal_AmountSeparated_Method1</f>
        <v>0.2</v>
      </c>
      <c r="G164" s="26"/>
      <c r="O164" s="25" t="str">
        <f>INDEX(X_Table_Dairy_ProductionSystems_Method1,3,1)</f>
        <v>Milking shed</v>
      </c>
      <c r="P164" s="25" t="str">
        <f>INDEX(X_Table_Dairy_Stage1MMS_1_SumpAndDispersal,2,1)</f>
        <v>Sump and dispersal system</v>
      </c>
      <c r="Q164" s="25">
        <f>X_Cell_Dairy_Stage1MMS_1_SumpAndDispersal_AmountSeparated_Method2</f>
        <v>0.2</v>
      </c>
      <c r="R164" s="26"/>
    </row>
    <row r="165" spans="4:22" ht="20.100000000000001" customHeight="1" x14ac:dyDescent="0.25">
      <c r="D165" s="25" t="str">
        <f>INDEX(X_Table_Dairy_ProductionSystems_Method1,3,1)</f>
        <v>Milking shed</v>
      </c>
      <c r="E165" s="25" t="str">
        <f>INDEX(X_Table_Dairy_Stage1MMS_1_DrainsToPaddock,2,1)</f>
        <v>Drains to paddock</v>
      </c>
      <c r="F165" s="25">
        <f>X_Cell_Dairy_Stage1MMS_1_DrainsToPaddock_AmountSeparated_Method1</f>
        <v>0.2</v>
      </c>
      <c r="G165" s="26"/>
      <c r="O165" s="25" t="str">
        <f>INDEX(X_Table_Dairy_ProductionSystems_Method1,3,1)</f>
        <v>Milking shed</v>
      </c>
      <c r="P165" s="25" t="str">
        <f>INDEX(X_Table_Dairy_Stage1MMS_1_DrainsToPaddock,2,1)</f>
        <v>Drains to paddock</v>
      </c>
      <c r="Q165" s="25">
        <f>X_Cell_Dairy_Stage1MMS_1_DrainsToPaddock_AmountSeparated_Method2</f>
        <v>0.2</v>
      </c>
      <c r="R165" s="26"/>
    </row>
    <row r="166" spans="4:22" ht="20.100000000000001" customHeight="1" x14ac:dyDescent="0.25">
      <c r="D166" s="25" t="str">
        <f>INDEX(X_Table_Dairy_ProductionSystems_Method1,4,1)</f>
        <v>Feed pad</v>
      </c>
      <c r="E166" s="25" t="str">
        <f>INDEX(X_Table_Dairy_Stage1MMS_2_AnaerobicLagoon,2,1)</f>
        <v>Anaerobic lagoon</v>
      </c>
      <c r="F166" s="25">
        <f>X_Cell_Dairy_Stage1MMS_2_AnaerobicLagoon_AmountSeparated_Method1</f>
        <v>0</v>
      </c>
      <c r="G166" s="26"/>
      <c r="O166" s="25" t="str">
        <f>INDEX(X_Table_Dairy_ProductionSystems_Method1,4,1)</f>
        <v>Feed pad</v>
      </c>
      <c r="P166" s="25" t="str">
        <f>INDEX(X_Table_Dairy_Stage1MMS_2_AnaerobicLagoon,2,1)</f>
        <v>Anaerobic lagoon</v>
      </c>
      <c r="Q166" s="25">
        <f>X_Cell_Dairy_Stage1MMS_2_AnaerobicLagoon_AmountSeparated_Method2</f>
        <v>0</v>
      </c>
      <c r="R166" s="26"/>
    </row>
    <row r="167" spans="4:22" ht="20.100000000000001" customHeight="1" x14ac:dyDescent="0.25">
      <c r="D167" s="25" t="str">
        <f>INDEX(X_Table_Dairy_ProductionSystems_Method1,4,1)</f>
        <v>Feed pad</v>
      </c>
      <c r="E167" s="25" t="str">
        <f>INDEX(X_Table_Dairy_Stage1MMS_2_SumpAndDispersal,2,1)</f>
        <v>Sump and dispersal system</v>
      </c>
      <c r="F167" s="25">
        <f>X_Cell_Dairy_Stage1MMS_2_SumpAndDispersal_AmountSeparated_Method1</f>
        <v>0.2</v>
      </c>
      <c r="G167" s="26"/>
      <c r="O167" s="25" t="str">
        <f>INDEX(X_Table_Dairy_ProductionSystems_Method1,4,1)</f>
        <v>Feed pad</v>
      </c>
      <c r="P167" s="25" t="str">
        <f>INDEX(X_Table_Dairy_Stage1MMS_2_SumpAndDispersal,2,1)</f>
        <v>Sump and dispersal system</v>
      </c>
      <c r="Q167" s="25">
        <f>X_Cell_Dairy_Stage1MMS_2_SumpAndDispersal_AmountSeparated_Method2</f>
        <v>0.2</v>
      </c>
      <c r="R167" s="26"/>
    </row>
    <row r="168" spans="4:22" ht="20.100000000000001" customHeight="1" x14ac:dyDescent="0.25">
      <c r="D168" s="25" t="str">
        <f>INDEX(X_Table_Dairy_ProductionSystems_Method1,4,1)</f>
        <v>Feed pad</v>
      </c>
      <c r="E168" s="25" t="str">
        <f>INDEX(X_Table_Dairy_Stage1MMS_2_DrainsToPaddock,2,1)</f>
        <v>Drains to paddock</v>
      </c>
      <c r="F168" s="25">
        <f>X_Cell_Dairy_Stage1MMS_2_DrainsToPaddock_AmountSeparated_Method1</f>
        <v>0.2</v>
      </c>
      <c r="G168" s="26"/>
      <c r="O168" s="25" t="str">
        <f>INDEX(X_Table_Dairy_ProductionSystems_Method1,4,1)</f>
        <v>Feed pad</v>
      </c>
      <c r="P168" s="25" t="str">
        <f>INDEX(X_Table_Dairy_Stage1MMS_2_DrainsToPaddock,2,1)</f>
        <v>Drains to paddock</v>
      </c>
      <c r="Q168" s="25">
        <f>X_Cell_Dairy_Stage1MMS_2_DrainsToPaddock_AmountSeparated_Method2</f>
        <v>0.2</v>
      </c>
      <c r="R168" s="26"/>
    </row>
    <row r="169" spans="4:22" ht="20.100000000000001" customHeight="1" x14ac:dyDescent="0.25"/>
    <row r="170" spans="4:22" ht="20.100000000000001" customHeight="1" x14ac:dyDescent="0.25">
      <c r="D170" s="122" t="s">
        <v>313</v>
      </c>
      <c r="O170" s="122" t="s">
        <v>313</v>
      </c>
    </row>
    <row r="171" spans="4:22" ht="20.100000000000001" customHeight="1" x14ac:dyDescent="0.25">
      <c r="D171" s="123" t="s">
        <v>314</v>
      </c>
      <c r="O171" s="123" t="s">
        <v>315</v>
      </c>
    </row>
    <row r="172" spans="4:22" ht="20.100000000000001" customHeight="1" x14ac:dyDescent="0.25">
      <c r="D172" s="124" t="s">
        <v>168</v>
      </c>
      <c r="E172" s="124" t="s">
        <v>307</v>
      </c>
      <c r="F172" s="124" t="s">
        <v>213</v>
      </c>
      <c r="G172" s="124" t="s">
        <v>214</v>
      </c>
      <c r="H172" s="124" t="s">
        <v>215</v>
      </c>
      <c r="I172" s="124" t="s">
        <v>216</v>
      </c>
      <c r="J172" s="124" t="s">
        <v>217</v>
      </c>
      <c r="O172" s="124" t="s">
        <v>168</v>
      </c>
      <c r="P172" s="124" t="s">
        <v>307</v>
      </c>
      <c r="Q172" s="124" t="s">
        <v>213</v>
      </c>
      <c r="R172" s="124" t="s">
        <v>214</v>
      </c>
      <c r="S172" s="124" t="s">
        <v>215</v>
      </c>
      <c r="T172" s="124" t="s">
        <v>216</v>
      </c>
      <c r="U172" s="124" t="s">
        <v>217</v>
      </c>
    </row>
    <row r="173" spans="4:22" ht="20.100000000000001" customHeight="1" x14ac:dyDescent="0.25">
      <c r="D173" s="25" t="str">
        <f>INDEX(X_Table_Dairy_ProductionSystems_Method1,2,1)</f>
        <v>Pasture</v>
      </c>
      <c r="E173" s="25" t="str">
        <f>'Constants - Common Livestock'!$E$27</f>
        <v>Pasture range and paddock</v>
      </c>
      <c r="F173" s="25" cm="1">
        <f t="array" aca="1" ref="F173" ca="1">MMS_Dairy_Methane_Equations.VEERG_4_3_1_1__4_FractionVolatileSolidsNotSolidStorage(F151,$F162)</f>
        <v>0.53400000000000003</v>
      </c>
      <c r="G173" s="25" cm="1">
        <f t="array" aca="1" ref="G173" ca="1">MMS_Dairy_Methane_Equations.VEERG_4_3_1_1__4_FractionVolatileSolidsNotSolidStorage(G151,$F162)</f>
        <v>0.53400000000000003</v>
      </c>
      <c r="H173" s="25" cm="1">
        <f t="array" aca="1" ref="H173" ca="1">MMS_Dairy_Methane_Equations.VEERG_4_3_1_1__4_FractionVolatileSolidsNotSolidStorage(H151,$F162)</f>
        <v>0.53400000000000003</v>
      </c>
      <c r="I173" s="25" cm="1">
        <f t="array" aca="1" ref="I173" ca="1">MMS_Dairy_Methane_Equations.VEERG_4_3_1_1__4_FractionVolatileSolidsNotSolidStorage(I151,$F162)</f>
        <v>0.53400000000000003</v>
      </c>
      <c r="J173" s="25" cm="1">
        <f t="array" aca="1" ref="J173" ca="1">MMS_Dairy_Methane_Equations.VEERG_4_3_1_1__4_FractionVolatileSolidsNotSolidStorage(J151,$F162)</f>
        <v>0.53400000000000003</v>
      </c>
      <c r="K173" s="26" t="str">
        <f>$E$143</f>
        <v>fraction</v>
      </c>
      <c r="O173" s="25" t="str">
        <f>INDEX(X_Table_Dairy_ProductionSystems_Method1,2,1)</f>
        <v>Pasture</v>
      </c>
      <c r="P173" s="25" t="str">
        <f>'Constants - Common Livestock'!$E$27</f>
        <v>Pasture range and paddock</v>
      </c>
      <c r="Q173" s="25" cm="1">
        <f t="array" aca="1" ref="Q173" ca="1">MMS_Dairy_Methane_Equations.VEERG_4_3_1_1__4_FractionVolatileSolidsNotSolidStorage(Q151,$Q162)</f>
        <v>0.53400000000000003</v>
      </c>
      <c r="R173" s="25" cm="1">
        <f t="array" aca="1" ref="R173" ca="1">MMS_Dairy_Methane_Equations.VEERG_4_3_1_1__4_FractionVolatileSolidsNotSolidStorage(R151,$Q162)</f>
        <v>0.53400000000000003</v>
      </c>
      <c r="S173" s="25" cm="1">
        <f t="array" aca="1" ref="S173" ca="1">MMS_Dairy_Methane_Equations.VEERG_4_3_1_1__4_FractionVolatileSolidsNotSolidStorage(S151,$Q162)</f>
        <v>0.53400000000000003</v>
      </c>
      <c r="T173" s="25" cm="1">
        <f t="array" aca="1" ref="T173" ca="1">MMS_Dairy_Methane_Equations.VEERG_4_3_1_1__4_FractionVolatileSolidsNotSolidStorage(T151,$Q162)</f>
        <v>0.53400000000000003</v>
      </c>
      <c r="U173" s="25" cm="1">
        <f t="array" aca="1" ref="U173" ca="1">MMS_Dairy_Methane_Equations.VEERG_4_3_1_1__4_FractionVolatileSolidsNotSolidStorage(U151,$Q162)</f>
        <v>0.53400000000000003</v>
      </c>
      <c r="V173" s="26" t="str">
        <f>$E$143</f>
        <v>fraction</v>
      </c>
    </row>
    <row r="174" spans="4:22" ht="20.100000000000001" customHeight="1" x14ac:dyDescent="0.25">
      <c r="D174" s="25" t="str">
        <f>INDEX(X_Table_Dairy_ProductionSystems_Method1,3,1)</f>
        <v>Milking shed</v>
      </c>
      <c r="E174" s="25" t="str">
        <f>INDEX(X_Table_Dairy_Stage1MMS_1_AnaerobicLagoon,2,1)</f>
        <v>Anaerobic lagoon</v>
      </c>
      <c r="F174" s="25" cm="1">
        <f t="array" aca="1" ref="F174" ca="1">MMS_Dairy_Methane_Equations.VEERG_4_3_1_1__4_FractionVolatileSolidsNotSolidStorage(F152,$F163)</f>
        <v>2.2000000000000002E-2</v>
      </c>
      <c r="G174" s="25" cm="1">
        <f t="array" aca="1" ref="G174" ca="1">MMS_Dairy_Methane_Equations.VEERG_4_3_1_1__4_FractionVolatileSolidsNotSolidStorage(G152,$F163)</f>
        <v>2.2000000000000002E-2</v>
      </c>
      <c r="H174" s="25" cm="1">
        <f t="array" aca="1" ref="H174" ca="1">MMS_Dairy_Methane_Equations.VEERG_4_3_1_1__4_FractionVolatileSolidsNotSolidStorage(H152,$F163)</f>
        <v>2.2000000000000002E-2</v>
      </c>
      <c r="I174" s="25" cm="1">
        <f t="array" aca="1" ref="I174" ca="1">MMS_Dairy_Methane_Equations.VEERG_4_3_1_1__4_FractionVolatileSolidsNotSolidStorage(I152,$F163)</f>
        <v>2.2000000000000002E-2</v>
      </c>
      <c r="J174" s="25" cm="1">
        <f t="array" aca="1" ref="J174" ca="1">MMS_Dairy_Methane_Equations.VEERG_4_3_1_1__4_FractionVolatileSolidsNotSolidStorage(J152,$F163)</f>
        <v>2.2000000000000002E-2</v>
      </c>
      <c r="O174" s="25" t="str">
        <f>INDEX(X_Table_Dairy_ProductionSystems_Method1,3,1)</f>
        <v>Milking shed</v>
      </c>
      <c r="P174" s="25" t="str">
        <f>INDEX(X_Table_Dairy_Stage1MMS_1_AnaerobicLagoon,2,1)</f>
        <v>Anaerobic lagoon</v>
      </c>
      <c r="Q174" s="25" cm="1">
        <f t="array" aca="1" ref="Q174" ca="1">MMS_Dairy_Methane_Equations.VEERG_4_3_1_1__4_FractionVolatileSolidsNotSolidStorage(Q152,$Q163)</f>
        <v>2.2000000000000002E-2</v>
      </c>
      <c r="R174" s="25" cm="1">
        <f t="array" aca="1" ref="R174" ca="1">MMS_Dairy_Methane_Equations.VEERG_4_3_1_1__4_FractionVolatileSolidsNotSolidStorage(R152,$Q163)</f>
        <v>2.2000000000000002E-2</v>
      </c>
      <c r="S174" s="25" cm="1">
        <f t="array" aca="1" ref="S174" ca="1">MMS_Dairy_Methane_Equations.VEERG_4_3_1_1__4_FractionVolatileSolidsNotSolidStorage(S152,$Q163)</f>
        <v>2.2000000000000002E-2</v>
      </c>
      <c r="T174" s="25" cm="1">
        <f t="array" aca="1" ref="T174" ca="1">MMS_Dairy_Methane_Equations.VEERG_4_3_1_1__4_FractionVolatileSolidsNotSolidStorage(T152,$Q163)</f>
        <v>2.2000000000000002E-2</v>
      </c>
      <c r="U174" s="25" cm="1">
        <f t="array" aca="1" ref="U174" ca="1">MMS_Dairy_Methane_Equations.VEERG_4_3_1_1__4_FractionVolatileSolidsNotSolidStorage(U152,$Q163)</f>
        <v>2.2000000000000002E-2</v>
      </c>
    </row>
    <row r="175" spans="4:22" ht="20.100000000000001" customHeight="1" x14ac:dyDescent="0.25">
      <c r="D175" s="25" t="str">
        <f>INDEX(X_Table_Dairy_ProductionSystems_Method1,3,1)</f>
        <v>Milking shed</v>
      </c>
      <c r="E175" s="25" t="str">
        <f>INDEX(X_Table_Dairy_Stage1MMS_1_SumpAndDispersal,2,1)</f>
        <v>Sump and dispersal system</v>
      </c>
      <c r="F175" s="25" cm="1">
        <f t="array" aca="1" ref="F175" ca="1">MMS_Dairy_Methane_Equations.VEERG_4_3_1_1__4_FractionVolatileSolidsNotSolidStorage(F153,$F164)</f>
        <v>2.2000000000000002E-2</v>
      </c>
      <c r="G175" s="25" cm="1">
        <f t="array" aca="1" ref="G175" ca="1">MMS_Dairy_Methane_Equations.VEERG_4_3_1_1__4_FractionVolatileSolidsNotSolidStorage(G153,$F164)</f>
        <v>2.2000000000000002E-2</v>
      </c>
      <c r="H175" s="25" cm="1">
        <f t="array" aca="1" ref="H175" ca="1">MMS_Dairy_Methane_Equations.VEERG_4_3_1_1__4_FractionVolatileSolidsNotSolidStorage(H153,$F164)</f>
        <v>2.2000000000000002E-2</v>
      </c>
      <c r="I175" s="25" cm="1">
        <f t="array" aca="1" ref="I175" ca="1">MMS_Dairy_Methane_Equations.VEERG_4_3_1_1__4_FractionVolatileSolidsNotSolidStorage(I153,$F164)</f>
        <v>2.2000000000000002E-2</v>
      </c>
      <c r="J175" s="25" cm="1">
        <f t="array" aca="1" ref="J175" ca="1">MMS_Dairy_Methane_Equations.VEERG_4_3_1_1__4_FractionVolatileSolidsNotSolidStorage(J153,$F164)</f>
        <v>2.2000000000000002E-2</v>
      </c>
      <c r="K175" s="26"/>
      <c r="O175" s="25" t="str">
        <f>INDEX(X_Table_Dairy_ProductionSystems_Method1,3,1)</f>
        <v>Milking shed</v>
      </c>
      <c r="P175" s="25" t="str">
        <f>INDEX(X_Table_Dairy_Stage1MMS_1_SumpAndDispersal,2,1)</f>
        <v>Sump and dispersal system</v>
      </c>
      <c r="Q175" s="25" cm="1">
        <f t="array" aca="1" ref="Q175" ca="1">MMS_Dairy_Methane_Equations.VEERG_4_3_1_1__4_FractionVolatileSolidsNotSolidStorage(Q153,$Q164)</f>
        <v>2.2000000000000002E-2</v>
      </c>
      <c r="R175" s="25" cm="1">
        <f t="array" aca="1" ref="R175" ca="1">MMS_Dairy_Methane_Equations.VEERG_4_3_1_1__4_FractionVolatileSolidsNotSolidStorage(R153,$Q164)</f>
        <v>2.2000000000000002E-2</v>
      </c>
      <c r="S175" s="25" cm="1">
        <f t="array" aca="1" ref="S175" ca="1">MMS_Dairy_Methane_Equations.VEERG_4_3_1_1__4_FractionVolatileSolidsNotSolidStorage(S153,$Q164)</f>
        <v>2.2000000000000002E-2</v>
      </c>
      <c r="T175" s="25" cm="1">
        <f t="array" aca="1" ref="T175" ca="1">MMS_Dairy_Methane_Equations.VEERG_4_3_1_1__4_FractionVolatileSolidsNotSolidStorage(T153,$Q164)</f>
        <v>2.2000000000000002E-2</v>
      </c>
      <c r="U175" s="25" cm="1">
        <f t="array" aca="1" ref="U175" ca="1">MMS_Dairy_Methane_Equations.VEERG_4_3_1_1__4_FractionVolatileSolidsNotSolidStorage(U153,$Q164)</f>
        <v>2.2000000000000002E-2</v>
      </c>
      <c r="V175" s="26"/>
    </row>
    <row r="176" spans="4:22" ht="20.100000000000001" customHeight="1" x14ac:dyDescent="0.25">
      <c r="D176" s="25" t="str">
        <f>INDEX(X_Table_Dairy_ProductionSystems_Method1,3,1)</f>
        <v>Milking shed</v>
      </c>
      <c r="E176" s="25" t="str">
        <f>INDEX(X_Table_Dairy_Stage1MMS_1_DrainsToPaddock,2,1)</f>
        <v>Drains to paddock</v>
      </c>
      <c r="F176" s="25" cm="1">
        <f t="array" aca="1" ref="F176" ca="1">MMS_Dairy_Methane_Equations.VEERG_4_3_1_1__4_FractionVolatileSolidsNotSolidStorage(F154,$F165)</f>
        <v>2.2000000000000002E-2</v>
      </c>
      <c r="G176" s="25" cm="1">
        <f t="array" aca="1" ref="G176" ca="1">MMS_Dairy_Methane_Equations.VEERG_4_3_1_1__4_FractionVolatileSolidsNotSolidStorage(G154,$F165)</f>
        <v>2.2000000000000002E-2</v>
      </c>
      <c r="H176" s="25" cm="1">
        <f t="array" aca="1" ref="H176" ca="1">MMS_Dairy_Methane_Equations.VEERG_4_3_1_1__4_FractionVolatileSolidsNotSolidStorage(H154,$F165)</f>
        <v>2.2000000000000002E-2</v>
      </c>
      <c r="I176" s="25" cm="1">
        <f t="array" aca="1" ref="I176" ca="1">MMS_Dairy_Methane_Equations.VEERG_4_3_1_1__4_FractionVolatileSolidsNotSolidStorage(I154,$F165)</f>
        <v>2.2000000000000002E-2</v>
      </c>
      <c r="J176" s="25" cm="1">
        <f t="array" aca="1" ref="J176" ca="1">MMS_Dairy_Methane_Equations.VEERG_4_3_1_1__4_FractionVolatileSolidsNotSolidStorage(J154,$F165)</f>
        <v>2.2000000000000002E-2</v>
      </c>
      <c r="K176" s="26"/>
      <c r="O176" s="25" t="str">
        <f>INDEX(X_Table_Dairy_ProductionSystems_Method1,3,1)</f>
        <v>Milking shed</v>
      </c>
      <c r="P176" s="25" t="str">
        <f>INDEX(X_Table_Dairy_Stage1MMS_1_DrainsToPaddock,2,1)</f>
        <v>Drains to paddock</v>
      </c>
      <c r="Q176" s="25" cm="1">
        <f t="array" aca="1" ref="Q176" ca="1">MMS_Dairy_Methane_Equations.VEERG_4_3_1_1__4_FractionVolatileSolidsNotSolidStorage(Q154,$Q165)</f>
        <v>2.2000000000000002E-2</v>
      </c>
      <c r="R176" s="25" cm="1">
        <f t="array" aca="1" ref="R176" ca="1">MMS_Dairy_Methane_Equations.VEERG_4_3_1_1__4_FractionVolatileSolidsNotSolidStorage(R154,$Q165)</f>
        <v>2.2000000000000002E-2</v>
      </c>
      <c r="S176" s="25" cm="1">
        <f t="array" aca="1" ref="S176" ca="1">MMS_Dairy_Methane_Equations.VEERG_4_3_1_1__4_FractionVolatileSolidsNotSolidStorage(S154,$Q165)</f>
        <v>2.2000000000000002E-2</v>
      </c>
      <c r="T176" s="25" cm="1">
        <f t="array" aca="1" ref="T176" ca="1">MMS_Dairy_Methane_Equations.VEERG_4_3_1_1__4_FractionVolatileSolidsNotSolidStorage(T154,$Q165)</f>
        <v>2.2000000000000002E-2</v>
      </c>
      <c r="U176" s="25" cm="1">
        <f t="array" aca="1" ref="U176" ca="1">MMS_Dairy_Methane_Equations.VEERG_4_3_1_1__4_FractionVolatileSolidsNotSolidStorage(U154,$Q165)</f>
        <v>2.2000000000000002E-2</v>
      </c>
      <c r="V176" s="26"/>
    </row>
    <row r="177" spans="1:23" ht="20.100000000000001" customHeight="1" x14ac:dyDescent="0.25">
      <c r="D177" s="25" t="str">
        <f>INDEX(X_Table_Dairy_ProductionSystems_Method1,4,1)</f>
        <v>Feed pad</v>
      </c>
      <c r="E177" s="25" t="str">
        <f>INDEX(X_Table_Dairy_Stage1MMS_2_AnaerobicLagoon,2,1)</f>
        <v>Anaerobic lagoon</v>
      </c>
      <c r="F177" s="25" cm="1">
        <f t="array" aca="1" ref="F177" ca="1">MMS_Dairy_Methane_Equations.VEERG_4_3_1_1__4_FractionVolatileSolidsNotSolidStorage(F155,$F166)</f>
        <v>8.8999999999999996E-2</v>
      </c>
      <c r="G177" s="25" cm="1">
        <f t="array" aca="1" ref="G177" ca="1">MMS_Dairy_Methane_Equations.VEERG_4_3_1_1__4_FractionVolatileSolidsNotSolidStorage(G155,$F166)</f>
        <v>8.8999999999999996E-2</v>
      </c>
      <c r="H177" s="25" cm="1">
        <f t="array" aca="1" ref="H177" ca="1">MMS_Dairy_Methane_Equations.VEERG_4_3_1_1__4_FractionVolatileSolidsNotSolidStorage(H155,$F166)</f>
        <v>8.8999999999999996E-2</v>
      </c>
      <c r="I177" s="25" cm="1">
        <f t="array" aca="1" ref="I177" ca="1">MMS_Dairy_Methane_Equations.VEERG_4_3_1_1__4_FractionVolatileSolidsNotSolidStorage(I155,$F166)</f>
        <v>8.8999999999999996E-2</v>
      </c>
      <c r="J177" s="25" cm="1">
        <f t="array" aca="1" ref="J177" ca="1">MMS_Dairy_Methane_Equations.VEERG_4_3_1_1__4_FractionVolatileSolidsNotSolidStorage(J155,$F166)</f>
        <v>8.8999999999999996E-2</v>
      </c>
      <c r="K177" s="26"/>
      <c r="O177" s="25" t="str">
        <f>INDEX(X_Table_Dairy_ProductionSystems_Method1,4,1)</f>
        <v>Feed pad</v>
      </c>
      <c r="P177" s="25" t="str">
        <f>INDEX(X_Table_Dairy_Stage1MMS_2_AnaerobicLagoon,2,1)</f>
        <v>Anaerobic lagoon</v>
      </c>
      <c r="Q177" s="25" cm="1">
        <f t="array" aca="1" ref="Q177" ca="1">MMS_Dairy_Methane_Equations.VEERG_4_3_1_1__4_FractionVolatileSolidsNotSolidStorage(Q155,$Q166)</f>
        <v>8.8999999999999996E-2</v>
      </c>
      <c r="R177" s="25" cm="1">
        <f t="array" aca="1" ref="R177" ca="1">MMS_Dairy_Methane_Equations.VEERG_4_3_1_1__4_FractionVolatileSolidsNotSolidStorage(R155,$Q166)</f>
        <v>8.8999999999999996E-2</v>
      </c>
      <c r="S177" s="25" cm="1">
        <f t="array" aca="1" ref="S177" ca="1">MMS_Dairy_Methane_Equations.VEERG_4_3_1_1__4_FractionVolatileSolidsNotSolidStorage(S155,$Q166)</f>
        <v>8.8999999999999996E-2</v>
      </c>
      <c r="T177" s="25" cm="1">
        <f t="array" aca="1" ref="T177" ca="1">MMS_Dairy_Methane_Equations.VEERG_4_3_1_1__4_FractionVolatileSolidsNotSolidStorage(T155,$Q166)</f>
        <v>8.8999999999999996E-2</v>
      </c>
      <c r="U177" s="25" cm="1">
        <f t="array" aca="1" ref="U177" ca="1">MMS_Dairy_Methane_Equations.VEERG_4_3_1_1__4_FractionVolatileSolidsNotSolidStorage(U155,$Q166)</f>
        <v>8.8999999999999996E-2</v>
      </c>
      <c r="V177" s="26"/>
    </row>
    <row r="178" spans="1:23" ht="20.100000000000001" customHeight="1" x14ac:dyDescent="0.25">
      <c r="A178" s="129" t="str">
        <f>HYPERLINK("#A1", "▲ Back to top")</f>
        <v>▲ Back to top</v>
      </c>
      <c r="D178" s="25" t="str">
        <f>INDEX(X_Table_Dairy_ProductionSystems_Method1,4,1)</f>
        <v>Feed pad</v>
      </c>
      <c r="E178" s="25" t="str">
        <f>INDEX(X_Table_Dairy_Stage1MMS_2_SumpAndDispersal,2,1)</f>
        <v>Sump and dispersal system</v>
      </c>
      <c r="F178" s="25" cm="1">
        <f t="array" aca="1" ref="F178" ca="1">MMS_Dairy_Methane_Equations.VEERG_4_3_1_1__4_FractionVolatileSolidsNotSolidStorage(F156,$F167)</f>
        <v>7.1199999999999999E-2</v>
      </c>
      <c r="G178" s="25" cm="1">
        <f t="array" aca="1" ref="G178" ca="1">MMS_Dairy_Methane_Equations.VEERG_4_3_1_1__4_FractionVolatileSolidsNotSolidStorage(G156,$F167)</f>
        <v>7.1199999999999999E-2</v>
      </c>
      <c r="H178" s="25" cm="1">
        <f t="array" aca="1" ref="H178" ca="1">MMS_Dairy_Methane_Equations.VEERG_4_3_1_1__4_FractionVolatileSolidsNotSolidStorage(H156,$F167)</f>
        <v>7.1199999999999999E-2</v>
      </c>
      <c r="I178" s="25" cm="1">
        <f t="array" aca="1" ref="I178" ca="1">MMS_Dairy_Methane_Equations.VEERG_4_3_1_1__4_FractionVolatileSolidsNotSolidStorage(I156,$F167)</f>
        <v>7.1199999999999999E-2</v>
      </c>
      <c r="J178" s="25" cm="1">
        <f t="array" aca="1" ref="J178" ca="1">MMS_Dairy_Methane_Equations.VEERG_4_3_1_1__4_FractionVolatileSolidsNotSolidStorage(J156,$F167)</f>
        <v>7.1199999999999999E-2</v>
      </c>
      <c r="K178" s="26"/>
      <c r="O178" s="25" t="str">
        <f>INDEX(X_Table_Dairy_ProductionSystems_Method1,4,1)</f>
        <v>Feed pad</v>
      </c>
      <c r="P178" s="25" t="str">
        <f>INDEX(X_Table_Dairy_Stage1MMS_2_SumpAndDispersal,2,1)</f>
        <v>Sump and dispersal system</v>
      </c>
      <c r="Q178" s="25" cm="1">
        <f t="array" aca="1" ref="Q178" ca="1">MMS_Dairy_Methane_Equations.VEERG_4_3_1_1__4_FractionVolatileSolidsNotSolidStorage(Q156,$Q167)</f>
        <v>7.1199999999999999E-2</v>
      </c>
      <c r="R178" s="25" cm="1">
        <f t="array" aca="1" ref="R178" ca="1">MMS_Dairy_Methane_Equations.VEERG_4_3_1_1__4_FractionVolatileSolidsNotSolidStorage(R156,$Q167)</f>
        <v>7.1199999999999999E-2</v>
      </c>
      <c r="S178" s="25" cm="1">
        <f t="array" aca="1" ref="S178" ca="1">MMS_Dairy_Methane_Equations.VEERG_4_3_1_1__4_FractionVolatileSolidsNotSolidStorage(S156,$Q167)</f>
        <v>7.1199999999999999E-2</v>
      </c>
      <c r="T178" s="25" cm="1">
        <f t="array" aca="1" ref="T178" ca="1">MMS_Dairy_Methane_Equations.VEERG_4_3_1_1__4_FractionVolatileSolidsNotSolidStorage(T156,$Q167)</f>
        <v>7.1199999999999999E-2</v>
      </c>
      <c r="U178" s="25" cm="1">
        <f t="array" aca="1" ref="U178" ca="1">MMS_Dairy_Methane_Equations.VEERG_4_3_1_1__4_FractionVolatileSolidsNotSolidStorage(U156,$Q167)</f>
        <v>7.1199999999999999E-2</v>
      </c>
      <c r="V178" s="26"/>
    </row>
    <row r="179" spans="1:23" ht="20.100000000000001" customHeight="1" x14ac:dyDescent="0.25">
      <c r="D179" s="25" t="str">
        <f>INDEX(X_Table_Dairy_ProductionSystems_Method1,4,1)</f>
        <v>Feed pad</v>
      </c>
      <c r="E179" s="25" t="str">
        <f>INDEX(X_Table_Dairy_Stage1MMS_2_DrainsToPaddock,2,1)</f>
        <v>Drains to paddock</v>
      </c>
      <c r="F179" s="25" cm="1">
        <f t="array" aca="1" ref="F179" ca="1">MMS_Dairy_Methane_Equations.VEERG_4_3_1_1__4_FractionVolatileSolidsNotSolidStorage(F157,$F168)</f>
        <v>7.1199999999999999E-2</v>
      </c>
      <c r="G179" s="25" cm="1">
        <f t="array" aca="1" ref="G179" ca="1">MMS_Dairy_Methane_Equations.VEERG_4_3_1_1__4_FractionVolatileSolidsNotSolidStorage(G157,$F168)</f>
        <v>7.1199999999999999E-2</v>
      </c>
      <c r="H179" s="25" cm="1">
        <f t="array" aca="1" ref="H179" ca="1">MMS_Dairy_Methane_Equations.VEERG_4_3_1_1__4_FractionVolatileSolidsNotSolidStorage(H157,$F168)</f>
        <v>7.1199999999999999E-2</v>
      </c>
      <c r="I179" s="25" cm="1">
        <f t="array" aca="1" ref="I179" ca="1">MMS_Dairy_Methane_Equations.VEERG_4_3_1_1__4_FractionVolatileSolidsNotSolidStorage(I157,$F168)</f>
        <v>7.1199999999999999E-2</v>
      </c>
      <c r="J179" s="25" cm="1">
        <f t="array" aca="1" ref="J179" ca="1">MMS_Dairy_Methane_Equations.VEERG_4_3_1_1__4_FractionVolatileSolidsNotSolidStorage(J157,$F168)</f>
        <v>7.1199999999999999E-2</v>
      </c>
      <c r="K179" s="26"/>
      <c r="O179" s="25" t="str">
        <f>INDEX(X_Table_Dairy_ProductionSystems_Method1,4,1)</f>
        <v>Feed pad</v>
      </c>
      <c r="P179" s="25" t="str">
        <f>INDEX(X_Table_Dairy_Stage1MMS_2_DrainsToPaddock,2,1)</f>
        <v>Drains to paddock</v>
      </c>
      <c r="Q179" s="25" cm="1">
        <f t="array" aca="1" ref="Q179" ca="1">MMS_Dairy_Methane_Equations.VEERG_4_3_1_1__4_FractionVolatileSolidsNotSolidStorage(Q157,$Q168)</f>
        <v>7.1199999999999999E-2</v>
      </c>
      <c r="R179" s="25" cm="1">
        <f t="array" aca="1" ref="R179" ca="1">MMS_Dairy_Methane_Equations.VEERG_4_3_1_1__4_FractionVolatileSolidsNotSolidStorage(R157,$Q168)</f>
        <v>7.1199999999999999E-2</v>
      </c>
      <c r="S179" s="25" cm="1">
        <f t="array" aca="1" ref="S179" ca="1">MMS_Dairy_Methane_Equations.VEERG_4_3_1_1__4_FractionVolatileSolidsNotSolidStorage(S157,$Q168)</f>
        <v>7.1199999999999999E-2</v>
      </c>
      <c r="T179" s="25" cm="1">
        <f t="array" aca="1" ref="T179" ca="1">MMS_Dairy_Methane_Equations.VEERG_4_3_1_1__4_FractionVolatileSolidsNotSolidStorage(T157,$Q168)</f>
        <v>7.1199999999999999E-2</v>
      </c>
      <c r="U179" s="25" cm="1">
        <f t="array" aca="1" ref="U179" ca="1">MMS_Dairy_Methane_Equations.VEERG_4_3_1_1__4_FractionVolatileSolidsNotSolidStorage(U157,$Q168)</f>
        <v>7.1199999999999999E-2</v>
      </c>
      <c r="V179" s="26"/>
    </row>
    <row r="180" spans="1:23" ht="20.100000000000001" customHeight="1" x14ac:dyDescent="0.25"/>
    <row r="181" spans="1:23" ht="20.100000000000001" customHeight="1" x14ac:dyDescent="0.25"/>
    <row r="182" spans="1:23" ht="20.100000000000001" customHeight="1" x14ac:dyDescent="0.25">
      <c r="C182" s="101"/>
      <c r="D182" s="101"/>
      <c r="E182" s="101"/>
      <c r="F182" s="101"/>
      <c r="G182" s="101"/>
      <c r="H182" s="101"/>
      <c r="I182" s="101"/>
      <c r="J182" s="101"/>
      <c r="K182" s="101"/>
      <c r="L182" s="101"/>
      <c r="N182" s="101"/>
      <c r="O182" s="101"/>
      <c r="P182" s="101"/>
      <c r="Q182" s="101"/>
      <c r="R182" s="101"/>
      <c r="S182" s="101"/>
      <c r="T182" s="101"/>
      <c r="U182" s="101"/>
      <c r="V182" s="101"/>
      <c r="W182" s="101"/>
    </row>
    <row r="183" spans="1:23" ht="20.100000000000001" customHeight="1" x14ac:dyDescent="0.25">
      <c r="D183" s="2" t="str" cm="1">
        <f t="array" ref="D183">MMS_Dairy_Methane_Equations.VEERG_4_3_1_1__5_FractionVolatileSolidsSolidStorage_Title()</f>
        <v>Fraction of volatile solids in solid storage</v>
      </c>
    </row>
    <row r="184" spans="1:23" ht="20.100000000000001" customHeight="1" x14ac:dyDescent="0.25">
      <c r="D184" s="27" t="str" cm="1">
        <f t="array" ref="D184">MMS_Dairy_Methane_Equations.VEERG_4_3_1_1__5_FractionVolatileSolidsSolidStorage_Source()</f>
        <v>VEERG 2026: 4.3.1.1, Equation (5)</v>
      </c>
    </row>
    <row r="185" spans="1:23" ht="20.100000000000001" customHeight="1" x14ac:dyDescent="0.25">
      <c r="D185" s="35" t="str" cm="1">
        <f t="array" ref="D185">MMS_Dairy_Methane_Equations.VEERG_4_3_1_1__5_FractionVolatileSolidsSolidStorage_Variation()</f>
        <v>Used separate variables for MMS and SS m 1, 7 and 9.</v>
      </c>
    </row>
    <row r="186" spans="1:23" ht="20.100000000000001" customHeight="1" x14ac:dyDescent="0.25">
      <c r="D186" s="118" t="s">
        <v>262</v>
      </c>
      <c r="E186" s="118"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2"/>
    </row>
    <row r="189" spans="1:23" ht="20.100000000000001" customHeight="1" x14ac:dyDescent="0.25">
      <c r="D189" s="87" t="s">
        <v>263</v>
      </c>
      <c r="E189" s="1" t="str" cm="1">
        <f t="array" ref="E189">MMS_Dairy_Methane_Equations.VEERG_4_3_1_1__5_FractionVolatileSolidsSolidStorage_Variable()</f>
        <v>FVS_jm4</v>
      </c>
    </row>
    <row r="190" spans="1:23" ht="20.100000000000001" customHeight="1" x14ac:dyDescent="0.25">
      <c r="D190" s="87" t="s">
        <v>122</v>
      </c>
      <c r="E190" s="15" t="str" cm="1">
        <f t="array" ref="E190">MMS_Dairy_Methane_Equations.VEERG_4_3_1_1__5_FractionVolatileSolidsSolidStorage_Unit()</f>
        <v>fraction</v>
      </c>
    </row>
    <row r="191" spans="1:23" ht="20.100000000000001" customHeight="1" x14ac:dyDescent="0.25"/>
    <row r="192" spans="1:23" ht="20.100000000000001" customHeight="1" x14ac:dyDescent="0.25">
      <c r="D192" s="120" t="str" cm="1">
        <f t="array" ref="D192:E194">_xlfn.CHOOSECOLS(MMS_Dairy_Methane_Equations.VEERG_4_3_1_1__5_FractionVolatileSolidsSolidStorage_Arguments(),1,2)</f>
        <v>MMS_jm4</v>
      </c>
      <c r="E192" s="120" t="str">
        <v>fraction of volatile solids in solid storage before transfer</v>
      </c>
      <c r="F192" s="120"/>
      <c r="G192" s="120" t="str" cm="1">
        <f t="array" ref="G192:H194">_xlfn.CHOOSECOLS(MMS_Dairy_Methane_Equations.VEERG_4_3_1_1__5_FractionVolatileSolidsSolidStorage_Arguments(),3,4)</f>
        <v>fraction</v>
      </c>
      <c r="H192" s="121" t="str">
        <v>Input</v>
      </c>
      <c r="I192" s="127" t="str" cm="1">
        <f t="array" aca="1" ref="I192" ca="1">HYPERLINK(Common_InputFunctions.Utility_SourceHyperlink($D$196),$D$196)</f>
        <v>M1_Table_MMS_j_m-4</v>
      </c>
    </row>
    <row r="193" spans="4:22" ht="20.100000000000001" customHeight="1" x14ac:dyDescent="0.25">
      <c r="D193" s="120" t="str">
        <v>MMS_jm179</v>
      </c>
      <c r="E193" s="120" t="str">
        <v>fraction of volatile solids in MMS m=1,7,9 before transfer</v>
      </c>
      <c r="F193" s="120"/>
      <c r="G193" s="120" t="str">
        <v>fraction</v>
      </c>
      <c r="H193" s="121" t="str">
        <v>Input</v>
      </c>
      <c r="I193" s="127" t="str" cm="1">
        <f t="array" aca="1" ref="I193" ca="1">HYPERLINK(Common_InputFunctions.Utility_SourceHyperlink($D$148),$D$148)</f>
        <v>M1_Table_MMS_j_m</v>
      </c>
    </row>
    <row r="194" spans="4:22" ht="20.100000000000001" customHeight="1" x14ac:dyDescent="0.25">
      <c r="D194" s="120" t="str">
        <v>SS_m</v>
      </c>
      <c r="E194" s="120" t="str">
        <v>fraction of volatile solids separated to solid storage for each MMS</v>
      </c>
      <c r="F194" s="120"/>
      <c r="G194" s="120" t="str">
        <v>fraction</v>
      </c>
      <c r="H194" s="121" t="str">
        <v>Input</v>
      </c>
      <c r="I194" s="127" t="str" cm="1">
        <f t="array" aca="1" ref="I194" ca="1">HYPERLINK(Common_InputFunctions.Utility_SourceHyperlink($D$159),$D$159)</f>
        <v>M1_Table_SS_m</v>
      </c>
    </row>
    <row r="195" spans="4:22" ht="20.100000000000001" customHeight="1" x14ac:dyDescent="0.25"/>
    <row r="196" spans="4:22" ht="20.100000000000001" customHeight="1" x14ac:dyDescent="0.25">
      <c r="D196" s="122" t="s">
        <v>316</v>
      </c>
      <c r="O196" s="122" t="s">
        <v>317</v>
      </c>
    </row>
    <row r="197" spans="4:22" ht="20.100000000000001" customHeight="1" x14ac:dyDescent="0.25">
      <c r="D197" s="123" t="s">
        <v>318</v>
      </c>
      <c r="O197" s="123" t="s">
        <v>319</v>
      </c>
    </row>
    <row r="198" spans="4:22" ht="20.100000000000001" customHeight="1" x14ac:dyDescent="0.25">
      <c r="D198" s="94" t="s">
        <v>168</v>
      </c>
      <c r="E198" s="94" t="s">
        <v>307</v>
      </c>
      <c r="F198" s="94" t="s">
        <v>213</v>
      </c>
      <c r="G198" s="94" t="s">
        <v>214</v>
      </c>
      <c r="H198" s="94" t="s">
        <v>215</v>
      </c>
      <c r="I198" s="94" t="s">
        <v>216</v>
      </c>
      <c r="J198" s="94" t="s">
        <v>217</v>
      </c>
      <c r="O198" s="94" t="s">
        <v>168</v>
      </c>
      <c r="P198" s="94" t="s">
        <v>307</v>
      </c>
      <c r="Q198" s="94" t="s">
        <v>213</v>
      </c>
      <c r="R198" s="94" t="s">
        <v>214</v>
      </c>
      <c r="S198" s="94" t="s">
        <v>215</v>
      </c>
      <c r="T198" s="94" t="s">
        <v>216</v>
      </c>
      <c r="U198" s="94" t="s">
        <v>217</v>
      </c>
    </row>
    <row r="199" spans="4:22" ht="20.100000000000001" customHeight="1" x14ac:dyDescent="0.25">
      <c r="D199" s="25" t="str">
        <f>INDEX(X_Table_Dairy_ProductionSystems_Method1,3,1)</f>
        <v>Milking shed</v>
      </c>
      <c r="E199" s="25" t="str">
        <f>INDEX(X_Table_Dairy_Stage1MMS_1_SolidStorage,2,1)</f>
        <v>Solid storage (before solid separation)</v>
      </c>
      <c r="F199" s="25" cm="1">
        <f t="array" aca="1" ref="F199:J199" ca="1">OFFSET(X_Table_Dairy_ProductionSystems_Method1, 2,1,1,5)*OFFSET(X_Table_Dairy_Stage1MMS_1_SolidStorage, 1,1,1,5)</f>
        <v>2.75E-2</v>
      </c>
      <c r="G199" s="25">
        <f ca="1"/>
        <v>2.75E-2</v>
      </c>
      <c r="H199" s="25">
        <f ca="1"/>
        <v>2.75E-2</v>
      </c>
      <c r="I199" s="25">
        <f ca="1"/>
        <v>2.75E-2</v>
      </c>
      <c r="J199" s="25">
        <f ca="1"/>
        <v>2.75E-2</v>
      </c>
      <c r="K199" s="26" t="s">
        <v>229</v>
      </c>
      <c r="O199" s="25" t="str">
        <f>INDEX(X_Table_Dairy_ProductionSystems_Method1,3,1)</f>
        <v>Milking shed</v>
      </c>
      <c r="P199" s="25" t="str">
        <f>INDEX(X_Table_Dairy_Stage1MMS_1_SolidStorage,2,1)</f>
        <v>Solid storage (before solid separation)</v>
      </c>
      <c r="Q199" s="25" cm="1">
        <f t="array" aca="1" ref="Q199:U199" ca="1">OFFSET(X_Table_Dairy_ProductionSystems_Method2, 2,1,1,5)*OFFSET(X_Table_Dairy_Stage1MMS_1_SolidStorage, 1,1,1,5)</f>
        <v>2.75E-2</v>
      </c>
      <c r="R199" s="25">
        <f ca="1"/>
        <v>2.75E-2</v>
      </c>
      <c r="S199" s="25">
        <f ca="1"/>
        <v>2.75E-2</v>
      </c>
      <c r="T199" s="25">
        <f ca="1"/>
        <v>2.75E-2</v>
      </c>
      <c r="U199" s="25">
        <f ca="1"/>
        <v>2.75E-2</v>
      </c>
      <c r="V199" s="26" t="s">
        <v>229</v>
      </c>
    </row>
    <row r="200" spans="4:22" ht="20.100000000000001" customHeight="1" x14ac:dyDescent="0.25">
      <c r="D200" s="25" t="str">
        <f>INDEX(X_Table_Dairy_ProductionSystems_Method1,4,1)</f>
        <v>Feed pad</v>
      </c>
      <c r="E200" s="25" t="str">
        <f>INDEX(X_Table_Dairy_Stage1MMS_2_SolidStorage,2,1)</f>
        <v>Solid storage (before solid separation)</v>
      </c>
      <c r="F200" s="25" cm="1">
        <f t="array" aca="1" ref="F200:J200" ca="1">OFFSET(X_Table_Dairy_ProductionSystems_Method1, 3,1,1,5)*OFFSET(X_Table_Dairy_Stage1MMS_1_SolidStorage, 1,1,1,5)</f>
        <v>8.8999999999999996E-2</v>
      </c>
      <c r="G200" s="25">
        <f ca="1"/>
        <v>8.8999999999999996E-2</v>
      </c>
      <c r="H200" s="25">
        <f ca="1"/>
        <v>8.8999999999999996E-2</v>
      </c>
      <c r="I200" s="25">
        <f ca="1"/>
        <v>8.8999999999999996E-2</v>
      </c>
      <c r="J200" s="25">
        <f ca="1"/>
        <v>8.8999999999999996E-2</v>
      </c>
      <c r="K200" s="26" t="s">
        <v>229</v>
      </c>
      <c r="O200" s="25" t="str">
        <f>INDEX(X_Table_Dairy_ProductionSystems_Method1,4,1)</f>
        <v>Feed pad</v>
      </c>
      <c r="P200" s="25" t="str">
        <f>INDEX(X_Table_Dairy_Stage1MMS_2_SolidStorage,2,1)</f>
        <v>Solid storage (before solid separation)</v>
      </c>
      <c r="Q200" s="25" cm="1">
        <f t="array" aca="1" ref="Q200:U200" ca="1">OFFSET(X_Table_Dairy_ProductionSystems_Method2, 3,1,1,5)*OFFSET(X_Table_Dairy_Stage1MMS_1_SolidStorage, 1,1,1,5)</f>
        <v>8.8999999999999996E-2</v>
      </c>
      <c r="R200" s="25">
        <f ca="1"/>
        <v>8.8999999999999996E-2</v>
      </c>
      <c r="S200" s="25">
        <f ca="1"/>
        <v>8.8999999999999996E-2</v>
      </c>
      <c r="T200" s="25">
        <f ca="1"/>
        <v>8.8999999999999996E-2</v>
      </c>
      <c r="U200" s="25">
        <f ca="1"/>
        <v>8.8999999999999996E-2</v>
      </c>
      <c r="V200" s="26" t="s">
        <v>229</v>
      </c>
    </row>
    <row r="201" spans="4:22" ht="20.100000000000001" customHeight="1" x14ac:dyDescent="0.25"/>
    <row r="202" spans="4:22" ht="20.100000000000001" customHeight="1" x14ac:dyDescent="0.25">
      <c r="D202" s="122" t="s">
        <v>320</v>
      </c>
      <c r="O202" s="122" t="s">
        <v>321</v>
      </c>
    </row>
    <row r="203" spans="4:22" ht="20.100000000000001" customHeight="1" x14ac:dyDescent="0.25">
      <c r="D203" s="123" t="s">
        <v>322</v>
      </c>
      <c r="O203" s="123" t="s">
        <v>323</v>
      </c>
    </row>
    <row r="204" spans="4:22" ht="20.100000000000001" customHeight="1" x14ac:dyDescent="0.25">
      <c r="D204" s="124" t="s">
        <v>168</v>
      </c>
      <c r="E204" s="124" t="s">
        <v>307</v>
      </c>
      <c r="F204" s="124" t="s">
        <v>213</v>
      </c>
      <c r="G204" s="124" t="s">
        <v>214</v>
      </c>
      <c r="H204" s="124" t="s">
        <v>215</v>
      </c>
      <c r="I204" s="124" t="s">
        <v>216</v>
      </c>
      <c r="J204" s="124" t="s">
        <v>217</v>
      </c>
      <c r="O204" s="124" t="s">
        <v>168</v>
      </c>
      <c r="P204" s="124" t="s">
        <v>307</v>
      </c>
      <c r="Q204" s="124" t="s">
        <v>213</v>
      </c>
      <c r="R204" s="124" t="s">
        <v>214</v>
      </c>
      <c r="S204" s="124" t="s">
        <v>215</v>
      </c>
      <c r="T204" s="124" t="s">
        <v>216</v>
      </c>
      <c r="U204" s="124" t="s">
        <v>217</v>
      </c>
    </row>
    <row r="205" spans="4:22" ht="20.100000000000001" customHeight="1" x14ac:dyDescent="0.25">
      <c r="D205" s="25" t="str">
        <f>INDEX(X_Table_Dairy_ProductionSystems_Method1,3,1)</f>
        <v>Milking shed</v>
      </c>
      <c r="E205" s="25" t="s">
        <v>76</v>
      </c>
      <c r="F205" s="25" cm="1">
        <f t="array" aca="1" ref="F205" ca="1">MMS_Dairy_Methane_Equations.VEERG_4_3_1_1__5_FractionVolatileSolidsSolidStorageVariation(F199,F152,$F163,F153,$F164,F154,$F165)</f>
        <v>4.3999999999999997E-2</v>
      </c>
      <c r="G205" s="25" cm="1">
        <f t="array" aca="1" ref="G205" ca="1">MMS_Dairy_Methane_Equations.VEERG_4_3_1_1__5_FractionVolatileSolidsSolidStorageVariation(G199,G152,$F163,G153,$F164,G154,$F165)</f>
        <v>4.3999999999999997E-2</v>
      </c>
      <c r="H205" s="25" cm="1">
        <f t="array" aca="1" ref="H205" ca="1">MMS_Dairy_Methane_Equations.VEERG_4_3_1_1__5_FractionVolatileSolidsSolidStorageVariation(H199,H152,$F163,H153,$F164,H154,$F165)</f>
        <v>4.3999999999999997E-2</v>
      </c>
      <c r="I205" s="25" cm="1">
        <f t="array" aca="1" ref="I205" ca="1">MMS_Dairy_Methane_Equations.VEERG_4_3_1_1__5_FractionVolatileSolidsSolidStorageVariation(I199,I152,$F163,I153,$F164,I154,$F165)</f>
        <v>4.3999999999999997E-2</v>
      </c>
      <c r="J205" s="25" cm="1">
        <f t="array" aca="1" ref="J205" ca="1">MMS_Dairy_Methane_Equations.VEERG_4_3_1_1__5_FractionVolatileSolidsSolidStorageVariation(J199,J152,$F163,J153,$F164,J154,$F165)</f>
        <v>4.3999999999999997E-2</v>
      </c>
      <c r="K205" s="26" t="str">
        <f>$E$190</f>
        <v>fraction</v>
      </c>
      <c r="O205" s="25" t="str">
        <f>INDEX(X_Table_Dairy_ProductionSystems_Method1,3,1)</f>
        <v>Milking shed</v>
      </c>
      <c r="P205" s="25" t="s">
        <v>76</v>
      </c>
      <c r="Q205" s="25" cm="1">
        <f t="array" aca="1" ref="Q205" ca="1">MMS_Dairy_Methane_Equations.VEERG_4_3_1_1__5_FractionVolatileSolidsSolidStorageVariation(Q199,Q152,$Q163,Q153,$Q164,Q154,$Q165)</f>
        <v>4.3999999999999997E-2</v>
      </c>
      <c r="R205" s="25" cm="1">
        <f t="array" aca="1" ref="R205" ca="1">MMS_Dairy_Methane_Equations.VEERG_4_3_1_1__5_FractionVolatileSolidsSolidStorageVariation(R199,R152,$Q163,R153,$Q164,R154,$Q165)</f>
        <v>4.3999999999999997E-2</v>
      </c>
      <c r="S205" s="25" cm="1">
        <f t="array" aca="1" ref="S205" ca="1">MMS_Dairy_Methane_Equations.VEERG_4_3_1_1__5_FractionVolatileSolidsSolidStorageVariation(S199,S152,$Q163,S153,$Q164,S154,$Q165)</f>
        <v>4.3999999999999997E-2</v>
      </c>
      <c r="T205" s="25" cm="1">
        <f t="array" aca="1" ref="T205" ca="1">MMS_Dairy_Methane_Equations.VEERG_4_3_1_1__5_FractionVolatileSolidsSolidStorageVariation(T199,T152,$Q163,T153,$Q164,T154,$Q165)</f>
        <v>4.3999999999999997E-2</v>
      </c>
      <c r="U205" s="25" cm="1">
        <f t="array" aca="1" ref="U205" ca="1">MMS_Dairy_Methane_Equations.VEERG_4_3_1_1__5_FractionVolatileSolidsSolidStorageVariation(U199,U152,$Q163,U153,$Q164,U154,$Q165)</f>
        <v>4.3999999999999997E-2</v>
      </c>
      <c r="V205" s="26" t="str">
        <f>$E$190</f>
        <v>fraction</v>
      </c>
    </row>
    <row r="206" spans="4:22" ht="20.100000000000001" customHeight="1" x14ac:dyDescent="0.25">
      <c r="D206" s="25" t="str">
        <f>INDEX(X_Table_Dairy_ProductionSystems_Method1,4,1)</f>
        <v>Feed pad</v>
      </c>
      <c r="E206" s="25" t="s">
        <v>76</v>
      </c>
      <c r="F206" s="25" cm="1">
        <f t="array" aca="1" ref="F206" ca="1">MMS_Dairy_Methane_Equations.VEERG_4_3_1_1__5_FractionVolatileSolidsSolidStorageVariation(F200,F155,$F166,F156,$F167,F157,$F168)</f>
        <v>0.12459999999999999</v>
      </c>
      <c r="G206" s="25" cm="1">
        <f t="array" aca="1" ref="G206" ca="1">MMS_Dairy_Methane_Equations.VEERG_4_3_1_1__5_FractionVolatileSolidsSolidStorageVariation(G200,G155,$F166,G156,$F167,G157,$F168)</f>
        <v>0.12459999999999999</v>
      </c>
      <c r="H206" s="25" cm="1">
        <f t="array" aca="1" ref="H206" ca="1">MMS_Dairy_Methane_Equations.VEERG_4_3_1_1__5_FractionVolatileSolidsSolidStorageVariation(H200,H155,$F166,H156,$F167,H157,$F168)</f>
        <v>0.12459999999999999</v>
      </c>
      <c r="I206" s="25" cm="1">
        <f t="array" aca="1" ref="I206" ca="1">MMS_Dairy_Methane_Equations.VEERG_4_3_1_1__5_FractionVolatileSolidsSolidStorageVariation(I200,I155,$F166,I156,$F167,I157,$F168)</f>
        <v>0.12459999999999999</v>
      </c>
      <c r="J206" s="25" cm="1">
        <f t="array" aca="1" ref="J206" ca="1">MMS_Dairy_Methane_Equations.VEERG_4_3_1_1__5_FractionVolatileSolidsSolidStorageVariation(J200,J155,$F166,J156,$F167,J157,$F168)</f>
        <v>0.12459999999999999</v>
      </c>
      <c r="K206" s="26" t="str">
        <f>$E$190</f>
        <v>fraction</v>
      </c>
      <c r="O206" s="25" t="str">
        <f>INDEX(X_Table_Dairy_ProductionSystems_Method1,4,1)</f>
        <v>Feed pad</v>
      </c>
      <c r="P206" s="25" t="s">
        <v>76</v>
      </c>
      <c r="Q206" s="25" cm="1">
        <f t="array" aca="1" ref="Q206" ca="1">MMS_Dairy_Methane_Equations.VEERG_4_3_1_1__5_FractionVolatileSolidsSolidStorageVariation(Q200,Q155,$Q166,Q156,$Q167,Q157,$Q168)</f>
        <v>0.12459999999999999</v>
      </c>
      <c r="R206" s="25" cm="1">
        <f t="array" aca="1" ref="R206" ca="1">MMS_Dairy_Methane_Equations.VEERG_4_3_1_1__5_FractionVolatileSolidsSolidStorageVariation(R200,R155,$Q166,R156,$Q167,R157,$Q168)</f>
        <v>0.12459999999999999</v>
      </c>
      <c r="S206" s="25" cm="1">
        <f t="array" aca="1" ref="S206" ca="1">MMS_Dairy_Methane_Equations.VEERG_4_3_1_1__5_FractionVolatileSolidsSolidStorageVariation(S200,S155,$Q166,S156,$Q167,S157,$Q168)</f>
        <v>0.12459999999999999</v>
      </c>
      <c r="T206" s="25" cm="1">
        <f t="array" aca="1" ref="T206" ca="1">MMS_Dairy_Methane_Equations.VEERG_4_3_1_1__5_FractionVolatileSolidsSolidStorageVariation(T200,T155,$Q166,T156,$Q167,T157,$Q168)</f>
        <v>0.12459999999999999</v>
      </c>
      <c r="U206" s="25" cm="1">
        <f t="array" aca="1" ref="U206" ca="1">MMS_Dairy_Methane_Equations.VEERG_4_3_1_1__5_FractionVolatileSolidsSolidStorageVariation(U200,U155,$Q166,U156,$Q167,U157,$Q168)</f>
        <v>0.12459999999999999</v>
      </c>
      <c r="V206" s="26" t="str">
        <f>$E$190</f>
        <v>fraction</v>
      </c>
    </row>
    <row r="207" spans="4:22" ht="20.100000000000001" customHeight="1" x14ac:dyDescent="0.25"/>
    <row r="208" spans="4:22" ht="20.100000000000001" customHeight="1" x14ac:dyDescent="0.25"/>
    <row r="209" spans="1:23" ht="20.100000000000001" customHeight="1" x14ac:dyDescent="0.25">
      <c r="C209" s="101"/>
      <c r="D209" s="101"/>
      <c r="E209" s="101"/>
      <c r="F209" s="101"/>
      <c r="G209" s="101"/>
      <c r="H209" s="101"/>
      <c r="I209" s="101"/>
      <c r="J209" s="101"/>
      <c r="K209" s="101"/>
      <c r="L209" s="101"/>
      <c r="N209" s="101"/>
      <c r="O209" s="101"/>
      <c r="P209" s="101"/>
      <c r="Q209" s="101"/>
      <c r="R209" s="101"/>
      <c r="S209" s="101"/>
      <c r="T209" s="101"/>
      <c r="U209" s="101"/>
      <c r="V209" s="101"/>
      <c r="W209" s="101"/>
    </row>
    <row r="210" spans="1:23" ht="20.100000000000001" customHeight="1" x14ac:dyDescent="0.25">
      <c r="D210" s="2" t="str" cm="1">
        <f t="array" ref="D210">MMS_Dairy_Methane_Equations.VEERG_4_3_1_1__2_MethaneFromManureProduction_Title()</f>
        <v>Methane from manure production from weaned dairy cattle</v>
      </c>
    </row>
    <row r="211" spans="1:23" ht="20.100000000000001" customHeight="1" x14ac:dyDescent="0.25">
      <c r="D211" s="27" t="str" cm="1">
        <f t="array" ref="D211">MMS_Dairy_Methane_Equations.VEERG_4_3_1_1__2_MethaneFromManureProduction_Source()</f>
        <v>VEERG 2026: 4.3.1.1, Equation (2)</v>
      </c>
    </row>
    <row r="212" spans="1:23" ht="20.100000000000001" customHeight="1" x14ac:dyDescent="0.25">
      <c r="D212" s="118" t="s">
        <v>262</v>
      </c>
      <c r="E212" s="118"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2"/>
    </row>
    <row r="215" spans="1:23" ht="20.100000000000001" customHeight="1" x14ac:dyDescent="0.25">
      <c r="D215" s="87" t="s">
        <v>263</v>
      </c>
      <c r="E215" s="1" t="str" cm="1">
        <f t="array" ref="E215">MMS_Dairy_Methane_Equations.VEERG_4_3_1_1__2_MethaneFromManureProduction_Variable()</f>
        <v>M_jm</v>
      </c>
    </row>
    <row r="216" spans="1:23" ht="20.100000000000001" customHeight="1" x14ac:dyDescent="0.25">
      <c r="D216" s="87" t="s">
        <v>122</v>
      </c>
      <c r="E216" s="15" t="str" cm="1">
        <f t="array" ref="E216">MMS_Dairy_Methane_Equations.VEERG_4_3_1_1__2_MethaneFromManureProduction_Unit()</f>
        <v>kg CH4/head/day</v>
      </c>
    </row>
    <row r="217" spans="1:23" ht="20.100000000000001" customHeight="1" x14ac:dyDescent="0.25">
      <c r="A217" s="129" t="str">
        <f>HYPERLINK("#A1", "▲ Back to top")</f>
        <v>▲ Back to top</v>
      </c>
    </row>
    <row r="218" spans="1:23" ht="20.100000000000001" customHeight="1" x14ac:dyDescent="0.25">
      <c r="D218" s="120" t="str" cm="1">
        <f t="array" ref="D218:E223">_xlfn.CHOOSECOLS(MMS_Dairy_Methane_Equations.VEERG_4_3_1_1__2_MethaneFromManureProduction_Arguments(),1,2)</f>
        <v>VS_j</v>
      </c>
      <c r="E218" s="125" t="str">
        <v>daily volatile solids production per head for dairy cattle (kg/head/day)</v>
      </c>
      <c r="F218" s="126"/>
      <c r="G218" s="120" t="str" cm="1">
        <f t="array" ref="G218:H223">_xlfn.CHOOSECOLS(MMS_Dairy_Methane_Equations.VEERG_4_3_1_1__2_MethaneFromManureProduction_Arguments(),3,4)</f>
        <v>kg/head/day</v>
      </c>
      <c r="H218" s="128" t="str">
        <v>Calculated from 4.3.1.1 (3)</v>
      </c>
      <c r="I218" s="127" t="str" cm="1">
        <f t="array" aca="1" ref="I218" ca="1">HYPERLINK(Common_InputFunctions.Utility_SourceHyperlink($D$130),$D$130)</f>
        <v>M1_Table_VS_j</v>
      </c>
      <c r="J218" s="120"/>
      <c r="O218" s="120" t="str" cm="1">
        <f t="array" ref="O218:P223">_xlfn.CHOOSECOLS(MMS_Dairy_Methane_Equations.VEERG_4_3_1_1__2_MethaneFromManureProduction_Arguments_Method2(),1,2)</f>
        <v>VS_j</v>
      </c>
      <c r="P218" s="125" t="str">
        <v>daily volatile solids production per head for dairy cattle (kg/head/day)</v>
      </c>
      <c r="Q218" s="126"/>
      <c r="R218" s="120" t="str" cm="1">
        <f t="array" ref="R218:S223">_xlfn.CHOOSECOLS(MMS_Dairy_Methane_Equations.VEERG_4_3_1_1__2_MethaneFromManureProduction_Arguments_Method2(),3,4)</f>
        <v>kg/head/day</v>
      </c>
      <c r="S218" s="128" t="str">
        <v>Calculated from 4.3.1.1 (3)</v>
      </c>
      <c r="T218" s="120"/>
    </row>
    <row r="219" spans="1:23" ht="20.100000000000001" customHeight="1" x14ac:dyDescent="0.25">
      <c r="D219" s="120" t="str">
        <v>FVS_jmT1</v>
      </c>
      <c r="E219" s="125" t="str">
        <v>fraction of waste from each class in each management system</v>
      </c>
      <c r="F219" s="126"/>
      <c r="G219" s="120" t="str">
        <v>fraction</v>
      </c>
      <c r="H219" s="128" t="str">
        <v>Calculated from 4.3.1.1 (4)(5)</v>
      </c>
      <c r="I219" s="127" t="str" cm="1">
        <f t="array" aca="1" ref="I219" ca="1">HYPERLINK(Common_InputFunctions.Utility_SourceHyperlink($D$170),$D$170)</f>
        <v>M1_Table_FVS_j_m</v>
      </c>
      <c r="J219" s="127" t="str" cm="1">
        <f t="array" aca="1" ref="J219" ca="1">HYPERLINK(Common_InputFunctions.Utility_SourceHyperlink($D$202),$D$202)</f>
        <v>M1_Table_FVS_j_m-4</v>
      </c>
      <c r="O219" s="120" t="str">
        <v>FVS_jmT1</v>
      </c>
      <c r="P219" s="125" t="str">
        <v>fraction of waste from each class in each management system</v>
      </c>
      <c r="Q219" s="126"/>
      <c r="R219" s="120" t="str">
        <v>fraction</v>
      </c>
      <c r="S219" s="128" t="str">
        <v>Calculated from 4.3.1.1 (4)(5)</v>
      </c>
      <c r="T219" s="120"/>
    </row>
    <row r="220" spans="1:23" ht="20.100000000000001" customHeight="1" x14ac:dyDescent="0.25">
      <c r="D220" s="120" t="str">
        <v>MCF_im</v>
      </c>
      <c r="E220" s="125" t="str">
        <v>methane conversion factor for temperature zone and MMS</v>
      </c>
      <c r="F220" s="126"/>
      <c r="G220" s="120" t="str">
        <v>fraction</v>
      </c>
      <c r="H220" s="128" t="str">
        <v>Constant</v>
      </c>
      <c r="I220" s="127" t="str" cm="1">
        <f t="array" aca="1" ref="I220" ca="1">HYPERLINK(Common_InputFunctions.Utility_SourceHyperlink($D$225),$D$225)</f>
        <v>M1_Table_MCF_i_m</v>
      </c>
      <c r="J220" s="120"/>
      <c r="O220" s="120" t="str">
        <v>MCF_im</v>
      </c>
      <c r="P220" s="125" t="str">
        <v>methane conversion factor for temperature zone and MMS</v>
      </c>
      <c r="Q220" s="126"/>
      <c r="R220" s="120" t="str">
        <v>fraction</v>
      </c>
      <c r="S220" s="128" t="str">
        <v>Constant</v>
      </c>
      <c r="T220" s="127" t="str" cm="1">
        <f t="array" aca="1" ref="T220" ca="1">HYPERLINK(Common_InputFunctions.Utility_SourceHyperlink($O$225),$O$225)</f>
        <v>M2_Table_MCF_i_m</v>
      </c>
    </row>
    <row r="221" spans="1:23" ht="20.100000000000001" customHeight="1" x14ac:dyDescent="0.25">
      <c r="D221" s="120" t="str">
        <v>B_o</v>
      </c>
      <c r="E221" s="125" t="str">
        <v>emissions potential (m3 CH4/kgVS)</v>
      </c>
      <c r="F221" s="126"/>
      <c r="G221" s="120" t="str">
        <v>m3 CH4/kgVS</v>
      </c>
      <c r="H221" s="128" t="str">
        <v>Constant</v>
      </c>
      <c r="I221" s="120">
        <f>SourceData_Dairy_MethaneEmissionsPotential_Data</f>
        <v>0.24</v>
      </c>
      <c r="J221" s="120"/>
      <c r="O221" s="120" t="str">
        <v>B_o</v>
      </c>
      <c r="P221" s="125" t="str">
        <v>emissions potential (m3 CH4/kgVS)</v>
      </c>
      <c r="Q221" s="126"/>
      <c r="R221" s="120" t="str">
        <v>m3 CH4/kgVS</v>
      </c>
      <c r="S221" s="128" t="str">
        <v>Constant</v>
      </c>
      <c r="T221" s="120"/>
    </row>
    <row r="222" spans="1:23" ht="20.100000000000001" customHeight="1" x14ac:dyDescent="0.25">
      <c r="D222" s="120" t="str">
        <v>rho</v>
      </c>
      <c r="E222" s="125" t="str">
        <v>density of methane (kg/m3)</v>
      </c>
      <c r="F222" s="126"/>
      <c r="G222" s="120" t="str">
        <v>kg/m3</v>
      </c>
      <c r="H222" s="128" t="str">
        <v>Constant</v>
      </c>
      <c r="I222" s="120">
        <f>Common_SourceData_DensityOfMethane_Data</f>
        <v>0.6784</v>
      </c>
      <c r="J222" s="120"/>
      <c r="O222" s="120" t="str">
        <v>rho</v>
      </c>
      <c r="P222" s="125" t="str">
        <v>density of methane (kg/m3)</v>
      </c>
      <c r="Q222" s="126"/>
      <c r="R222" s="120" t="str">
        <v>kg/m3</v>
      </c>
      <c r="S222" s="128" t="str">
        <v>Constant</v>
      </c>
      <c r="T222" s="120"/>
    </row>
    <row r="223" spans="1:23" ht="20.100000000000001" customHeight="1" x14ac:dyDescent="0.25">
      <c r="D223" s="120" t="str">
        <v>i</v>
      </c>
      <c r="E223" s="125" t="str">
        <v>state</v>
      </c>
      <c r="F223" s="126"/>
      <c r="G223" s="120" t="str">
        <v>state</v>
      </c>
      <c r="H223" s="121" t="str">
        <v>Input</v>
      </c>
      <c r="I223" s="120" t="str">
        <f>Common_InputFunctions.Utility_LookupValueInTable(X_Cell_Site_State, Table_AustralianStates[Common Name],Table_AustralianStates[Abbreviation])</f>
        <v>WA</v>
      </c>
      <c r="J223" s="120"/>
      <c r="O223" s="120" t="str">
        <v>MAT</v>
      </c>
      <c r="P223" s="125" t="str">
        <v>Mean annual temperature</v>
      </c>
      <c r="Q223" s="126"/>
      <c r="R223" s="120" t="str">
        <v>°C</v>
      </c>
      <c r="S223" s="121" t="str">
        <v>Input</v>
      </c>
      <c r="T223" s="120">
        <f>X_Cell_Site_AverageTemperature</f>
        <v>18</v>
      </c>
    </row>
    <row r="224" spans="1:23" ht="20.100000000000001" customHeight="1" x14ac:dyDescent="0.25"/>
    <row r="225" spans="4:22" ht="20.100000000000001" customHeight="1" x14ac:dyDescent="0.25">
      <c r="D225" s="130" t="s">
        <v>324</v>
      </c>
      <c r="O225" s="130" t="s">
        <v>325</v>
      </c>
    </row>
    <row r="226" spans="4:22" ht="20.100000000000001" customHeight="1" x14ac:dyDescent="0.25">
      <c r="D226" s="131" t="s">
        <v>326</v>
      </c>
      <c r="O226" s="131" t="s">
        <v>327</v>
      </c>
    </row>
    <row r="227" spans="4:22" ht="20.100000000000001" customHeight="1" x14ac:dyDescent="0.25">
      <c r="D227" s="124" t="s">
        <v>307</v>
      </c>
      <c r="E227" s="124" t="s">
        <v>328</v>
      </c>
      <c r="O227" s="124" t="s">
        <v>307</v>
      </c>
      <c r="P227" s="124" t="s">
        <v>328</v>
      </c>
    </row>
    <row r="228" spans="4:22" ht="20.100000000000001" customHeight="1" x14ac:dyDescent="0.25">
      <c r="D228" s="132" t="str">
        <f>'Constants - Common Livestock'!$E$27</f>
        <v>Pasture range and paddock</v>
      </c>
      <c r="E228" s="25" cm="1">
        <f t="array" ref="E228">CommonLivestock_InputFunctions.Livestock_LookupMCFState(D228,Table_SourceData_Dairy_MCFjm[NIR reference],$I$223,Table_SourceData_Dairy_MCFjm[#Headers],Table_SourceData_Dairy_MCFjm[#Data])</f>
        <v>0.01</v>
      </c>
      <c r="O228" s="132" t="str">
        <f>'Constants - Common Livestock'!$E$27</f>
        <v>Pasture range and paddock</v>
      </c>
      <c r="P228" s="25" cm="1">
        <f t="array" ref="P228">CommonLivestock_InputFunctions.Livestock_LookupMCFState(O228,Table_SourceData_Dairy_MCFjm[NIR reference],$I$223,Table_SourceData_Dairy_MCFjm[#Headers],Table_SourceData_Dairy_MCFjm[#Data])</f>
        <v>0.01</v>
      </c>
      <c r="Q228" s="79" t="s">
        <v>329</v>
      </c>
      <c r="R228" s="79"/>
    </row>
    <row r="229" spans="4:22" ht="20.100000000000001" customHeight="1" x14ac:dyDescent="0.25">
      <c r="D229" s="132" t="str">
        <f>'Constants - Dairy'!$D$8</f>
        <v>Anaerobic lagoon</v>
      </c>
      <c r="E229" s="25" cm="1">
        <f t="array" ref="E229">CommonLivestock_InputFunctions.Livestock_LookupMCFState(D229,Table_SourceData_Dairy_MCFjm[NIR reference],$I$223,Table_SourceData_Dairy_MCFjm[#Headers],Table_SourceData_Dairy_MCFjm[#Data])</f>
        <v>0.76</v>
      </c>
      <c r="O229" s="132" t="str">
        <f>'Constants - Dairy'!$D$8</f>
        <v>Anaerobic lagoon</v>
      </c>
      <c r="P229" s="25">
        <f>Common_InputFunctions.Common_GetMCFTemperatureZone($T$223, O229,Table_SourceData_Common_MCFTemperatureZone[MAT raw],Table_SourceData_Common_MCFTemperatureZone[#Headers],Table_SourceData_Common_MCFTemperatureZone[#Data])</f>
        <v>0.77</v>
      </c>
    </row>
    <row r="230" spans="4:22" ht="20.100000000000001" customHeight="1" x14ac:dyDescent="0.25">
      <c r="D230" s="132" t="str">
        <f>'Constants - Dairy'!$D$9</f>
        <v>Sump and dispersal system</v>
      </c>
      <c r="E230" s="25" cm="1">
        <f t="array" ref="E230">CommonLivestock_InputFunctions.Livestock_LookupMCFState(D230,Table_SourceData_Dairy_MCFjm[NIR reference],$I$223,Table_SourceData_Dairy_MCFjm[#Headers],Table_SourceData_Dairy_MCFjm[#Data])</f>
        <v>5.0000000000000001E-3</v>
      </c>
      <c r="O230" s="132" t="str">
        <f>'Constants - Dairy'!$D$9</f>
        <v>Sump and dispersal system</v>
      </c>
      <c r="P230" s="25">
        <f>Common_InputFunctions.Common_GetMCFTemperatureZone($T$223, "Daily spread",Table_SourceData_Common_MCFTemperatureZone[MAT raw],Table_SourceData_Common_MCFTemperatureZone[#Headers],Table_SourceData_Common_MCFTemperatureZone[#Data])</f>
        <v>5.0000000000000001E-3</v>
      </c>
      <c r="Q230" s="79" t="s">
        <v>330</v>
      </c>
      <c r="R230" s="79"/>
    </row>
    <row r="231" spans="4:22" ht="20.100000000000001" customHeight="1" x14ac:dyDescent="0.25">
      <c r="D231" s="132" t="str">
        <f>'Constants - Dairy'!$D$10</f>
        <v>Drains to paddock</v>
      </c>
      <c r="E231" s="25" cm="1">
        <f t="array" ref="E231">CommonLivestock_InputFunctions.Livestock_LookupMCFState(D231,Table_SourceData_Dairy_MCFjm[NIR reference],$I$223,Table_SourceData_Dairy_MCFjm[#Headers],Table_SourceData_Dairy_MCFjm[#Data])</f>
        <v>0.18</v>
      </c>
      <c r="O231" s="132" t="str">
        <f>'Constants - Dairy'!$D$10</f>
        <v>Drains to paddock</v>
      </c>
      <c r="P231" s="25">
        <f>Common_InputFunctions.Common_GetMCFTemperatureZone($T$223, "Liquid systems",Table_SourceData_Common_MCFTemperatureZone[MAT raw],Table_SourceData_Common_MCFTemperatureZone[#Headers],Table_SourceData_Common_MCFTemperatureZone[#Data])</f>
        <v>0.22</v>
      </c>
      <c r="Q231" s="79" t="s">
        <v>331</v>
      </c>
      <c r="R231" s="79"/>
    </row>
    <row r="232" spans="4:22" ht="20.100000000000001" customHeight="1" x14ac:dyDescent="0.25">
      <c r="D232" s="132" t="str">
        <f>'Constants - Dairy'!$D$11</f>
        <v>Solid storage</v>
      </c>
      <c r="E232" s="25" cm="1">
        <f t="array" ref="E232">CommonLivestock_InputFunctions.Livestock_LookupMCFState(D232,Table_SourceData_Dairy_MCFjm[NIR reference],$I$223,Table_SourceData_Dairy_MCFjm[#Headers],Table_SourceData_Dairy_MCFjm[#Data])</f>
        <v>0.02</v>
      </c>
      <c r="O232" s="132" t="str">
        <f>'Constants - Dairy'!$D$11</f>
        <v>Solid storage</v>
      </c>
      <c r="P232" s="25">
        <f>Common_InputFunctions.Common_GetMCFTemperatureZone($T$223, O232,Table_SourceData_Common_MCFTemperatureZone[MAT raw],Table_SourceData_Common_MCFTemperatureZone[#Headers],Table_SourceData_Common_MCFTemperatureZone[#Data])</f>
        <v>0.02</v>
      </c>
    </row>
    <row r="233" spans="4:22" ht="20.100000000000001" customHeight="1" x14ac:dyDescent="0.25"/>
    <row r="234" spans="4:22" ht="20.100000000000001" customHeight="1" x14ac:dyDescent="0.25">
      <c r="D234" s="130" t="s">
        <v>332</v>
      </c>
      <c r="O234" s="130" t="s">
        <v>333</v>
      </c>
    </row>
    <row r="235" spans="4:22" ht="20.100000000000001" customHeight="1" x14ac:dyDescent="0.25">
      <c r="D235" s="131" t="s">
        <v>334</v>
      </c>
      <c r="O235" s="131" t="s">
        <v>335</v>
      </c>
    </row>
    <row r="236" spans="4:22" ht="20.100000000000001" customHeight="1" x14ac:dyDescent="0.25">
      <c r="D236" s="124" t="s">
        <v>168</v>
      </c>
      <c r="E236" s="124" t="s">
        <v>307</v>
      </c>
      <c r="F236" s="124" t="s">
        <v>213</v>
      </c>
      <c r="G236" s="124" t="s">
        <v>214</v>
      </c>
      <c r="H236" s="124" t="s">
        <v>215</v>
      </c>
      <c r="I236" s="124" t="s">
        <v>216</v>
      </c>
      <c r="J236" s="124" t="s">
        <v>217</v>
      </c>
      <c r="O236" s="124" t="s">
        <v>168</v>
      </c>
      <c r="P236" s="124" t="s">
        <v>307</v>
      </c>
      <c r="Q236" s="124" t="s">
        <v>213</v>
      </c>
      <c r="R236" s="124" t="s">
        <v>214</v>
      </c>
      <c r="S236" s="124" t="s">
        <v>215</v>
      </c>
      <c r="T236" s="124" t="s">
        <v>216</v>
      </c>
      <c r="U236" s="124" t="s">
        <v>217</v>
      </c>
    </row>
    <row r="237" spans="4:22" ht="20.100000000000001" customHeight="1" x14ac:dyDescent="0.25">
      <c r="D237" s="25" t="str">
        <f>INDEX(X_Table_Dairy_ProductionSystems_Method1,2,1)</f>
        <v>Pasture</v>
      </c>
      <c r="E237" s="25" t="str">
        <f>'Constants - Common Livestock'!$E$27</f>
        <v>Pasture range and paddock</v>
      </c>
      <c r="F237" s="25" cm="1">
        <f t="array" aca="1" ref="F237" ca="1">MMS_Dairy_Methane_Equations.VEERG_4_3_1_1__2_MethaneFromManureProduction(D$133,F173,_xlfn.XLOOKUP($E237,$D$228:$D$232,$E$228:$E$232),$I$221,$I$222)</f>
        <v>4.3689196218983364E-3</v>
      </c>
      <c r="G237" s="25" cm="1">
        <f t="array" aca="1" ref="G237" ca="1">MMS_Dairy_Methane_Equations.VEERG_4_3_1_1__2_MethaneFromManureProduction(E$133,G173,_xlfn.XLOOKUP($E237,$D$228:$D$232,$E$228:$E$232),$I$221,$I$222)</f>
        <v>1.7209245840165332E-3</v>
      </c>
      <c r="H237" s="25" cm="1">
        <f t="array" aca="1" ref="H237" ca="1">MMS_Dairy_Methane_Equations.VEERG_4_3_1_1__2_MethaneFromManureProduction(F$133,H173,_xlfn.XLOOKUP($E237,$D$228:$D$232,$E$228:$E$232),$I$221,$I$222)</f>
        <v>9.3323909012537774E-4</v>
      </c>
      <c r="I237" s="25" cm="1">
        <f t="array" aca="1" ref="I237" ca="1">MMS_Dairy_Methane_Equations.VEERG_4_3_1_1__2_MethaneFromManureProduction(G$133,I173,_xlfn.XLOOKUP($E237,$D$228:$D$232,$E$228:$E$232),$I$221,$I$222)</f>
        <v>2.0939609577804406E-3</v>
      </c>
      <c r="J237" s="25" cm="1">
        <f t="array" aca="1" ref="J237" ca="1">MMS_Dairy_Methane_Equations.VEERG_4_3_1_1__2_MethaneFromManureProduction(H$133,J173,_xlfn.XLOOKUP($E237,$D$228:$D$232,$E$228:$E$232),$I$221,$I$222)</f>
        <v>1.2559439850690533E-3</v>
      </c>
      <c r="K237" s="26" t="str">
        <f>$E$216</f>
        <v>kg CH4/head/day</v>
      </c>
      <c r="O237" s="25" t="str">
        <f>INDEX(X_Table_Dairy_ProductionSystems_Method1,2,1)</f>
        <v>Pasture</v>
      </c>
      <c r="P237" s="25" t="str">
        <f>'Constants - Common Livestock'!$E$27</f>
        <v>Pasture range and paddock</v>
      </c>
      <c r="Q237" s="25" cm="1">
        <f t="array" aca="1" ref="Q237" ca="1">MMS_Dairy_Methane_Equations.VEERG_4_3_1_1__2_MethaneFromManureProduction(O$133,Q173,_xlfn.XLOOKUP($P237,$O$228:$O$232,$P$228:$P$232),$I$221,$I$222)</f>
        <v>4.3689196218983364E-3</v>
      </c>
      <c r="R237" s="25" cm="1">
        <f t="array" aca="1" ref="R237" ca="1">MMS_Dairy_Methane_Equations.VEERG_4_3_1_1__2_MethaneFromManureProduction(P$133,R173,_xlfn.XLOOKUP($P237,$O$228:$O$232,$P$228:$P$232),$I$221,$I$222)</f>
        <v>1.7209245840165332E-3</v>
      </c>
      <c r="S237" s="25" cm="1">
        <f t="array" aca="1" ref="S237" ca="1">MMS_Dairy_Methane_Equations.VEERG_4_3_1_1__2_MethaneFromManureProduction(Q$133,S173,_xlfn.XLOOKUP($P237,$O$228:$O$232,$P$228:$P$232),$I$221,$I$222)</f>
        <v>9.3323909012537774E-4</v>
      </c>
      <c r="T237" s="25" cm="1">
        <f t="array" aca="1" ref="T237" ca="1">MMS_Dairy_Methane_Equations.VEERG_4_3_1_1__2_MethaneFromManureProduction(R$133,T173,_xlfn.XLOOKUP($P237,$O$228:$O$232,$P$228:$P$232),$I$221,$I$222)</f>
        <v>2.0939609577804406E-3</v>
      </c>
      <c r="U237" s="25" cm="1">
        <f t="array" aca="1" ref="U237" ca="1">MMS_Dairy_Methane_Equations.VEERG_4_3_1_1__2_MethaneFromManureProduction(S$133,U173,_xlfn.XLOOKUP($P237,$O$228:$O$232,$P$228:$P$232),$I$221,$I$222)</f>
        <v>1.2559439850690533E-3</v>
      </c>
      <c r="V237" s="26" t="str">
        <f>$E$216</f>
        <v>kg CH4/head/day</v>
      </c>
    </row>
    <row r="238" spans="4:22" ht="20.100000000000001" customHeight="1" x14ac:dyDescent="0.25">
      <c r="D238" s="25" t="str">
        <f>INDEX(X_Table_Dairy_ProductionSystems_Method1,3,1)</f>
        <v>Milking shed</v>
      </c>
      <c r="E238" s="25" t="str">
        <f>INDEX(X_Table_Dairy_Stage1MMS_1_AnaerobicLagoon,2,1)</f>
        <v>Anaerobic lagoon</v>
      </c>
      <c r="F238" s="25" cm="1">
        <f t="array" aca="1" ref="F238" ca="1">MMS_Dairy_Methane_Equations.VEERG_4_3_1_1__2_MethaneFromManureProduction(D$133,F174,_xlfn.XLOOKUP($E238,$D$228:$D$232,$E$228:$E$232),$I$221,$I$222)</f>
        <v>1.367946368504498E-2</v>
      </c>
      <c r="G238" s="25" cm="1">
        <f t="array" aca="1" ref="G238" ca="1">MMS_Dairy_Methane_Equations.VEERG_4_3_1_1__2_MethaneFromManureProduction(E$133,G174,_xlfn.XLOOKUP($E238,$D$228:$D$232,$E$228:$E$232),$I$221,$I$222)</f>
        <v>5.3883631169955861E-3</v>
      </c>
      <c r="H238" s="25" cm="1">
        <f t="array" aca="1" ref="H238" ca="1">MMS_Dairy_Methane_Equations.VEERG_4_3_1_1__2_MethaneFromManureProduction(F$133,H174,_xlfn.XLOOKUP($E238,$D$228:$D$232,$E$228:$E$232),$I$221,$I$222)</f>
        <v>2.922051982564853E-3</v>
      </c>
      <c r="I238" s="25" cm="1">
        <f t="array" aca="1" ref="I238" ca="1">MMS_Dairy_Methane_Equations.VEERG_4_3_1_1__2_MethaneFromManureProduction(G$133,I174,_xlfn.XLOOKUP($E238,$D$228:$D$232,$E$228:$E$232),$I$221,$I$222)</f>
        <v>6.556372137469845E-3</v>
      </c>
      <c r="J238" s="25" cm="1">
        <f t="array" aca="1" ref="J238" ca="1">MMS_Dairy_Methane_Equations.VEERG_4_3_1_1__2_MethaneFromManureProduction(H$133,J174,_xlfn.XLOOKUP($E238,$D$228:$D$232,$E$228:$E$232),$I$221,$I$222)</f>
        <v>3.9324688071825046E-3</v>
      </c>
      <c r="O238" s="25" t="str">
        <f>INDEX(X_Table_Dairy_ProductionSystems_Method1,3,1)</f>
        <v>Milking shed</v>
      </c>
      <c r="P238" s="25" t="str">
        <f>INDEX(X_Table_Dairy_Stage1MMS_1_AnaerobicLagoon,2,1)</f>
        <v>Anaerobic lagoon</v>
      </c>
      <c r="Q238" s="25" cm="1">
        <f t="array" aca="1" ref="Q238" ca="1">MMS_Dairy_Methane_Equations.VEERG_4_3_1_1__2_MethaneFromManureProduction(O$133,Q174,_xlfn.XLOOKUP($P238,$O$228:$O$232,$P$228:$P$232),$I$221,$I$222)</f>
        <v>1.3859456628269253E-2</v>
      </c>
      <c r="R238" s="25" cm="1">
        <f t="array" aca="1" ref="R238" ca="1">MMS_Dairy_Methane_Equations.VEERG_4_3_1_1__2_MethaneFromManureProduction(P$133,R174,_xlfn.XLOOKUP($P238,$O$228:$O$232,$P$228:$P$232),$I$221,$I$222)</f>
        <v>5.4592626316928971E-3</v>
      </c>
      <c r="S238" s="25" cm="1">
        <f t="array" aca="1" ref="S238" ca="1">MMS_Dairy_Methane_Equations.VEERG_4_3_1_1__2_MethaneFromManureProduction(Q$133,S174,_xlfn.XLOOKUP($P238,$O$228:$O$232,$P$228:$P$232),$I$221,$I$222)</f>
        <v>2.9605000349670215E-3</v>
      </c>
      <c r="T238" s="25" cm="1">
        <f t="array" aca="1" ref="T238" ca="1">MMS_Dairy_Methane_Equations.VEERG_4_3_1_1__2_MethaneFromManureProduction(R$133,T174,_xlfn.XLOOKUP($P238,$O$228:$O$232,$P$228:$P$232),$I$221,$I$222)</f>
        <v>6.6426401919102386E-3</v>
      </c>
      <c r="U238" s="25" cm="1">
        <f t="array" aca="1" ref="U238" ca="1">MMS_Dairy_Methane_Equations.VEERG_4_3_1_1__2_MethaneFromManureProduction(S$133,U174,_xlfn.XLOOKUP($P238,$O$228:$O$232,$P$228:$P$232),$I$221,$I$222)</f>
        <v>3.9842118178033264E-3</v>
      </c>
    </row>
    <row r="239" spans="4:22" ht="20.100000000000001" customHeight="1" x14ac:dyDescent="0.25">
      <c r="D239" s="25" t="str">
        <f>INDEX(X_Table_Dairy_ProductionSystems_Method1,3,1)</f>
        <v>Milking shed</v>
      </c>
      <c r="E239" s="25" t="str">
        <f>INDEX(X_Table_Dairy_Stage1MMS_1_SumpAndDispersal,2,1)</f>
        <v>Sump and dispersal system</v>
      </c>
      <c r="F239" s="25" cm="1">
        <f t="array" aca="1" ref="F239" ca="1">MMS_Dairy_Methane_Equations.VEERG_4_3_1_1__2_MethaneFromManureProduction(D$133,F175,_xlfn.XLOOKUP($E239,$D$228:$D$232,$E$228:$E$232),$I$221,$I$222)</f>
        <v>8.9996471612138024E-5</v>
      </c>
      <c r="G239" s="25" cm="1">
        <f t="array" aca="1" ref="G239" ca="1">MMS_Dairy_Methane_Equations.VEERG_4_3_1_1__2_MethaneFromManureProduction(E$133,G175,_xlfn.XLOOKUP($E239,$D$228:$D$232,$E$228:$E$232),$I$221,$I$222)</f>
        <v>3.5449757348655176E-5</v>
      </c>
      <c r="H239" s="25" cm="1">
        <f t="array" aca="1" ref="H239" ca="1">MMS_Dairy_Methane_Equations.VEERG_4_3_1_1__2_MethaneFromManureProduction(F$133,H175,_xlfn.XLOOKUP($E239,$D$228:$D$232,$E$228:$E$232),$I$221,$I$222)</f>
        <v>1.9224026201084556E-5</v>
      </c>
      <c r="I239" s="25" cm="1">
        <f t="array" aca="1" ref="I239" ca="1">MMS_Dairy_Methane_Equations.VEERG_4_3_1_1__2_MethaneFromManureProduction(G$133,I175,_xlfn.XLOOKUP($E239,$D$228:$D$232,$E$228:$E$232),$I$221,$I$222)</f>
        <v>4.313402722019635E-5</v>
      </c>
      <c r="J239" s="25" cm="1">
        <f t="array" aca="1" ref="J239" ca="1">MMS_Dairy_Methane_Equations.VEERG_4_3_1_1__2_MethaneFromManureProduction(H$133,J175,_xlfn.XLOOKUP($E239,$D$228:$D$232,$E$228:$E$232),$I$221,$I$222)</f>
        <v>2.587150531041121E-5</v>
      </c>
      <c r="K239" s="26"/>
      <c r="O239" s="25" t="str">
        <f>INDEX(X_Table_Dairy_ProductionSystems_Method1,3,1)</f>
        <v>Milking shed</v>
      </c>
      <c r="P239" s="25" t="str">
        <f>INDEX(X_Table_Dairy_Stage1MMS_1_SumpAndDispersal,2,1)</f>
        <v>Sump and dispersal system</v>
      </c>
      <c r="Q239" s="25" cm="1">
        <f t="array" aca="1" ref="Q239" ca="1">MMS_Dairy_Methane_Equations.VEERG_4_3_1_1__2_MethaneFromManureProduction(O$133,Q175,_xlfn.XLOOKUP($P239,$O$228:$O$232,$P$228:$P$232),$I$221,$I$222)</f>
        <v>8.9996471612138024E-5</v>
      </c>
      <c r="R239" s="25" cm="1">
        <f t="array" aca="1" ref="R239" ca="1">MMS_Dairy_Methane_Equations.VEERG_4_3_1_1__2_MethaneFromManureProduction(P$133,R175,_xlfn.XLOOKUP($P239,$O$228:$O$232,$P$228:$P$232),$I$221,$I$222)</f>
        <v>3.5449757348655176E-5</v>
      </c>
      <c r="S239" s="25" cm="1">
        <f t="array" aca="1" ref="S239" ca="1">MMS_Dairy_Methane_Equations.VEERG_4_3_1_1__2_MethaneFromManureProduction(Q$133,S175,_xlfn.XLOOKUP($P239,$O$228:$O$232,$P$228:$P$232),$I$221,$I$222)</f>
        <v>1.9224026201084556E-5</v>
      </c>
      <c r="T239" s="25" cm="1">
        <f t="array" aca="1" ref="T239" ca="1">MMS_Dairy_Methane_Equations.VEERG_4_3_1_1__2_MethaneFromManureProduction(R$133,T175,_xlfn.XLOOKUP($P239,$O$228:$O$232,$P$228:$P$232),$I$221,$I$222)</f>
        <v>4.313402722019635E-5</v>
      </c>
      <c r="U239" s="25" cm="1">
        <f t="array" aca="1" ref="U239" ca="1">MMS_Dairy_Methane_Equations.VEERG_4_3_1_1__2_MethaneFromManureProduction(S$133,U175,_xlfn.XLOOKUP($P239,$O$228:$O$232,$P$228:$P$232),$I$221,$I$222)</f>
        <v>2.587150531041121E-5</v>
      </c>
      <c r="V239" s="26"/>
    </row>
    <row r="240" spans="4:22" ht="20.100000000000001" customHeight="1" x14ac:dyDescent="0.25">
      <c r="D240" s="25" t="str">
        <f>INDEX(X_Table_Dairy_ProductionSystems_Method1,3,1)</f>
        <v>Milking shed</v>
      </c>
      <c r="E240" s="25" t="str">
        <f>INDEX(X_Table_Dairy_Stage1MMS_1_DrainsToPaddock,2,1)</f>
        <v>Drains to paddock</v>
      </c>
      <c r="F240" s="25" cm="1">
        <f t="array" aca="1" ref="F240" ca="1">MMS_Dairy_Methane_Equations.VEERG_4_3_1_1__2_MethaneFromManureProduction(D$133,F176,_xlfn.XLOOKUP($E240,$D$228:$D$232,$E$228:$E$232),$I$221,$I$222)</f>
        <v>3.2398729780369687E-3</v>
      </c>
      <c r="G240" s="25" cm="1">
        <f t="array" aca="1" ref="G240" ca="1">MMS_Dairy_Methane_Equations.VEERG_4_3_1_1__2_MethaneFromManureProduction(E$133,G176,_xlfn.XLOOKUP($E240,$D$228:$D$232,$E$228:$E$232),$I$221,$I$222)</f>
        <v>1.2761912645515865E-3</v>
      </c>
      <c r="H240" s="25" cm="1">
        <f t="array" aca="1" ref="H240" ca="1">MMS_Dairy_Methane_Equations.VEERG_4_3_1_1__2_MethaneFromManureProduction(F$133,H176,_xlfn.XLOOKUP($E240,$D$228:$D$232,$E$228:$E$232),$I$221,$I$222)</f>
        <v>6.9206494323904399E-4</v>
      </c>
      <c r="I240" s="25" cm="1">
        <f t="array" aca="1" ref="I240" ca="1">MMS_Dairy_Methane_Equations.VEERG_4_3_1_1__2_MethaneFromManureProduction(G$133,I176,_xlfn.XLOOKUP($E240,$D$228:$D$232,$E$228:$E$232),$I$221,$I$222)</f>
        <v>1.5528249799270685E-3</v>
      </c>
      <c r="J240" s="25" cm="1">
        <f t="array" aca="1" ref="J240" ca="1">MMS_Dairy_Methane_Equations.VEERG_4_3_1_1__2_MethaneFromManureProduction(H$133,J176,_xlfn.XLOOKUP($E240,$D$228:$D$232,$E$228:$E$232),$I$221,$I$222)</f>
        <v>9.3137419117480342E-4</v>
      </c>
      <c r="K240" s="26"/>
      <c r="O240" s="25" t="str">
        <f>INDEX(X_Table_Dairy_ProductionSystems_Method1,3,1)</f>
        <v>Milking shed</v>
      </c>
      <c r="P240" s="25" t="str">
        <f>INDEX(X_Table_Dairy_Stage1MMS_1_DrainsToPaddock,2,1)</f>
        <v>Drains to paddock</v>
      </c>
      <c r="Q240" s="25" cm="1">
        <f t="array" aca="1" ref="Q240" ca="1">MMS_Dairy_Methane_Equations.VEERG_4_3_1_1__2_MethaneFromManureProduction(O$133,Q176,_xlfn.XLOOKUP($P240,$O$228:$O$232,$P$228:$P$232),$I$221,$I$222)</f>
        <v>3.9598447509340724E-3</v>
      </c>
      <c r="R240" s="25" cm="1">
        <f t="array" aca="1" ref="R240" ca="1">MMS_Dairy_Methane_Equations.VEERG_4_3_1_1__2_MethaneFromManureProduction(P$133,R176,_xlfn.XLOOKUP($P240,$O$228:$O$232,$P$228:$P$232),$I$221,$I$222)</f>
        <v>1.5597893233408276E-3</v>
      </c>
      <c r="S240" s="25" cm="1">
        <f t="array" aca="1" ref="S240" ca="1">MMS_Dairy_Methane_Equations.VEERG_4_3_1_1__2_MethaneFromManureProduction(Q$133,S176,_xlfn.XLOOKUP($P240,$O$228:$O$232,$P$228:$P$232),$I$221,$I$222)</f>
        <v>8.4585715284772047E-4</v>
      </c>
      <c r="T240" s="25" cm="1">
        <f t="array" aca="1" ref="T240" ca="1">MMS_Dairy_Methane_Equations.VEERG_4_3_1_1__2_MethaneFromManureProduction(R$133,T176,_xlfn.XLOOKUP($P240,$O$228:$O$232,$P$228:$P$232),$I$221,$I$222)</f>
        <v>1.8978971976886393E-3</v>
      </c>
      <c r="U240" s="25" cm="1">
        <f t="array" aca="1" ref="U240" ca="1">MMS_Dairy_Methane_Equations.VEERG_4_3_1_1__2_MethaneFromManureProduction(S$133,U176,_xlfn.XLOOKUP($P240,$O$228:$O$232,$P$228:$P$232),$I$221,$I$222)</f>
        <v>1.1383462336580932E-3</v>
      </c>
      <c r="V240" s="26"/>
    </row>
    <row r="241" spans="3:23" ht="20.100000000000001" customHeight="1" x14ac:dyDescent="0.25">
      <c r="D241" s="25" t="str">
        <f>INDEX(X_Table_Dairy_ProductionSystems_Method1,3,1)</f>
        <v>Milking shed</v>
      </c>
      <c r="E241" s="25" t="s">
        <v>76</v>
      </c>
      <c r="F241" s="25" cm="1">
        <f t="array" aca="1" ref="F241" ca="1">MMS_Dairy_Methane_Equations.VEERG_4_3_1_1__2_MethaneFromManureProduction(D$133,F205,_xlfn.XLOOKUP($E241,$D$228:$D$232,$E$228:$E$232),$I$221,$I$222)</f>
        <v>7.1997177289710409E-4</v>
      </c>
      <c r="G241" s="25" cm="1">
        <f t="array" aca="1" ref="G241" ca="1">MMS_Dairy_Methane_Equations.VEERG_4_3_1_1__2_MethaneFromManureProduction(E$133,G205,_xlfn.XLOOKUP($E241,$D$228:$D$232,$E$228:$E$232),$I$221,$I$222)</f>
        <v>2.8359805878924141E-4</v>
      </c>
      <c r="H241" s="25" cm="1">
        <f t="array" aca="1" ref="H241" ca="1">MMS_Dairy_Methane_Equations.VEERG_4_3_1_1__2_MethaneFromManureProduction(F$133,H205,_xlfn.XLOOKUP($E241,$D$228:$D$232,$E$228:$E$232),$I$221,$I$222)</f>
        <v>1.5379220960867642E-4</v>
      </c>
      <c r="I241" s="25" cm="1">
        <f t="array" aca="1" ref="I241" ca="1">MMS_Dairy_Methane_Equations.VEERG_4_3_1_1__2_MethaneFromManureProduction(G$133,I205,_xlfn.XLOOKUP($E241,$D$228:$D$232,$E$228:$E$232),$I$221,$I$222)</f>
        <v>3.4507221776157069E-4</v>
      </c>
      <c r="J241" s="25" cm="1">
        <f t="array" aca="1" ref="J241" ca="1">MMS_Dairy_Methane_Equations.VEERG_4_3_1_1__2_MethaneFromManureProduction(H$133,J205,_xlfn.XLOOKUP($E241,$D$228:$D$232,$E$228:$E$232),$I$221,$I$222)</f>
        <v>2.0697204248328968E-4</v>
      </c>
      <c r="K241" s="26"/>
      <c r="O241" s="25" t="str">
        <f>INDEX(X_Table_Dairy_ProductionSystems_Method1,3,1)</f>
        <v>Milking shed</v>
      </c>
      <c r="P241" s="25" t="s">
        <v>76</v>
      </c>
      <c r="Q241" s="25" cm="1">
        <f t="array" aca="1" ref="Q241" ca="1">MMS_Dairy_Methane_Equations.VEERG_4_3_1_1__2_MethaneFromManureProduction(O$133,Q205,_xlfn.XLOOKUP($P241,$O$228:$O$232,$P$228:$P$232),$I$221,$I$222)</f>
        <v>7.1997177289710409E-4</v>
      </c>
      <c r="R241" s="25" cm="1">
        <f t="array" aca="1" ref="R241" ca="1">MMS_Dairy_Methane_Equations.VEERG_4_3_1_1__2_MethaneFromManureProduction(P$133,R205,_xlfn.XLOOKUP($P241,$O$228:$O$232,$P$228:$P$232),$I$221,$I$222)</f>
        <v>2.8359805878924141E-4</v>
      </c>
      <c r="S241" s="25" cm="1">
        <f t="array" aca="1" ref="S241" ca="1">MMS_Dairy_Methane_Equations.VEERG_4_3_1_1__2_MethaneFromManureProduction(Q$133,S205,_xlfn.XLOOKUP($P241,$O$228:$O$232,$P$228:$P$232),$I$221,$I$222)</f>
        <v>1.5379220960867642E-4</v>
      </c>
      <c r="T241" s="25" cm="1">
        <f t="array" aca="1" ref="T241" ca="1">MMS_Dairy_Methane_Equations.VEERG_4_3_1_1__2_MethaneFromManureProduction(R$133,T205,_xlfn.XLOOKUP($P241,$O$228:$O$232,$P$228:$P$232),$I$221,$I$222)</f>
        <v>3.4507221776157069E-4</v>
      </c>
      <c r="U241" s="25" cm="1">
        <f t="array" aca="1" ref="U241" ca="1">MMS_Dairy_Methane_Equations.VEERG_4_3_1_1__2_MethaneFromManureProduction(S$133,U205,_xlfn.XLOOKUP($P241,$O$228:$O$232,$P$228:$P$232),$I$221,$I$222)</f>
        <v>2.0697204248328968E-4</v>
      </c>
      <c r="V241" s="26"/>
    </row>
    <row r="242" spans="3:23" ht="20.100000000000001" customHeight="1" x14ac:dyDescent="0.25">
      <c r="D242" s="25" t="str">
        <f>INDEX(X_Table_Dairy_ProductionSystems_Method1,4,1)</f>
        <v>Feed pad</v>
      </c>
      <c r="E242" s="25" t="str">
        <f>INDEX(X_Table_Dairy_Stage1MMS_2_AnaerobicLagoon,2,1)</f>
        <v>Anaerobic lagoon</v>
      </c>
      <c r="F242" s="25" cm="1">
        <f t="array" aca="1" ref="F242" ca="1">MMS_Dairy_Methane_Equations.VEERG_4_3_1_1__2_MethaneFromManureProduction(D$133,F177,_xlfn.XLOOKUP($E242,$D$228:$D$232,$E$228:$E$232),$I$221,$I$222)</f>
        <v>5.5339648544045585E-2</v>
      </c>
      <c r="G242" s="25" cm="1">
        <f t="array" aca="1" ref="G242" ca="1">MMS_Dairy_Methane_Equations.VEERG_4_3_1_1__2_MethaneFromManureProduction(E$133,G177,_xlfn.XLOOKUP($E242,$D$228:$D$232,$E$228:$E$232),$I$221,$I$222)</f>
        <v>2.1798378064209416E-2</v>
      </c>
      <c r="H242" s="25" cm="1">
        <f t="array" aca="1" ref="H242" ca="1">MMS_Dairy_Methane_Equations.VEERG_4_3_1_1__2_MethaneFromManureProduction(F$133,H177,_xlfn.XLOOKUP($E242,$D$228:$D$232,$E$228:$E$232),$I$221,$I$222)</f>
        <v>1.1821028474921448E-2</v>
      </c>
      <c r="I242" s="25" cm="1">
        <f t="array" aca="1" ref="I242" ca="1">MMS_Dairy_Methane_Equations.VEERG_4_3_1_1__2_MethaneFromManureProduction(G$133,I177,_xlfn.XLOOKUP($E242,$D$228:$D$232,$E$228:$E$232),$I$221,$I$222)</f>
        <v>2.6523505465218911E-2</v>
      </c>
      <c r="J242" s="25" cm="1">
        <f t="array" aca="1" ref="J242" ca="1">MMS_Dairy_Methane_Equations.VEERG_4_3_1_1__2_MethaneFromManureProduction(H$133,J177,_xlfn.XLOOKUP($E242,$D$228:$D$232,$E$228:$E$232),$I$221,$I$222)</f>
        <v>1.5908623810874673E-2</v>
      </c>
      <c r="K242" s="26"/>
      <c r="O242" s="25" t="str">
        <f>INDEX(X_Table_Dairy_ProductionSystems_Method1,4,1)</f>
        <v>Feed pad</v>
      </c>
      <c r="P242" s="25" t="str">
        <f>INDEX(X_Table_Dairy_Stage1MMS_2_AnaerobicLagoon,2,1)</f>
        <v>Anaerobic lagoon</v>
      </c>
      <c r="Q242" s="25" cm="1">
        <f t="array" aca="1" ref="Q242" ca="1">MMS_Dairy_Methane_Equations.VEERG_4_3_1_1__2_MethaneFromManureProduction(O$133,Q177,_xlfn.XLOOKUP($P242,$O$228:$O$232,$P$228:$P$232),$I$221,$I$222)</f>
        <v>5.6067801814361974E-2</v>
      </c>
      <c r="R242" s="25" cm="1">
        <f t="array" aca="1" ref="R242" ca="1">MMS_Dairy_Methane_Equations.VEERG_4_3_1_1__2_MethaneFromManureProduction(P$133,R177,_xlfn.XLOOKUP($P242,$O$228:$O$232,$P$228:$P$232),$I$221,$I$222)</f>
        <v>2.2085198828212176E-2</v>
      </c>
      <c r="S242" s="25" cm="1">
        <f t="array" aca="1" ref="S242" ca="1">MMS_Dairy_Methane_Equations.VEERG_4_3_1_1__2_MethaneFromManureProduction(Q$133,S177,_xlfn.XLOOKUP($P242,$O$228:$O$232,$P$228:$P$232),$I$221,$I$222)</f>
        <v>1.197656832327568E-2</v>
      </c>
      <c r="T242" s="25" cm="1">
        <f t="array" aca="1" ref="T242" ca="1">MMS_Dairy_Methane_Equations.VEERG_4_3_1_1__2_MethaneFromManureProduction(R$133,T177,_xlfn.XLOOKUP($P242,$O$228:$O$232,$P$228:$P$232),$I$221,$I$222)</f>
        <v>2.687249895818232E-2</v>
      </c>
      <c r="U242" s="25" cm="1">
        <f t="array" aca="1" ref="U242" ca="1">MMS_Dairy_Methane_Equations.VEERG_4_3_1_1__2_MethaneFromManureProduction(S$133,U177,_xlfn.XLOOKUP($P242,$O$228:$O$232,$P$228:$P$232),$I$221,$I$222)</f>
        <v>1.6117947808386185E-2</v>
      </c>
      <c r="V242" s="26"/>
    </row>
    <row r="243" spans="3:23" ht="20.100000000000001" customHeight="1" x14ac:dyDescent="0.25">
      <c r="D243" s="25" t="str">
        <f>INDEX(X_Table_Dairy_ProductionSystems_Method1,4,1)</f>
        <v>Feed pad</v>
      </c>
      <c r="E243" s="25" t="str">
        <f>INDEX(X_Table_Dairy_Stage1MMS_2_SumpAndDispersal,2,1)</f>
        <v>Sump and dispersal system</v>
      </c>
      <c r="F243" s="25" cm="1">
        <f t="array" aca="1" ref="F243" ca="1">MMS_Dairy_Methane_Equations.VEERG_4_3_1_1__2_MethaneFromManureProduction(D$133,F178,_xlfn.XLOOKUP($E243,$D$228:$D$232,$E$228:$E$232),$I$221,$I$222)</f>
        <v>2.9126130812655575E-4</v>
      </c>
      <c r="G243" s="25" cm="1">
        <f t="array" aca="1" ref="G243" ca="1">MMS_Dairy_Methane_Equations.VEERG_4_3_1_1__2_MethaneFromManureProduction(E$133,G178,_xlfn.XLOOKUP($E243,$D$228:$D$232,$E$228:$E$232),$I$221,$I$222)</f>
        <v>1.1472830560110218E-4</v>
      </c>
      <c r="H243" s="25" cm="1">
        <f t="array" aca="1" ref="H243" ca="1">MMS_Dairy_Methane_Equations.VEERG_4_3_1_1__2_MethaneFromManureProduction(F$133,H178,_xlfn.XLOOKUP($E243,$D$228:$D$232,$E$228:$E$232),$I$221,$I$222)</f>
        <v>6.2215939341691832E-5</v>
      </c>
      <c r="I243" s="25" cm="1">
        <f t="array" aca="1" ref="I243" ca="1">MMS_Dairy_Methane_Equations.VEERG_4_3_1_1__2_MethaneFromManureProduction(G$133,I178,_xlfn.XLOOKUP($E243,$D$228:$D$232,$E$228:$E$232),$I$221,$I$222)</f>
        <v>1.3959739718536268E-4</v>
      </c>
      <c r="J243" s="25" cm="1">
        <f t="array" aca="1" ref="J243" ca="1">MMS_Dairy_Methane_Equations.VEERG_4_3_1_1__2_MethaneFromManureProduction(H$133,J178,_xlfn.XLOOKUP($E243,$D$228:$D$232,$E$228:$E$232),$I$221,$I$222)</f>
        <v>8.3729599004603552E-5</v>
      </c>
      <c r="K243" s="26"/>
      <c r="O243" s="25" t="str">
        <f>INDEX(X_Table_Dairy_ProductionSystems_Method1,4,1)</f>
        <v>Feed pad</v>
      </c>
      <c r="P243" s="25" t="str">
        <f>INDEX(X_Table_Dairy_Stage1MMS_2_SumpAndDispersal,2,1)</f>
        <v>Sump and dispersal system</v>
      </c>
      <c r="Q243" s="25" cm="1">
        <f t="array" aca="1" ref="Q243" ca="1">MMS_Dairy_Methane_Equations.VEERG_4_3_1_1__2_MethaneFromManureProduction(O$133,Q178,_xlfn.XLOOKUP($P243,$O$228:$O$232,$P$228:$P$232),$I$221,$I$222)</f>
        <v>2.9126130812655575E-4</v>
      </c>
      <c r="R243" s="25" cm="1">
        <f t="array" aca="1" ref="R243" ca="1">MMS_Dairy_Methane_Equations.VEERG_4_3_1_1__2_MethaneFromManureProduction(P$133,R178,_xlfn.XLOOKUP($P243,$O$228:$O$232,$P$228:$P$232),$I$221,$I$222)</f>
        <v>1.1472830560110218E-4</v>
      </c>
      <c r="S243" s="25" cm="1">
        <f t="array" aca="1" ref="S243" ca="1">MMS_Dairy_Methane_Equations.VEERG_4_3_1_1__2_MethaneFromManureProduction(Q$133,S178,_xlfn.XLOOKUP($P243,$O$228:$O$232,$P$228:$P$232),$I$221,$I$222)</f>
        <v>6.2215939341691832E-5</v>
      </c>
      <c r="T243" s="25" cm="1">
        <f t="array" aca="1" ref="T243" ca="1">MMS_Dairy_Methane_Equations.VEERG_4_3_1_1__2_MethaneFromManureProduction(R$133,T178,_xlfn.XLOOKUP($P243,$O$228:$O$232,$P$228:$P$232),$I$221,$I$222)</f>
        <v>1.3959739718536268E-4</v>
      </c>
      <c r="U243" s="25" cm="1">
        <f t="array" aca="1" ref="U243" ca="1">MMS_Dairy_Methane_Equations.VEERG_4_3_1_1__2_MethaneFromManureProduction(S$133,U178,_xlfn.XLOOKUP($P243,$O$228:$O$232,$P$228:$P$232),$I$221,$I$222)</f>
        <v>8.3729599004603552E-5</v>
      </c>
      <c r="V243" s="26"/>
    </row>
    <row r="244" spans="3:23" ht="20.100000000000001" customHeight="1" x14ac:dyDescent="0.25">
      <c r="D244" s="25" t="str">
        <f>INDEX(X_Table_Dairy_ProductionSystems_Method1,4,1)</f>
        <v>Feed pad</v>
      </c>
      <c r="E244" s="25" t="str">
        <f>INDEX(X_Table_Dairy_Stage1MMS_2_DrainsToPaddock,2,1)</f>
        <v>Drains to paddock</v>
      </c>
      <c r="F244" s="25" cm="1">
        <f t="array" aca="1" ref="F244" ca="1">MMS_Dairy_Methane_Equations.VEERG_4_3_1_1__2_MethaneFromManureProduction(D$133,F179,_xlfn.XLOOKUP($E244,$D$228:$D$232,$E$228:$E$232),$I$221,$I$222)</f>
        <v>1.0485407092556005E-2</v>
      </c>
      <c r="G244" s="25" cm="1">
        <f t="array" aca="1" ref="G244" ca="1">MMS_Dairy_Methane_Equations.VEERG_4_3_1_1__2_MethaneFromManureProduction(E$133,G179,_xlfn.XLOOKUP($E244,$D$228:$D$232,$E$228:$E$232),$I$221,$I$222)</f>
        <v>4.1302190016396789E-3</v>
      </c>
      <c r="H244" s="25" cm="1">
        <f t="array" aca="1" ref="H244" ca="1">MMS_Dairy_Methane_Equations.VEERG_4_3_1_1__2_MethaneFromManureProduction(F$133,H179,_xlfn.XLOOKUP($E244,$D$228:$D$232,$E$228:$E$232),$I$221,$I$222)</f>
        <v>2.2397738163009058E-3</v>
      </c>
      <c r="I244" s="25" cm="1">
        <f t="array" aca="1" ref="I244" ca="1">MMS_Dairy_Methane_Equations.VEERG_4_3_1_1__2_MethaneFromManureProduction(G$133,I179,_xlfn.XLOOKUP($E244,$D$228:$D$232,$E$228:$E$232),$I$221,$I$222)</f>
        <v>5.0255062986730567E-3</v>
      </c>
      <c r="J244" s="25" cm="1">
        <f t="array" aca="1" ref="J244" ca="1">MMS_Dairy_Methane_Equations.VEERG_4_3_1_1__2_MethaneFromManureProduction(H$133,J179,_xlfn.XLOOKUP($E244,$D$228:$D$232,$E$228:$E$232),$I$221,$I$222)</f>
        <v>3.0142655641657275E-3</v>
      </c>
      <c r="K244" s="26"/>
      <c r="O244" s="25" t="str">
        <f>INDEX(X_Table_Dairy_ProductionSystems_Method1,4,1)</f>
        <v>Feed pad</v>
      </c>
      <c r="P244" s="25" t="str">
        <f>INDEX(X_Table_Dairy_Stage1MMS_2_DrainsToPaddock,2,1)</f>
        <v>Drains to paddock</v>
      </c>
      <c r="Q244" s="25" cm="1">
        <f t="array" aca="1" ref="Q244" ca="1">MMS_Dairy_Methane_Equations.VEERG_4_3_1_1__2_MethaneFromManureProduction(O$133,Q179,_xlfn.XLOOKUP($P244,$O$228:$O$232,$P$228:$P$232),$I$221,$I$222)</f>
        <v>1.2815497557568452E-2</v>
      </c>
      <c r="R244" s="25" cm="1">
        <f t="array" aca="1" ref="R244" ca="1">MMS_Dairy_Methane_Equations.VEERG_4_3_1_1__2_MethaneFromManureProduction(P$133,R179,_xlfn.XLOOKUP($P244,$O$228:$O$232,$P$228:$P$232),$I$221,$I$222)</f>
        <v>5.0480454464484964E-3</v>
      </c>
      <c r="S244" s="25" cm="1">
        <f t="array" aca="1" ref="S244" ca="1">MMS_Dairy_Methane_Equations.VEERG_4_3_1_1__2_MethaneFromManureProduction(Q$133,S179,_xlfn.XLOOKUP($P244,$O$228:$O$232,$P$228:$P$232),$I$221,$I$222)</f>
        <v>2.7375013310344406E-3</v>
      </c>
      <c r="T244" s="25" cm="1">
        <f t="array" aca="1" ref="T244" ca="1">MMS_Dairy_Methane_Equations.VEERG_4_3_1_1__2_MethaneFromManureProduction(R$133,T179,_xlfn.XLOOKUP($P244,$O$228:$O$232,$P$228:$P$232),$I$221,$I$222)</f>
        <v>6.1422854761559592E-3</v>
      </c>
      <c r="U244" s="25" cm="1">
        <f t="array" aca="1" ref="U244" ca="1">MMS_Dairy_Methane_Equations.VEERG_4_3_1_1__2_MethaneFromManureProduction(S$133,U179,_xlfn.XLOOKUP($P244,$O$228:$O$232,$P$228:$P$232),$I$221,$I$222)</f>
        <v>3.684102356202556E-3</v>
      </c>
      <c r="V244" s="26"/>
    </row>
    <row r="245" spans="3:23" ht="20.100000000000001" customHeight="1" x14ac:dyDescent="0.25">
      <c r="D245" s="25" t="str">
        <f>INDEX(X_Table_Dairy_ProductionSystems_Method1,4,1)</f>
        <v>Feed pad</v>
      </c>
      <c r="E245" s="25" t="s">
        <v>76</v>
      </c>
      <c r="F245" s="25" cm="1">
        <f t="array" aca="1" ref="F245" ca="1">MMS_Dairy_Methane_Equations.VEERG_4_3_1_1__2_MethaneFromManureProduction(D$133,F206,_xlfn.XLOOKUP($E245,$D$228:$D$232,$E$228:$E$232),$I$221,$I$222)</f>
        <v>2.0388291568858899E-3</v>
      </c>
      <c r="G245" s="25" cm="1">
        <f t="array" aca="1" ref="G245" ca="1">MMS_Dairy_Methane_Equations.VEERG_4_3_1_1__2_MethaneFromManureProduction(E$133,G206,_xlfn.XLOOKUP($E245,$D$228:$D$232,$E$228:$E$232),$I$221,$I$222)</f>
        <v>8.0309813920771526E-4</v>
      </c>
      <c r="H245" s="25" cm="1">
        <f t="array" aca="1" ref="H245" ca="1">MMS_Dairy_Methane_Equations.VEERG_4_3_1_1__2_MethaneFromManureProduction(F$133,H206,_xlfn.XLOOKUP($E245,$D$228:$D$232,$E$228:$E$232),$I$221,$I$222)</f>
        <v>4.3551157539184287E-4</v>
      </c>
      <c r="I245" s="25" cm="1">
        <f t="array" aca="1" ref="I245" ca="1">MMS_Dairy_Methane_Equations.VEERG_4_3_1_1__2_MethaneFromManureProduction(G$133,I206,_xlfn.XLOOKUP($E245,$D$228:$D$232,$E$228:$E$232),$I$221,$I$222)</f>
        <v>9.7718178029753897E-4</v>
      </c>
      <c r="J245" s="25" cm="1">
        <f t="array" aca="1" ref="J245" ca="1">MMS_Dairy_Methane_Equations.VEERG_4_3_1_1__2_MethaneFromManureProduction(H$133,J206,_xlfn.XLOOKUP($E245,$D$228:$D$232,$E$228:$E$232),$I$221,$I$222)</f>
        <v>5.8610719303222485E-4</v>
      </c>
      <c r="K245" s="26"/>
      <c r="O245" s="25" t="str">
        <f>INDEX(X_Table_Dairy_ProductionSystems_Method1,4,1)</f>
        <v>Feed pad</v>
      </c>
      <c r="P245" s="25" t="s">
        <v>76</v>
      </c>
      <c r="Q245" s="25" cm="1">
        <f t="array" aca="1" ref="Q245" ca="1">MMS_Dairy_Methane_Equations.VEERG_4_3_1_1__2_MethaneFromManureProduction(O$133,Q206,_xlfn.XLOOKUP($P245,$O$228:$O$232,$P$228:$P$232),$I$221,$I$222)</f>
        <v>2.0388291568858899E-3</v>
      </c>
      <c r="R245" s="25" cm="1">
        <f t="array" aca="1" ref="R245" ca="1">MMS_Dairy_Methane_Equations.VEERG_4_3_1_1__2_MethaneFromManureProduction(P$133,R206,_xlfn.XLOOKUP($P245,$O$228:$O$232,$P$228:$P$232),$I$221,$I$222)</f>
        <v>8.0309813920771526E-4</v>
      </c>
      <c r="S245" s="25" cm="1">
        <f t="array" aca="1" ref="S245" ca="1">MMS_Dairy_Methane_Equations.VEERG_4_3_1_1__2_MethaneFromManureProduction(Q$133,S206,_xlfn.XLOOKUP($P245,$O$228:$O$232,$P$228:$P$232),$I$221,$I$222)</f>
        <v>4.3551157539184287E-4</v>
      </c>
      <c r="T245" s="25" cm="1">
        <f t="array" aca="1" ref="T245" ca="1">MMS_Dairy_Methane_Equations.VEERG_4_3_1_1__2_MethaneFromManureProduction(R$133,T206,_xlfn.XLOOKUP($P245,$O$228:$O$232,$P$228:$P$232),$I$221,$I$222)</f>
        <v>9.7718178029753897E-4</v>
      </c>
      <c r="U245" s="25" cm="1">
        <f t="array" aca="1" ref="U245" ca="1">MMS_Dairy_Methane_Equations.VEERG_4_3_1_1__2_MethaneFromManureProduction(S$133,U206,_xlfn.XLOOKUP($P245,$O$228:$O$232,$P$228:$P$232),$I$221,$I$222)</f>
        <v>5.8610719303222485E-4</v>
      </c>
      <c r="V245" s="26"/>
    </row>
    <row r="246" spans="3:23" ht="20.100000000000001" customHeight="1" x14ac:dyDescent="0.25"/>
    <row r="247" spans="3:23" ht="20.100000000000001" customHeight="1" x14ac:dyDescent="0.25"/>
    <row r="248" spans="3:23" ht="20.100000000000001" customHeight="1" x14ac:dyDescent="0.25">
      <c r="C248" s="101"/>
      <c r="D248" s="101"/>
      <c r="E248" s="101"/>
      <c r="F248" s="101"/>
      <c r="G248" s="101"/>
      <c r="H248" s="101"/>
      <c r="I248" s="101"/>
      <c r="J248" s="101"/>
      <c r="K248" s="101"/>
      <c r="L248" s="101"/>
      <c r="N248" s="101"/>
      <c r="O248" s="101"/>
      <c r="P248" s="101"/>
      <c r="Q248" s="101"/>
      <c r="R248" s="101"/>
      <c r="S248" s="101"/>
      <c r="T248" s="101"/>
      <c r="U248" s="101"/>
      <c r="V248" s="101"/>
      <c r="W248" s="101"/>
    </row>
    <row r="249" spans="3:23" ht="20.100000000000001" customHeight="1" x14ac:dyDescent="0.25">
      <c r="D249" s="2" t="str" cm="1">
        <f t="array" ref="D249">MMS_Dairy_Methane_Equations.VEERG_4_3_1_1__1_TotalAnnualMethaneFromManureManagement_Title()</f>
        <v>Total annual methane production from manure management</v>
      </c>
    </row>
    <row r="250" spans="3:23" ht="20.100000000000001" customHeight="1" x14ac:dyDescent="0.25">
      <c r="D250" s="27" t="str" cm="1">
        <f t="array" ref="D250">MMS_Dairy_Methane_Equations.VEERG_4_3_1_1__1_TotalAnnualMethaneFromManureManagement_Source()</f>
        <v>VEERG 2026: 4.3.1.1, Equation (1)</v>
      </c>
    </row>
    <row r="251" spans="3:23" ht="20.100000000000001" customHeight="1" x14ac:dyDescent="0.25">
      <c r="D251" s="35"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18" t="s">
        <v>262</v>
      </c>
      <c r="E252" s="118" t="str" cm="1">
        <f t="array" aca="1" ref="E252" ca="1">Common_InputFunctions.Utility_DisplayFunctionName($F$291)</f>
        <v>=MMS_Dairy_Methane_Equations.VEERG_4_3_1_1__1_TotalAnnualMethaneFromManureManagementVariation</v>
      </c>
    </row>
    <row r="253" spans="3:23" ht="20.100000000000001" customHeight="1" x14ac:dyDescent="0.25">
      <c r="D253" s="2"/>
    </row>
    <row r="254" spans="3:23" ht="20.100000000000001" customHeight="1" x14ac:dyDescent="0.25">
      <c r="D254" s="2"/>
    </row>
    <row r="255" spans="3:23" ht="20.100000000000001" customHeight="1" x14ac:dyDescent="0.25">
      <c r="D255" s="87" t="s">
        <v>263</v>
      </c>
      <c r="E255" s="1" t="str" cm="1">
        <f t="array" ref="E255">MMS_Dairy_Methane_Equations.VEERG_4_3_1_1__1_TotalAnnualMethaneFromManureManagement_Variable()</f>
        <v>E_CH4</v>
      </c>
    </row>
    <row r="256" spans="3:23" ht="20.100000000000001" customHeight="1" x14ac:dyDescent="0.25">
      <c r="D256" s="87" t="s">
        <v>122</v>
      </c>
      <c r="E256" s="15" t="str" cm="1">
        <f t="array" ref="E256">MMS_Dairy_Methane_Equations.VEERG_4_3_1_1__1_TotalAnnualMethaneFromManureManagement_Unit()</f>
        <v>t CH4</v>
      </c>
    </row>
    <row r="257" spans="4:15" ht="20.100000000000001" customHeight="1" x14ac:dyDescent="0.25"/>
    <row r="258" spans="4:15" ht="20.100000000000001" customHeight="1" x14ac:dyDescent="0.25">
      <c r="D258" s="120" t="str" cm="1">
        <f t="array" ref="D258:E265">_xlfn.CHOOSECOLS(MMS_Dairy_Methane_Equations.VEERG_4_3_1_1__1_TotalAnnualMethaneFromManureManagement_Arguments(),1,2)</f>
        <v>N_j124</v>
      </c>
      <c r="E258" s="125" t="str">
        <v>number of dairy cattle in classes j=1,2,4</v>
      </c>
      <c r="F258" s="133"/>
      <c r="G258" s="126"/>
      <c r="H258" s="120" t="str" cm="1">
        <f t="array" ref="H258:I265">_xlfn.CHOOSECOLS(MMS_Dairy_Methane_Equations.VEERG_4_3_1_1__1_TotalAnnualMethaneFromManureManagement_Arguments(),3,4)</f>
        <v>head</v>
      </c>
      <c r="I258" s="121" t="str">
        <v>Input</v>
      </c>
      <c r="J258" s="127" t="str" cm="1">
        <f t="array" aca="1" ref="J258" ca="1">HYPERLINK(Common_InputFunctions.Utility_SourceHyperlink($D$267),$D$267)</f>
        <v>Table_N_j</v>
      </c>
    </row>
    <row r="259" spans="4:15" ht="20.100000000000001" customHeight="1" x14ac:dyDescent="0.25">
      <c r="D259" s="120" t="str">
        <v>M_j124m</v>
      </c>
      <c r="E259" s="125" t="str">
        <v>methane production from manure of weaned dairy cattle in classes j=1,2,4 in MMS m</v>
      </c>
      <c r="F259" s="133"/>
      <c r="G259" s="126"/>
      <c r="H259" s="120" t="str">
        <v>kg CH4/head/day</v>
      </c>
      <c r="I259" s="128" t="str">
        <v>Calculated from 4.3.1.1 (2)</v>
      </c>
      <c r="J259" s="127" t="str" cm="1">
        <f t="array" aca="1" ref="J259" ca="1">HYPERLINK(Common_InputFunctions.Utility_SourceHyperlink($D$234),$D$234)</f>
        <v>M1_M_j_m</v>
      </c>
    </row>
    <row r="260" spans="4:15" ht="20.100000000000001" customHeight="1" x14ac:dyDescent="0.25">
      <c r="D260" s="120" t="str">
        <v>D_j124</v>
      </c>
      <c r="E260" s="125" t="str">
        <v>duration of stay on farm for classes j=1,2,4</v>
      </c>
      <c r="F260" s="133"/>
      <c r="G260" s="126"/>
      <c r="H260" s="120" t="str">
        <v>days</v>
      </c>
      <c r="I260" s="121" t="str">
        <v>Input</v>
      </c>
      <c r="J260" s="127" t="str" cm="1">
        <f t="array" aca="1" ref="J260" ca="1">HYPERLINK(Common_InputFunctions.Utility_SourceHyperlink($D$272),$D$272)</f>
        <v>M1_Table_D_j</v>
      </c>
    </row>
    <row r="261" spans="4:15" ht="20.100000000000001" customHeight="1" x14ac:dyDescent="0.25">
      <c r="D261" s="120" t="str">
        <v>N_j35</v>
      </c>
      <c r="E261" s="125" t="str">
        <v>number of dairy cattle in classes j=3,5</v>
      </c>
      <c r="F261" s="133"/>
      <c r="G261" s="126"/>
      <c r="H261" s="120" t="str">
        <v>head</v>
      </c>
      <c r="I261" s="121" t="str">
        <v>Input</v>
      </c>
      <c r="J261" s="127" t="str" cm="1">
        <f t="array" aca="1" ref="J261" ca="1">HYPERLINK(Common_InputFunctions.Utility_SourceHyperlink($D$267),$D$267)</f>
        <v>Table_N_j</v>
      </c>
    </row>
    <row r="262" spans="4:15" ht="20.100000000000001" customHeight="1" x14ac:dyDescent="0.25">
      <c r="D262" s="120" t="str">
        <v>M_j35m</v>
      </c>
      <c r="E262" s="125" t="str">
        <v>methane production from manure of weaned dairy cattle in classes j=3,5 in MMS m</v>
      </c>
      <c r="F262" s="133"/>
      <c r="G262" s="126"/>
      <c r="H262" s="120" t="str">
        <v>kg CH4/head/day</v>
      </c>
      <c r="I262" s="128" t="str">
        <v>Calculated from 4.3.1.1 (2)</v>
      </c>
      <c r="J262" s="127" t="str" cm="1">
        <f t="array" aca="1" ref="J262" ca="1">HYPERLINK(Common_InputFunctions.Utility_SourceHyperlink($D$234),$D$234)</f>
        <v>M1_M_j_m</v>
      </c>
    </row>
    <row r="263" spans="4:15" ht="20.100000000000001" customHeight="1" x14ac:dyDescent="0.25">
      <c r="D263" s="120" t="str">
        <v>D_j35</v>
      </c>
      <c r="E263" s="125" t="str">
        <v>duration of stay on farm for classes j=3,5</v>
      </c>
      <c r="F263" s="133"/>
      <c r="G263" s="126"/>
      <c r="H263" s="120" t="str">
        <v>days</v>
      </c>
      <c r="I263" s="121" t="str">
        <v>Input</v>
      </c>
      <c r="J263" s="127" t="str" cm="1">
        <f t="array" aca="1" ref="J263" ca="1">HYPERLINK(Common_InputFunctions.Utility_SourceHyperlink($D$272),$D$272)</f>
        <v>M1_Table_D_j</v>
      </c>
    </row>
    <row r="264" spans="4:15" ht="20.100000000000001" customHeight="1" x14ac:dyDescent="0.25">
      <c r="D264" s="120" t="str">
        <v>MPW_manure_j35</v>
      </c>
      <c r="E264" s="125" t="str">
        <v>methane production from manure of pre-weaned heifer and bull calves</v>
      </c>
      <c r="F264" s="133"/>
      <c r="G264" s="126"/>
      <c r="H264" s="120" t="str">
        <v>kg CH4/head/day</v>
      </c>
      <c r="I264" s="128" t="str">
        <v>Constant</v>
      </c>
      <c r="J264" s="127" t="str" cm="1">
        <f t="array" aca="1" ref="J264" ca="1">HYPERLINK(Common_InputFunctions.Utility_SourceHyperlink($D$277),$D$277)</f>
        <v>Table_MPW_manure_j-3-5</v>
      </c>
    </row>
    <row r="265" spans="4:15" ht="20.100000000000001" customHeight="1" x14ac:dyDescent="0.25">
      <c r="D265" s="120" t="str">
        <v>DPW_j35</v>
      </c>
      <c r="E265" s="125" t="str">
        <v>duration of stay on farm for pre-weaned heifer and bull calves</v>
      </c>
      <c r="F265" s="133"/>
      <c r="G265" s="126"/>
      <c r="H265" s="120" t="str">
        <v>days</v>
      </c>
      <c r="I265" s="121" t="str">
        <v>Input</v>
      </c>
      <c r="J265" s="127" t="str" cm="1">
        <f t="array" aca="1" ref="J265" ca="1">HYPERLINK(Common_InputFunctions.Utility_SourceHyperlink($D$282),$D$282)</f>
        <v>M1_Table_DPW_j</v>
      </c>
    </row>
    <row r="266" spans="4:15" ht="20.100000000000001" customHeight="1" x14ac:dyDescent="0.25"/>
    <row r="267" spans="4:15" ht="20.100000000000001" customHeight="1" x14ac:dyDescent="0.25">
      <c r="D267" s="122" t="s">
        <v>336</v>
      </c>
    </row>
    <row r="268" spans="4:15" ht="20.100000000000001" customHeight="1" x14ac:dyDescent="0.25">
      <c r="D268" s="123" t="s">
        <v>337</v>
      </c>
    </row>
    <row r="269" spans="4:15" ht="20.100000000000001" customHeight="1" x14ac:dyDescent="0.25">
      <c r="D269" s="94" t="s">
        <v>213</v>
      </c>
      <c r="E269" s="94" t="s">
        <v>214</v>
      </c>
      <c r="F269" s="94" t="s">
        <v>215</v>
      </c>
      <c r="G269" s="94" t="s">
        <v>216</v>
      </c>
      <c r="H269" s="94" t="s">
        <v>217</v>
      </c>
    </row>
    <row r="270" spans="4:15" ht="20.100000000000001" customHeight="1" x14ac:dyDescent="0.25">
      <c r="D270" s="134">
        <f>INDEX(X_Table_Dairy_HerdMovement,2,2)</f>
        <v>100</v>
      </c>
      <c r="E270" s="134">
        <f>INDEX(X_Table_Dairy_HerdMovement,2,3)</f>
        <v>100</v>
      </c>
      <c r="F270" s="134">
        <f>INDEX(X_Table_Dairy_HerdMovement,2,4)</f>
        <v>100</v>
      </c>
      <c r="G270" s="134">
        <f>INDEX(X_Table_Dairy_HerdMovement,2,5)</f>
        <v>100</v>
      </c>
      <c r="H270" s="134">
        <f>INDEX(X_Table_Dairy_HerdMovement,2,6)</f>
        <v>100</v>
      </c>
      <c r="I270" s="26" t="s">
        <v>338</v>
      </c>
    </row>
    <row r="271" spans="4:15" ht="20.100000000000001" customHeight="1" x14ac:dyDescent="0.25"/>
    <row r="272" spans="4:15" x14ac:dyDescent="0.25">
      <c r="D272" s="122" t="s">
        <v>339</v>
      </c>
      <c r="O272" s="122" t="s">
        <v>340</v>
      </c>
    </row>
    <row r="273" spans="1:20" x14ac:dyDescent="0.25">
      <c r="D273" s="123" t="s">
        <v>341</v>
      </c>
      <c r="O273" s="123" t="s">
        <v>342</v>
      </c>
    </row>
    <row r="274" spans="1:20" x14ac:dyDescent="0.25">
      <c r="D274" s="94" t="s">
        <v>213</v>
      </c>
      <c r="E274" s="94" t="s">
        <v>214</v>
      </c>
      <c r="F274" s="94" t="s">
        <v>215</v>
      </c>
      <c r="G274" s="94" t="s">
        <v>216</v>
      </c>
      <c r="H274" s="94" t="s">
        <v>217</v>
      </c>
      <c r="O274" s="94" t="s">
        <v>213</v>
      </c>
      <c r="P274" s="94" t="s">
        <v>214</v>
      </c>
      <c r="Q274" s="94" t="s">
        <v>215</v>
      </c>
      <c r="R274" s="94" t="s">
        <v>216</v>
      </c>
      <c r="S274" s="94" t="s">
        <v>217</v>
      </c>
    </row>
    <row r="275" spans="1:20" x14ac:dyDescent="0.25">
      <c r="A275" s="129" t="str">
        <f>HYPERLINK("#A1", "▲ Back to top")</f>
        <v>▲ Back to top</v>
      </c>
      <c r="D275" s="25">
        <f>INDEX(X_Table_Dairy_DurationOfStay_Method1,2,2)</f>
        <v>365</v>
      </c>
      <c r="E275" s="25">
        <f>INDEX(X_Table_Dairy_DurationOfStay_Method1,2,3)</f>
        <v>365</v>
      </c>
      <c r="F275" s="25">
        <f>INDEX(X_Table_Dairy_DurationOfStay_Method1,2,4)</f>
        <v>281</v>
      </c>
      <c r="G275" s="25">
        <f>INDEX(X_Table_Dairy_DurationOfStay_Method1,2,5)</f>
        <v>365</v>
      </c>
      <c r="H275" s="25">
        <f>INDEX(X_Table_Dairy_DurationOfStay_Method1,2,6)</f>
        <v>281</v>
      </c>
      <c r="I275" s="26" t="s">
        <v>113</v>
      </c>
      <c r="O275" s="25">
        <f>INDEX(X_Table_Dairy_DurationOfStay_Method2,2,2)</f>
        <v>365</v>
      </c>
      <c r="P275" s="25">
        <f>INDEX(X_Table_Dairy_DurationOfStay_Method2,2,3)</f>
        <v>365</v>
      </c>
      <c r="Q275" s="25">
        <f>INDEX(X_Table_Dairy_DurationOfStay_Method2,2,4)</f>
        <v>281</v>
      </c>
      <c r="R275" s="25">
        <f>INDEX(X_Table_Dairy_DurationOfStay_Method2,2,5)</f>
        <v>365</v>
      </c>
      <c r="S275" s="25">
        <f>INDEX(X_Table_Dairy_DurationOfStay_Method2,2,6)</f>
        <v>281</v>
      </c>
      <c r="T275" s="26" t="s">
        <v>113</v>
      </c>
    </row>
    <row r="277" spans="1:20" x14ac:dyDescent="0.25">
      <c r="D277" s="122" t="s">
        <v>343</v>
      </c>
    </row>
    <row r="278" spans="1:20" x14ac:dyDescent="0.25">
      <c r="D278" s="123" t="s">
        <v>344</v>
      </c>
    </row>
    <row r="279" spans="1:20" x14ac:dyDescent="0.25">
      <c r="D279" s="124" t="s">
        <v>213</v>
      </c>
      <c r="E279" s="124" t="s">
        <v>214</v>
      </c>
      <c r="F279" s="124" t="s">
        <v>215</v>
      </c>
      <c r="G279" s="124" t="s">
        <v>216</v>
      </c>
      <c r="H279" s="124" t="s">
        <v>217</v>
      </c>
    </row>
    <row r="280" spans="1:20" x14ac:dyDescent="0.25">
      <c r="D280" s="25">
        <v>0</v>
      </c>
      <c r="E280" s="25">
        <v>0</v>
      </c>
      <c r="F280" s="25">
        <f>'Constants - Dairy'!$E$63</f>
        <v>1.7600000000000001E-2</v>
      </c>
      <c r="G280" s="25">
        <v>0</v>
      </c>
      <c r="H280" s="25">
        <f>'Constants - Dairy'!$E$64</f>
        <v>2.0400000000000001E-2</v>
      </c>
      <c r="I280" s="26" t="s">
        <v>345</v>
      </c>
    </row>
    <row r="282" spans="1:20" x14ac:dyDescent="0.25">
      <c r="D282" s="122" t="s">
        <v>346</v>
      </c>
      <c r="O282" s="122" t="s">
        <v>346</v>
      </c>
    </row>
    <row r="283" spans="1:20" x14ac:dyDescent="0.25">
      <c r="D283" s="123" t="s">
        <v>347</v>
      </c>
      <c r="O283" s="123" t="s">
        <v>347</v>
      </c>
    </row>
    <row r="284" spans="1:20" x14ac:dyDescent="0.25">
      <c r="D284" s="124" t="s">
        <v>213</v>
      </c>
      <c r="E284" s="124" t="s">
        <v>214</v>
      </c>
      <c r="F284" s="124" t="s">
        <v>215</v>
      </c>
      <c r="G284" s="124" t="s">
        <v>216</v>
      </c>
      <c r="H284" s="124" t="s">
        <v>217</v>
      </c>
      <c r="O284" s="94" t="s">
        <v>213</v>
      </c>
      <c r="P284" s="94" t="s">
        <v>214</v>
      </c>
      <c r="Q284" s="94" t="s">
        <v>215</v>
      </c>
      <c r="R284" s="94" t="s">
        <v>216</v>
      </c>
      <c r="S284" s="94" t="s">
        <v>217</v>
      </c>
    </row>
    <row r="285" spans="1:20" x14ac:dyDescent="0.25">
      <c r="D285" s="25">
        <f>INDEX(X_Table_Dairy_DurationOfStay_Method1,3,2)</f>
        <v>0</v>
      </c>
      <c r="E285" s="25">
        <f>INDEX(X_Table_Dairy_DurationOfStay_Method1,3,3)</f>
        <v>0</v>
      </c>
      <c r="F285" s="25">
        <f>INDEX(X_Table_Dairy_DurationOfStay_Method1,3,4)</f>
        <v>84</v>
      </c>
      <c r="G285" s="25">
        <f>INDEX(X_Table_Dairy_DurationOfStay_Method1,3,5)</f>
        <v>0</v>
      </c>
      <c r="H285" s="25">
        <f>INDEX(X_Table_Dairy_DurationOfStay_Method1,3,6)</f>
        <v>84</v>
      </c>
      <c r="I285" s="26" t="s">
        <v>113</v>
      </c>
      <c r="O285" s="25">
        <f>INDEX(X_Table_Dairy_DurationOfStay_Method2,3,2)</f>
        <v>0</v>
      </c>
      <c r="P285" s="25">
        <f>INDEX(X_Table_Dairy_DurationOfStay_Method2,3,3)</f>
        <v>0</v>
      </c>
      <c r="Q285" s="25">
        <f>INDEX(X_Table_Dairy_DurationOfStay_Method2,3,4)</f>
        <v>84</v>
      </c>
      <c r="R285" s="25">
        <f>INDEX(X_Table_Dairy_DurationOfStay_Method2,3,5)</f>
        <v>0</v>
      </c>
      <c r="S285" s="25">
        <f>INDEX(X_Table_Dairy_DurationOfStay_Method2,3,6)</f>
        <v>84</v>
      </c>
      <c r="T285" s="26" t="s">
        <v>113</v>
      </c>
    </row>
    <row r="287" spans="1:20" x14ac:dyDescent="0.25">
      <c r="D287" s="122" t="s">
        <v>348</v>
      </c>
      <c r="O287" s="122" t="s">
        <v>348</v>
      </c>
    </row>
    <row r="288" spans="1:20" x14ac:dyDescent="0.25">
      <c r="D288" s="123" t="s">
        <v>349</v>
      </c>
      <c r="O288" s="123" t="s">
        <v>350</v>
      </c>
    </row>
    <row r="289" spans="4:21" x14ac:dyDescent="0.25">
      <c r="D289" s="124" t="s">
        <v>168</v>
      </c>
      <c r="E289" s="124" t="s">
        <v>307</v>
      </c>
      <c r="F289" s="124" t="s">
        <v>213</v>
      </c>
      <c r="G289" s="124" t="s">
        <v>214</v>
      </c>
      <c r="H289" s="124" t="s">
        <v>215</v>
      </c>
      <c r="I289" s="124" t="s">
        <v>216</v>
      </c>
      <c r="J289" s="124" t="s">
        <v>217</v>
      </c>
      <c r="O289" s="124" t="s">
        <v>168</v>
      </c>
      <c r="P289" s="124" t="s">
        <v>307</v>
      </c>
      <c r="Q289" s="124" t="s">
        <v>213</v>
      </c>
      <c r="R289" s="124" t="s">
        <v>214</v>
      </c>
      <c r="S289" s="124" t="s">
        <v>215</v>
      </c>
      <c r="T289" s="124" t="s">
        <v>216</v>
      </c>
      <c r="U289" s="124" t="s">
        <v>217</v>
      </c>
    </row>
    <row r="290" spans="4:21" x14ac:dyDescent="0.25">
      <c r="D290" s="25" t="str">
        <f>INDEX(X_Table_Dairy_ProductionSystems_Method1,2,1)</f>
        <v>Pasture</v>
      </c>
      <c r="E290" s="25" t="str">
        <f>'Constants - Common Livestock'!$E$27</f>
        <v>Pasture range and paddock</v>
      </c>
      <c r="F290" s="25" cm="1">
        <f t="array" aca="1" ref="F290" ca="1">MMS_Dairy_Methane_Equations.VEERG_4_3_1_1__1_TotalAnnualMethaneFromManureManagementVariation(D$270,F237,D$275,0,0,0,0,0)</f>
        <v>0.15946556619928928</v>
      </c>
      <c r="G290" s="25" cm="1">
        <f t="array" aca="1" ref="G290" ca="1">MMS_Dairy_Methane_Equations.VEERG_4_3_1_1__1_TotalAnnualMethaneFromManureManagementVariation(E$270,G237,E$275,0,0,0,0,0)</f>
        <v>6.2813747316603469E-2</v>
      </c>
      <c r="H290" s="25" cm="1">
        <f t="array" aca="1" ref="H290" ca="1">MMS_Dairy_Methane_Equations.VEERG_4_3_1_1__1_TotalAnnualMethaneFromManureManagementVariation(0,0,0,F$270,H237,F$275,F$280,F$285)</f>
        <v>0.17406401843252312</v>
      </c>
      <c r="I290" s="25" cm="1">
        <f t="array" aca="1" ref="I290" ca="1">MMS_Dairy_Methane_Equations.VEERG_4_3_1_1__1_TotalAnnualMethaneFromManureManagementVariation(G$270,I237,G$275,0,0,0,0,0)</f>
        <v>7.6429574958986099E-2</v>
      </c>
      <c r="J290" s="25" cm="1">
        <f t="array" aca="1" ref="J290" ca="1">MMS_Dairy_Methane_Equations.VEERG_4_3_1_1__1_TotalAnnualMethaneFromManureManagementVariation(0,0,0,H$270,J237,H$275,H$280,H$285)</f>
        <v>0.20665202598044041</v>
      </c>
      <c r="O290" s="25" t="str">
        <f>INDEX(X_Table_Dairy_ProductionSystems_Method1,2,1)</f>
        <v>Pasture</v>
      </c>
      <c r="P290" s="25" t="str">
        <f>'Constants - Common Livestock'!$E$27</f>
        <v>Pasture range and paddock</v>
      </c>
      <c r="Q290" s="25" cm="1">
        <f t="array" aca="1" ref="Q290" ca="1">MMS_Dairy_Methane_Equations.VEERG_4_3_1_1__1_TotalAnnualMethaneFromManureManagementVariation(D$270,Q237,O$275,0,0,0,0,0)</f>
        <v>0.15946556619928928</v>
      </c>
      <c r="R290" s="25" cm="1">
        <f t="array" aca="1" ref="R290" ca="1">MMS_Dairy_Methane_Equations.VEERG_4_3_1_1__1_TotalAnnualMethaneFromManureManagementVariation(E$270,R237,P$275,0,0,0,0,0)</f>
        <v>6.2813747316603469E-2</v>
      </c>
      <c r="S290" s="25" cm="1">
        <f t="array" aca="1" ref="S290" ca="1">MMS_Dairy_Methane_Equations.VEERG_4_3_1_1__1_TotalAnnualMethaneFromManureManagementVariation(0,0,0,F$270,S237,Q$275,F$280,Q$285)</f>
        <v>0.17406401843252312</v>
      </c>
      <c r="T290" s="25" cm="1">
        <f t="array" aca="1" ref="T290" ca="1">MMS_Dairy_Methane_Equations.VEERG_4_3_1_1__1_TotalAnnualMethaneFromManureManagementVariation(G$270,T237,R$275,0,0,0,0,0)</f>
        <v>7.6429574958986099E-2</v>
      </c>
      <c r="U290" s="25" cm="1">
        <f t="array" aca="1" ref="U290" ca="1">MMS_Dairy_Methane_Equations.VEERG_4_3_1_1__1_TotalAnnualMethaneFromManureManagementVariation(0,0,0,H$270,U237,S$275,H$280,S$285)</f>
        <v>0.20665202598044041</v>
      </c>
    </row>
    <row r="291" spans="4:21" x14ac:dyDescent="0.25">
      <c r="D291" s="25" t="str">
        <f>INDEX(X_Table_Dairy_ProductionSystems_Method1,3,1)</f>
        <v>Milking shed</v>
      </c>
      <c r="E291" s="25" t="str">
        <f>INDEX(X_Table_Dairy_Stage1MMS_1_AnaerobicLagoon,2,1)</f>
        <v>Anaerobic lagoon</v>
      </c>
      <c r="F291" s="25" cm="1">
        <f t="array" aca="1" ref="F291" ca="1">MMS_Dairy_Methane_Equations.VEERG_4_3_1_1__1_TotalAnnualMethaneFromManureManagementVariation(D$270,F238,D$275,0,0,0,0,0)</f>
        <v>0.49930042450414175</v>
      </c>
      <c r="G291" s="25" cm="1">
        <f t="array" aca="1" ref="G291" ca="1">MMS_Dairy_Methane_Equations.VEERG_4_3_1_1__1_TotalAnnualMethaneFromManureManagementVariation(E$270,G238,E$275,0,0,0,0,0)</f>
        <v>0.1966752537703389</v>
      </c>
      <c r="H291" s="25" cm="1">
        <f t="array" aca="1" ref="H291" ca="1">MMS_Dairy_Methane_Equations.VEERG_4_3_1_1__1_TotalAnnualMethaneFromManureManagementVariation(0,0,0,F$270,H238,F$275,F$280,F$285)</f>
        <v>0.22994966071007236</v>
      </c>
      <c r="I291" s="25" cm="1">
        <f t="array" aca="1" ref="I291" ca="1">MMS_Dairy_Methane_Equations.VEERG_4_3_1_1__1_TotalAnnualMethaneFromManureManagementVariation(G$270,I238,G$275,0,0,0,0,0)</f>
        <v>0.23930758301764934</v>
      </c>
      <c r="J291" s="25" cm="1">
        <f t="array" aca="1" ref="J291" ca="1">MMS_Dairy_Methane_Equations.VEERG_4_3_1_1__1_TotalAnnualMethaneFromManureManagementVariation(0,0,0,H$270,J238,H$275,H$280,H$285)</f>
        <v>0.28186237348182841</v>
      </c>
      <c r="O291" s="25" t="str">
        <f>INDEX(X_Table_Dairy_ProductionSystems_Method1,3,1)</f>
        <v>Milking shed</v>
      </c>
      <c r="P291" s="25" t="str">
        <f>INDEX(X_Table_Dairy_Stage1MMS_1_AnaerobicLagoon,2,1)</f>
        <v>Anaerobic lagoon</v>
      </c>
      <c r="Q291" s="25" cm="1">
        <f t="array" aca="1" ref="Q291" ca="1">MMS_Dairy_Methane_Equations.VEERG_4_3_1_1__1_TotalAnnualMethaneFromManureManagementVariation(D$270,Q238,O$275,0,0,0,0,0)</f>
        <v>0.50587016693182774</v>
      </c>
      <c r="R291" s="25" cm="1">
        <f t="array" aca="1" ref="R291" ca="1">MMS_Dairy_Methane_Equations.VEERG_4_3_1_1__1_TotalAnnualMethaneFromManureManagementVariation(E$270,R238,P$275,0,0,0,0,0)</f>
        <v>0.19926308605679074</v>
      </c>
      <c r="S291" s="25" cm="1">
        <f t="array" aca="1" ref="S291" ca="1">MMS_Dairy_Methane_Equations.VEERG_4_3_1_1__1_TotalAnnualMethaneFromManureManagementVariation(0,0,0,F$270,S238,Q$275,F$280,Q$285)</f>
        <v>0.23103005098257332</v>
      </c>
      <c r="T291" s="25" cm="1">
        <f t="array" aca="1" ref="T291" ca="1">MMS_Dairy_Methane_Equations.VEERG_4_3_1_1__1_TotalAnnualMethaneFromManureManagementVariation(G$270,T238,R$275,0,0,0,0,0)</f>
        <v>0.24245636700472373</v>
      </c>
      <c r="U291" s="25" cm="1">
        <f t="array" aca="1" ref="U291" ca="1">MMS_Dairy_Methane_Equations.VEERG_4_3_1_1__1_TotalAnnualMethaneFromManureManagementVariation(0,0,0,H$270,U238,S$275,H$280,S$285)</f>
        <v>0.2833163520802735</v>
      </c>
    </row>
    <row r="292" spans="4:21" x14ac:dyDescent="0.25">
      <c r="D292" s="25" t="str">
        <f>INDEX(X_Table_Dairy_ProductionSystems_Method1,3,1)</f>
        <v>Milking shed</v>
      </c>
      <c r="E292" s="25" t="str">
        <f>INDEX(X_Table_Dairy_Stage1MMS_1_SumpAndDispersal,2,1)</f>
        <v>Sump and dispersal system</v>
      </c>
      <c r="F292" s="25" cm="1">
        <f t="array" aca="1" ref="F292" ca="1">MMS_Dairy_Methane_Equations.VEERG_4_3_1_1__1_TotalAnnualMethaneFromManureManagementVariation(D$270,F239,D$275,0,0,0,0,0)</f>
        <v>3.2848712138430379E-3</v>
      </c>
      <c r="G292" s="25" cm="1">
        <f t="array" aca="1" ref="G292" ca="1">MMS_Dairy_Methane_Equations.VEERG_4_3_1_1__1_TotalAnnualMethaneFromManureManagementVariation(E$270,G239,E$275,0,0,0,0,0)</f>
        <v>1.293916143225914E-3</v>
      </c>
      <c r="H292" s="25" cm="1">
        <f t="array" aca="1" ref="H292" ca="1">MMS_Dairy_Methane_Equations.VEERG_4_3_1_1__1_TotalAnnualMethaneFromManureManagementVariation(0,0,0,F$270,H239,F$275,F$280,F$285)</f>
        <v>0.14838019513625048</v>
      </c>
      <c r="I292" s="25" cm="1">
        <f t="array" aca="1" ref="I292" ca="1">MMS_Dairy_Methane_Equations.VEERG_4_3_1_1__1_TotalAnnualMethaneFromManureManagementVariation(G$270,I239,G$275,0,0,0,0,0)</f>
        <v>1.5743919935371669E-3</v>
      </c>
      <c r="J292" s="25" cm="1">
        <f t="array" aca="1" ref="J292" ca="1">MMS_Dairy_Methane_Equations.VEERG_4_3_1_1__1_TotalAnnualMethaneFromManureManagementVariation(0,0,0,H$270,J239,H$275,H$280,H$285)</f>
        <v>0.17208698929922259</v>
      </c>
      <c r="O292" s="25" t="str">
        <f>INDEX(X_Table_Dairy_ProductionSystems_Method1,3,1)</f>
        <v>Milking shed</v>
      </c>
      <c r="P292" s="25" t="str">
        <f>INDEX(X_Table_Dairy_Stage1MMS_1_SumpAndDispersal,2,1)</f>
        <v>Sump and dispersal system</v>
      </c>
      <c r="Q292" s="25" cm="1">
        <f t="array" aca="1" ref="Q292" ca="1">MMS_Dairy_Methane_Equations.VEERG_4_3_1_1__1_TotalAnnualMethaneFromManureManagementVariation(D$270,Q239,O$275,0,0,0,0,0)</f>
        <v>3.2848712138430379E-3</v>
      </c>
      <c r="R292" s="25" cm="1">
        <f t="array" aca="1" ref="R292" ca="1">MMS_Dairy_Methane_Equations.VEERG_4_3_1_1__1_TotalAnnualMethaneFromManureManagementVariation(E$270,R239,P$275,0,0,0,0,0)</f>
        <v>1.293916143225914E-3</v>
      </c>
      <c r="S292" s="25" cm="1">
        <f t="array" aca="1" ref="S292" ca="1">MMS_Dairy_Methane_Equations.VEERG_4_3_1_1__1_TotalAnnualMethaneFromManureManagementVariation(0,0,0,F$270,S239,Q$275,F$280,Q$285)</f>
        <v>0.14838019513625048</v>
      </c>
      <c r="T292" s="25" cm="1">
        <f t="array" aca="1" ref="T292" ca="1">MMS_Dairy_Methane_Equations.VEERG_4_3_1_1__1_TotalAnnualMethaneFromManureManagementVariation(G$270,T239,R$275,0,0,0,0,0)</f>
        <v>1.5743919935371669E-3</v>
      </c>
      <c r="U292" s="25" cm="1">
        <f t="array" aca="1" ref="U292" ca="1">MMS_Dairy_Methane_Equations.VEERG_4_3_1_1__1_TotalAnnualMethaneFromManureManagementVariation(0,0,0,H$270,U239,S$275,H$280,S$285)</f>
        <v>0.17208698929922259</v>
      </c>
    </row>
    <row r="293" spans="4:21" x14ac:dyDescent="0.25">
      <c r="D293" s="25" t="str">
        <f>INDEX(X_Table_Dairy_ProductionSystems_Method1,3,1)</f>
        <v>Milking shed</v>
      </c>
      <c r="E293" s="25" t="str">
        <f>INDEX(X_Table_Dairy_Stage1MMS_1_DrainsToPaddock,2,1)</f>
        <v>Drains to paddock</v>
      </c>
      <c r="F293" s="25" cm="1">
        <f t="array" aca="1" ref="F293" ca="1">MMS_Dairy_Methane_Equations.VEERG_4_3_1_1__1_TotalAnnualMethaneFromManureManagementVariation(D$270,F240,D$275,0,0,0,0,0)</f>
        <v>0.11825536369834934</v>
      </c>
      <c r="G293" s="25" cm="1">
        <f t="array" aca="1" ref="G293" ca="1">MMS_Dairy_Methane_Equations.VEERG_4_3_1_1__1_TotalAnnualMethaneFromManureManagementVariation(E$270,G240,E$275,0,0,0,0,0)</f>
        <v>4.6580981156132899E-2</v>
      </c>
      <c r="H293" s="25" cm="1">
        <f t="array" aca="1" ref="H293" ca="1">MMS_Dairy_Methane_Equations.VEERG_4_3_1_1__1_TotalAnnualMethaneFromManureManagementVariation(0,0,0,F$270,H240,F$275,F$280,F$285)</f>
        <v>0.16728702490501715</v>
      </c>
      <c r="I293" s="25" cm="1">
        <f t="array" aca="1" ref="I293" ca="1">MMS_Dairy_Methane_Equations.VEERG_4_3_1_1__1_TotalAnnualMethaneFromManureManagementVariation(G$270,I240,G$275,0,0,0,0,0)</f>
        <v>5.6678111767338002E-2</v>
      </c>
      <c r="J293" s="25" cm="1">
        <f t="array" aca="1" ref="J293" ca="1">MMS_Dairy_Methane_Equations.VEERG_4_3_1_1__1_TotalAnnualMethaneFromManureManagementVariation(0,0,0,H$270,J240,H$275,H$280,H$285)</f>
        <v>0.197531614772012</v>
      </c>
      <c r="O293" s="25" t="str">
        <f>INDEX(X_Table_Dairy_ProductionSystems_Method1,3,1)</f>
        <v>Milking shed</v>
      </c>
      <c r="P293" s="25" t="str">
        <f>INDEX(X_Table_Dairy_Stage1MMS_1_DrainsToPaddock,2,1)</f>
        <v>Drains to paddock</v>
      </c>
      <c r="Q293" s="25" cm="1">
        <f t="array" aca="1" ref="Q293" ca="1">MMS_Dairy_Methane_Equations.VEERG_4_3_1_1__1_TotalAnnualMethaneFromManureManagementVariation(D$270,Q240,O$275,0,0,0,0,0)</f>
        <v>0.14453433340909366</v>
      </c>
      <c r="R293" s="25" cm="1">
        <f t="array" aca="1" ref="R293" ca="1">MMS_Dairy_Methane_Equations.VEERG_4_3_1_1__1_TotalAnnualMethaneFromManureManagementVariation(E$270,R240,P$275,0,0,0,0,0)</f>
        <v>5.6932310301940216E-2</v>
      </c>
      <c r="S293" s="25" cm="1">
        <f t="array" aca="1" ref="S293" ca="1">MMS_Dairy_Methane_Equations.VEERG_4_3_1_1__1_TotalAnnualMethaneFromManureManagementVariation(0,0,0,F$270,S240,Q$275,F$280,Q$285)</f>
        <v>0.17160858599502096</v>
      </c>
      <c r="T293" s="25" cm="1">
        <f t="array" aca="1" ref="T293" ca="1">MMS_Dairy_Methane_Equations.VEERG_4_3_1_1__1_TotalAnnualMethaneFromManureManagementVariation(G$270,T240,R$275,0,0,0,0,0)</f>
        <v>6.9273247715635339E-2</v>
      </c>
      <c r="U293" s="25" cm="1">
        <f t="array" aca="1" ref="U293" ca="1">MMS_Dairy_Methane_Equations.VEERG_4_3_1_1__1_TotalAnnualMethaneFromManureManagementVariation(0,0,0,H$270,U240,S$275,H$280,S$285)</f>
        <v>0.20334752916579243</v>
      </c>
    </row>
    <row r="294" spans="4:21" x14ac:dyDescent="0.25">
      <c r="D294" s="25" t="str">
        <f>INDEX(X_Table_Dairy_ProductionSystems_Method1,3,1)</f>
        <v>Milking shed</v>
      </c>
      <c r="E294" s="25" t="s">
        <v>76</v>
      </c>
      <c r="F294" s="25" cm="1">
        <f t="array" aca="1" ref="F294" ca="1">MMS_Dairy_Methane_Equations.VEERG_4_3_1_1__1_TotalAnnualMethaneFromManureManagementVariation(D$270,F241,D$275,0,0,0,0,0)</f>
        <v>2.6278969710744299E-2</v>
      </c>
      <c r="G294" s="25" cm="1">
        <f t="array" aca="1" ref="G294" ca="1">MMS_Dairy_Methane_Equations.VEERG_4_3_1_1__1_TotalAnnualMethaneFromManureManagementVariation(E$270,G241,E$275,0,0,0,0,0)</f>
        <v>1.0351329145807312E-2</v>
      </c>
      <c r="H294" s="25" cm="1">
        <f t="array" aca="1" ref="H294" ca="1">MMS_Dairy_Methane_Equations.VEERG_4_3_1_1__1_TotalAnnualMethaneFromManureManagementVariation(0,0,0,F$270,H241,F$275,F$280,F$285)</f>
        <v>0.15216156109000381</v>
      </c>
      <c r="I294" s="25" cm="1">
        <f t="array" aca="1" ref="I294" ca="1">MMS_Dairy_Methane_Equations.VEERG_4_3_1_1__1_TotalAnnualMethaneFromManureManagementVariation(G$270,I241,G$275,0,0,0,0,0)</f>
        <v>1.259513594829733E-2</v>
      </c>
      <c r="J294" s="25" cm="1">
        <f t="array" aca="1" ref="J294" ca="1">MMS_Dairy_Methane_Equations.VEERG_4_3_1_1__1_TotalAnnualMethaneFromManureManagementVariation(0,0,0,H$270,J241,H$275,H$280,H$285)</f>
        <v>0.17717591439378047</v>
      </c>
      <c r="O294" s="25" t="str">
        <f>INDEX(X_Table_Dairy_ProductionSystems_Method1,3,1)</f>
        <v>Milking shed</v>
      </c>
      <c r="P294" s="25" t="s">
        <v>76</v>
      </c>
      <c r="Q294" s="25" cm="1">
        <f t="array" aca="1" ref="Q294" ca="1">MMS_Dairy_Methane_Equations.VEERG_4_3_1_1__1_TotalAnnualMethaneFromManureManagementVariation(D$270,Q241,O$275,0,0,0,0,0)</f>
        <v>2.6278969710744299E-2</v>
      </c>
      <c r="R294" s="25" cm="1">
        <f t="array" aca="1" ref="R294" ca="1">MMS_Dairy_Methane_Equations.VEERG_4_3_1_1__1_TotalAnnualMethaneFromManureManagementVariation(E$270,R241,P$275,0,0,0,0,0)</f>
        <v>1.0351329145807312E-2</v>
      </c>
      <c r="S294" s="25" cm="1">
        <f t="array" aca="1" ref="S294" ca="1">MMS_Dairy_Methane_Equations.VEERG_4_3_1_1__1_TotalAnnualMethaneFromManureManagementVariation(0,0,0,F$270,S241,Q$275,F$280,Q$285)</f>
        <v>0.15216156109000381</v>
      </c>
      <c r="T294" s="25" cm="1">
        <f t="array" aca="1" ref="T294" ca="1">MMS_Dairy_Methane_Equations.VEERG_4_3_1_1__1_TotalAnnualMethaneFromManureManagementVariation(G$270,T241,R$275,0,0,0,0,0)</f>
        <v>1.259513594829733E-2</v>
      </c>
      <c r="U294" s="25" cm="1">
        <f t="array" aca="1" ref="U294" ca="1">MMS_Dairy_Methane_Equations.VEERG_4_3_1_1__1_TotalAnnualMethaneFromManureManagementVariation(0,0,0,H$270,U241,S$275,H$280,S$285)</f>
        <v>0.17717591439378047</v>
      </c>
    </row>
    <row r="295" spans="4:21" x14ac:dyDescent="0.25">
      <c r="D295" s="25" t="str">
        <f>INDEX(X_Table_Dairy_ProductionSystems_Method1,4,1)</f>
        <v>Feed pad</v>
      </c>
      <c r="E295" s="25" t="str">
        <f>INDEX(X_Table_Dairy_Stage1MMS_2_AnaerobicLagoon,2,1)</f>
        <v>Anaerobic lagoon</v>
      </c>
      <c r="F295" s="25" cm="1">
        <f t="array" aca="1" ref="F295" ca="1">MMS_Dairy_Methane_Equations.VEERG_4_3_1_1__1_TotalAnnualMethaneFromManureManagementVariation(D$270,F242,D$275,0,0,0,0,0)</f>
        <v>2.0198971718576639</v>
      </c>
      <c r="G295" s="25" cm="1">
        <f t="array" aca="1" ref="G295" ca="1">MMS_Dairy_Methane_Equations.VEERG_4_3_1_1__1_TotalAnnualMethaneFromManureManagementVariation(E$270,G242,E$275,0,0,0,0,0)</f>
        <v>0.79564079934364373</v>
      </c>
      <c r="H295" s="25" cm="1">
        <f t="array" aca="1" ref="H295" ca="1">MMS_Dairy_Methane_Equations.VEERG_4_3_1_1__1_TotalAnnualMethaneFromManureManagementVariation(0,0,0,F$270,H242,F$275,F$280,F$285)</f>
        <v>0.48001090014529268</v>
      </c>
      <c r="I295" s="25" cm="1">
        <f t="array" aca="1" ref="I295" ca="1">MMS_Dairy_Methane_Equations.VEERG_4_3_1_1__1_TotalAnnualMethaneFromManureManagementVariation(G$270,I242,G$275,0,0,0,0,0)</f>
        <v>0.96810794948049028</v>
      </c>
      <c r="J295" s="25" cm="1">
        <f t="array" aca="1" ref="J295" ca="1">MMS_Dairy_Methane_Equations.VEERG_4_3_1_1__1_TotalAnnualMethaneFromManureManagementVariation(0,0,0,H$270,J242,H$275,H$280,H$285)</f>
        <v>0.6183923290855784</v>
      </c>
      <c r="O295" s="25" t="str">
        <f>INDEX(X_Table_Dairy_ProductionSystems_Method1,4,1)</f>
        <v>Feed pad</v>
      </c>
      <c r="P295" s="25" t="str">
        <f>INDEX(X_Table_Dairy_Stage1MMS_2_AnaerobicLagoon,2,1)</f>
        <v>Anaerobic lagoon</v>
      </c>
      <c r="Q295" s="25" cm="1">
        <f t="array" aca="1" ref="Q295" ca="1">MMS_Dairy_Methane_Equations.VEERG_4_3_1_1__1_TotalAnnualMethaneFromManureManagementVariation(D$270,Q242,O$275,0,0,0,0,0)</f>
        <v>2.046474766224212</v>
      </c>
      <c r="R295" s="25" cm="1">
        <f t="array" aca="1" ref="R295" ca="1">MMS_Dairy_Methane_Equations.VEERG_4_3_1_1__1_TotalAnnualMethaneFromManureManagementVariation(E$270,R242,P$275,0,0,0,0,0)</f>
        <v>0.80610975722974443</v>
      </c>
      <c r="S295" s="25" cm="1">
        <f t="array" aca="1" ref="S295" ca="1">MMS_Dairy_Methane_Equations.VEERG_4_3_1_1__1_TotalAnnualMethaneFromManureManagementVariation(0,0,0,F$270,S242,Q$275,F$280,Q$285)</f>
        <v>0.48438156988404663</v>
      </c>
      <c r="T295" s="25" cm="1">
        <f t="array" aca="1" ref="T295" ca="1">MMS_Dairy_Methane_Equations.VEERG_4_3_1_1__1_TotalAnnualMethaneFromManureManagementVariation(G$270,T242,R$275,0,0,0,0,0)</f>
        <v>0.98084621197365474</v>
      </c>
      <c r="U295" s="25" cm="1">
        <f t="array" aca="1" ref="U295" ca="1">MMS_Dairy_Methane_Equations.VEERG_4_3_1_1__1_TotalAnnualMethaneFromManureManagementVariation(0,0,0,H$270,U242,S$275,H$280,S$285)</f>
        <v>0.62427433341565175</v>
      </c>
    </row>
    <row r="296" spans="4:21" x14ac:dyDescent="0.25">
      <c r="D296" s="25" t="str">
        <f>INDEX(X_Table_Dairy_ProductionSystems_Method1,4,1)</f>
        <v>Feed pad</v>
      </c>
      <c r="E296" s="25" t="str">
        <f>INDEX(X_Table_Dairy_Stage1MMS_2_SumpAndDispersal,2,1)</f>
        <v>Sump and dispersal system</v>
      </c>
      <c r="F296" s="25" cm="1">
        <f t="array" aca="1" ref="F296" ca="1">MMS_Dairy_Methane_Equations.VEERG_4_3_1_1__1_TotalAnnualMethaneFromManureManagementVariation(D$270,F243,D$275,0,0,0,0,0)</f>
        <v>1.0631037746619285E-2</v>
      </c>
      <c r="G296" s="25" cm="1">
        <f t="array" aca="1" ref="G296" ca="1">MMS_Dairy_Methane_Equations.VEERG_4_3_1_1__1_TotalAnnualMethaneFromManureManagementVariation(E$270,G243,E$275,0,0,0,0,0)</f>
        <v>4.1875831544402296E-3</v>
      </c>
      <c r="H296" s="25" cm="1">
        <f t="array" aca="1" ref="H296" ca="1">MMS_Dairy_Methane_Equations.VEERG_4_3_1_1__1_TotalAnnualMethaneFromManureManagementVariation(0,0,0,F$270,H243,F$275,F$280,F$285)</f>
        <v>0.14958826789550153</v>
      </c>
      <c r="I296" s="25" cm="1">
        <f t="array" aca="1" ref="I296" ca="1">MMS_Dairy_Methane_Equations.VEERG_4_3_1_1__1_TotalAnnualMethaneFromManureManagementVariation(G$270,I243,G$275,0,0,0,0,0)</f>
        <v>5.095304997265738E-3</v>
      </c>
      <c r="J296" s="25" cm="1">
        <f t="array" aca="1" ref="J296" ca="1">MMS_Dairy_Methane_Equations.VEERG_4_3_1_1__1_TotalAnnualMethaneFromManureManagementVariation(0,0,0,H$270,J243,H$275,H$280,H$285)</f>
        <v>0.17371280173202935</v>
      </c>
      <c r="O296" s="25" t="str">
        <f>INDEX(X_Table_Dairy_ProductionSystems_Method1,4,1)</f>
        <v>Feed pad</v>
      </c>
      <c r="P296" s="25" t="str">
        <f>INDEX(X_Table_Dairy_Stage1MMS_2_SumpAndDispersal,2,1)</f>
        <v>Sump and dispersal system</v>
      </c>
      <c r="Q296" s="25" cm="1">
        <f t="array" aca="1" ref="Q296" ca="1">MMS_Dairy_Methane_Equations.VEERG_4_3_1_1__1_TotalAnnualMethaneFromManureManagementVariation(D$270,Q243,O$275,0,0,0,0,0)</f>
        <v>1.0631037746619285E-2</v>
      </c>
      <c r="R296" s="25" cm="1">
        <f t="array" aca="1" ref="R296" ca="1">MMS_Dairy_Methane_Equations.VEERG_4_3_1_1__1_TotalAnnualMethaneFromManureManagementVariation(E$270,R243,P$275,0,0,0,0,0)</f>
        <v>4.1875831544402296E-3</v>
      </c>
      <c r="S296" s="25" cm="1">
        <f t="array" aca="1" ref="S296" ca="1">MMS_Dairy_Methane_Equations.VEERG_4_3_1_1__1_TotalAnnualMethaneFromManureManagementVariation(0,0,0,F$270,S243,Q$275,F$280,Q$285)</f>
        <v>0.14958826789550153</v>
      </c>
      <c r="T296" s="25" cm="1">
        <f t="array" aca="1" ref="T296" ca="1">MMS_Dairy_Methane_Equations.VEERG_4_3_1_1__1_TotalAnnualMethaneFromManureManagementVariation(G$270,T243,R$275,0,0,0,0,0)</f>
        <v>5.095304997265738E-3</v>
      </c>
      <c r="U296" s="25" cm="1">
        <f t="array" aca="1" ref="U296" ca="1">MMS_Dairy_Methane_Equations.VEERG_4_3_1_1__1_TotalAnnualMethaneFromManureManagementVariation(0,0,0,H$270,U243,S$275,H$280,S$285)</f>
        <v>0.17371280173202935</v>
      </c>
    </row>
    <row r="297" spans="4:21" x14ac:dyDescent="0.25">
      <c r="D297" s="25" t="str">
        <f>INDEX(X_Table_Dairy_ProductionSystems_Method1,4,1)</f>
        <v>Feed pad</v>
      </c>
      <c r="E297" s="25" t="str">
        <f>INDEX(X_Table_Dairy_Stage1MMS_2_DrainsToPaddock,2,1)</f>
        <v>Drains to paddock</v>
      </c>
      <c r="F297" s="25" cm="1">
        <f t="array" aca="1" ref="F297" ca="1">MMS_Dairy_Methane_Equations.VEERG_4_3_1_1__1_TotalAnnualMethaneFromManureManagementVariation(D$270,F244,D$275,0,0,0,0,0)</f>
        <v>0.38271735887829422</v>
      </c>
      <c r="G297" s="25" cm="1">
        <f t="array" aca="1" ref="G297" ca="1">MMS_Dairy_Methane_Equations.VEERG_4_3_1_1__1_TotalAnnualMethaneFromManureManagementVariation(E$270,G244,E$275,0,0,0,0,0)</f>
        <v>0.15075299355984828</v>
      </c>
      <c r="H297" s="25" cm="1">
        <f t="array" aca="1" ref="H297" ca="1">MMS_Dairy_Methane_Equations.VEERG_4_3_1_1__1_TotalAnnualMethaneFromManureManagementVariation(0,0,0,F$270,H244,F$275,F$280,F$285)</f>
        <v>0.21077764423805545</v>
      </c>
      <c r="I297" s="25" cm="1">
        <f t="array" aca="1" ref="I297" ca="1">MMS_Dairy_Methane_Equations.VEERG_4_3_1_1__1_TotalAnnualMethaneFromManureManagementVariation(G$270,I244,G$275,0,0,0,0,0)</f>
        <v>0.18343097990156659</v>
      </c>
      <c r="J297" s="25" cm="1">
        <f t="array" aca="1" ref="J297" ca="1">MMS_Dairy_Methane_Equations.VEERG_4_3_1_1__1_TotalAnnualMethaneFromManureManagementVariation(0,0,0,H$270,J244,H$275,H$280,H$285)</f>
        <v>0.25606086235305697</v>
      </c>
      <c r="O297" s="25" t="str">
        <f>INDEX(X_Table_Dairy_ProductionSystems_Method1,4,1)</f>
        <v>Feed pad</v>
      </c>
      <c r="P297" s="25" t="str">
        <f>INDEX(X_Table_Dairy_Stage1MMS_2_DrainsToPaddock,2,1)</f>
        <v>Drains to paddock</v>
      </c>
      <c r="Q297" s="25" cm="1">
        <f t="array" aca="1" ref="Q297" ca="1">MMS_Dairy_Methane_Equations.VEERG_4_3_1_1__1_TotalAnnualMethaneFromManureManagementVariation(D$270,Q244,O$275,0,0,0,0,0)</f>
        <v>0.46776566085124849</v>
      </c>
      <c r="R297" s="25" cm="1">
        <f t="array" aca="1" ref="R297" ca="1">MMS_Dairy_Methane_Equations.VEERG_4_3_1_1__1_TotalAnnualMethaneFromManureManagementVariation(E$270,R244,P$275,0,0,0,0,0)</f>
        <v>0.18425365879537009</v>
      </c>
      <c r="S297" s="25" cm="1">
        <f t="array" aca="1" ref="S297" ca="1">MMS_Dairy_Methane_Equations.VEERG_4_3_1_1__1_TotalAnnualMethaneFromManureManagementVariation(0,0,0,F$270,S244,Q$275,F$280,Q$285)</f>
        <v>0.22476378740206779</v>
      </c>
      <c r="T297" s="25" cm="1">
        <f t="array" aca="1" ref="T297" ca="1">MMS_Dairy_Methane_Equations.VEERG_4_3_1_1__1_TotalAnnualMethaneFromManureManagementVariation(G$270,T244,R$275,0,0,0,0,0)</f>
        <v>0.22419341987969252</v>
      </c>
      <c r="U297" s="25" cm="1">
        <f t="array" aca="1" ref="U297" ca="1">MMS_Dairy_Methane_Equations.VEERG_4_3_1_1__1_TotalAnnualMethaneFromManureManagementVariation(0,0,0,H$270,U244,S$275,H$280,S$285)</f>
        <v>0.27488327620929182</v>
      </c>
    </row>
    <row r="298" spans="4:21" x14ac:dyDescent="0.25">
      <c r="D298" s="25" t="str">
        <f>INDEX(X_Table_Dairy_ProductionSystems_Method1,4,1)</f>
        <v>Feed pad</v>
      </c>
      <c r="E298" s="25" t="s">
        <v>76</v>
      </c>
      <c r="F298" s="25" cm="1">
        <f t="array" aca="1" ref="F298" ca="1">MMS_Dairy_Methane_Equations.VEERG_4_3_1_1__1_TotalAnnualMethaneFromManureManagementVariation(D$270,F245,D$275,0,0,0,0,0)</f>
        <v>7.4417264226334975E-2</v>
      </c>
      <c r="G298" s="25" cm="1">
        <f t="array" aca="1" ref="G298" ca="1">MMS_Dairy_Methane_Equations.VEERG_4_3_1_1__1_TotalAnnualMethaneFromManureManagementVariation(E$270,G245,E$275,0,0,0,0,0)</f>
        <v>2.9313082081081607E-2</v>
      </c>
      <c r="H298" s="25" cm="1">
        <f t="array" aca="1" ref="H298" ca="1">MMS_Dairy_Methane_Equations.VEERG_4_3_1_1__1_TotalAnnualMethaneFromManureManagementVariation(0,0,0,F$270,H245,F$275,F$280,F$285)</f>
        <v>0.16007787526851078</v>
      </c>
      <c r="I298" s="25" cm="1">
        <f t="array" aca="1" ref="I298" ca="1">MMS_Dairy_Methane_Equations.VEERG_4_3_1_1__1_TotalAnnualMethaneFromManureManagementVariation(G$270,I245,G$275,0,0,0,0,0)</f>
        <v>3.5667134980860167E-2</v>
      </c>
      <c r="J298" s="25" cm="1">
        <f t="array" aca="1" ref="J298" ca="1">MMS_Dairy_Methane_Equations.VEERG_4_3_1_1__1_TotalAnnualMethaneFromManureManagementVariation(0,0,0,H$270,J245,H$275,H$280,H$285)</f>
        <v>0.18782961212420554</v>
      </c>
      <c r="O298" s="25" t="str">
        <f>INDEX(X_Table_Dairy_ProductionSystems_Method1,4,1)</f>
        <v>Feed pad</v>
      </c>
      <c r="P298" s="25" t="s">
        <v>76</v>
      </c>
      <c r="Q298" s="25" cm="1">
        <f t="array" aca="1" ref="Q298" ca="1">MMS_Dairy_Methane_Equations.VEERG_4_3_1_1__1_TotalAnnualMethaneFromManureManagementVariation(D$270,Q245,O$275,0,0,0,0,0)</f>
        <v>7.4417264226334975E-2</v>
      </c>
      <c r="R298" s="25" cm="1">
        <f t="array" aca="1" ref="R298" ca="1">MMS_Dairy_Methane_Equations.VEERG_4_3_1_1__1_TotalAnnualMethaneFromManureManagementVariation(E$270,R245,P$275,0,0,0,0,0)</f>
        <v>2.9313082081081607E-2</v>
      </c>
      <c r="S298" s="25" cm="1">
        <f t="array" aca="1" ref="S298" ca="1">MMS_Dairy_Methane_Equations.VEERG_4_3_1_1__1_TotalAnnualMethaneFromManureManagementVariation(0,0,0,F$270,S245,Q$275,F$280,Q$285)</f>
        <v>0.16007787526851078</v>
      </c>
      <c r="T298" s="25" cm="1">
        <f t="array" aca="1" ref="T298" ca="1">MMS_Dairy_Methane_Equations.VEERG_4_3_1_1__1_TotalAnnualMethaneFromManureManagementVariation(G$270,T245,R$275,0,0,0,0,0)</f>
        <v>3.5667134980860167E-2</v>
      </c>
      <c r="U298" s="25" cm="1">
        <f t="array" aca="1" ref="U298" ca="1">MMS_Dairy_Methane_Equations.VEERG_4_3_1_1__1_TotalAnnualMethaneFromManureManagementVariation(0,0,0,H$270,U245,S$275,H$280,S$285)</f>
        <v>0.18782961212420554</v>
      </c>
    </row>
    <row r="300" spans="4:21" ht="20.25" x14ac:dyDescent="0.25">
      <c r="D300" s="135" t="s">
        <v>351</v>
      </c>
      <c r="E300" s="136">
        <f ca="1">SUM(F290:J298)</f>
        <v>10.314345551795777</v>
      </c>
      <c r="F300" s="137" t="str">
        <f>$E$256</f>
        <v>t CH4</v>
      </c>
      <c r="O300" s="135" t="s">
        <v>352</v>
      </c>
      <c r="P300" s="136">
        <f ca="1">SUM(Q290:U298)</f>
        <v>10.64070664267806</v>
      </c>
      <c r="Q300" s="137" t="str">
        <f>$E$256</f>
        <v>t CH4</v>
      </c>
    </row>
    <row r="302" spans="4:21" x14ac:dyDescent="0.25">
      <c r="D302" s="132" t="str" cm="1">
        <f t="array" ref="D302:E303">Common_Equations.Common_ConvertCH4ToCO2e_Arguments()</f>
        <v>ECH4</v>
      </c>
      <c r="E302" s="138" t="str">
        <v>Methane emissions (t CH4)</v>
      </c>
      <c r="F302" s="139"/>
      <c r="G302" s="25">
        <f ca="1">VEERG_4_3_1_1__1_TotalAnnualMethaneFromManureManagement_Result_Method1</f>
        <v>10.314345551795777</v>
      </c>
      <c r="H302" s="26"/>
      <c r="O302" s="132" t="str" cm="1">
        <f t="array" ref="O302:P303">Common_Equations.Common_ConvertCH4ToCO2e_Arguments()</f>
        <v>ECH4</v>
      </c>
      <c r="P302" s="138" t="str">
        <v>Methane emissions (t CH4)</v>
      </c>
      <c r="Q302" s="139"/>
      <c r="R302" s="25">
        <f ca="1">VEERG_4_3_1_1__1_TotalAnnualMethaneFromManureManagement_Result_Method2</f>
        <v>10.64070664267806</v>
      </c>
      <c r="S302" s="26" t="s">
        <v>6</v>
      </c>
    </row>
    <row r="303" spans="4:21" x14ac:dyDescent="0.25">
      <c r="D303" s="132" t="str">
        <v>GWPCH4</v>
      </c>
      <c r="E303" s="138" t="str">
        <v>Global warming potential for methane (t CO2-e / t CH4)</v>
      </c>
      <c r="F303" s="139"/>
      <c r="G303" s="25">
        <f>Common_InputFunctions.Utility_LookupValueInTableNumber("CH4",Table_GWPData[Gas],Table_GWPData[CO2-e factor])</f>
        <v>28</v>
      </c>
      <c r="O303" s="132" t="str">
        <v>GWPCH4</v>
      </c>
      <c r="P303" s="138" t="str">
        <v>Global warming potential for methane (t CO2-e / t CH4)</v>
      </c>
      <c r="Q303" s="139"/>
      <c r="R303" s="25">
        <f>Common_InputFunctions.Utility_LookupValueInTableNumber("CH4",Table_GWPData[Gas],Table_GWPData[CO2-e factor])</f>
        <v>28</v>
      </c>
    </row>
    <row r="305" spans="4:17" ht="18.75" x14ac:dyDescent="0.25">
      <c r="D305" s="101" t="s">
        <v>353</v>
      </c>
      <c r="E305" s="101" cm="1">
        <f t="array" aca="1" ref="E305" ca="1">Common_Equations.Common_ConvertCH4ToCO2e(G302,G303)</f>
        <v>288.80167545028172</v>
      </c>
      <c r="F305" s="140" t="str" cm="1">
        <f t="array" ref="F305">Common_Equations.Common_ConvertN2OToCO2e_Unit()</f>
        <v>t CO2e</v>
      </c>
      <c r="O305" s="101" t="s">
        <v>354</v>
      </c>
      <c r="P305" s="101" cm="1">
        <f t="array" aca="1" ref="P305" ca="1">Common_Equations.Common_ConvertCH4ToCO2e(R302,R303)</f>
        <v>297.9397859949857</v>
      </c>
      <c r="Q305" s="140"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651570F2-7A79-4324-BE71-916B8CE77E00}"/>
  </dataValidation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AAA17-A1BE-4450-A8C4-574B2A6481CA}">
  <dimension ref="A1:U292"/>
  <sheetViews>
    <sheetView showGridLines="0" topLeftCell="B1"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30" customFormat="1" ht="30" customHeight="1" x14ac:dyDescent="0.35">
      <c r="A1" s="16" t="e" vm="1">
        <v>#VALUE!</v>
      </c>
      <c r="C1" s="30" t="s">
        <v>355</v>
      </c>
    </row>
    <row r="2" spans="1:21" s="3" customFormat="1" ht="20.100000000000001" customHeight="1" x14ac:dyDescent="0.25">
      <c r="A2"/>
    </row>
    <row r="3" spans="1:21" ht="20.100000000000001" customHeight="1" x14ac:dyDescent="0.25">
      <c r="A3" s="5" t="str">
        <f>HYPERLINK("#'Home'!A1", "Home")</f>
        <v>Home</v>
      </c>
      <c r="C3" s="32"/>
      <c r="D3" s="32" t="s">
        <v>136</v>
      </c>
      <c r="E3" s="32"/>
      <c r="F3" s="32"/>
      <c r="G3" s="32"/>
      <c r="H3" s="32"/>
      <c r="I3" s="32"/>
      <c r="J3" s="32"/>
      <c r="K3" s="32"/>
      <c r="M3" s="32"/>
      <c r="N3" s="32" t="s">
        <v>137</v>
      </c>
      <c r="O3" s="32"/>
      <c r="P3" s="32"/>
      <c r="Q3" s="32"/>
      <c r="R3" s="32"/>
      <c r="S3" s="32"/>
      <c r="T3" s="32"/>
      <c r="U3" s="32"/>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MMS_Dairy_N2ODirect_Equations.VEERG_4_3_1_3__8_RelativeSize_Title()</f>
        <v>Relative size</v>
      </c>
    </row>
    <row r="6" spans="1:21" ht="20.100000000000001" customHeight="1" x14ac:dyDescent="0.25">
      <c r="D6" s="27" t="str" cm="1">
        <f t="array" ref="D6">MMS_Dairy_N2ODirect_Equations.VEERG_4_3_1_3__8_RelativeSize_Source()</f>
        <v>VEERG 2026: 4.3.1.3, Equation (8)</v>
      </c>
    </row>
    <row r="7" spans="1:21" ht="20.100000000000001" customHeight="1" x14ac:dyDescent="0.25">
      <c r="D7" s="118" t="s">
        <v>262</v>
      </c>
      <c r="E7" s="118" t="str" cm="1">
        <f t="array" aca="1" ref="E7" ca="1">Common_InputFunctions.Utility_DisplayFunctionName(D29)</f>
        <v>=MMS_Dairy_N2ODirect_Equations.VEERG_4_3_1_3__8_RelativeSize</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7" t="s">
        <v>263</v>
      </c>
      <c r="E10" s="1" t="str" cm="1">
        <f t="array" ref="E10">MMS_Dairy_N2ODirect_Equations.VEERG_4_3_1_3__8_RelativeSize_Variable()</f>
        <v>Z_j</v>
      </c>
    </row>
    <row r="11" spans="1:21" ht="20.100000000000001" customHeight="1" x14ac:dyDescent="0.25">
      <c r="A11" s="5" t="str">
        <f>HYPERLINK("#'Input - Dairy'!A1", "Dairy")</f>
        <v>Dairy</v>
      </c>
      <c r="D11" s="87" t="s">
        <v>122</v>
      </c>
      <c r="E11" s="15" t="str" cm="1">
        <f t="array" ref="E11">MMS_Dairy_N2ODirect_Equations.VEERG_4_3_1_3__8_RelativeSize_Unit()</f>
        <v>ratio</v>
      </c>
    </row>
    <row r="12" spans="1:21" ht="20.100000000000001" customHeight="1" x14ac:dyDescent="0.25">
      <c r="A12" s="5" t="str">
        <f>HYPERLINK("#'Input - Dairy (Enteric)'!A1", "Dairy (Enteric)")</f>
        <v>Dairy (Enteric)</v>
      </c>
    </row>
    <row r="13" spans="1:21" ht="20.100000000000001" customHeight="1" x14ac:dyDescent="0.25">
      <c r="A13" s="5" t="str">
        <f>HYPERLINK("#'Input - Livestock sales'!A1", "Livestock sales")</f>
        <v>Livestock sales</v>
      </c>
      <c r="D13" s="120" t="str" cm="1">
        <f t="array" ref="D13:E14">_xlfn.CHOOSECOLS(MMS_Dairy_N2ODirect_Equations.VEERG_4_3_1_3__8_RelativeSize_Arguments(),1,2)</f>
        <v>W_j</v>
      </c>
      <c r="E13" s="120" t="str">
        <v>liveweight</v>
      </c>
      <c r="F13" s="120" t="str" cm="1">
        <f t="array" ref="F13:G14">_xlfn.CHOOSECOLS(MMS_Dairy_N2ODirect_Equations.VEERG_4_3_1_3__8_RelativeSize_Arguments(),3,4)</f>
        <v>kg/head</v>
      </c>
      <c r="G13" s="121" t="str">
        <v>Input</v>
      </c>
      <c r="H13" s="127" t="str" cm="1">
        <f t="array" aca="1" ref="H13" ca="1">HYPERLINK(Common_InputFunctions.Utility_SourceHyperlink($D$16),$D$16)</f>
        <v>M1_Table_W_j</v>
      </c>
    </row>
    <row r="14" spans="1:21" ht="20.100000000000001" customHeight="1" x14ac:dyDescent="0.25">
      <c r="A14" s="5" t="str">
        <f>HYPERLINK("#'Input - Dairy cattle purchases'!A1", "Dairy cattle purchases")</f>
        <v>Dairy cattle purchases</v>
      </c>
      <c r="D14" s="120" t="str">
        <v>WR_j</v>
      </c>
      <c r="E14" s="120" t="str">
        <v>reference weight</v>
      </c>
      <c r="F14" s="120" t="str">
        <v>kg/head</v>
      </c>
      <c r="G14" s="128" t="str">
        <v>Constant</v>
      </c>
      <c r="H14" s="127" t="str" cm="1">
        <f t="array" aca="1" ref="H14" ca="1">HYPERLINK(Common_InputFunctions.Utility_SourceHyperlink($D$21),$D$21)</f>
        <v>Table_WR_j</v>
      </c>
    </row>
    <row r="15" spans="1:21" ht="20.100000000000001" customHeight="1" x14ac:dyDescent="0.25">
      <c r="A15" s="5" t="str">
        <f>HYPERLINK("#'Input - Pasture'!A1", "Pasture")</f>
        <v>Pasture</v>
      </c>
    </row>
    <row r="16" spans="1:21" ht="20.100000000000001" customHeight="1" x14ac:dyDescent="0.25">
      <c r="A16" s="5" t="str">
        <f>HYPERLINK("#'Input - Fert Prod System'!A1", "Fert Prod System")</f>
        <v>Fert Prod System</v>
      </c>
      <c r="D16" s="122" t="s">
        <v>285</v>
      </c>
      <c r="N16" s="122" t="s">
        <v>286</v>
      </c>
    </row>
    <row r="17" spans="1:21" ht="20.100000000000001" customHeight="1" x14ac:dyDescent="0.25">
      <c r="A17" s="5" t="str">
        <f>HYPERLINK("#'Input - Fertiliser'!A1", "Fertiliser")</f>
        <v>Fertiliser</v>
      </c>
      <c r="D17" s="123" t="s">
        <v>287</v>
      </c>
      <c r="N17" s="123" t="s">
        <v>288</v>
      </c>
    </row>
    <row r="18" spans="1:21" ht="20.100000000000001" customHeight="1" x14ac:dyDescent="0.25">
      <c r="A18" s="5" t="str">
        <f>HYPERLINK("#'Input - Fuel'!A1", "Fuel")</f>
        <v>Fuel</v>
      </c>
      <c r="D18" s="94" t="s">
        <v>213</v>
      </c>
      <c r="E18" s="94" t="s">
        <v>214</v>
      </c>
      <c r="F18" s="94" t="s">
        <v>215</v>
      </c>
      <c r="G18" s="94" t="s">
        <v>216</v>
      </c>
      <c r="H18" s="94" t="s">
        <v>217</v>
      </c>
      <c r="N18" s="94" t="s">
        <v>213</v>
      </c>
      <c r="O18" s="94" t="s">
        <v>214</v>
      </c>
      <c r="P18" s="94" t="s">
        <v>215</v>
      </c>
      <c r="Q18" s="94" t="s">
        <v>216</v>
      </c>
      <c r="R18" s="94" t="s">
        <v>217</v>
      </c>
    </row>
    <row r="19" spans="1:21" ht="20.100000000000001" customHeight="1" x14ac:dyDescent="0.25">
      <c r="A19" s="5" t="str">
        <f>HYPERLINK("#'Input - Electricity'!A1", "Electricity")</f>
        <v>Electricity</v>
      </c>
      <c r="D19" s="25">
        <f>INDEX(X_Table_Dairy_Liveweight_Method1,2,2)</f>
        <v>550</v>
      </c>
      <c r="E19" s="25">
        <f>INDEX(X_Table_Dairy_Liveweight_Method1,2,3)</f>
        <v>380</v>
      </c>
      <c r="F19" s="25">
        <f>INDEX(X_Table_Dairy_Liveweight_Method1,2,4)</f>
        <v>155</v>
      </c>
      <c r="G19" s="25">
        <f>INDEX(X_Table_Dairy_Liveweight_Method1,2,5)</f>
        <v>600</v>
      </c>
      <c r="H19" s="25">
        <f>INDEX(X_Table_Dairy_Liveweight_Method1,2,6)</f>
        <v>225</v>
      </c>
      <c r="I19" s="26" t="s">
        <v>222</v>
      </c>
      <c r="N19" s="25">
        <f>INDEX(X_Table_Dairy_Liveweight_Method2,2,2)</f>
        <v>550</v>
      </c>
      <c r="O19" s="25">
        <f>INDEX(X_Table_Dairy_Liveweight_Method2,2,3)</f>
        <v>380</v>
      </c>
      <c r="P19" s="25">
        <f>INDEX(X_Table_Dairy_Liveweight_Method2,2,4)</f>
        <v>155</v>
      </c>
      <c r="Q19" s="25">
        <f>INDEX(X_Table_Dairy_Liveweight_Method2,2,5)</f>
        <v>600</v>
      </c>
      <c r="R19" s="25">
        <f>INDEX(X_Table_Dairy_Liveweight_Method2,2,6)</f>
        <v>225</v>
      </c>
      <c r="S19" s="26" t="s">
        <v>222</v>
      </c>
    </row>
    <row r="20" spans="1:21" ht="20.100000000000001" customHeight="1" x14ac:dyDescent="0.25">
      <c r="A20" s="5" t="str">
        <f>HYPERLINK("#'Input - Farm Inputs'!A1", "Farm Inputs")</f>
        <v>Farm Inputs</v>
      </c>
    </row>
    <row r="21" spans="1:21" ht="20.100000000000001" customHeight="1" x14ac:dyDescent="0.25">
      <c r="A21" s="5" t="str">
        <f>HYPERLINK("#'Input - Freight'!A1", "Freight")</f>
        <v>Freight</v>
      </c>
      <c r="D21" s="122" t="s">
        <v>356</v>
      </c>
    </row>
    <row r="22" spans="1:21" ht="20.100000000000001" customHeight="1" x14ac:dyDescent="0.25">
      <c r="A22" s="5" t="str">
        <f>HYPERLINK("#'Input - Manure sent off-site'!A1", "Manure sent off-site")</f>
        <v>Manure sent off-site</v>
      </c>
      <c r="D22" s="123" t="s">
        <v>357</v>
      </c>
    </row>
    <row r="23" spans="1:21" ht="20.100000000000001" customHeight="1" x14ac:dyDescent="0.25">
      <c r="A23" s="5" t="str">
        <f>HYPERLINK("#'Input - Solid waste'!A1", "Solid waste")</f>
        <v>Solid waste</v>
      </c>
      <c r="D23" s="124" t="s">
        <v>213</v>
      </c>
      <c r="E23" s="124" t="s">
        <v>214</v>
      </c>
      <c r="F23" s="124" t="s">
        <v>215</v>
      </c>
      <c r="G23" s="124" t="s">
        <v>216</v>
      </c>
      <c r="H23" s="124" t="s">
        <v>217</v>
      </c>
    </row>
    <row r="24" spans="1:21" ht="20.100000000000001" customHeight="1" x14ac:dyDescent="0.25">
      <c r="A24" s="5" t="str">
        <f>HYPERLINK("#'Input - Data quality'!A1", "Data quality")</f>
        <v>Data quality</v>
      </c>
      <c r="D24" s="25" cm="1">
        <f t="array" ref="D24">Table_SourceData_Dairy_WRj[Milking cows]</f>
        <v>590</v>
      </c>
      <c r="E24" s="25" cm="1">
        <f t="array" ref="E24">Table_SourceData_Dairy_WRj[Heifers &gt; 1]</f>
        <v>590</v>
      </c>
      <c r="F24" s="25" cm="1">
        <f t="array" ref="F24">Table_SourceData_Dairy_WRj[Heifers &lt; 1 (weaned)]</f>
        <v>590</v>
      </c>
      <c r="G24" s="25" cm="1">
        <f t="array" ref="G24">Table_SourceData_Dairy_WRj[Bulls &gt; 1]</f>
        <v>770</v>
      </c>
      <c r="H24" s="25" cm="1">
        <f t="array" ref="H24">Table_SourceData_Dairy_WRj[Bulls &lt; 1 (weaned)]</f>
        <v>770</v>
      </c>
      <c r="I24" s="26" t="s">
        <v>222</v>
      </c>
    </row>
    <row r="25" spans="1:21" ht="20.100000000000001" customHeight="1" x14ac:dyDescent="0.25"/>
    <row r="26" spans="1:21" ht="20.100000000000001" customHeight="1" x14ac:dyDescent="0.25">
      <c r="D26" s="122" t="s">
        <v>358</v>
      </c>
      <c r="N26" s="122" t="s">
        <v>358</v>
      </c>
    </row>
    <row r="27" spans="1:21" ht="20.100000000000001" customHeight="1" x14ac:dyDescent="0.25">
      <c r="A27" s="6" t="s">
        <v>2</v>
      </c>
      <c r="D27" s="123" t="s">
        <v>359</v>
      </c>
      <c r="N27" s="123" t="s">
        <v>360</v>
      </c>
    </row>
    <row r="28" spans="1:21" ht="20.100000000000001" customHeight="1" x14ac:dyDescent="0.25">
      <c r="A28" s="5" t="str">
        <f>HYPERLINK("#'5.1.1.1-2 Inorganic fert N2O'!A1", "5.1.1.1-2 Inorganic fert N2O")</f>
        <v>5.1.1.1-2 Inorganic fert N2O</v>
      </c>
      <c r="D28" s="124" t="s">
        <v>213</v>
      </c>
      <c r="E28" s="124" t="s">
        <v>214</v>
      </c>
      <c r="F28" s="124" t="s">
        <v>215</v>
      </c>
      <c r="G28" s="124" t="s">
        <v>216</v>
      </c>
      <c r="H28" s="124" t="s">
        <v>217</v>
      </c>
      <c r="N28" s="124" t="s">
        <v>213</v>
      </c>
      <c r="O28" s="124" t="s">
        <v>214</v>
      </c>
      <c r="P28" s="124" t="s">
        <v>215</v>
      </c>
      <c r="Q28" s="124" t="s">
        <v>216</v>
      </c>
      <c r="R28" s="124" t="s">
        <v>217</v>
      </c>
    </row>
    <row r="29" spans="1:21" ht="20.100000000000001" customHeight="1" x14ac:dyDescent="0.25">
      <c r="A29" s="5" t="str">
        <f>HYPERLINK("#'5.1.1.3-4 Inorganic fert CO2'!A1", "5.1.1.3-4 Inorganic fert CO2")</f>
        <v>5.1.1.3-4 Inorganic fert CO2</v>
      </c>
      <c r="D29" s="25" cm="1">
        <f t="array" ref="D29">MMS_Dairy_N2ODirect_Equations.VEERG_4_3_1_3__8_RelativeSize(D19,D24)</f>
        <v>0.93220338983050843</v>
      </c>
      <c r="E29" s="25" cm="1">
        <f t="array" ref="E29">MMS_Dairy_N2ODirect_Equations.VEERG_4_3_1_3__8_RelativeSize(E19,E24)</f>
        <v>0.64406779661016944</v>
      </c>
      <c r="F29" s="25" cm="1">
        <f t="array" ref="F29">MMS_Dairy_N2ODirect_Equations.VEERG_4_3_1_3__8_RelativeSize(F19,F24)</f>
        <v>0.26271186440677968</v>
      </c>
      <c r="G29" s="25" cm="1">
        <f t="array" ref="G29">MMS_Dairy_N2ODirect_Equations.VEERG_4_3_1_3__8_RelativeSize(G19,G24)</f>
        <v>0.77922077922077926</v>
      </c>
      <c r="H29" s="25" cm="1">
        <f t="array" ref="H29">MMS_Dairy_N2ODirect_Equations.VEERG_4_3_1_3__8_RelativeSize(H19,H24)</f>
        <v>0.29220779220779219</v>
      </c>
      <c r="I29" s="26" t="str">
        <f>$E$11</f>
        <v>ratio</v>
      </c>
      <c r="N29" s="25" cm="1">
        <f t="array" ref="N29">MMS_Dairy_N2ODirect_Equations.VEERG_4_3_1_3__8_RelativeSize(N19,D24)</f>
        <v>0.93220338983050843</v>
      </c>
      <c r="O29" s="25" cm="1">
        <f t="array" ref="O29">MMS_Dairy_N2ODirect_Equations.VEERG_4_3_1_3__8_RelativeSize(O19,E24)</f>
        <v>0.64406779661016944</v>
      </c>
      <c r="P29" s="25" cm="1">
        <f t="array" ref="P29">MMS_Dairy_N2ODirect_Equations.VEERG_4_3_1_3__8_RelativeSize(P19,F24)</f>
        <v>0.26271186440677968</v>
      </c>
      <c r="Q29" s="25" cm="1">
        <f t="array" ref="Q29">MMS_Dairy_N2ODirect_Equations.VEERG_4_3_1_3__8_RelativeSize(Q19,G24)</f>
        <v>0.77922077922077926</v>
      </c>
      <c r="R29" s="25" cm="1">
        <f t="array" ref="R29">MMS_Dairy_N2ODirect_Equations.VEERG_4_3_1_3__8_RelativeSize(R19,H24)</f>
        <v>0.29220779220779219</v>
      </c>
      <c r="S29" s="26" t="str">
        <f>$E$11</f>
        <v>ratio</v>
      </c>
    </row>
    <row r="30" spans="1:21" ht="20.100000000000001" customHeight="1" x14ac:dyDescent="0.25">
      <c r="A30" s="5" t="str">
        <f>HYPERLINK("#'5.2.1.1-2 Organic Fert N2O'!A1", "5.2.1.1-2 Organic fert N2O")</f>
        <v>5.2.1.1-2 Organic fert N2O</v>
      </c>
    </row>
    <row r="31" spans="1:21" ht="20.100000000000001" customHeight="1" x14ac:dyDescent="0.25">
      <c r="A31" s="5" t="str">
        <f>HYPERLINK("#'5.3.1.1-2 Lime CO2'!A1", "5.3.1.1-2 Lime CO2")</f>
        <v>5.3.1.1-2 Lime CO2</v>
      </c>
    </row>
    <row r="32" spans="1:21" ht="20.100000000000001" customHeight="1" x14ac:dyDescent="0.25">
      <c r="A32" s="5" t="str">
        <f>HYPERLINK("#'5.4.1.1-4 Atmos deposition'!A1", "5.4.1.1-4 Atmos. deposition")</f>
        <v>5.4.1.1-4 Atmos. deposition</v>
      </c>
      <c r="C32" s="101"/>
      <c r="D32" s="101"/>
      <c r="E32" s="101"/>
      <c r="F32" s="101"/>
      <c r="G32" s="101"/>
      <c r="H32" s="101"/>
      <c r="I32" s="101"/>
      <c r="J32" s="101"/>
      <c r="K32" s="101"/>
      <c r="M32" s="101"/>
      <c r="N32" s="101"/>
      <c r="O32" s="101"/>
      <c r="P32" s="101"/>
      <c r="Q32" s="101"/>
      <c r="R32" s="101"/>
      <c r="S32" s="101"/>
      <c r="T32" s="101"/>
      <c r="U32" s="101"/>
    </row>
    <row r="33" spans="1:14" ht="20.100000000000001" customHeight="1" x14ac:dyDescent="0.25">
      <c r="A33" s="5" t="str">
        <f>HYPERLINK("#'5.5.1.1-2 Leaching and runoff'!A1", "5.5.1.1-2 Leaching &amp; runoff")</f>
        <v>5.5.1.1-2 Leaching &amp; runoff</v>
      </c>
      <c r="D33" s="2" t="str" cm="1">
        <f t="array" ref="D33">MMS_Dairy_N2ODirect_Equations.VEERG_4_3_1_3__7_IntakeRelativeToMaintenance_Title()</f>
        <v>Intake relative to maintenance</v>
      </c>
    </row>
    <row r="34" spans="1:14" ht="20.100000000000001" customHeight="1" x14ac:dyDescent="0.25">
      <c r="A34" s="5" t="str">
        <f>HYPERLINK("#'6.2.1.1-2 Pasture residue N2O'!A1", "6.2.1.1-2 Pasture residue N2O")</f>
        <v>6.2.1.1-2 Pasture residue N2O</v>
      </c>
      <c r="D34" s="27" t="str" cm="1">
        <f t="array" ref="D34">MMS_Dairy_N2ODirect_Equations.VEERG_4_3_1_3__7_IntakeRelativeToMaintenance_Source()</f>
        <v>VEERG 2026: 4.3.1.3, Equation (7)</v>
      </c>
    </row>
    <row r="35" spans="1:14" ht="20.100000000000001" customHeight="1" x14ac:dyDescent="0.25">
      <c r="A35" s="5" t="str">
        <f>HYPERLINK("#'6.3.1.1-2 Leach runoff pasture'!A1", "6.3.1.1-2 Leach &amp; runoff (pasture)")</f>
        <v>6.3.1.1-2 Leach &amp; runoff (pasture)</v>
      </c>
      <c r="D35" s="118" t="s">
        <v>262</v>
      </c>
      <c r="E35" s="118" t="str" cm="1">
        <f t="array" aca="1" ref="E35" ca="1">Common_InputFunctions.Utility_DisplayFunctionName(D65)</f>
        <v>=MMS_Dairy_N2ODirect_Equations.VEERG_4_3_1_3__7_IntakeRelativeToMaintenance</v>
      </c>
    </row>
    <row r="36" spans="1:14" ht="20.100000000000001" customHeight="1" x14ac:dyDescent="0.25">
      <c r="A36" s="5" t="str">
        <f>HYPERLINK("#'8.1.1.1-2 Transport fuel'!A1", "8.1.1.1-2 Transport fuel")</f>
        <v>8.1.1.1-2 Transport fuel</v>
      </c>
    </row>
    <row r="37" spans="1:14" ht="20.100000000000001" customHeight="1" x14ac:dyDescent="0.25">
      <c r="A37" s="5" t="str">
        <f>HYPERLINK("#'8.2.1.1-2 Stationary fuel'!A1", "8.2.1.1-2 Stationary fuel")</f>
        <v>8.2.1.1-2 Stationary fuel</v>
      </c>
      <c r="D37" s="2"/>
      <c r="F37" s="2"/>
    </row>
    <row r="38" spans="1:14" ht="20.100000000000001" customHeight="1" x14ac:dyDescent="0.25">
      <c r="A38" s="5" t="str">
        <f>HYPERLINK("#'14.1.1-2 Purchased electricity'!A1", "14.1.1-2 Purchased electricity")</f>
        <v>14.1.1-2 Purchased electricity</v>
      </c>
    </row>
    <row r="39" spans="1:14" ht="20.100000000000001" customHeight="1" x14ac:dyDescent="0.25">
      <c r="A39" s="5" t="str">
        <f>HYPERLINK("#'15 Scope 3'!A1", "15 Scope 3")</f>
        <v>15 Scope 3</v>
      </c>
      <c r="D39" s="87" t="s">
        <v>263</v>
      </c>
      <c r="E39" s="1" t="str" cm="1">
        <f t="array" ref="E39">MMS_Dairy_N2ODirect_Equations.VEERG_4_3_1_3__7_IntakeRelativeToMaintenance_Variable()</f>
        <v>L_j</v>
      </c>
    </row>
    <row r="40" spans="1:14" ht="20.100000000000001" customHeight="1" x14ac:dyDescent="0.25">
      <c r="A40" s="5" t="str">
        <f>HYPERLINK("#'Calcs - Manure sent off-site'!A1", "Calcs - Manure sent off-site")</f>
        <v>Calcs - Manure sent off-site</v>
      </c>
      <c r="D40" s="87" t="s">
        <v>122</v>
      </c>
      <c r="E40" s="15" t="str" cm="1">
        <f t="array" ref="E40">MMS_Dairy_N2ODirect_Equations.VEERG_4_3_1_3__7_IntakeRelativeToMaintenance_Unit()</f>
        <v>ratio</v>
      </c>
    </row>
    <row r="41" spans="1:14" ht="20.100000000000001" customHeight="1" x14ac:dyDescent="0.25">
      <c r="A41" s="5" t="str">
        <f>HYPERLINK("#'4.3.1.1-2 Methane'!A1", "4.3.1.1-2 Methane")</f>
        <v>4.3.1.1-2 Methane</v>
      </c>
    </row>
    <row r="42" spans="1:14" ht="20.100000000000001" customHeight="1" x14ac:dyDescent="0.25">
      <c r="A42" s="119" t="str">
        <f>HYPERLINK("#'4.3.1.3-4 Direct N20'!A1", "4.3.1.3-4 Direct N20")</f>
        <v>4.3.1.3-4 Direct N20</v>
      </c>
      <c r="D42" s="120" t="str" cm="1">
        <f t="array" ref="D42:E45">_xlfn.CHOOSECOLS(MMS_Dairy_N2ODirect_Equations.VEERG_4_3_1_3__7_IntakeRelativeToMaintenance_Arguments(),1,2)</f>
        <v>I_j</v>
      </c>
      <c r="E42" s="125" t="str">
        <v>dry matter intake</v>
      </c>
      <c r="F42" s="126"/>
      <c r="G42" s="120" t="str" cm="1">
        <f t="array" ref="G42:H45">_xlfn.CHOOSECOLS(MMS_Dairy_N2ODirect_Equations.VEERG_4_3_1_3__7_IntakeRelativeToMaintenance_Arguments(),3,4)</f>
        <v>kgDM/head/day</v>
      </c>
      <c r="H42" s="128" t="str">
        <v>Calculated from 3.3.1.1 (3)</v>
      </c>
      <c r="I42" s="127" t="str" cm="1">
        <f t="array" aca="1" ref="I42" ca="1">HYPERLINK(Common_InputFunctions.Utility_SourceHyperlink($D$47),$D$47)</f>
        <v>M1_Table_I_j</v>
      </c>
    </row>
    <row r="43" spans="1:14" ht="20.100000000000001" customHeight="1" x14ac:dyDescent="0.25">
      <c r="A43" s="5" t="str">
        <f>HYPERLINK("#'4.3.1.5 Atmos deposition'!A1", "4.3.1.5 Atmos deposition")</f>
        <v>4.3.1.5 Atmos deposition</v>
      </c>
      <c r="D43" s="120" t="str">
        <v>W_j</v>
      </c>
      <c r="E43" s="125" t="str">
        <v>liveweight</v>
      </c>
      <c r="F43" s="126"/>
      <c r="G43" s="120" t="str">
        <v>kg/head</v>
      </c>
      <c r="H43" s="121" t="str">
        <v>Input</v>
      </c>
      <c r="I43" s="127" t="str" cm="1">
        <f t="array" aca="1" ref="I43" ca="1">HYPERLINK(Common_InputFunctions.Utility_SourceHyperlink($D$16),$D$16)</f>
        <v>M1_Table_W_j</v>
      </c>
    </row>
    <row r="44" spans="1:14" ht="20.100000000000001" customHeight="1" x14ac:dyDescent="0.25">
      <c r="A44" s="5" t="str">
        <f>HYPERLINK("#'4.3.1.6-7 Leaching and runoff'!A1", "4.3.1.6-7 Leaching and runoff")</f>
        <v>4.3.1.6-7 Leaching and runoff</v>
      </c>
      <c r="D44" s="120" t="str">
        <v>MR_j</v>
      </c>
      <c r="E44" s="125" t="str">
        <v>increase in metabolic rate when producing milk</v>
      </c>
      <c r="F44" s="126"/>
      <c r="G44" s="120" t="str">
        <v/>
      </c>
      <c r="H44" s="128" t="str">
        <v>Constant</v>
      </c>
      <c r="I44" s="127" t="str" cm="1">
        <f t="array" aca="1" ref="I44" ca="1">HYPERLINK(Common_InputFunctions.Utility_SourceHyperlink($D$52),$D$52)</f>
        <v>Table_MR_j</v>
      </c>
    </row>
    <row r="45" spans="1:14" ht="20.100000000000001" customHeight="1" x14ac:dyDescent="0.25">
      <c r="A45" s="5" t="str">
        <f>HYPERLINK("#'4.3.1.8 Manure applied to soils'!A1", "4.3.1.8 Manure applied to soils")</f>
        <v>4.3.1.8 Manure applied to soils</v>
      </c>
      <c r="D45" s="120" t="str">
        <v>MI_j</v>
      </c>
      <c r="E45" s="125" t="str">
        <v>additional intake required for milk production</v>
      </c>
      <c r="F45" s="126"/>
      <c r="G45" s="120" t="str">
        <v>kgDM/head/day</v>
      </c>
      <c r="H45" s="128" t="str">
        <v>Calculated from 3.3.1.1 (4)</v>
      </c>
      <c r="I45" s="127" t="str" cm="1">
        <f t="array" aca="1" ref="I45" ca="1">HYPERLINK(Common_InputFunctions.Utility_SourceHyperlink($D$57),$D$57)</f>
        <v>M1_Table_MI_j</v>
      </c>
    </row>
    <row r="46" spans="1:14" ht="20.100000000000001" customHeight="1" x14ac:dyDescent="0.25">
      <c r="A46" s="5" t="str">
        <f>HYPERLINK("#'4.3.1.9 Soil direct N2O'!A1", "4.3.1.9 Soil direct N2O")</f>
        <v>4.3.1.9 Soil direct N2O</v>
      </c>
    </row>
    <row r="47" spans="1:14" ht="20.100000000000001" customHeight="1" x14ac:dyDescent="0.25">
      <c r="A47" s="5" t="str">
        <f>HYPERLINK("#'4.3.1.10-11 Soil Atmos Dep'!A1", "4.3.1.10-11 Soil Atmos Dep")</f>
        <v>4.3.1.10-11 Soil Atmos Dep</v>
      </c>
      <c r="D47" s="122" t="s">
        <v>295</v>
      </c>
      <c r="N47" s="122" t="s">
        <v>296</v>
      </c>
    </row>
    <row r="48" spans="1:14" ht="20.100000000000001" customHeight="1" x14ac:dyDescent="0.25">
      <c r="A48" s="5" t="str">
        <f>HYPERLINK("#'4.3.1.12-13 Soil leach runoff'!A1", "4.3.1.12-13 Soil leach runoff")</f>
        <v>4.3.1.12-13 Soil leach runoff</v>
      </c>
      <c r="D48" s="123" t="s">
        <v>297</v>
      </c>
      <c r="N48" s="123" t="s">
        <v>298</v>
      </c>
    </row>
    <row r="49" spans="1:19" ht="20.100000000000001" customHeight="1" x14ac:dyDescent="0.25">
      <c r="A49" s="5" t="str">
        <f>HYPERLINK("#'3.3.1.1-2 Enteric Methane'!A1", "3.3.1.1-2 Enteric Methane")</f>
        <v>3.3.1.1-2 Enteric Methane</v>
      </c>
      <c r="D49" s="124" t="s">
        <v>213</v>
      </c>
      <c r="E49" s="124" t="s">
        <v>214</v>
      </c>
      <c r="F49" s="124" t="s">
        <v>215</v>
      </c>
      <c r="G49" s="124" t="s">
        <v>216</v>
      </c>
      <c r="H49" s="124" t="s">
        <v>217</v>
      </c>
      <c r="N49" s="124" t="s">
        <v>213</v>
      </c>
      <c r="O49" s="124" t="s">
        <v>214</v>
      </c>
      <c r="P49" s="124" t="s">
        <v>215</v>
      </c>
      <c r="Q49" s="124" t="s">
        <v>216</v>
      </c>
      <c r="R49" s="124" t="s">
        <v>217</v>
      </c>
    </row>
    <row r="50" spans="1:19" ht="20.100000000000001" customHeight="1" x14ac:dyDescent="0.25">
      <c r="A50" s="5" t="str">
        <f>HYPERLINK("#'10.1.1-2 Solid waste treatment'!A1", "10.1.1-2 Solid waste treatment")</f>
        <v>10.1.1-2 Solid waste treatment</v>
      </c>
      <c r="D50" s="25">
        <f>INDEX(M1_Table_I_j,2,1)</f>
        <v>18.834317684367193</v>
      </c>
      <c r="E50" s="25">
        <f>INDEX(M1_Table_I_j,2,2)</f>
        <v>7.4188685375999972</v>
      </c>
      <c r="F50" s="25">
        <f>INDEX(M1_Table_I_j,2,3)</f>
        <v>4.0231734662249998</v>
      </c>
      <c r="G50" s="25">
        <f>INDEX(M1_Table_I_j,2,4)</f>
        <v>9.0270202499999979</v>
      </c>
      <c r="H50" s="25">
        <f>INDEX(M1_Table_I_j,2,5)</f>
        <v>5.4143472656250013</v>
      </c>
      <c r="I50" s="26" t="str">
        <f>G42</f>
        <v>kgDM/head/day</v>
      </c>
      <c r="N50" s="25">
        <f>INDEX(M2_Table_I_j,2,1)</f>
        <v>18.834317684367193</v>
      </c>
      <c r="O50" s="25">
        <f>INDEX(M2_Table_I_j,2,2)</f>
        <v>7.4188685375999972</v>
      </c>
      <c r="P50" s="25">
        <f>INDEX(M2_Table_I_j,2,3)</f>
        <v>4.0231734662249998</v>
      </c>
      <c r="Q50" s="25">
        <f>INDEX(M2_Table_I_j,2,4)</f>
        <v>9.0270202499999979</v>
      </c>
      <c r="R50" s="25">
        <f>INDEX(M2_Table_I_j,2,5)</f>
        <v>5.4143472656250013</v>
      </c>
      <c r="S50" s="26" t="str">
        <f>'4.3.1.1-2 Methane'!T114</f>
        <v>kg DM/head/day</v>
      </c>
    </row>
    <row r="51" spans="1:19" ht="20.100000000000001" customHeight="1" x14ac:dyDescent="0.25"/>
    <row r="52" spans="1:19" ht="20.100000000000001" customHeight="1" x14ac:dyDescent="0.25">
      <c r="D52" s="122" t="s">
        <v>293</v>
      </c>
    </row>
    <row r="53" spans="1:19" ht="20.100000000000001" customHeight="1" x14ac:dyDescent="0.25">
      <c r="A53" s="100" t="s">
        <v>1</v>
      </c>
      <c r="D53" s="123" t="s">
        <v>294</v>
      </c>
    </row>
    <row r="54" spans="1:19" ht="20.100000000000001" customHeight="1" x14ac:dyDescent="0.25">
      <c r="A54" s="5" t="str">
        <f>HYPERLINK("#'Constants - Dairy'!A1", "Constants - Dairy")</f>
        <v>Constants - Dairy</v>
      </c>
      <c r="D54" s="124" t="s">
        <v>213</v>
      </c>
      <c r="E54" s="124" t="s">
        <v>214</v>
      </c>
      <c r="F54" s="124" t="s">
        <v>215</v>
      </c>
      <c r="G54" s="124" t="s">
        <v>216</v>
      </c>
      <c r="H54" s="124" t="s">
        <v>217</v>
      </c>
    </row>
    <row r="55" spans="1:19" ht="20.100000000000001" customHeight="1" x14ac:dyDescent="0.25">
      <c r="A55" s="5" t="str">
        <f>HYPERLINK("#'Constants - Ag Residue'!A1", "Constants - Ag residue")</f>
        <v>Constants - Ag residue</v>
      </c>
      <c r="D55" s="25">
        <f>'Constants - Dairy'!$E$108</f>
        <v>1.1000000000000001</v>
      </c>
      <c r="E55" s="25">
        <f>'Constants - Dairy'!$E$109</f>
        <v>1</v>
      </c>
      <c r="F55" s="25">
        <f>'Constants - Dairy'!$E$109</f>
        <v>1</v>
      </c>
      <c r="G55" s="25">
        <f>'Constants - Dairy'!$E$109</f>
        <v>1</v>
      </c>
      <c r="H55" s="25">
        <f>'Constants - Dairy'!$E$109</f>
        <v>1</v>
      </c>
      <c r="I55" s="26" t="str">
        <f>G44</f>
        <v/>
      </c>
    </row>
    <row r="56" spans="1:19" ht="20.100000000000001" customHeight="1" x14ac:dyDescent="0.25">
      <c r="A56" s="5" t="str">
        <f>HYPERLINK("#'Constants - Common Livestock'!A1", "Constants - Common Livestock")</f>
        <v>Constants - Common Livestock</v>
      </c>
    </row>
    <row r="57" spans="1:19" ht="20.100000000000001" customHeight="1" x14ac:dyDescent="0.25">
      <c r="A57" s="5" t="str">
        <f>HYPERLINK("#'Constants - Electricity'!A1", "Constants - Electricity")</f>
        <v>Constants - Electricity</v>
      </c>
      <c r="D57" s="122" t="s">
        <v>281</v>
      </c>
    </row>
    <row r="58" spans="1:19" ht="20.100000000000001" customHeight="1" x14ac:dyDescent="0.25">
      <c r="A58" s="5" t="str">
        <f>HYPERLINK("#'Constants - Fertiliser'!A1", "Constants - Fertiliser")</f>
        <v>Constants - Fertiliser</v>
      </c>
      <c r="D58" s="123" t="s">
        <v>283</v>
      </c>
    </row>
    <row r="59" spans="1:19" ht="20.100000000000001" customHeight="1" x14ac:dyDescent="0.25">
      <c r="A59" s="5" t="str">
        <f>HYPERLINK("#'Constants - Fuel'!A1", "Constants - Fuel")</f>
        <v>Constants - Fuel</v>
      </c>
      <c r="D59" s="124" t="s">
        <v>213</v>
      </c>
      <c r="E59" s="124" t="s">
        <v>214</v>
      </c>
      <c r="F59" s="124" t="s">
        <v>215</v>
      </c>
      <c r="G59" s="124" t="s">
        <v>216</v>
      </c>
      <c r="H59" s="124" t="s">
        <v>217</v>
      </c>
    </row>
    <row r="60" spans="1:19" ht="20.100000000000001" customHeight="1" x14ac:dyDescent="0.25">
      <c r="A60" s="5" t="str">
        <f>HYPERLINK("#'Constants - Scope 3'!A1", "Constants - Scope 3")</f>
        <v>Constants - Scope 3</v>
      </c>
      <c r="D60" s="25">
        <f>INDEX(M1_Table_MI_j,2,1)</f>
        <v>9.5798721636071917</v>
      </c>
      <c r="E60" s="25">
        <f>INDEX(M1_Table_MI_j,2,2)</f>
        <v>0</v>
      </c>
      <c r="F60" s="25">
        <f>INDEX(M1_Table_MI_j,2,3)</f>
        <v>0</v>
      </c>
      <c r="G60" s="25">
        <f>INDEX(M1_Table_MI_j,2,4)</f>
        <v>0</v>
      </c>
      <c r="H60" s="25">
        <f>INDEX(M1_Table_MI_j,2,5)</f>
        <v>0</v>
      </c>
      <c r="I60" s="26" t="str">
        <f>'4.3.1.1-2 Methane'!I79</f>
        <v>kg DM/head/day</v>
      </c>
    </row>
    <row r="61" spans="1:19" ht="20.100000000000001" customHeight="1" x14ac:dyDescent="0.25">
      <c r="A61" s="5" t="str">
        <f>HYPERLINK("#'Constants - Common'!A1", "Constants - Common")</f>
        <v>Constants - Common</v>
      </c>
    </row>
    <row r="62" spans="1:19" ht="20.100000000000001" customHeight="1" x14ac:dyDescent="0.25">
      <c r="A62" s="5" t="str">
        <f>HYPERLINK("#'Acknowledgements'!A1", "Acknowledgements")</f>
        <v>Acknowledgements</v>
      </c>
      <c r="D62" s="122" t="s">
        <v>361</v>
      </c>
      <c r="N62" s="122" t="s">
        <v>362</v>
      </c>
    </row>
    <row r="63" spans="1:19" ht="20.100000000000001" customHeight="1" x14ac:dyDescent="0.25">
      <c r="A63" s="5" t="str">
        <f>HYPERLINK("#'Constants - Solid Waste'!A1", "Constants - Solid Waste")</f>
        <v>Constants - Solid Waste</v>
      </c>
      <c r="D63" s="123" t="s">
        <v>363</v>
      </c>
      <c r="N63" s="123" t="s">
        <v>364</v>
      </c>
    </row>
    <row r="64" spans="1:19" ht="20.100000000000001" customHeight="1" x14ac:dyDescent="0.25">
      <c r="D64" s="124" t="s">
        <v>213</v>
      </c>
      <c r="E64" s="124" t="s">
        <v>214</v>
      </c>
      <c r="F64" s="124" t="s">
        <v>215</v>
      </c>
      <c r="G64" s="124" t="s">
        <v>216</v>
      </c>
      <c r="H64" s="124" t="s">
        <v>217</v>
      </c>
      <c r="N64" s="124" t="s">
        <v>213</v>
      </c>
      <c r="O64" s="124" t="s">
        <v>214</v>
      </c>
      <c r="P64" s="124" t="s">
        <v>215</v>
      </c>
      <c r="Q64" s="124" t="s">
        <v>216</v>
      </c>
      <c r="R64" s="124" t="s">
        <v>217</v>
      </c>
    </row>
    <row r="65" spans="3:21" ht="20.100000000000001" customHeight="1" x14ac:dyDescent="0.25">
      <c r="D65" s="25" cm="1">
        <f t="array" ref="D65">MMS_Dairy_N2ODirect_Equations.VEERG_4_3_1_3__7_IntakeRelativeToMaintenance(D50,D19,D55,D60)</f>
        <v>1.0017090166233036</v>
      </c>
      <c r="E65" s="25" cm="1">
        <f t="array" ref="E65">MMS_Dairy_N2ODirect_Equations.VEERG_4_3_1_3__7_IntakeRelativeToMaintenance(E50,E19,E55,E60)</f>
        <v>1.1546862260954116</v>
      </c>
      <c r="F65" s="25" cm="1">
        <f t="array" ref="F65">MMS_Dairy_N2ODirect_Equations.VEERG_4_3_1_3__7_IntakeRelativeToMaintenance(F50,F19,F55,F60)</f>
        <v>1.206300296845944</v>
      </c>
      <c r="G65" s="25" cm="1">
        <f t="array" ref="G65">MMS_Dairy_N2ODirect_Equations.VEERG_4_3_1_3__7_IntakeRelativeToMaintenance(G50,G19,G55,G60)</f>
        <v>1.0213029780639273</v>
      </c>
      <c r="H65" s="25" cm="1">
        <f t="array" ref="H65">MMS_Dairy_N2ODirect_Equations.VEERG_4_3_1_3__7_IntakeRelativeToMaintenance(H50,H19,H55,H60)</f>
        <v>1.2576570545672616</v>
      </c>
      <c r="I65" s="26" t="str">
        <f>$E$40</f>
        <v>ratio</v>
      </c>
      <c r="N65" s="25" cm="1">
        <f t="array" ref="N65">MMS_Dairy_N2ODirect_Equations.VEERG_4_3_1_3__7_IntakeRelativeToMaintenance(N50,N19,D55,D60)</f>
        <v>1.0017090166233036</v>
      </c>
      <c r="O65" s="25" cm="1">
        <f t="array" ref="O65">MMS_Dairy_N2ODirect_Equations.VEERG_4_3_1_3__7_IntakeRelativeToMaintenance(O50,O19,E55,E60)</f>
        <v>1.1546862260954116</v>
      </c>
      <c r="P65" s="25" cm="1">
        <f t="array" ref="P65">MMS_Dairy_N2ODirect_Equations.VEERG_4_3_1_3__7_IntakeRelativeToMaintenance(P50,P19,F55,F60)</f>
        <v>1.206300296845944</v>
      </c>
      <c r="Q65" s="25" cm="1">
        <f t="array" ref="Q65">MMS_Dairy_N2ODirect_Equations.VEERG_4_3_1_3__7_IntakeRelativeToMaintenance(Q50,Q19,G55,G60)</f>
        <v>1.0213029780639273</v>
      </c>
      <c r="R65" s="25" cm="1">
        <f t="array" ref="R65">MMS_Dairy_N2ODirect_Equations.VEERG_4_3_1_3__7_IntakeRelativeToMaintenance(R50,R19,H55,H60)</f>
        <v>1.2576570545672616</v>
      </c>
      <c r="S65" s="26" t="str">
        <f>$E$40</f>
        <v>ratio</v>
      </c>
    </row>
    <row r="66" spans="3:21" ht="20.100000000000001" customHeight="1" x14ac:dyDescent="0.25"/>
    <row r="67" spans="3:21" ht="20.100000000000001" customHeight="1" x14ac:dyDescent="0.25"/>
    <row r="68" spans="3:21" ht="20.100000000000001" customHeight="1" x14ac:dyDescent="0.25">
      <c r="C68" s="101"/>
      <c r="D68" s="101"/>
      <c r="E68" s="101"/>
      <c r="F68" s="101"/>
      <c r="G68" s="101"/>
      <c r="H68" s="101"/>
      <c r="I68" s="101"/>
      <c r="J68" s="101"/>
      <c r="K68" s="101"/>
      <c r="M68" s="101"/>
      <c r="N68" s="101"/>
      <c r="O68" s="101"/>
      <c r="P68" s="101"/>
      <c r="Q68" s="101"/>
      <c r="R68" s="101"/>
      <c r="S68" s="101"/>
      <c r="T68" s="101"/>
      <c r="U68" s="101"/>
    </row>
    <row r="69" spans="3:21" ht="20.100000000000001" customHeight="1" x14ac:dyDescent="0.25">
      <c r="D69" s="2" t="str" cm="1">
        <f t="array" ref="D69">MMS_Dairy_N2ODirect_Equations.VEERG_4_3_1_3__6_NitrogenRetainedByBody_Title()</f>
        <v>Amount of nitrogen retained by the body</v>
      </c>
    </row>
    <row r="70" spans="3:21" ht="20.100000000000001" customHeight="1" x14ac:dyDescent="0.25">
      <c r="D70" s="27" t="str" cm="1">
        <f t="array" ref="D70">MMS_Dairy_N2ODirect_Equations.VEERG_4_3_1_3__6_NitrogenRetainedByBody_Source()</f>
        <v>VEERG 2026: 4.3.1.3, Equation (6)</v>
      </c>
    </row>
    <row r="71" spans="3:21" ht="20.100000000000001" customHeight="1" x14ac:dyDescent="0.25">
      <c r="D71" s="35" t="str" cm="1">
        <f t="array" ref="D71">MMS_Dairy_N2ODirect_Equations.VEERG_4_3_1_3__6_NitrogenRetainedByBody_Variation()</f>
        <v>VARIATION ON SOURCE: Added check for milk production input unit and choose corresponding MP_j value accordingly.</v>
      </c>
    </row>
    <row r="72" spans="3:21" ht="20.100000000000001" customHeight="1" x14ac:dyDescent="0.25">
      <c r="D72" s="118" t="s">
        <v>262</v>
      </c>
      <c r="E72" s="118" t="str" cm="1">
        <f t="array" aca="1" ref="E72" ca="1">Common_InputFunctions.Utility_DisplayFunctionName(D103)</f>
        <v>=MMS_Dairy_N2ODirect_Equations.VEERG_4_3_1_3__6_NitrogenRetainedByBody</v>
      </c>
    </row>
    <row r="73" spans="3:21" ht="20.100000000000001" customHeight="1" x14ac:dyDescent="0.25"/>
    <row r="74" spans="3:21" ht="20.100000000000001" customHeight="1" x14ac:dyDescent="0.25"/>
    <row r="75" spans="3:21" ht="20.100000000000001" customHeight="1" x14ac:dyDescent="0.25">
      <c r="D75" s="87" t="s">
        <v>263</v>
      </c>
      <c r="E75" s="1" t="str" cm="1">
        <f t="array" ref="E75">MMS_Dairy_N2ODirect_Equations.VEERG_4_3_1_3__6_NitrogenRetainedByBody_Variable()</f>
        <v>NR_j</v>
      </c>
    </row>
    <row r="76" spans="3:21" ht="20.100000000000001" customHeight="1" x14ac:dyDescent="0.25">
      <c r="D76" s="87" t="s">
        <v>122</v>
      </c>
      <c r="E76" s="15" t="str" cm="1">
        <f t="array" ref="E76">MMS_Dairy_N2ODirect_Equations.VEERG_4_3_1_3__6_NitrogenRetainedByBody_Unit()</f>
        <v>kg N/head/day</v>
      </c>
    </row>
    <row r="77" spans="3:21" ht="20.100000000000001" customHeight="1" x14ac:dyDescent="0.25"/>
    <row r="78" spans="3:21" ht="20.100000000000001" customHeight="1" x14ac:dyDescent="0.25">
      <c r="D78" s="120" t="str" cm="1">
        <f t="array" ref="D78:E83">_xlfn.CHOOSECOLS(MMS_Dairy_N2ODirect_Equations.VEERG_4_3_1_3__6_NitrogenRetainedByBody_Arguments(),1,2)</f>
        <v>MPU</v>
      </c>
      <c r="E78" s="125" t="str">
        <v>input milk production unit</v>
      </c>
      <c r="F78" s="126"/>
      <c r="G78" s="120" t="str" cm="1">
        <f t="array" ref="G78:H83">_xlfn.CHOOSECOLS(MMS_Dairy_N2ODirect_Equations.VEERG_4_3_1_3__6_NitrogenRetainedByBody_Arguments(),3,4)</f>
        <v/>
      </c>
      <c r="H78" s="121" t="str">
        <v>Input</v>
      </c>
      <c r="I78" s="120" t="str">
        <f>X_Cell_Dairy_MilkProductionUnit</f>
        <v>Litres of milk</v>
      </c>
    </row>
    <row r="79" spans="3:21" ht="20.100000000000001" customHeight="1" x14ac:dyDescent="0.25">
      <c r="D79" s="120" t="str">
        <v>MP_j</v>
      </c>
      <c r="E79" s="125" t="str">
        <v>milk production (if input as litres of milk)</v>
      </c>
      <c r="F79" s="126"/>
      <c r="G79" s="120" t="str">
        <v>L/head/day</v>
      </c>
      <c r="H79" s="121" t="str">
        <v>Input</v>
      </c>
      <c r="I79" s="127" t="str" cm="1">
        <f t="array" aca="1" ref="I79" ca="1">HYPERLINK(Common_InputFunctions.Utility_SourceHyperlink($D$90),$D$90)</f>
        <v>Table_MP_j</v>
      </c>
    </row>
    <row r="80" spans="3:21" ht="20.100000000000001" customHeight="1" x14ac:dyDescent="0.25">
      <c r="D80" s="120" t="str">
        <v>MP_j</v>
      </c>
      <c r="E80" s="125" t="str">
        <v>milk production (if input as milk solids)</v>
      </c>
      <c r="F80" s="126"/>
      <c r="G80" s="120" t="str">
        <v>L/head/day</v>
      </c>
      <c r="H80" s="128" t="str">
        <v>Calculated from 3.3.1.1 (5)</v>
      </c>
      <c r="I80" s="127" t="str" cm="1">
        <f t="array" aca="1" ref="I80" ca="1">HYPERLINK(Common_InputFunctions.Utility_SourceHyperlink($D$85),$D$85)</f>
        <v>M1_Table_MP_j_from_solids</v>
      </c>
    </row>
    <row r="81" spans="4:19" ht="20.100000000000001" customHeight="1" x14ac:dyDescent="0.25">
      <c r="D81" s="120" t="str">
        <v>L_j</v>
      </c>
      <c r="E81" s="125" t="str">
        <v>intake relative to maintenance</v>
      </c>
      <c r="F81" s="126"/>
      <c r="G81" s="120" t="str">
        <v/>
      </c>
      <c r="H81" s="128" t="str">
        <v>Calculated from 4.3.1.3 (7)</v>
      </c>
      <c r="I81" s="127" t="str" cm="1">
        <f t="array" aca="1" ref="I81" ca="1">HYPERLINK(Common_InputFunctions.Utility_SourceHyperlink($D$62),$D$62)</f>
        <v>M1_Table_L_j</v>
      </c>
    </row>
    <row r="82" spans="4:19" ht="20.100000000000001" customHeight="1" x14ac:dyDescent="0.25">
      <c r="D82" s="120" t="str">
        <v>Z_j</v>
      </c>
      <c r="E82" s="125" t="str">
        <v>relative size</v>
      </c>
      <c r="F82" s="126"/>
      <c r="G82" s="120" t="str">
        <v/>
      </c>
      <c r="H82" s="128" t="str">
        <v>Calculated from 4.3.1.3 (8)</v>
      </c>
      <c r="I82" s="127" t="str" cm="1">
        <f t="array" aca="1" ref="I82" ca="1">HYPERLINK(Common_InputFunctions.Utility_SourceHyperlink($D$26),$D$26)</f>
        <v>M1_Table_Z_j</v>
      </c>
    </row>
    <row r="83" spans="4:19" ht="20.100000000000001" customHeight="1" x14ac:dyDescent="0.25">
      <c r="D83" s="120" t="str">
        <v>LWG_j</v>
      </c>
      <c r="E83" s="125" t="str">
        <v>liveweight gain</v>
      </c>
      <c r="F83" s="126"/>
      <c r="G83" s="120" t="str">
        <v>kg/head/day</v>
      </c>
      <c r="H83" s="121" t="str">
        <v>Input</v>
      </c>
      <c r="I83" s="127" t="str" cm="1">
        <f t="array" aca="1" ref="I83" ca="1">HYPERLINK(Common_InputFunctions.Utility_SourceHyperlink($D$95),$D$95)</f>
        <v>M1_Table_LWG_j</v>
      </c>
    </row>
    <row r="84" spans="4:19" ht="20.100000000000001" customHeight="1" x14ac:dyDescent="0.25"/>
    <row r="85" spans="4:19" ht="20.100000000000001" customHeight="1" x14ac:dyDescent="0.25">
      <c r="D85" s="122" t="s">
        <v>275</v>
      </c>
      <c r="N85" s="122" t="s">
        <v>276</v>
      </c>
    </row>
    <row r="86" spans="4:19" ht="20.100000000000001" customHeight="1" x14ac:dyDescent="0.25">
      <c r="D86" s="123" t="s">
        <v>277</v>
      </c>
      <c r="N86" s="123" t="s">
        <v>278</v>
      </c>
    </row>
    <row r="87" spans="4:19" ht="20.100000000000001" customHeight="1" x14ac:dyDescent="0.25">
      <c r="D87" s="124" t="s">
        <v>213</v>
      </c>
      <c r="E87" s="124" t="s">
        <v>214</v>
      </c>
      <c r="F87" s="124" t="s">
        <v>215</v>
      </c>
      <c r="G87" s="124" t="s">
        <v>216</v>
      </c>
      <c r="H87" s="124" t="s">
        <v>217</v>
      </c>
      <c r="N87" s="124" t="s">
        <v>213</v>
      </c>
      <c r="O87" s="124" t="s">
        <v>214</v>
      </c>
      <c r="P87" s="124" t="s">
        <v>215</v>
      </c>
      <c r="Q87" s="124" t="s">
        <v>216</v>
      </c>
      <c r="R87" s="124" t="s">
        <v>217</v>
      </c>
    </row>
    <row r="88" spans="4:19" ht="20.100000000000001" customHeight="1" x14ac:dyDescent="0.25">
      <c r="D88" s="25">
        <f>INDEX(M1_Table_MP_j_from_solids,2,1)</f>
        <v>0</v>
      </c>
      <c r="E88" s="25">
        <v>0</v>
      </c>
      <c r="F88" s="25">
        <v>0</v>
      </c>
      <c r="G88" s="25">
        <v>0</v>
      </c>
      <c r="H88" s="25">
        <v>0</v>
      </c>
      <c r="I88" s="26" t="str">
        <f>$G$80</f>
        <v>L/head/day</v>
      </c>
      <c r="N88" s="25">
        <f>INDEX(M2_Table_MP_j_from_solids,2,1)</f>
        <v>0</v>
      </c>
      <c r="O88" s="25">
        <v>0</v>
      </c>
      <c r="P88" s="25">
        <v>0</v>
      </c>
      <c r="Q88" s="25">
        <v>0</v>
      </c>
      <c r="R88" s="25">
        <v>0</v>
      </c>
      <c r="S88" s="26" t="str">
        <f>$G$80</f>
        <v>L/head/day</v>
      </c>
    </row>
    <row r="89" spans="4:19" ht="20.100000000000001" customHeight="1" x14ac:dyDescent="0.25"/>
    <row r="90" spans="4:19" ht="20.100000000000001" customHeight="1" x14ac:dyDescent="0.25">
      <c r="D90" s="122" t="s">
        <v>280</v>
      </c>
    </row>
    <row r="91" spans="4:19" ht="20.100000000000001" customHeight="1" x14ac:dyDescent="0.25">
      <c r="D91" s="123" t="s">
        <v>231</v>
      </c>
    </row>
    <row r="92" spans="4:19" ht="20.100000000000001" customHeight="1" x14ac:dyDescent="0.25">
      <c r="D92" s="94" t="s">
        <v>213</v>
      </c>
      <c r="E92" s="94" t="s">
        <v>214</v>
      </c>
      <c r="F92" s="94" t="s">
        <v>215</v>
      </c>
      <c r="G92" s="94" t="s">
        <v>216</v>
      </c>
      <c r="H92" s="94" t="s">
        <v>217</v>
      </c>
    </row>
    <row r="93" spans="4:19" ht="20.100000000000001" customHeight="1" x14ac:dyDescent="0.25">
      <c r="D93" s="25">
        <f>INDEX(Table_MP_j_Consumer_1,2,1)</f>
        <v>20</v>
      </c>
      <c r="E93" s="25">
        <v>0</v>
      </c>
      <c r="F93" s="25">
        <v>0</v>
      </c>
      <c r="G93" s="25">
        <v>0</v>
      </c>
      <c r="H93" s="25">
        <v>0</v>
      </c>
      <c r="I93" s="26" t="str">
        <f>$G$79</f>
        <v>L/head/day</v>
      </c>
    </row>
    <row r="94" spans="4:19" ht="20.100000000000001" customHeight="1" x14ac:dyDescent="0.25"/>
    <row r="95" spans="4:19" ht="20.100000000000001" customHeight="1" x14ac:dyDescent="0.25">
      <c r="D95" s="122" t="s">
        <v>289</v>
      </c>
      <c r="N95" s="122" t="s">
        <v>290</v>
      </c>
    </row>
    <row r="96" spans="4:19" ht="20.100000000000001" customHeight="1" x14ac:dyDescent="0.25">
      <c r="D96" s="123" t="s">
        <v>291</v>
      </c>
      <c r="N96" s="123" t="s">
        <v>292</v>
      </c>
    </row>
    <row r="97" spans="3:21" ht="20.100000000000001" customHeight="1" x14ac:dyDescent="0.25">
      <c r="D97" s="94" t="s">
        <v>213</v>
      </c>
      <c r="E97" s="94" t="s">
        <v>214</v>
      </c>
      <c r="F97" s="94" t="s">
        <v>215</v>
      </c>
      <c r="G97" s="94" t="s">
        <v>216</v>
      </c>
      <c r="H97" s="94" t="s">
        <v>217</v>
      </c>
      <c r="N97" s="94" t="s">
        <v>213</v>
      </c>
      <c r="O97" s="94" t="s">
        <v>214</v>
      </c>
      <c r="P97" s="94" t="s">
        <v>215</v>
      </c>
      <c r="Q97" s="94" t="s">
        <v>216</v>
      </c>
      <c r="R97" s="94" t="s">
        <v>217</v>
      </c>
    </row>
    <row r="98" spans="3:21" ht="20.100000000000001" customHeight="1" x14ac:dyDescent="0.25">
      <c r="D98" s="25">
        <f>INDEX(X_Table_Dairy_Liveweight_Method1,3,2)</f>
        <v>1.6E-2</v>
      </c>
      <c r="E98" s="25">
        <f>INDEX(X_Table_Dairy_Liveweight_Method1,3,3)</f>
        <v>0.6</v>
      </c>
      <c r="F98" s="25">
        <f>INDEX(X_Table_Dairy_Liveweight_Method1,3,4)</f>
        <v>0.56999999999999995</v>
      </c>
      <c r="G98" s="25">
        <f>INDEX(X_Table_Dairy_Liveweight_Method1,3,5)</f>
        <v>0.1</v>
      </c>
      <c r="H98" s="25">
        <f>INDEX(X_Table_Dairy_Liveweight_Method1,3,6)</f>
        <v>0.8</v>
      </c>
      <c r="I98" s="26" t="str">
        <f>$G$83</f>
        <v>kg/head/day</v>
      </c>
      <c r="N98" s="25">
        <f>INDEX(X_Table_Dairy_Liveweight_Method2,3,2)</f>
        <v>1.6E-2</v>
      </c>
      <c r="O98" s="25">
        <f>INDEX(X_Table_Dairy_Liveweight_Method2,3,3)</f>
        <v>0.6</v>
      </c>
      <c r="P98" s="25">
        <f>INDEX(X_Table_Dairy_Liveweight_Method2,3,4)</f>
        <v>0.56999999999999995</v>
      </c>
      <c r="Q98" s="25">
        <f>INDEX(X_Table_Dairy_Liveweight_Method2,3,5)</f>
        <v>0.1</v>
      </c>
      <c r="R98" s="25">
        <f>INDEX(X_Table_Dairy_Liveweight_Method2,3,6)</f>
        <v>0.8</v>
      </c>
      <c r="S98" s="26" t="str">
        <f>$G$83</f>
        <v>kg/head/day</v>
      </c>
    </row>
    <row r="99" spans="3:21" ht="20.100000000000001" customHeight="1" x14ac:dyDescent="0.25"/>
    <row r="100" spans="3:21" ht="20.100000000000001" customHeight="1" x14ac:dyDescent="0.25">
      <c r="D100" s="122" t="s">
        <v>365</v>
      </c>
      <c r="N100" s="122" t="s">
        <v>366</v>
      </c>
    </row>
    <row r="101" spans="3:21" ht="20.100000000000001" customHeight="1" x14ac:dyDescent="0.25">
      <c r="D101" s="123" t="s">
        <v>367</v>
      </c>
      <c r="N101" s="123" t="s">
        <v>368</v>
      </c>
    </row>
    <row r="102" spans="3:21" ht="20.100000000000001" customHeight="1" x14ac:dyDescent="0.25">
      <c r="D102" s="124" t="s">
        <v>213</v>
      </c>
      <c r="E102" s="124" t="s">
        <v>214</v>
      </c>
      <c r="F102" s="124" t="s">
        <v>215</v>
      </c>
      <c r="G102" s="124" t="s">
        <v>216</v>
      </c>
      <c r="H102" s="124" t="s">
        <v>217</v>
      </c>
      <c r="N102" s="124" t="s">
        <v>213</v>
      </c>
      <c r="O102" s="124" t="s">
        <v>214</v>
      </c>
      <c r="P102" s="124" t="s">
        <v>215</v>
      </c>
      <c r="Q102" s="124" t="s">
        <v>216</v>
      </c>
      <c r="R102" s="124" t="s">
        <v>217</v>
      </c>
    </row>
    <row r="103" spans="3:21" ht="20.100000000000001" customHeight="1" x14ac:dyDescent="0.25">
      <c r="D103" s="25" cm="1">
        <f t="array" ref="D103">MMS_Dairy_N2ODirect_Equations.VEERG_4_3_1_3__6_NitrogenRetainedByBody(IF($I$78="Milk solids", D88, D93),D65,D29,D98)</f>
        <v>0.10350619833262559</v>
      </c>
      <c r="E103" s="25" cm="1">
        <f t="array" ref="E103">MMS_Dairy_N2ODirect_Equations.VEERG_4_3_1_3__6_NitrogenRetainedByBody(IF($I$78="Milk solids", E88, E93),E65,E29,E98)</f>
        <v>8.7932411900846184E-3</v>
      </c>
      <c r="F103" s="25" cm="1">
        <f t="array" ref="F103">MMS_Dairy_N2ODirect_Equations.VEERG_4_3_1_3__6_NitrogenRetainedByBody(IF($I$78="Milk solids", F88, F93),F65,F29,F98)</f>
        <v>1.4575548166167214E-2</v>
      </c>
      <c r="G103" s="25" cm="1">
        <f t="array" ref="G103">MMS_Dairy_N2ODirect_Equations.VEERG_4_3_1_3__6_NitrogenRetainedByBody(IF($I$78="Milk solids", G88, G93),G65,G29,G98)</f>
        <v>1.2626203146474683E-3</v>
      </c>
      <c r="H103" s="25" cm="1">
        <f t="array" ref="H103">MMS_Dairy_N2ODirect_Equations.VEERG_4_3_1_3__6_NitrogenRetainedByBody(IF($I$78="Milk solids", H88, H93),H65,H29,H98)</f>
        <v>1.9757354894894087E-2</v>
      </c>
      <c r="I103" s="26" t="str">
        <f>$E$76</f>
        <v>kg N/head/day</v>
      </c>
      <c r="N103" s="25" cm="1">
        <f t="array" ref="N103">MMS_Dairy_N2ODirect_Equations.VEERG_4_3_1_3__6_NitrogenRetainedByBody(IF($I$78="Milk solids",N88,D93),N65,N29,N98)</f>
        <v>0.10350619833262559</v>
      </c>
      <c r="O103" s="25" cm="1">
        <f t="array" ref="O103">MMS_Dairy_N2ODirect_Equations.VEERG_4_3_1_3__6_NitrogenRetainedByBody(IF($I$78="Milk solids",O88,E93),O65,O29,O98)</f>
        <v>8.7932411900846184E-3</v>
      </c>
      <c r="P103" s="25" cm="1">
        <f t="array" ref="P103">MMS_Dairy_N2ODirect_Equations.VEERG_4_3_1_3__6_NitrogenRetainedByBody(IF($I$78="Milk solids",P88,F93),P65,P29,P98)</f>
        <v>1.4575548166167214E-2</v>
      </c>
      <c r="Q103" s="25" cm="1">
        <f t="array" ref="Q103">MMS_Dairy_N2ODirect_Equations.VEERG_4_3_1_3__6_NitrogenRetainedByBody(IF($I$78="Milk solids",Q88,G93),Q65,Q29,Q98)</f>
        <v>1.2626203146474683E-3</v>
      </c>
      <c r="R103" s="25" cm="1">
        <f t="array" ref="R103">MMS_Dairy_N2ODirect_Equations.VEERG_4_3_1_3__6_NitrogenRetainedByBody(IF($I$78="Milk solids",R88,H93),R65,R29,R98)</f>
        <v>1.9757354894894087E-2</v>
      </c>
      <c r="S103" s="26" t="str">
        <f>$E$76</f>
        <v>kg N/head/day</v>
      </c>
    </row>
    <row r="104" spans="3:21" ht="20.100000000000001" customHeight="1" x14ac:dyDescent="0.25"/>
    <row r="105" spans="3:21" ht="20.100000000000001" customHeight="1" x14ac:dyDescent="0.25"/>
    <row r="106" spans="3:21" ht="20.100000000000001" customHeight="1" x14ac:dyDescent="0.25">
      <c r="C106" s="101"/>
      <c r="D106" s="101"/>
      <c r="E106" s="101"/>
      <c r="F106" s="101"/>
      <c r="G106" s="101"/>
      <c r="H106" s="101"/>
      <c r="I106" s="101"/>
      <c r="J106" s="101"/>
      <c r="K106" s="101"/>
      <c r="M106" s="101"/>
      <c r="N106" s="101"/>
      <c r="O106" s="101"/>
      <c r="P106" s="101"/>
      <c r="Q106" s="101"/>
      <c r="R106" s="101"/>
      <c r="S106" s="101"/>
      <c r="T106" s="101"/>
      <c r="U106" s="101"/>
    </row>
    <row r="107" spans="3:21" ht="20.100000000000001" customHeight="1" x14ac:dyDescent="0.25">
      <c r="D107" s="2" t="str" cm="1">
        <f t="array" ref="D107">MMS_Dairy_N2ODirect_Equations.VEERG_4_3_1_3__5_CrudeProteinIntakeOfDairyCattle_Title()</f>
        <v>Crude protein intake of dairy cattle</v>
      </c>
    </row>
    <row r="108" spans="3:21" ht="20.100000000000001" customHeight="1" x14ac:dyDescent="0.25">
      <c r="D108" s="27" t="str" cm="1">
        <f t="array" ref="D108">MMS_Dairy_N2ODirect_Equations.VEERG_4_3_1_3__5_CrudeProteinIntakeOfDairyCattle_Source()</f>
        <v>VEERG 2026: 4.3.1.3, Equation (5)</v>
      </c>
    </row>
    <row r="109" spans="3:21" ht="20.100000000000001" customHeight="1" x14ac:dyDescent="0.25">
      <c r="D109" s="118" t="s">
        <v>262</v>
      </c>
      <c r="E109" s="118" t="str" cm="1">
        <f t="array" aca="1" ref="E109" ca="1">Common_InputFunctions.Utility_DisplayFunctionName(D126)</f>
        <v>=MMS_Dairy_N2ODirect_Equations.VEERG_4_3_1_3__5_CrudeProteinIntakeOfDairyCattle</v>
      </c>
    </row>
    <row r="110" spans="3:21" ht="20.100000000000001" customHeight="1" x14ac:dyDescent="0.25"/>
    <row r="111" spans="3:21" ht="20.100000000000001" customHeight="1" x14ac:dyDescent="0.25">
      <c r="D111" s="2"/>
    </row>
    <row r="112" spans="3:21" ht="20.100000000000001" customHeight="1" x14ac:dyDescent="0.25">
      <c r="D112" s="87" t="s">
        <v>263</v>
      </c>
      <c r="E112" s="1" t="str" cm="1">
        <f t="array" ref="E112">MMS_Dairy_N2ODirect_Equations.VEERG_4_3_1_3__5_CrudeProteinIntakeOfDairyCattle_Variable()</f>
        <v>CPI_j</v>
      </c>
    </row>
    <row r="113" spans="4:19" ht="20.100000000000001" customHeight="1" x14ac:dyDescent="0.25">
      <c r="D113" s="87" t="s">
        <v>122</v>
      </c>
      <c r="E113" s="15" t="str" cm="1">
        <f t="array" ref="E113">MMS_Dairy_N2ODirect_Equations.VEERG_4_3_1_3__5_CrudeProteinIntakeOfDairyCattle_Unit()</f>
        <v>kg/head/day</v>
      </c>
    </row>
    <row r="114" spans="4:19" ht="20.100000000000001" customHeight="1" x14ac:dyDescent="0.25"/>
    <row r="115" spans="4:19" ht="20.100000000000001" customHeight="1" x14ac:dyDescent="0.25">
      <c r="D115" s="120" t="str" cm="1">
        <f t="array" ref="D115:G116">MMS_Dairy_N2ODirect_Equations.VEERG_4_3_1_3__5_CrudeProteinIntakeOfDairyCattle_Arguments()</f>
        <v>I_j</v>
      </c>
      <c r="E115" s="120" t="str">
        <v>dry matter intake</v>
      </c>
      <c r="F115" s="120" t="str">
        <v>kgDM/head/day</v>
      </c>
      <c r="G115" s="128" t="str">
        <v>Calculated from 3.3.1.1 (3)</v>
      </c>
      <c r="H115" s="127" t="str" cm="1">
        <f t="array" aca="1" ref="H115" ca="1">HYPERLINK(Common_InputFunctions.Utility_SourceHyperlink($D$47),$D$47)</f>
        <v>M1_Table_I_j</v>
      </c>
    </row>
    <row r="116" spans="4:19" ht="20.100000000000001" customHeight="1" x14ac:dyDescent="0.25">
      <c r="D116" s="120" t="str">
        <v>CP_j</v>
      </c>
      <c r="E116" s="120" t="str">
        <v>crude protein content of feed intake</v>
      </c>
      <c r="F116" s="120" t="str">
        <v>fraction</v>
      </c>
      <c r="G116" s="121" t="str">
        <v>Input</v>
      </c>
      <c r="H116" s="127" t="str" cm="1">
        <f t="array" aca="1" ref="H116" ca="1">HYPERLINK(Common_InputFunctions.Utility_SourceHyperlink($D$118),$D$118)</f>
        <v>M1_Table_CP_j</v>
      </c>
    </row>
    <row r="117" spans="4:19" ht="20.100000000000001" customHeight="1" x14ac:dyDescent="0.25"/>
    <row r="118" spans="4:19" ht="20.100000000000001" customHeight="1" x14ac:dyDescent="0.25">
      <c r="D118" s="122" t="s">
        <v>369</v>
      </c>
      <c r="N118" s="122" t="s">
        <v>370</v>
      </c>
    </row>
    <row r="119" spans="4:19" ht="20.100000000000001" customHeight="1" x14ac:dyDescent="0.25">
      <c r="D119" s="123" t="s">
        <v>371</v>
      </c>
      <c r="N119" s="123" t="s">
        <v>372</v>
      </c>
    </row>
    <row r="120" spans="4:19" ht="20.100000000000001" customHeight="1" x14ac:dyDescent="0.25">
      <c r="D120" s="94" t="s">
        <v>213</v>
      </c>
      <c r="E120" s="94" t="s">
        <v>214</v>
      </c>
      <c r="F120" s="94" t="s">
        <v>215</v>
      </c>
      <c r="G120" s="94" t="s">
        <v>216</v>
      </c>
      <c r="H120" s="94" t="s">
        <v>217</v>
      </c>
      <c r="N120" s="94" t="s">
        <v>213</v>
      </c>
      <c r="O120" s="94" t="s">
        <v>214</v>
      </c>
      <c r="P120" s="94" t="s">
        <v>215</v>
      </c>
      <c r="Q120" s="94" t="s">
        <v>216</v>
      </c>
      <c r="R120" s="94" t="s">
        <v>217</v>
      </c>
    </row>
    <row r="121" spans="4:19" ht="20.100000000000001" customHeight="1" x14ac:dyDescent="0.25">
      <c r="D121" s="25">
        <f>INDEX(X_Table_Dairy_Diet_Method1,3,2)</f>
        <v>0.2</v>
      </c>
      <c r="E121" s="25">
        <f>INDEX(X_Table_Dairy_Diet_Method1,3,3)</f>
        <v>0.2</v>
      </c>
      <c r="F121" s="25">
        <f>INDEX(X_Table_Dairy_Diet_Method1,3,4)</f>
        <v>0.2</v>
      </c>
      <c r="G121" s="25">
        <f>INDEX(X_Table_Dairy_Diet_Method1,3,5)</f>
        <v>0.2</v>
      </c>
      <c r="H121" s="25">
        <f>INDEX(X_Table_Dairy_Diet_Method1,3,6)</f>
        <v>0.2</v>
      </c>
      <c r="I121" s="26" t="str">
        <f>$F$116</f>
        <v>fraction</v>
      </c>
      <c r="N121" s="25">
        <f>INDEX(X_Table_Dairy_Diet_Method2,3,2)</f>
        <v>0.2</v>
      </c>
      <c r="O121" s="25">
        <f>INDEX(X_Table_Dairy_Diet_Method2,3,3)</f>
        <v>0.2</v>
      </c>
      <c r="P121" s="25">
        <f>INDEX(X_Table_Dairy_Diet_Method2,3,4)</f>
        <v>0.2</v>
      </c>
      <c r="Q121" s="25">
        <f>INDEX(X_Table_Dairy_Diet_Method2,3,5)</f>
        <v>0.2</v>
      </c>
      <c r="R121" s="25">
        <f>INDEX(X_Table_Dairy_Diet_Method2,3,6)</f>
        <v>0.2</v>
      </c>
      <c r="S121" s="26" t="str">
        <f>$F$116</f>
        <v>fraction</v>
      </c>
    </row>
    <row r="122" spans="4:19" ht="20.100000000000001" customHeight="1" x14ac:dyDescent="0.25"/>
    <row r="123" spans="4:19" ht="20.100000000000001" customHeight="1" x14ac:dyDescent="0.25">
      <c r="D123" s="122" t="s">
        <v>373</v>
      </c>
      <c r="N123" s="122" t="s">
        <v>374</v>
      </c>
    </row>
    <row r="124" spans="4:19" ht="20.100000000000001" customHeight="1" x14ac:dyDescent="0.25">
      <c r="D124" s="123" t="s">
        <v>375</v>
      </c>
      <c r="N124" s="123" t="s">
        <v>376</v>
      </c>
    </row>
    <row r="125" spans="4:19" ht="20.100000000000001" customHeight="1" x14ac:dyDescent="0.25">
      <c r="D125" s="124" t="s">
        <v>213</v>
      </c>
      <c r="E125" s="124" t="s">
        <v>214</v>
      </c>
      <c r="F125" s="124" t="s">
        <v>215</v>
      </c>
      <c r="G125" s="124" t="s">
        <v>216</v>
      </c>
      <c r="H125" s="124" t="s">
        <v>217</v>
      </c>
      <c r="N125" s="124" t="s">
        <v>213</v>
      </c>
      <c r="O125" s="124" t="s">
        <v>214</v>
      </c>
      <c r="P125" s="124" t="s">
        <v>215</v>
      </c>
      <c r="Q125" s="124" t="s">
        <v>216</v>
      </c>
      <c r="R125" s="124" t="s">
        <v>217</v>
      </c>
    </row>
    <row r="126" spans="4:19" ht="20.100000000000001" customHeight="1" x14ac:dyDescent="0.25">
      <c r="D126" s="25" cm="1">
        <f t="array" ref="D126">MMS_Dairy_N2ODirect_Equations.VEERG_4_3_1_3__5_CrudeProteinIntakeOfDairyCattle(D50,D121)</f>
        <v>3.7668635368734389</v>
      </c>
      <c r="E126" s="25" cm="1">
        <f t="array" ref="E126">MMS_Dairy_N2ODirect_Equations.VEERG_4_3_1_3__5_CrudeProteinIntakeOfDairyCattle(E50,E121)</f>
        <v>1.4837737075199995</v>
      </c>
      <c r="F126" s="25" cm="1">
        <f t="array" ref="F126">MMS_Dairy_N2ODirect_Equations.VEERG_4_3_1_3__5_CrudeProteinIntakeOfDairyCattle(F50,F121)</f>
        <v>0.80463469324500003</v>
      </c>
      <c r="G126" s="25" cm="1">
        <f t="array" ref="G126">MMS_Dairy_N2ODirect_Equations.VEERG_4_3_1_3__5_CrudeProteinIntakeOfDairyCattle(G50,G121)</f>
        <v>1.8054040499999997</v>
      </c>
      <c r="H126" s="25" cm="1">
        <f t="array" ref="H126">MMS_Dairy_N2ODirect_Equations.VEERG_4_3_1_3__5_CrudeProteinIntakeOfDairyCattle(H50,H121)</f>
        <v>1.0828694531250003</v>
      </c>
      <c r="I126" s="26" t="str">
        <f>$E$113</f>
        <v>kg/head/day</v>
      </c>
      <c r="N126" s="25" cm="1">
        <f t="array" ref="N126">MMS_Dairy_N2ODirect_Equations.VEERG_4_3_1_3__5_CrudeProteinIntakeOfDairyCattle(N50,N121)</f>
        <v>3.7668635368734389</v>
      </c>
      <c r="O126" s="25" cm="1">
        <f t="array" ref="O126">MMS_Dairy_N2ODirect_Equations.VEERG_4_3_1_3__5_CrudeProteinIntakeOfDairyCattle(O50,O121)</f>
        <v>1.4837737075199995</v>
      </c>
      <c r="P126" s="25" cm="1">
        <f t="array" ref="P126">MMS_Dairy_N2ODirect_Equations.VEERG_4_3_1_3__5_CrudeProteinIntakeOfDairyCattle(P50,P121)</f>
        <v>0.80463469324500003</v>
      </c>
      <c r="Q126" s="25" cm="1">
        <f t="array" ref="Q126">MMS_Dairy_N2ODirect_Equations.VEERG_4_3_1_3__5_CrudeProteinIntakeOfDairyCattle(Q50,Q121)</f>
        <v>1.8054040499999997</v>
      </c>
      <c r="R126" s="25" cm="1">
        <f t="array" ref="R126">MMS_Dairy_N2ODirect_Equations.VEERG_4_3_1_3__5_CrudeProteinIntakeOfDairyCattle(R50,R121)</f>
        <v>1.0828694531250003</v>
      </c>
      <c r="S126" s="26" t="str">
        <f>$E$113</f>
        <v>kg/head/day</v>
      </c>
    </row>
    <row r="127" spans="4:19" ht="20.100000000000001" customHeight="1" x14ac:dyDescent="0.25"/>
    <row r="128" spans="4:19" ht="20.100000000000001" customHeight="1" x14ac:dyDescent="0.25"/>
    <row r="129" spans="3:21" ht="20.100000000000001" customHeight="1" x14ac:dyDescent="0.25">
      <c r="C129" s="101"/>
      <c r="D129" s="101"/>
      <c r="E129" s="101"/>
      <c r="F129" s="101"/>
      <c r="G129" s="101"/>
      <c r="H129" s="101"/>
      <c r="I129" s="101"/>
      <c r="J129" s="101"/>
      <c r="K129" s="101"/>
      <c r="M129" s="101"/>
      <c r="N129" s="101"/>
      <c r="O129" s="101"/>
      <c r="P129" s="101"/>
      <c r="Q129" s="101"/>
      <c r="R129" s="101"/>
      <c r="S129" s="101"/>
      <c r="T129" s="101"/>
      <c r="U129" s="101"/>
    </row>
    <row r="130" spans="3:21" ht="20.100000000000001" customHeight="1" x14ac:dyDescent="0.25">
      <c r="D130" s="2" t="str" cm="1">
        <f t="array" ref="D130">MMS_Dairy_N2ODirect_Equations.VEERG_4_3_1_3__4_NitrogenExcretedByDairyCattleGreaterThanOneYear_Title()</f>
        <v>Nitrogen excreted by dairy cattle greater than one year old</v>
      </c>
    </row>
    <row r="131" spans="3:21" ht="20.100000000000001" customHeight="1" x14ac:dyDescent="0.25">
      <c r="D131" s="27" t="str" cm="1">
        <f t="array" ref="D131">MMS_Dairy_N2ODirect_Equations.VEERG_4_3_1_3__4_NitrogenExcretedByDairyCattleGreaterThanOneYear_Source()</f>
        <v>VEERG 2026: 4.3.1.3, Equation (4)</v>
      </c>
    </row>
    <row r="132" spans="3:21" ht="20.100000000000001" customHeight="1" x14ac:dyDescent="0.25">
      <c r="D132" s="118" t="s">
        <v>262</v>
      </c>
      <c r="E132" s="118" t="str" cm="1">
        <f t="array" aca="1" ref="E132" ca="1">Common_InputFunctions.Utility_DisplayFunctionName(D146)</f>
        <v>=MMS_Dairy_N2ODirect_Equations.VEERG_4_3_1_3__4_NitrogenExcretedByDairyCattleGreaterThanOneYear</v>
      </c>
    </row>
    <row r="133" spans="3:21" ht="20.100000000000001" customHeight="1" x14ac:dyDescent="0.25"/>
    <row r="134" spans="3:21" ht="20.100000000000001" customHeight="1" x14ac:dyDescent="0.25">
      <c r="D134" s="2"/>
    </row>
    <row r="135" spans="3:21" ht="20.100000000000001" customHeight="1" x14ac:dyDescent="0.25"/>
    <row r="136" spans="3:21" ht="20.100000000000001" customHeight="1" x14ac:dyDescent="0.25">
      <c r="D136" s="87" t="s">
        <v>263</v>
      </c>
      <c r="E136" s="1" t="str" cm="1">
        <f t="array" ref="E136">MMS_Dairy_N2ODirect_Equations.VEERG_4_3_1_3__4_NitrogenExcretedByDairyCattleGreaterThanOneYear_Variable()</f>
        <v>NE_j</v>
      </c>
    </row>
    <row r="137" spans="3:21" ht="20.100000000000001" customHeight="1" x14ac:dyDescent="0.25">
      <c r="D137" s="87" t="s">
        <v>122</v>
      </c>
      <c r="E137" s="15" t="str" cm="1">
        <f t="array" ref="E137">MMS_Dairy_N2ODirect_Equations.VEERG_4_3_1_3__4_NitrogenExcretedByDairyCattleGreaterThanOneYear_Unit()</f>
        <v>kg N/head/day</v>
      </c>
    </row>
    <row r="138" spans="3:21" ht="20.100000000000001" customHeight="1" x14ac:dyDescent="0.25"/>
    <row r="139" spans="3:21" ht="20.100000000000001" customHeight="1" x14ac:dyDescent="0.25">
      <c r="D139" s="120" t="str" cm="1">
        <f t="array" ref="D139:E141">_xlfn.CHOOSECOLS(MMS_Dairy_N2ODirect_Equations.VEERG_4_3_1_3__4_NitrogenExcretedByDairyCattleGreaterThanOneYear_Arguments(),1,2)</f>
        <v>CPI_j</v>
      </c>
      <c r="E139" s="125" t="str">
        <v>crude protein intake (kg/head/day)</v>
      </c>
      <c r="F139" s="126"/>
      <c r="G139" s="120" t="str" cm="1">
        <f t="array" ref="G139:H141">_xlfn.CHOOSECOLS(MMS_Dairy_N2ODirect_Equations.VEERG_4_3_1_3__4_NitrogenExcretedByDairyCattleGreaterThanOneYear_Arguments(),3,4)</f>
        <v>kg/head/day</v>
      </c>
      <c r="H139" s="128" t="str">
        <v>Calculated from 4.3.1.3 (5)</v>
      </c>
      <c r="I139" s="127" t="str" cm="1">
        <f t="array" aca="1" ref="I139" ca="1">HYPERLINK(Common_InputFunctions.Utility_SourceHyperlink($D$123),$D$123)</f>
        <v>M1_Table_CPI_j</v>
      </c>
    </row>
    <row r="140" spans="3:21" ht="20.100000000000001" customHeight="1" x14ac:dyDescent="0.25">
      <c r="D140" s="120" t="str">
        <v>NR_j</v>
      </c>
      <c r="E140" s="125" t="str">
        <v>amount of nitrogen retained by the body</v>
      </c>
      <c r="F140" s="126"/>
      <c r="G140" s="120" t="str">
        <v>kg N/head/day</v>
      </c>
      <c r="H140" s="128" t="str">
        <v>Calculated from 4.3.1.3 (6)</v>
      </c>
      <c r="I140" s="127" t="str" cm="1">
        <f t="array" aca="1" ref="I140" ca="1">HYPERLINK(Common_InputFunctions.Utility_SourceHyperlink($D$100),$D$100)</f>
        <v>M1_Table_NR_j</v>
      </c>
    </row>
    <row r="141" spans="3:21" ht="20.100000000000001" customHeight="1" x14ac:dyDescent="0.25">
      <c r="D141" s="120" t="str">
        <v>W_j</v>
      </c>
      <c r="E141" s="125" t="str">
        <v>liveweight (kg)</v>
      </c>
      <c r="F141" s="126"/>
      <c r="G141" s="120" t="str">
        <v>kg</v>
      </c>
      <c r="H141" s="121" t="str">
        <v>Input</v>
      </c>
      <c r="I141" s="127" t="str" cm="1">
        <f t="array" aca="1" ref="I141" ca="1">HYPERLINK(Common_InputFunctions.Utility_SourceHyperlink($D$16),$D$16)</f>
        <v>M1_Table_W_j</v>
      </c>
    </row>
    <row r="142" spans="3:21" ht="20.100000000000001" customHeight="1" x14ac:dyDescent="0.25"/>
    <row r="143" spans="3:21" ht="20.100000000000001" customHeight="1" x14ac:dyDescent="0.25">
      <c r="D143" s="122" t="s">
        <v>377</v>
      </c>
      <c r="N143" s="122" t="s">
        <v>378</v>
      </c>
    </row>
    <row r="144" spans="3:21" ht="20.100000000000001" customHeight="1" x14ac:dyDescent="0.25">
      <c r="D144" s="123" t="s">
        <v>379</v>
      </c>
      <c r="N144" s="123" t="s">
        <v>380</v>
      </c>
    </row>
    <row r="145" spans="3:21" ht="20.100000000000001" customHeight="1" x14ac:dyDescent="0.25">
      <c r="D145" s="124" t="s">
        <v>213</v>
      </c>
      <c r="E145" s="124" t="s">
        <v>214</v>
      </c>
      <c r="F145" s="124" t="s">
        <v>215</v>
      </c>
      <c r="G145" s="124" t="s">
        <v>216</v>
      </c>
      <c r="H145" s="124" t="s">
        <v>217</v>
      </c>
      <c r="N145" s="124" t="s">
        <v>213</v>
      </c>
      <c r="O145" s="124" t="s">
        <v>214</v>
      </c>
      <c r="P145" s="124" t="s">
        <v>215</v>
      </c>
      <c r="Q145" s="124" t="s">
        <v>216</v>
      </c>
      <c r="R145" s="124" t="s">
        <v>217</v>
      </c>
    </row>
    <row r="146" spans="3:21" ht="20.100000000000001" customHeight="1" x14ac:dyDescent="0.25">
      <c r="D146" s="25" cm="1">
        <f t="array" ref="D146">MMS_Dairy_N2ODirect_Equations.VEERG_4_3_1_3__4_NitrogenExcretedByDairyCattleGreaterThanOneYear(D126,D103,D19)</f>
        <v>0.49719309694578667</v>
      </c>
      <c r="E146" s="25" cm="1">
        <f t="array" ref="E146">MMS_Dairy_N2ODirect_Equations.VEERG_4_3_1_3__4_NitrogenExcretedByDairyCattleGreaterThanOneYear(E126,E103,E19)</f>
        <v>0.22709576921272823</v>
      </c>
      <c r="F146" s="25" cm="1">
        <f t="array" ref="F146">MMS_Dairy_N2ODirect_Equations.VEERG_4_3_1_3__4_NitrogenExcretedByDairyCattleGreaterThanOneYear(F126,F103,F19)</f>
        <v>0.1133928568810149</v>
      </c>
      <c r="G146" s="25" cm="1">
        <f t="array" ref="G146">MMS_Dairy_N2ODirect_Equations.VEERG_4_3_1_3__4_NitrogenExcretedByDairyCattleGreaterThanOneYear(G126,G103,G19)</f>
        <v>0.28546836331241399</v>
      </c>
      <c r="H146" s="25" cm="1">
        <f t="array" ref="H146">MMS_Dairy_N2ODirect_Equations.VEERG_4_3_1_3__4_NitrogenExcretedByDairyCattleGreaterThanOneYear(H126,H103,H19)</f>
        <v>0.15247929000170721</v>
      </c>
      <c r="I146" s="26" t="str">
        <f>$E$137</f>
        <v>kg N/head/day</v>
      </c>
      <c r="N146" s="25" cm="1">
        <f t="array" ref="N146">MMS_Dairy_N2ODirect_Equations.VEERG_4_3_1_3__4_NitrogenExcretedByDairyCattleGreaterThanOneYear(N126,N103,N19)</f>
        <v>0.49719309694578667</v>
      </c>
      <c r="O146" s="25" cm="1">
        <f t="array" ref="O146">MMS_Dairy_N2ODirect_Equations.VEERG_4_3_1_3__4_NitrogenExcretedByDairyCattleGreaterThanOneYear(O126,O103,O19)</f>
        <v>0.22709576921272823</v>
      </c>
      <c r="P146" s="25" cm="1">
        <f t="array" ref="P146">MMS_Dairy_N2ODirect_Equations.VEERG_4_3_1_3__4_NitrogenExcretedByDairyCattleGreaterThanOneYear(P126,P103,P19)</f>
        <v>0.1133928568810149</v>
      </c>
      <c r="Q146" s="25" cm="1">
        <f t="array" ref="Q146">MMS_Dairy_N2ODirect_Equations.VEERG_4_3_1_3__4_NitrogenExcretedByDairyCattleGreaterThanOneYear(Q126,Q103,Q19)</f>
        <v>0.28546836331241399</v>
      </c>
      <c r="R146" s="25" cm="1">
        <f t="array" ref="R146">MMS_Dairy_N2ODirect_Equations.VEERG_4_3_1_3__4_NitrogenExcretedByDairyCattleGreaterThanOneYear(R126,R103,R19)</f>
        <v>0.15247929000170721</v>
      </c>
      <c r="S146" s="26" t="str">
        <f>$E$137</f>
        <v>kg N/head/day</v>
      </c>
    </row>
    <row r="147" spans="3:21" ht="20.100000000000001" customHeight="1" x14ac:dyDescent="0.25"/>
    <row r="148" spans="3:21" ht="20.100000000000001" customHeight="1" x14ac:dyDescent="0.25"/>
    <row r="149" spans="3:21" ht="20.100000000000001" customHeight="1" x14ac:dyDescent="0.25">
      <c r="C149" s="101"/>
      <c r="D149" s="101"/>
      <c r="E149" s="101"/>
      <c r="F149" s="101"/>
      <c r="G149" s="101"/>
      <c r="H149" s="101"/>
      <c r="I149" s="101"/>
      <c r="J149" s="101"/>
      <c r="K149" s="101"/>
      <c r="M149" s="101"/>
      <c r="N149" s="101"/>
      <c r="O149" s="101"/>
      <c r="P149" s="101"/>
      <c r="Q149" s="101"/>
      <c r="R149" s="101"/>
      <c r="S149" s="101"/>
      <c r="T149" s="101"/>
      <c r="U149" s="101"/>
    </row>
    <row r="150" spans="3:21" ht="20.100000000000001" customHeight="1" x14ac:dyDescent="0.25">
      <c r="D150" s="2"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27" t="str" cm="1">
        <f t="array" ref="D151">MMS_Dairy_N2ODirect_Equations.VEERG_4_3_1_3__3a_TotalAnnualNitrogenExcretedGreaterThanOneYear_Source()</f>
        <v>VEERG 2026: 4.3.1.3, Equation (3a)</v>
      </c>
    </row>
    <row r="152" spans="3:21" ht="20.100000000000001" customHeight="1" x14ac:dyDescent="0.25">
      <c r="D152" s="35"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18" t="s">
        <v>262</v>
      </c>
      <c r="E153" s="118"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2"/>
    </row>
    <row r="156" spans="3:21" ht="20.100000000000001" customHeight="1" x14ac:dyDescent="0.25">
      <c r="D156" s="87" t="s">
        <v>263</v>
      </c>
      <c r="E156" s="1" t="str" cm="1">
        <f t="array" ref="E156">MMS_Dairy_N2ODirect_Equations.VEERG_4_3_1_3__3a_TotalAnnualNitrogenExcretedGreaterThanOneYear_Variable()</f>
        <v>AE_j124</v>
      </c>
    </row>
    <row r="157" spans="3:21" ht="20.100000000000001" customHeight="1" x14ac:dyDescent="0.25">
      <c r="D157" s="87" t="s">
        <v>122</v>
      </c>
      <c r="E157" s="15"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20" t="str" cm="1">
        <f t="array" ref="D159:E161">_xlfn.CHOOSECOLS(MMS_Dairy_N2ODirect_Equations.VEERG_4_3_1_3__3a_TotalAnnualNitrogenExcretedGreaterThanOneYear_Arguments(),1,2)</f>
        <v>N_j124</v>
      </c>
      <c r="E159" s="125" t="str">
        <v>number of dairy cattle in classes j=1,2,4</v>
      </c>
      <c r="F159" s="126"/>
      <c r="G159" s="120" t="str" cm="1">
        <f t="array" ref="G159:H161">_xlfn.CHOOSECOLS(MMS_Dairy_N2ODirect_Equations.VEERG_4_3_1_3__3a_TotalAnnualNitrogenExcretedGreaterThanOneYear_Arguments(),3,4)</f>
        <v>head</v>
      </c>
      <c r="H159" s="121" t="str">
        <v>Input</v>
      </c>
      <c r="I159" s="127" t="str" cm="1">
        <f t="array" aca="1" ref="I159" ca="1">HYPERLINK(Common_InputFunctions.Utility_SourceHyperlink($D$163),$D$163)</f>
        <v>Table_N_j</v>
      </c>
    </row>
    <row r="160" spans="3:21" ht="20.100000000000001" customHeight="1" x14ac:dyDescent="0.25">
      <c r="D160" s="120" t="str">
        <v>NE_j124</v>
      </c>
      <c r="E160" s="125" t="str">
        <v>nitrogen excreted by dairy cattle greater than one year old (kg N/head/day)</v>
      </c>
      <c r="F160" s="126"/>
      <c r="G160" s="120" t="str">
        <v>kg N/head/day</v>
      </c>
      <c r="H160" s="128" t="str">
        <v>Calculated from 4.3.1.3 (4)</v>
      </c>
      <c r="I160" s="127" t="str" cm="1">
        <f t="array" aca="1" ref="I160" ca="1">HYPERLINK(Common_InputFunctions.Utility_SourceHyperlink($D$143),$D$143)</f>
        <v>M1_Table_NE_j</v>
      </c>
    </row>
    <row r="161" spans="1:19" ht="20.100000000000001" customHeight="1" x14ac:dyDescent="0.25">
      <c r="D161" s="120" t="str">
        <v>D_j124</v>
      </c>
      <c r="E161" s="125" t="str">
        <v>duration of stay on farm for classes j=1,2,4 (days)</v>
      </c>
      <c r="F161" s="126"/>
      <c r="G161" s="120" t="str">
        <v>days</v>
      </c>
      <c r="H161" s="121" t="str">
        <v>Input</v>
      </c>
      <c r="I161" s="127" t="str" cm="1">
        <f t="array" aca="1" ref="I161" ca="1">HYPERLINK(Common_InputFunctions.Utility_SourceHyperlink($D$168),$D$168)</f>
        <v>M1_Table_D_j-1-2-4</v>
      </c>
    </row>
    <row r="162" spans="1:19" ht="20.100000000000001" customHeight="1" x14ac:dyDescent="0.25"/>
    <row r="163" spans="1:19" ht="20.100000000000001" customHeight="1" x14ac:dyDescent="0.25">
      <c r="D163" s="122" t="s">
        <v>336</v>
      </c>
    </row>
    <row r="164" spans="1:19" ht="20.100000000000001" customHeight="1" x14ac:dyDescent="0.25">
      <c r="D164" s="123" t="s">
        <v>337</v>
      </c>
    </row>
    <row r="165" spans="1:19" ht="20.100000000000001" customHeight="1" x14ac:dyDescent="0.25">
      <c r="D165" s="94" t="s">
        <v>213</v>
      </c>
      <c r="E165" s="94" t="s">
        <v>214</v>
      </c>
      <c r="F165" s="94" t="s">
        <v>215</v>
      </c>
      <c r="G165" s="94" t="s">
        <v>216</v>
      </c>
      <c r="H165" s="94" t="s">
        <v>217</v>
      </c>
    </row>
    <row r="166" spans="1:19" ht="20.100000000000001" customHeight="1" x14ac:dyDescent="0.25">
      <c r="D166" s="134">
        <f>INDEX(X_Table_Dairy_HerdMovement,2,2)</f>
        <v>100</v>
      </c>
      <c r="E166" s="134">
        <f>INDEX(X_Table_Dairy_HerdMovement,2,3)</f>
        <v>100</v>
      </c>
      <c r="F166" s="134">
        <f>INDEX(X_Table_Dairy_HerdMovement,2,4)</f>
        <v>100</v>
      </c>
      <c r="G166" s="134">
        <f>INDEX(X_Table_Dairy_HerdMovement,2,5)</f>
        <v>100</v>
      </c>
      <c r="H166" s="134">
        <f>INDEX(X_Table_Dairy_HerdMovement,2,6)</f>
        <v>100</v>
      </c>
      <c r="I166" s="26" t="str">
        <f>G159</f>
        <v>head</v>
      </c>
    </row>
    <row r="167" spans="1:19" ht="20.100000000000001" customHeight="1" x14ac:dyDescent="0.25"/>
    <row r="168" spans="1:19" ht="20.100000000000001" customHeight="1" x14ac:dyDescent="0.25">
      <c r="D168" s="122" t="s">
        <v>381</v>
      </c>
      <c r="N168" s="122" t="s">
        <v>382</v>
      </c>
    </row>
    <row r="169" spans="1:19" ht="20.100000000000001" customHeight="1" x14ac:dyDescent="0.25">
      <c r="D169" s="123" t="s">
        <v>383</v>
      </c>
      <c r="N169" s="123" t="s">
        <v>384</v>
      </c>
    </row>
    <row r="170" spans="1:19" ht="20.100000000000001" customHeight="1" x14ac:dyDescent="0.25">
      <c r="D170" s="94" t="s">
        <v>213</v>
      </c>
      <c r="E170" s="94" t="s">
        <v>214</v>
      </c>
      <c r="F170" s="94" t="s">
        <v>215</v>
      </c>
      <c r="G170" s="94" t="s">
        <v>216</v>
      </c>
      <c r="H170" s="94" t="s">
        <v>217</v>
      </c>
      <c r="N170" s="94" t="s">
        <v>213</v>
      </c>
      <c r="O170" s="94" t="s">
        <v>214</v>
      </c>
      <c r="P170" s="94" t="s">
        <v>215</v>
      </c>
      <c r="Q170" s="94" t="s">
        <v>216</v>
      </c>
      <c r="R170" s="94" t="s">
        <v>217</v>
      </c>
    </row>
    <row r="171" spans="1:19" ht="20.100000000000001" customHeight="1" x14ac:dyDescent="0.25">
      <c r="A171" s="129" t="str">
        <f>HYPERLINK("#A1", "▲ Back to top")</f>
        <v>▲ Back to top</v>
      </c>
      <c r="D171" s="25">
        <f>INDEX(X_Table_Dairy_DurationOfStay_Method1,2,2)</f>
        <v>365</v>
      </c>
      <c r="E171" s="25">
        <f>INDEX(X_Table_Dairy_DurationOfStay_Method1,2,3)</f>
        <v>365</v>
      </c>
      <c r="F171" s="25">
        <v>0</v>
      </c>
      <c r="G171" s="25">
        <f>INDEX(X_Table_Dairy_DurationOfStay_Method1,2,5)</f>
        <v>365</v>
      </c>
      <c r="H171" s="25">
        <v>0</v>
      </c>
      <c r="I171" s="26" t="str">
        <f>G161</f>
        <v>days</v>
      </c>
      <c r="N171" s="25">
        <f>INDEX(X_Table_Dairy_DurationOfStay_Method2,2,2)</f>
        <v>365</v>
      </c>
      <c r="O171" s="25">
        <f>INDEX(X_Table_Dairy_DurationOfStay_Method2,2,3)</f>
        <v>365</v>
      </c>
      <c r="P171" s="25">
        <v>0</v>
      </c>
      <c r="Q171" s="25">
        <f>INDEX(X_Table_Dairy_DurationOfStay_Method2,2,5)</f>
        <v>365</v>
      </c>
      <c r="R171" s="25">
        <v>0</v>
      </c>
      <c r="S171" s="26" t="s">
        <v>113</v>
      </c>
    </row>
    <row r="172" spans="1:19" ht="20.100000000000001" customHeight="1" x14ac:dyDescent="0.25"/>
    <row r="173" spans="1:19" ht="20.100000000000001" customHeight="1" x14ac:dyDescent="0.25">
      <c r="D173" s="122" t="s">
        <v>385</v>
      </c>
      <c r="N173" s="122" t="s">
        <v>386</v>
      </c>
    </row>
    <row r="174" spans="1:19" ht="20.100000000000001" customHeight="1" x14ac:dyDescent="0.25">
      <c r="D174" s="123" t="s">
        <v>387</v>
      </c>
      <c r="N174" s="123" t="s">
        <v>388</v>
      </c>
    </row>
    <row r="175" spans="1:19" ht="20.100000000000001" customHeight="1" x14ac:dyDescent="0.25">
      <c r="D175" s="124" t="s">
        <v>213</v>
      </c>
      <c r="E175" s="124" t="s">
        <v>214</v>
      </c>
      <c r="F175" s="124" t="s">
        <v>215</v>
      </c>
      <c r="G175" s="124" t="s">
        <v>216</v>
      </c>
      <c r="H175" s="124" t="s">
        <v>217</v>
      </c>
      <c r="N175" s="124" t="s">
        <v>213</v>
      </c>
      <c r="O175" s="124" t="s">
        <v>214</v>
      </c>
      <c r="P175" s="124" t="s">
        <v>215</v>
      </c>
      <c r="Q175" s="124" t="s">
        <v>216</v>
      </c>
      <c r="R175" s="124" t="s">
        <v>217</v>
      </c>
    </row>
    <row r="176" spans="1:19" ht="20.100000000000001" customHeight="1" x14ac:dyDescent="0.25">
      <c r="D176" s="25" cm="1">
        <f t="array" ref="D176">MMS_Dairy_N2ODirect_Equations.VEERG_4_3_1_3__3a_TotalAnnualNitrogenExcretedGreaterThanOneYearVariation(D166,D146,D171)</f>
        <v>18147.548038521214</v>
      </c>
      <c r="E176" s="25" cm="1">
        <f t="array" ref="E176">MMS_Dairy_N2ODirect_Equations.VEERG_4_3_1_3__3a_TotalAnnualNitrogenExcretedGreaterThanOneYearVariation(E166,E146,E171)</f>
        <v>8288.9955762645804</v>
      </c>
      <c r="F176" s="25" cm="1">
        <f t="array" ref="F176">MMS_Dairy_N2ODirect_Equations.VEERG_4_3_1_3__3a_TotalAnnualNitrogenExcretedGreaterThanOneYearVariation(F166,F146,F171)</f>
        <v>0</v>
      </c>
      <c r="G176" s="25" cm="1">
        <f t="array" ref="G176">MMS_Dairy_N2ODirect_Equations.VEERG_4_3_1_3__3a_TotalAnnualNitrogenExcretedGreaterThanOneYearVariation(G166,G146,G171)</f>
        <v>10419.59526090311</v>
      </c>
      <c r="H176" s="25" cm="1">
        <f t="array" ref="H176">MMS_Dairy_N2ODirect_Equations.VEERG_4_3_1_3__3a_TotalAnnualNitrogenExcretedGreaterThanOneYearVariation(H166,H146,H171)</f>
        <v>0</v>
      </c>
      <c r="I176" s="26" t="str">
        <f>$E$157</f>
        <v>kg N</v>
      </c>
      <c r="N176" s="25" cm="1">
        <f t="array" ref="N176">MMS_Dairy_N2ODirect_Equations.VEERG_4_3_1_3__3a_TotalAnnualNitrogenExcretedGreaterThanOneYearVariation(D166,N146,N171)</f>
        <v>18147.548038521214</v>
      </c>
      <c r="O176" s="25" cm="1">
        <f t="array" ref="O176">MMS_Dairy_N2ODirect_Equations.VEERG_4_3_1_3__3a_TotalAnnualNitrogenExcretedGreaterThanOneYearVariation(E166,O146,O171)</f>
        <v>8288.9955762645804</v>
      </c>
      <c r="P176" s="25" cm="1">
        <f t="array" ref="P176">MMS_Dairy_N2ODirect_Equations.VEERG_4_3_1_3__3a_TotalAnnualNitrogenExcretedGreaterThanOneYearVariation(F166,P146,P171)</f>
        <v>0</v>
      </c>
      <c r="Q176" s="25" cm="1">
        <f t="array" ref="Q176">MMS_Dairy_N2ODirect_Equations.VEERG_4_3_1_3__3a_TotalAnnualNitrogenExcretedGreaterThanOneYearVariation(G166,Q146,Q171)</f>
        <v>10419.59526090311</v>
      </c>
      <c r="R176" s="25" cm="1">
        <f t="array" ref="R176">MMS_Dairy_N2ODirect_Equations.VEERG_4_3_1_3__3a_TotalAnnualNitrogenExcretedGreaterThanOneYearVariation(H166,R146,R171)</f>
        <v>0</v>
      </c>
      <c r="S176" s="26" t="str">
        <f>$E$157</f>
        <v>kg N</v>
      </c>
    </row>
    <row r="177" spans="3:21" ht="20.100000000000001" customHeight="1" x14ac:dyDescent="0.25"/>
    <row r="178" spans="3:21" ht="20.100000000000001" customHeight="1" x14ac:dyDescent="0.25"/>
    <row r="179" spans="3:21" ht="20.100000000000001" customHeight="1" x14ac:dyDescent="0.25">
      <c r="C179" s="101"/>
      <c r="D179" s="101"/>
      <c r="E179" s="101"/>
      <c r="F179" s="101"/>
      <c r="G179" s="101"/>
      <c r="H179" s="101"/>
      <c r="I179" s="101"/>
      <c r="J179" s="101"/>
      <c r="K179" s="101"/>
      <c r="M179" s="101"/>
      <c r="N179" s="101"/>
      <c r="O179" s="101"/>
      <c r="P179" s="101"/>
      <c r="Q179" s="101"/>
      <c r="R179" s="101"/>
      <c r="S179" s="101"/>
      <c r="T179" s="101"/>
      <c r="U179" s="101"/>
    </row>
    <row r="180" spans="3:21" ht="20.100000000000001" customHeight="1" x14ac:dyDescent="0.25">
      <c r="D180" s="2"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27" t="str" cm="1">
        <f t="array" ref="D181">MMS_Dairy_N2ODirect_Equations.VEERG_4_3_1_3__3b_TotalAnnualNitrogenExcretedLessThanOneYear_Source()</f>
        <v>VEERG 2026: 4.3.1.3, Equation (3b)</v>
      </c>
    </row>
    <row r="182" spans="3:21" ht="20.100000000000001" customHeight="1" x14ac:dyDescent="0.25">
      <c r="D182" s="35"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18" t="s">
        <v>262</v>
      </c>
      <c r="E183" s="118" t="str" cm="1">
        <f t="array" aca="1" ref="E183" ca="1">Common_InputFunctions.Utility_DisplayFunctionName(D213)</f>
        <v>=MMS_Dairy_N2ODirect_Equations.VEERG_4_3_1_3__3b_TotalAnnualNitrogenExcretedLessThanOneYearVariation</v>
      </c>
    </row>
    <row r="184" spans="3:21" ht="20.100000000000001" customHeight="1" x14ac:dyDescent="0.25">
      <c r="D184" s="2"/>
    </row>
    <row r="185" spans="3:21" ht="20.100000000000001" customHeight="1" x14ac:dyDescent="0.25">
      <c r="D185" s="2"/>
    </row>
    <row r="186" spans="3:21" ht="20.100000000000001" customHeight="1" x14ac:dyDescent="0.25">
      <c r="D186" s="87" t="s">
        <v>263</v>
      </c>
      <c r="E186" s="1" t="str" cm="1">
        <f t="array" ref="E186">MMS_Dairy_N2ODirect_Equations.VEERG_4_3_1_3__3b_TotalAnnualNitrogenExcretedLessThanOneYear_Variable()</f>
        <v>AE_j35</v>
      </c>
    </row>
    <row r="187" spans="3:21" ht="20.100000000000001" customHeight="1" x14ac:dyDescent="0.25">
      <c r="D187" s="87" t="s">
        <v>122</v>
      </c>
      <c r="E187" s="15"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20" t="str" cm="1">
        <f t="array" ref="D189:E193">_xlfn.CHOOSECOLS(MMS_Dairy_N2ODirect_Equations.VEERG_4_3_1_3__3b_TotalAnnualNitrogenExcretedLessThanOneYear_Arguments(),1,2)</f>
        <v>N_j35</v>
      </c>
      <c r="E189" s="125" t="str">
        <v>number of dairy cattle in classes j=3,5</v>
      </c>
      <c r="F189" s="126"/>
      <c r="G189" s="120" t="str" cm="1">
        <f t="array" ref="G189:H193">_xlfn.CHOOSECOLS(MMS_Dairy_N2ODirect_Equations.VEERG_4_3_1_3__3b_TotalAnnualNitrogenExcretedLessThanOneYear_Arguments(),3,4)</f>
        <v>head</v>
      </c>
      <c r="H189" s="121" t="str">
        <v>Input</v>
      </c>
      <c r="I189" s="127" t="str" cm="1">
        <f t="array" aca="1" ref="I189" ca="1">HYPERLINK(Common_InputFunctions.Utility_SourceHyperlink($D$163),$D$163)</f>
        <v>Table_N_j</v>
      </c>
    </row>
    <row r="190" spans="3:21" ht="20.100000000000001" customHeight="1" x14ac:dyDescent="0.25">
      <c r="D190" s="120" t="str">
        <v>NE_j35</v>
      </c>
      <c r="E190" s="125" t="str">
        <v>nitrogen excreted by weaned dairy cattle less than one year old (kg N/head/day)</v>
      </c>
      <c r="F190" s="126"/>
      <c r="G190" s="120" t="str">
        <v>kg N/head/day</v>
      </c>
      <c r="H190" s="128" t="str">
        <v>Calculated from 4.3.1.3 (4)</v>
      </c>
      <c r="I190" s="127" t="str" cm="1">
        <f t="array" aca="1" ref="I190" ca="1">HYPERLINK(Common_InputFunctions.Utility_SourceHyperlink($D$143),$D$143)</f>
        <v>M1_Table_NE_j</v>
      </c>
    </row>
    <row r="191" spans="3:21" ht="20.100000000000001" customHeight="1" x14ac:dyDescent="0.25">
      <c r="D191" s="120" t="str">
        <v>NPW_j35</v>
      </c>
      <c r="E191" s="125" t="str">
        <v>nitrogen excreted by pre-weaned calves (kg N/head/day)</v>
      </c>
      <c r="F191" s="126"/>
      <c r="G191" s="120" t="str">
        <v>kg N/head/day</v>
      </c>
      <c r="H191" s="128" t="str">
        <v>Constant</v>
      </c>
      <c r="I191" s="127" t="str" cm="1">
        <f t="array" aca="1" ref="I191" ca="1">HYPERLINK(Common_InputFunctions.Utility_SourceHyperlink($D$195),$D$195)</f>
        <v>Table_NPW_j-3-5</v>
      </c>
    </row>
    <row r="192" spans="3:21" ht="20.100000000000001" customHeight="1" x14ac:dyDescent="0.25">
      <c r="D192" s="120" t="str">
        <v>D_j35</v>
      </c>
      <c r="E192" s="125" t="str">
        <v>duration of stay on farm for weaned dairy cattle less than one year old (days)</v>
      </c>
      <c r="F192" s="126"/>
      <c r="G192" s="120" t="str">
        <v>days</v>
      </c>
      <c r="H192" s="121" t="str">
        <v>Input</v>
      </c>
      <c r="I192" s="127" t="str" cm="1">
        <f t="array" aca="1" ref="I192" ca="1">HYPERLINK(Common_InputFunctions.Utility_SourceHyperlink($D$200),$D$200)</f>
        <v>M1_Table_D_j-3-5</v>
      </c>
    </row>
    <row r="193" spans="1:19" ht="20.100000000000001" customHeight="1" x14ac:dyDescent="0.25">
      <c r="D193" s="120" t="str">
        <v>DPW_j35</v>
      </c>
      <c r="E193" s="125" t="str">
        <v>duration of stay on farm for pre-weaned calves (days)</v>
      </c>
      <c r="F193" s="126"/>
      <c r="G193" s="120" t="str">
        <v>days</v>
      </c>
      <c r="H193" s="121" t="str">
        <v>Input</v>
      </c>
      <c r="I193" s="127" t="str" cm="1">
        <f t="array" aca="1" ref="I193" ca="1">HYPERLINK(Common_InputFunctions.Utility_SourceHyperlink($D$205),$D$205)</f>
        <v>M1_Table_DPW_j</v>
      </c>
    </row>
    <row r="194" spans="1:19" ht="20.100000000000001" customHeight="1" x14ac:dyDescent="0.25"/>
    <row r="195" spans="1:19" ht="20.100000000000001" customHeight="1" x14ac:dyDescent="0.25">
      <c r="D195" s="122" t="s">
        <v>389</v>
      </c>
    </row>
    <row r="196" spans="1:19" ht="20.100000000000001" customHeight="1" x14ac:dyDescent="0.25">
      <c r="D196" s="123" t="s">
        <v>390</v>
      </c>
    </row>
    <row r="197" spans="1:19" ht="20.100000000000001" customHeight="1" x14ac:dyDescent="0.25">
      <c r="D197" s="124" t="s">
        <v>213</v>
      </c>
      <c r="E197" s="124" t="s">
        <v>214</v>
      </c>
      <c r="F197" s="124" t="s">
        <v>215</v>
      </c>
      <c r="G197" s="124" t="s">
        <v>216</v>
      </c>
      <c r="H197" s="124" t="s">
        <v>217</v>
      </c>
    </row>
    <row r="198" spans="1:19" ht="20.100000000000001" customHeight="1" x14ac:dyDescent="0.25">
      <c r="D198" s="25">
        <v>0</v>
      </c>
      <c r="E198" s="25">
        <v>0</v>
      </c>
      <c r="F198" s="25">
        <f>'Constants - Dairy'!$G$63</f>
        <v>1.37E-2</v>
      </c>
      <c r="G198" s="25">
        <v>0</v>
      </c>
      <c r="H198" s="25">
        <f>'Constants - Dairy'!$G$64</f>
        <v>9.1999999999999998E-3</v>
      </c>
      <c r="I198" s="26" t="str">
        <f>G191</f>
        <v>kg N/head/day</v>
      </c>
    </row>
    <row r="199" spans="1:19" ht="20.100000000000001" customHeight="1" x14ac:dyDescent="0.25"/>
    <row r="200" spans="1:19" ht="20.100000000000001" customHeight="1" x14ac:dyDescent="0.25">
      <c r="D200" s="122" t="s">
        <v>391</v>
      </c>
      <c r="N200" s="122" t="s">
        <v>391</v>
      </c>
    </row>
    <row r="201" spans="1:19" ht="20.100000000000001" customHeight="1" x14ac:dyDescent="0.25">
      <c r="D201" s="123" t="s">
        <v>392</v>
      </c>
      <c r="N201" s="123" t="s">
        <v>393</v>
      </c>
    </row>
    <row r="202" spans="1:19" ht="20.100000000000001" customHeight="1" x14ac:dyDescent="0.25">
      <c r="D202" s="94" t="s">
        <v>213</v>
      </c>
      <c r="E202" s="94" t="s">
        <v>214</v>
      </c>
      <c r="F202" s="94" t="s">
        <v>215</v>
      </c>
      <c r="G202" s="94" t="s">
        <v>216</v>
      </c>
      <c r="H202" s="94" t="s">
        <v>217</v>
      </c>
      <c r="N202" s="94" t="s">
        <v>213</v>
      </c>
      <c r="O202" s="94" t="s">
        <v>214</v>
      </c>
      <c r="P202" s="94" t="s">
        <v>215</v>
      </c>
      <c r="Q202" s="94" t="s">
        <v>216</v>
      </c>
      <c r="R202" s="94" t="s">
        <v>217</v>
      </c>
    </row>
    <row r="203" spans="1:19" ht="20.100000000000001" customHeight="1" x14ac:dyDescent="0.25">
      <c r="D203" s="25">
        <v>0</v>
      </c>
      <c r="E203" s="25">
        <v>0</v>
      </c>
      <c r="F203" s="25">
        <f>INDEX(X_Table_Dairy_DurationOfStay_Method1,2,4)</f>
        <v>281</v>
      </c>
      <c r="G203" s="25">
        <v>0</v>
      </c>
      <c r="H203" s="25">
        <f>INDEX(X_Table_Dairy_DurationOfStay_Method1,2,6)</f>
        <v>281</v>
      </c>
      <c r="I203" s="26" t="str">
        <f>$G$192</f>
        <v>days</v>
      </c>
      <c r="N203" s="25">
        <v>0</v>
      </c>
      <c r="O203" s="25">
        <v>0</v>
      </c>
      <c r="P203" s="25">
        <f>INDEX(X_Table_Dairy_DurationOfStay_Method2,2,4)</f>
        <v>281</v>
      </c>
      <c r="Q203" s="25">
        <v>0</v>
      </c>
      <c r="R203" s="25">
        <f>INDEX(X_Table_Dairy_DurationOfStay_Method2,2,6)</f>
        <v>281</v>
      </c>
      <c r="S203" s="26" t="str">
        <f>$G$192</f>
        <v>days</v>
      </c>
    </row>
    <row r="204" spans="1:19" ht="20.100000000000001" customHeight="1" x14ac:dyDescent="0.25"/>
    <row r="205" spans="1:19" ht="20.100000000000001" customHeight="1" x14ac:dyDescent="0.25">
      <c r="D205" s="122" t="s">
        <v>346</v>
      </c>
      <c r="N205" s="122" t="s">
        <v>346</v>
      </c>
    </row>
    <row r="206" spans="1:19" ht="20.100000000000001" customHeight="1" x14ac:dyDescent="0.25">
      <c r="D206" s="123" t="s">
        <v>347</v>
      </c>
      <c r="N206" s="123" t="s">
        <v>394</v>
      </c>
    </row>
    <row r="207" spans="1:19" ht="20.100000000000001" customHeight="1" x14ac:dyDescent="0.25">
      <c r="D207" s="94" t="s">
        <v>213</v>
      </c>
      <c r="E207" s="94" t="s">
        <v>214</v>
      </c>
      <c r="F207" s="94" t="s">
        <v>215</v>
      </c>
      <c r="G207" s="94" t="s">
        <v>216</v>
      </c>
      <c r="H207" s="94" t="s">
        <v>217</v>
      </c>
      <c r="N207" s="94" t="s">
        <v>213</v>
      </c>
      <c r="O207" s="94" t="s">
        <v>214</v>
      </c>
      <c r="P207" s="94" t="s">
        <v>215</v>
      </c>
      <c r="Q207" s="94" t="s">
        <v>216</v>
      </c>
      <c r="R207" s="94" t="s">
        <v>217</v>
      </c>
    </row>
    <row r="208" spans="1:19" ht="20.100000000000001" customHeight="1" x14ac:dyDescent="0.25">
      <c r="A208" s="129" t="str">
        <f>HYPERLINK("#A1", "▲ Back to top")</f>
        <v>▲ Back to top</v>
      </c>
      <c r="D208" s="25">
        <f>INDEX(X_Table_Dairy_DurationOfStay_Method1,3,2)</f>
        <v>0</v>
      </c>
      <c r="E208" s="25">
        <f>INDEX(X_Table_Dairy_DurationOfStay_Method1,3,3)</f>
        <v>0</v>
      </c>
      <c r="F208" s="25">
        <f>INDEX(X_Table_Dairy_DurationOfStay_Method1,3,4)</f>
        <v>84</v>
      </c>
      <c r="G208" s="25">
        <f>INDEX(X_Table_Dairy_DurationOfStay_Method1,3,5)</f>
        <v>0</v>
      </c>
      <c r="H208" s="25">
        <f>INDEX(X_Table_Dairy_DurationOfStay_Method1,3,6)</f>
        <v>84</v>
      </c>
      <c r="I208" s="26" t="str">
        <f>$G$193</f>
        <v>days</v>
      </c>
      <c r="N208" s="25">
        <f>INDEX(X_Table_Dairy_DurationOfStay_Method1,3,2)</f>
        <v>0</v>
      </c>
      <c r="O208" s="25">
        <f>INDEX(X_Table_Dairy_DurationOfStay_Method1,3,3)</f>
        <v>0</v>
      </c>
      <c r="P208" s="25">
        <f>INDEX(X_Table_Dairy_DurationOfStay_Method2,3,4)</f>
        <v>84</v>
      </c>
      <c r="Q208" s="25">
        <f>INDEX(X_Table_Dairy_DurationOfStay_Method1,3,5)</f>
        <v>0</v>
      </c>
      <c r="R208" s="25">
        <f>INDEX(X_Table_Dairy_DurationOfStay_Method2,3,6)</f>
        <v>84</v>
      </c>
      <c r="S208" s="26" t="str">
        <f>$G$193</f>
        <v>days</v>
      </c>
    </row>
    <row r="209" spans="3:21" ht="20.100000000000001" customHeight="1" x14ac:dyDescent="0.25"/>
    <row r="210" spans="3:21" ht="20.100000000000001" customHeight="1" x14ac:dyDescent="0.25">
      <c r="D210" s="122" t="s">
        <v>395</v>
      </c>
      <c r="N210" s="122" t="s">
        <v>395</v>
      </c>
    </row>
    <row r="211" spans="3:21" ht="20.100000000000001" customHeight="1" x14ac:dyDescent="0.25">
      <c r="D211" s="123" t="s">
        <v>396</v>
      </c>
      <c r="N211" s="123" t="s">
        <v>397</v>
      </c>
    </row>
    <row r="212" spans="3:21" ht="20.100000000000001" customHeight="1" x14ac:dyDescent="0.25">
      <c r="D212" s="124" t="s">
        <v>213</v>
      </c>
      <c r="E212" s="124" t="s">
        <v>214</v>
      </c>
      <c r="F212" s="124" t="s">
        <v>215</v>
      </c>
      <c r="G212" s="124" t="s">
        <v>216</v>
      </c>
      <c r="H212" s="124" t="s">
        <v>217</v>
      </c>
      <c r="N212" s="124" t="s">
        <v>213</v>
      </c>
      <c r="O212" s="124" t="s">
        <v>214</v>
      </c>
      <c r="P212" s="124" t="s">
        <v>215</v>
      </c>
      <c r="Q212" s="124" t="s">
        <v>216</v>
      </c>
      <c r="R212" s="124" t="s">
        <v>217</v>
      </c>
    </row>
    <row r="213" spans="3:21" ht="20.100000000000001" customHeight="1" x14ac:dyDescent="0.25">
      <c r="D213" s="25" cm="1">
        <f t="array" ref="D213">MMS_Dairy_N2ODirect_Equations.VEERG_4_3_1_3__3b_TotalAnnualNitrogenExcretedLessThanOneYearVariation(D166,D146,D198,D203,D208)</f>
        <v>0</v>
      </c>
      <c r="E213" s="25" cm="1">
        <f t="array" ref="E213">MMS_Dairy_N2ODirect_Equations.VEERG_4_3_1_3__3b_TotalAnnualNitrogenExcretedLessThanOneYearVariation(E166,E146,E198,E203,E208)</f>
        <v>0</v>
      </c>
      <c r="F213" s="25" cm="1">
        <f t="array" ref="F213">MMS_Dairy_N2ODirect_Equations.VEERG_4_3_1_3__3b_TotalAnnualNitrogenExcretedLessThanOneYearVariation(F166,F146,F198,F203,F208)</f>
        <v>3301.419278356519</v>
      </c>
      <c r="G213" s="25" cm="1">
        <f t="array" ref="G213">MMS_Dairy_N2ODirect_Equations.VEERG_4_3_1_3__3b_TotalAnnualNitrogenExcretedLessThanOneYearVariation(G166,G146,G198,G203,G208)</f>
        <v>0</v>
      </c>
      <c r="H213" s="25" cm="1">
        <f t="array" ref="H213">MMS_Dairy_N2ODirect_Equations.VEERG_4_3_1_3__3b_TotalAnnualNitrogenExcretedLessThanOneYearVariation(H166,H146,H198,H203,H208)</f>
        <v>4361.9480490479727</v>
      </c>
      <c r="I213" s="26" t="str">
        <f>$E$187</f>
        <v>kg N</v>
      </c>
      <c r="N213" s="25" cm="1">
        <f t="array" ref="N213">MMS_Dairy_N2ODirect_Equations.VEERG_4_3_1_3__3b_TotalAnnualNitrogenExcretedLessThanOneYearVariation(D166,N146,D198,N203,N208)</f>
        <v>0</v>
      </c>
      <c r="O213" s="25" cm="1">
        <f t="array" ref="O213">MMS_Dairy_N2ODirect_Equations.VEERG_4_3_1_3__3b_TotalAnnualNitrogenExcretedLessThanOneYearVariation(E166,O146,E198,O203,O208)</f>
        <v>0</v>
      </c>
      <c r="P213" s="25" cm="1">
        <f t="array" ref="P213">MMS_Dairy_N2ODirect_Equations.VEERG_4_3_1_3__3b_TotalAnnualNitrogenExcretedLessThanOneYearVariation(F166,P146,F198,P203,P208)</f>
        <v>3301.419278356519</v>
      </c>
      <c r="Q213" s="25" cm="1">
        <f t="array" ref="Q213">MMS_Dairy_N2ODirect_Equations.VEERG_4_3_1_3__3b_TotalAnnualNitrogenExcretedLessThanOneYearVariation(G166,Q146,G198,Q203,Q208)</f>
        <v>0</v>
      </c>
      <c r="R213" s="25" cm="1">
        <f t="array" ref="R213">MMS_Dairy_N2ODirect_Equations.VEERG_4_3_1_3__3b_TotalAnnualNitrogenExcretedLessThanOneYearVariation(H166,R146,H198,R203,R208)</f>
        <v>4361.9480490479727</v>
      </c>
      <c r="S213" s="26" t="str">
        <f>$E$187</f>
        <v>kg N</v>
      </c>
    </row>
    <row r="214" spans="3:21" ht="20.100000000000001" customHeight="1" x14ac:dyDescent="0.25"/>
    <row r="215" spans="3:21" ht="20.100000000000001" customHeight="1" x14ac:dyDescent="0.25"/>
    <row r="216" spans="3:21" ht="20.100000000000001" customHeight="1" x14ac:dyDescent="0.25">
      <c r="C216" s="101"/>
      <c r="D216" s="101"/>
      <c r="E216" s="101"/>
      <c r="F216" s="101"/>
      <c r="G216" s="101"/>
      <c r="H216" s="101"/>
      <c r="I216" s="101"/>
      <c r="J216" s="101"/>
      <c r="K216" s="101"/>
      <c r="M216" s="101"/>
      <c r="N216" s="101"/>
      <c r="O216" s="101"/>
      <c r="P216" s="101"/>
      <c r="Q216" s="101"/>
      <c r="R216" s="101"/>
      <c r="S216" s="101"/>
      <c r="T216" s="101"/>
      <c r="U216" s="101"/>
    </row>
    <row r="217" spans="3:21" ht="20.100000000000001" customHeight="1" x14ac:dyDescent="0.25">
      <c r="D217" s="2" t="str" cm="1">
        <f t="array" ref="D217">MMS_Dairy_N2ODirect_Equations.VEERG_4_3_1_3__2_TotalNitrogenInEachMMS_Title()</f>
        <v>Total nitrogen in each MMS</v>
      </c>
    </row>
    <row r="218" spans="3:21" ht="20.100000000000001" customHeight="1" x14ac:dyDescent="0.25">
      <c r="D218" s="27" t="str" cm="1">
        <f t="array" ref="D218">MMS_Dairy_N2ODirect_Equations.VEERG_4_3_1_3__2_TotalNitrogenInEachMMS_Source()</f>
        <v>VEERG 2026: 4.3.1.3, Equation (2)</v>
      </c>
    </row>
    <row r="219" spans="3:21" ht="20.100000000000001" customHeight="1" x14ac:dyDescent="0.25">
      <c r="D219" s="118" t="s">
        <v>262</v>
      </c>
      <c r="E219" s="118"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2"/>
    </row>
    <row r="222" spans="3:21" ht="20.100000000000001" customHeight="1" x14ac:dyDescent="0.25">
      <c r="D222" s="87" t="s">
        <v>263</v>
      </c>
      <c r="E222" s="1" t="str" cm="1">
        <f t="array" ref="E222">MMS_Dairy_N2ODirect_Equations.VEERG_4_3_1_3__2_TotalNitrogenInEachMMS_Variable()</f>
        <v>MN_jm</v>
      </c>
    </row>
    <row r="223" spans="3:21" ht="20.100000000000001" customHeight="1" x14ac:dyDescent="0.25">
      <c r="D223" s="87" t="s">
        <v>122</v>
      </c>
      <c r="E223" s="15" t="str" cm="1">
        <f t="array" ref="E223">MMS_Dairy_N2ODirect_Equations.VEERG_4_3_1_3__2_TotalNitrogenInEachMMS_Unit()</f>
        <v>kg N</v>
      </c>
    </row>
    <row r="224" spans="3:21" ht="20.100000000000001" customHeight="1" x14ac:dyDescent="0.25"/>
    <row r="225" spans="4:20" ht="20.100000000000001" customHeight="1" x14ac:dyDescent="0.25">
      <c r="D225" s="120" t="str" cm="1">
        <f t="array" ref="D225:E226">_xlfn.CHOOSECOLS(MMS_Dairy_N2ODirect_Equations.VEERG_4_3_1_3__2_TotalNitrogenInEachMMS_Arguments(),1,2)</f>
        <v>AE_j</v>
      </c>
      <c r="E225" s="120" t="str">
        <v>total nitrogen excreted by each dairy class</v>
      </c>
      <c r="F225" s="120"/>
      <c r="G225" s="120" t="str" cm="1">
        <f t="array" ref="G225:H226">_xlfn.CHOOSECOLS(MMS_Dairy_N2ODirect_Equations.VEERG_4_3_1_3__2_TotalNitrogenInEachMMS_Arguments(),3,4)</f>
        <v>kg N</v>
      </c>
      <c r="H225" s="128" t="str">
        <v>Calculated from 4.3.1.3 (3a) and (3b)</v>
      </c>
      <c r="I225" s="127" t="str" cm="1">
        <f t="array" aca="1" ref="I225" ca="1">HYPERLINK(Common_InputFunctions.Utility_SourceHyperlink($D$173),$D$173)</f>
        <v>M1_Table_AE_j-1-2-4</v>
      </c>
      <c r="J225" s="127" t="str" cm="1">
        <f t="array" aca="1" ref="J225" ca="1">HYPERLINK(Common_InputFunctions.Utility_SourceHyperlink($D$210),$D$210)</f>
        <v>M1_Table_AE_j</v>
      </c>
    </row>
    <row r="226" spans="4:20" ht="20.100000000000001" customHeight="1" x14ac:dyDescent="0.25">
      <c r="D226" s="120" t="str">
        <v>MMS_jm</v>
      </c>
      <c r="E226" s="120" t="str">
        <v>manure management system fraction for class j and system m</v>
      </c>
      <c r="F226" s="120"/>
      <c r="G226" s="120" t="str">
        <v>fraction</v>
      </c>
      <c r="H226" s="121" t="str">
        <v>Input</v>
      </c>
      <c r="I226" s="127" t="str" cm="1">
        <f t="array" aca="1" ref="I226" ca="1">HYPERLINK(Common_InputFunctions.Utility_SourceHyperlink($D$228),$D$228)</f>
        <v>M1_Table_MMS_j_m</v>
      </c>
      <c r="J226" s="127" t="str" cm="1">
        <f t="array" aca="1" ref="J226" ca="1">HYPERLINK(Common_InputFunctions.Utility_SourceHyperlink($D$228),$D$228)</f>
        <v>M1_Table_MMS_j_m</v>
      </c>
    </row>
    <row r="227" spans="4:20" ht="20.100000000000001" customHeight="1" x14ac:dyDescent="0.25"/>
    <row r="228" spans="4:20" ht="20.100000000000001" customHeight="1" x14ac:dyDescent="0.25">
      <c r="D228" s="122" t="s">
        <v>303</v>
      </c>
      <c r="N228" s="122" t="s">
        <v>304</v>
      </c>
    </row>
    <row r="229" spans="4:20" ht="20.100000000000001" customHeight="1" x14ac:dyDescent="0.25">
      <c r="D229" s="123" t="s">
        <v>398</v>
      </c>
      <c r="N229" s="123" t="s">
        <v>399</v>
      </c>
    </row>
    <row r="230" spans="4:20" ht="20.100000000000001" customHeight="1" x14ac:dyDescent="0.25">
      <c r="D230" s="94" t="s">
        <v>168</v>
      </c>
      <c r="E230" s="94" t="s">
        <v>307</v>
      </c>
      <c r="F230" s="94" t="s">
        <v>213</v>
      </c>
      <c r="G230" s="94" t="s">
        <v>214</v>
      </c>
      <c r="H230" s="94" t="s">
        <v>215</v>
      </c>
      <c r="I230" s="94" t="s">
        <v>216</v>
      </c>
      <c r="J230" s="94" t="s">
        <v>217</v>
      </c>
      <c r="N230" s="94" t="s">
        <v>168</v>
      </c>
      <c r="O230" s="94" t="s">
        <v>307</v>
      </c>
      <c r="P230" s="94" t="s">
        <v>213</v>
      </c>
      <c r="Q230" s="94" t="s">
        <v>214</v>
      </c>
      <c r="R230" s="94" t="s">
        <v>215</v>
      </c>
      <c r="S230" s="94" t="s">
        <v>216</v>
      </c>
      <c r="T230" s="94" t="s">
        <v>217</v>
      </c>
    </row>
    <row r="231" spans="4:20" ht="20.100000000000001" customHeight="1" x14ac:dyDescent="0.25">
      <c r="D231" s="25" t="str">
        <f>INDEX(X_Table_Dairy_ProductionSystems_Method1,3,1)</f>
        <v>Milking shed</v>
      </c>
      <c r="E231" s="25" t="str">
        <f>INDEX(X_Table_Dairy_Stage1MMS_1_AnaerobicLagoon,2,1)</f>
        <v>Anaerobic lagoon</v>
      </c>
      <c r="F231" s="25" cm="1">
        <f t="array" ref="F231">InputFunctions_Dairy.CalculateFractionInMMSAfterSolidSeparation(INDEX(X_Table_Dairy_ProductionSystems_Method1, 3, 2),INDEX(X_Table_Dairy_Stage1MMS_1_AnaerobicLagoon,2,2),X_Cell_Dairy_Stage1MMS_1_AnaerobicLagoon_AmountSeparated_Method1)</f>
        <v>2.2000000000000002E-2</v>
      </c>
      <c r="G231" s="25" cm="1">
        <f t="array" ref="G231">InputFunctions_Dairy.CalculateFractionInMMSAfterSolidSeparation(INDEX(X_Table_Dairy_ProductionSystems_Method1, 3, 3),INDEX(X_Table_Dairy_Stage1MMS_1_AnaerobicLagoon,2,3),X_Cell_Dairy_Stage1MMS_1_AnaerobicLagoon_AmountSeparated_Method1)</f>
        <v>2.2000000000000002E-2</v>
      </c>
      <c r="H231" s="25" cm="1">
        <f t="array" ref="H231">InputFunctions_Dairy.CalculateFractionInMMSAfterSolidSeparation(INDEX(X_Table_Dairy_ProductionSystems_Method1, 3, 4),INDEX(X_Table_Dairy_Stage1MMS_1_AnaerobicLagoon,2,4),X_Cell_Dairy_Stage1MMS_1_AnaerobicLagoon_AmountSeparated_Method1)</f>
        <v>2.2000000000000002E-2</v>
      </c>
      <c r="I231" s="25" cm="1">
        <f t="array" ref="I231">InputFunctions_Dairy.CalculateFractionInMMSAfterSolidSeparation(INDEX(X_Table_Dairy_ProductionSystems_Method1, 3, 5),INDEX(X_Table_Dairy_Stage1MMS_1_AnaerobicLagoon,2,5),X_Cell_Dairy_Stage1MMS_1_AnaerobicLagoon_AmountSeparated_Method1)</f>
        <v>2.2000000000000002E-2</v>
      </c>
      <c r="J231" s="25" cm="1">
        <f t="array" ref="J231">InputFunctions_Dairy.CalculateFractionInMMSAfterSolidSeparation(INDEX(X_Table_Dairy_ProductionSystems_Method1, 3, 6),INDEX(X_Table_Dairy_Stage1MMS_1_AnaerobicLagoon,2,6),X_Cell_Dairy_Stage1MMS_1_AnaerobicLagoon_AmountSeparated_Method1)</f>
        <v>2.2000000000000002E-2</v>
      </c>
      <c r="N231" s="25" t="str">
        <f>INDEX(X_Table_Dairy_ProductionSystems_Method1,3,1)</f>
        <v>Milking shed</v>
      </c>
      <c r="O231" s="25" t="str">
        <f>INDEX(X_Table_Dairy_Stage1MMS_1_AnaerobicLagoon,2,1)</f>
        <v>Anaerobic lagoon</v>
      </c>
      <c r="P231" s="25" cm="1">
        <f t="array" ref="P231">InputFunctions_Dairy.CalculateFractionInMMSAfterSolidSeparation(INDEX(X_Table_Dairy_ProductionSystems_Method2, 3, 2),INDEX(X_Table_Dairy_Stage1MMS_1_AnaerobicLagoon,2,2),X_Cell_Dairy_Stage1MMS_1_AnaerobicLagoon_AmountSeparated_Method2)</f>
        <v>2.2000000000000002E-2</v>
      </c>
      <c r="Q231" s="25" cm="1">
        <f t="array" ref="Q231">InputFunctions_Dairy.CalculateFractionInMMSAfterSolidSeparation(INDEX(X_Table_Dairy_ProductionSystems_Method2, 3, 3),INDEX(X_Table_Dairy_Stage1MMS_1_AnaerobicLagoon,2,3),X_Cell_Dairy_Stage1MMS_1_AnaerobicLagoon_AmountSeparated_Method2)</f>
        <v>2.2000000000000002E-2</v>
      </c>
      <c r="R231" s="25" cm="1">
        <f t="array" ref="R231">InputFunctions_Dairy.CalculateFractionInMMSAfterSolidSeparation(INDEX(X_Table_Dairy_ProductionSystems_Method2, 3, 4),INDEX(X_Table_Dairy_Stage1MMS_1_AnaerobicLagoon,2,4),X_Cell_Dairy_Stage1MMS_1_AnaerobicLagoon_AmountSeparated_Method2)</f>
        <v>2.2000000000000002E-2</v>
      </c>
      <c r="S231" s="25" cm="1">
        <f t="array" ref="S231">InputFunctions_Dairy.CalculateFractionInMMSAfterSolidSeparation(INDEX(X_Table_Dairy_ProductionSystems_Method2, 3, 5),INDEX(X_Table_Dairy_Stage1MMS_1_AnaerobicLagoon,2,5),X_Cell_Dairy_Stage1MMS_1_AnaerobicLagoon_AmountSeparated_Method2)</f>
        <v>2.2000000000000002E-2</v>
      </c>
      <c r="T231" s="25" cm="1">
        <f t="array" ref="T231">InputFunctions_Dairy.CalculateFractionInMMSAfterSolidSeparation(INDEX(X_Table_Dairy_ProductionSystems_Method2, 3, 6),INDEX(X_Table_Dairy_Stage1MMS_1_AnaerobicLagoon,2,6),X_Cell_Dairy_Stage1MMS_1_AnaerobicLagoon_AmountSeparated_Method2)</f>
        <v>2.2000000000000002E-2</v>
      </c>
    </row>
    <row r="232" spans="4:20" ht="20.100000000000001" customHeight="1" x14ac:dyDescent="0.25">
      <c r="D232" s="25" t="str">
        <f>INDEX(X_Table_Dairy_ProductionSystems_Method1,3,1)</f>
        <v>Milking shed</v>
      </c>
      <c r="E232" s="25" t="str">
        <f>INDEX(X_Table_Dairy_Stage1MMS_1_SumpAndDispersal,2,1)</f>
        <v>Sump and dispersal system</v>
      </c>
      <c r="F232" s="25" cm="1">
        <f t="array" ref="F232">InputFunctions_Dairy.CalculateFractionInMMSAfterSolidSeparation(INDEX(X_Table_Dairy_ProductionSystems_Method1, 3, 2),INDEX(X_Table_Dairy_Stage1MMS_1_SumpAndDispersal,2,2),X_Cell_Dairy_Stage1MMS_1_AnaerobicLagoon_AmountSeparated_Method1)</f>
        <v>2.2000000000000002E-2</v>
      </c>
      <c r="G232" s="25" cm="1">
        <f t="array" ref="G232">InputFunctions_Dairy.CalculateFractionInMMSAfterSolidSeparation(INDEX(X_Table_Dairy_ProductionSystems_Method1, 3, 3),INDEX(X_Table_Dairy_Stage1MMS_1_SumpAndDispersal,2,3),X_Cell_Dairy_Stage1MMS_1_AnaerobicLagoon_AmountSeparated_Method1)</f>
        <v>2.2000000000000002E-2</v>
      </c>
      <c r="H232" s="25" cm="1">
        <f t="array" ref="H232">InputFunctions_Dairy.CalculateFractionInMMSAfterSolidSeparation(INDEX(X_Table_Dairy_ProductionSystems_Method1, 3, 4),INDEX(X_Table_Dairy_Stage1MMS_1_SumpAndDispersal,2,4),X_Cell_Dairy_Stage1MMS_1_AnaerobicLagoon_AmountSeparated_Method1)</f>
        <v>2.2000000000000002E-2</v>
      </c>
      <c r="I232" s="25" cm="1">
        <f t="array" ref="I232">InputFunctions_Dairy.CalculateFractionInMMSAfterSolidSeparation(INDEX(X_Table_Dairy_ProductionSystems_Method1, 3, 5),INDEX(X_Table_Dairy_Stage1MMS_1_SumpAndDispersal,2,5),X_Cell_Dairy_Stage1MMS_1_AnaerobicLagoon_AmountSeparated_Method1)</f>
        <v>2.2000000000000002E-2</v>
      </c>
      <c r="J232" s="25" cm="1">
        <f t="array" ref="J232">InputFunctions_Dairy.CalculateFractionInMMSAfterSolidSeparation(INDEX(X_Table_Dairy_ProductionSystems_Method1, 3, 6),INDEX(X_Table_Dairy_Stage1MMS_1_SumpAndDispersal,2,6),X_Cell_Dairy_Stage1MMS_1_AnaerobicLagoon_AmountSeparated_Method1)</f>
        <v>2.2000000000000002E-2</v>
      </c>
      <c r="N232" s="25" t="str">
        <f>INDEX(X_Table_Dairy_ProductionSystems_Method1,3,1)</f>
        <v>Milking shed</v>
      </c>
      <c r="O232" s="25" t="str">
        <f>INDEX(X_Table_Dairy_Stage1MMS_1_SumpAndDispersal,2,1)</f>
        <v>Sump and dispersal system</v>
      </c>
      <c r="P232" s="25" cm="1">
        <f t="array" ref="P232">InputFunctions_Dairy.CalculateFractionInMMSAfterSolidSeparation(INDEX(X_Table_Dairy_ProductionSystems_Method2, 3, 2),INDEX(X_Table_Dairy_Stage1MMS_1_SumpAndDispersal,2,2),X_Cell_Dairy_Stage1MMS_1_AnaerobicLagoon_AmountSeparated_Method2)</f>
        <v>2.2000000000000002E-2</v>
      </c>
      <c r="Q232" s="25" cm="1">
        <f t="array" ref="Q232">InputFunctions_Dairy.CalculateFractionInMMSAfterSolidSeparation(INDEX(X_Table_Dairy_ProductionSystems_Method2, 3, 3),INDEX(X_Table_Dairy_Stage1MMS_1_SumpAndDispersal,2,3),X_Cell_Dairy_Stage1MMS_1_AnaerobicLagoon_AmountSeparated_Method2)</f>
        <v>2.2000000000000002E-2</v>
      </c>
      <c r="R232" s="25" cm="1">
        <f t="array" ref="R232">InputFunctions_Dairy.CalculateFractionInMMSAfterSolidSeparation(INDEX(X_Table_Dairy_ProductionSystems_Method2, 3, 4),INDEX(X_Table_Dairy_Stage1MMS_1_SumpAndDispersal,2,4),X_Cell_Dairy_Stage1MMS_1_AnaerobicLagoon_AmountSeparated_Method2)</f>
        <v>2.2000000000000002E-2</v>
      </c>
      <c r="S232" s="25" cm="1">
        <f t="array" ref="S232">InputFunctions_Dairy.CalculateFractionInMMSAfterSolidSeparation(INDEX(X_Table_Dairy_ProductionSystems_Method2, 3, 5),INDEX(X_Table_Dairy_Stage1MMS_1_SumpAndDispersal,2,5),X_Cell_Dairy_Stage1MMS_1_AnaerobicLagoon_AmountSeparated_Method2)</f>
        <v>2.2000000000000002E-2</v>
      </c>
      <c r="T232" s="25" cm="1">
        <f t="array" ref="T232">InputFunctions_Dairy.CalculateFractionInMMSAfterSolidSeparation(INDEX(X_Table_Dairy_ProductionSystems_Method2, 3, 6),INDEX(X_Table_Dairy_Stage1MMS_1_SumpAndDispersal,2,6),X_Cell_Dairy_Stage1MMS_1_AnaerobicLagoon_AmountSeparated_Method2)</f>
        <v>2.2000000000000002E-2</v>
      </c>
    </row>
    <row r="233" spans="4:20" ht="20.100000000000001" customHeight="1" x14ac:dyDescent="0.25">
      <c r="D233" s="25" t="str">
        <f>INDEX(X_Table_Dairy_ProductionSystems_Method1,3,1)</f>
        <v>Milking shed</v>
      </c>
      <c r="E233" s="25" t="str">
        <f>INDEX(X_Table_Dairy_Stage1MMS_1_DrainsToPaddock,2,1)</f>
        <v>Drains to paddock</v>
      </c>
      <c r="F233" s="25" cm="1">
        <f t="array" ref="F233">InputFunctions_Dairy.CalculateFractionInMMSAfterSolidSeparation(INDEX(X_Table_Dairy_ProductionSystems_Method1, 3, 2),INDEX(X_Table_Dairy_Stage1MMS_1_DrainsToPaddock,2,2),X_Cell_Dairy_Stage1MMS_1_AnaerobicLagoon_AmountSeparated_Method1)</f>
        <v>2.2000000000000002E-2</v>
      </c>
      <c r="G233" s="25" cm="1">
        <f t="array" ref="G233">InputFunctions_Dairy.CalculateFractionInMMSAfterSolidSeparation(INDEX(X_Table_Dairy_ProductionSystems_Method1, 3, 3),INDEX(X_Table_Dairy_Stage1MMS_1_DrainsToPaddock,2,3),X_Cell_Dairy_Stage1MMS_1_AnaerobicLagoon_AmountSeparated_Method1)</f>
        <v>2.2000000000000002E-2</v>
      </c>
      <c r="H233" s="25" cm="1">
        <f t="array" ref="H233">InputFunctions_Dairy.CalculateFractionInMMSAfterSolidSeparation(INDEX(X_Table_Dairy_ProductionSystems_Method1, 3, 4),INDEX(X_Table_Dairy_Stage1MMS_1_DrainsToPaddock,2,4),X_Cell_Dairy_Stage1MMS_1_AnaerobicLagoon_AmountSeparated_Method1)</f>
        <v>2.2000000000000002E-2</v>
      </c>
      <c r="I233" s="25" cm="1">
        <f t="array" ref="I233">InputFunctions_Dairy.CalculateFractionInMMSAfterSolidSeparation(INDEX(X_Table_Dairy_ProductionSystems_Method1, 3, 5),INDEX(X_Table_Dairy_Stage1MMS_1_DrainsToPaddock,2,5),X_Cell_Dairy_Stage1MMS_1_AnaerobicLagoon_AmountSeparated_Method1)</f>
        <v>2.2000000000000002E-2</v>
      </c>
      <c r="J233" s="25" cm="1">
        <f t="array" ref="J233">InputFunctions_Dairy.CalculateFractionInMMSAfterSolidSeparation(INDEX(X_Table_Dairy_ProductionSystems_Method1, 3, 6),INDEX(X_Table_Dairy_Stage1MMS_1_DrainsToPaddock,2,6),X_Cell_Dairy_Stage1MMS_1_AnaerobicLagoon_AmountSeparated_Method1)</f>
        <v>2.2000000000000002E-2</v>
      </c>
      <c r="N233" s="25" t="str">
        <f>INDEX(X_Table_Dairy_ProductionSystems_Method1,3,1)</f>
        <v>Milking shed</v>
      </c>
      <c r="O233" s="25" t="str">
        <f>INDEX(X_Table_Dairy_Stage1MMS_1_DrainsToPaddock,2,1)</f>
        <v>Drains to paddock</v>
      </c>
      <c r="P233" s="25" cm="1">
        <f t="array" ref="P233">InputFunctions_Dairy.CalculateFractionInMMSAfterSolidSeparation(INDEX(X_Table_Dairy_ProductionSystems_Method2, 3, 2),INDEX(X_Table_Dairy_Stage1MMS_1_DrainsToPaddock,2,2),X_Cell_Dairy_Stage1MMS_1_AnaerobicLagoon_AmountSeparated_Method2)</f>
        <v>2.2000000000000002E-2</v>
      </c>
      <c r="Q233" s="25" cm="1">
        <f t="array" ref="Q233">InputFunctions_Dairy.CalculateFractionInMMSAfterSolidSeparation(INDEX(X_Table_Dairy_ProductionSystems_Method2, 3, 3),INDEX(X_Table_Dairy_Stage1MMS_1_DrainsToPaddock,2,3),X_Cell_Dairy_Stage1MMS_1_AnaerobicLagoon_AmountSeparated_Method2)</f>
        <v>2.2000000000000002E-2</v>
      </c>
      <c r="R233" s="25" cm="1">
        <f t="array" ref="R233">InputFunctions_Dairy.CalculateFractionInMMSAfterSolidSeparation(INDEX(X_Table_Dairy_ProductionSystems_Method2, 3, 4),INDEX(X_Table_Dairy_Stage1MMS_1_DrainsToPaddock,2,4),X_Cell_Dairy_Stage1MMS_1_AnaerobicLagoon_AmountSeparated_Method2)</f>
        <v>2.2000000000000002E-2</v>
      </c>
      <c r="S233" s="25" cm="1">
        <f t="array" ref="S233">InputFunctions_Dairy.CalculateFractionInMMSAfterSolidSeparation(INDEX(X_Table_Dairy_ProductionSystems_Method2, 3, 5),INDEX(X_Table_Dairy_Stage1MMS_1_DrainsToPaddock,2,5),X_Cell_Dairy_Stage1MMS_1_AnaerobicLagoon_AmountSeparated_Method2)</f>
        <v>2.2000000000000002E-2</v>
      </c>
      <c r="T233" s="25" cm="1">
        <f t="array" ref="T233">InputFunctions_Dairy.CalculateFractionInMMSAfterSolidSeparation(INDEX(X_Table_Dairy_ProductionSystems_Method2, 3, 6),INDEX(X_Table_Dairy_Stage1MMS_1_DrainsToPaddock,2,6),X_Cell_Dairy_Stage1MMS_1_AnaerobicLagoon_AmountSeparated_Method2)</f>
        <v>2.2000000000000002E-2</v>
      </c>
    </row>
    <row r="234" spans="4:20" ht="20.100000000000001" customHeight="1" x14ac:dyDescent="0.25">
      <c r="D234" s="25" t="str">
        <f>INDEX(X_Table_Dairy_ProductionSystems_Method1,3,1)</f>
        <v>Milking shed</v>
      </c>
      <c r="E234" s="25" t="s">
        <v>76</v>
      </c>
      <c r="F234" s="25"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4.3999999999999997E-2</v>
      </c>
      <c r="G234" s="25"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4.3999999999999997E-2</v>
      </c>
      <c r="H234" s="25"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4.3999999999999997E-2</v>
      </c>
      <c r="I234" s="25"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4.3999999999999997E-2</v>
      </c>
      <c r="J234" s="25"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4.3999999999999997E-2</v>
      </c>
      <c r="N234" s="25" t="str">
        <f>INDEX(X_Table_Dairy_ProductionSystems_Method1,3,1)</f>
        <v>Milking shed</v>
      </c>
      <c r="O234" s="25" t="s">
        <v>76</v>
      </c>
      <c r="P234" s="25"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4.3999999999999997E-2</v>
      </c>
      <c r="Q234" s="25"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4.3999999999999997E-2</v>
      </c>
      <c r="R234" s="25"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4.3999999999999997E-2</v>
      </c>
      <c r="S234" s="25"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4.3999999999999997E-2</v>
      </c>
      <c r="T234" s="25"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4.3999999999999997E-2</v>
      </c>
    </row>
    <row r="235" spans="4:20" ht="20.100000000000001" customHeight="1" x14ac:dyDescent="0.25">
      <c r="D235" s="25" t="str">
        <f>INDEX(X_Table_Dairy_ProductionSystems_Method1,4,1)</f>
        <v>Feed pad</v>
      </c>
      <c r="E235" s="25" t="str">
        <f>INDEX(X_Table_Dairy_Stage1MMS_2_AnaerobicLagoon,2,1)</f>
        <v>Anaerobic lagoon</v>
      </c>
      <c r="F235" s="25" cm="1">
        <f t="array" ref="F235">InputFunctions_Dairy.CalculateFractionInMMSAfterSolidSeparation(INDEX(X_Table_Dairy_ProductionSystems_Method1, 4, 2),INDEX(X_Table_Dairy_Stage1MMS_2_AnaerobicLagoon,2,2),X_Cell_Dairy_Stage1MMS_2_AnaerobicLagoon_AmountSeparated_Method1)</f>
        <v>8.8999999999999996E-2</v>
      </c>
      <c r="G235" s="25" cm="1">
        <f t="array" ref="G235">InputFunctions_Dairy.CalculateFractionInMMSAfterSolidSeparation(INDEX(X_Table_Dairy_ProductionSystems_Method1, 4, 3),INDEX(X_Table_Dairy_Stage1MMS_2_AnaerobicLagoon,2,3),X_Cell_Dairy_Stage1MMS_2_AnaerobicLagoon_AmountSeparated_Method1)</f>
        <v>8.8999999999999996E-2</v>
      </c>
      <c r="H235" s="25" cm="1">
        <f t="array" ref="H235">InputFunctions_Dairy.CalculateFractionInMMSAfterSolidSeparation(INDEX(X_Table_Dairy_ProductionSystems_Method1, 4, 4),INDEX(X_Table_Dairy_Stage1MMS_2_AnaerobicLagoon,2,4),X_Cell_Dairy_Stage1MMS_2_AnaerobicLagoon_AmountSeparated_Method1)</f>
        <v>8.8999999999999996E-2</v>
      </c>
      <c r="I235" s="25" cm="1">
        <f t="array" ref="I235">InputFunctions_Dairy.CalculateFractionInMMSAfterSolidSeparation(INDEX(X_Table_Dairy_ProductionSystems_Method1, 4, 5),INDEX(X_Table_Dairy_Stage1MMS_2_AnaerobicLagoon,2,5),X_Cell_Dairy_Stage1MMS_2_AnaerobicLagoon_AmountSeparated_Method1)</f>
        <v>8.8999999999999996E-2</v>
      </c>
      <c r="J235" s="25" cm="1">
        <f t="array" ref="J235">InputFunctions_Dairy.CalculateFractionInMMSAfterSolidSeparation(INDEX(X_Table_Dairy_ProductionSystems_Method1, 4, 6),INDEX(X_Table_Dairy_Stage1MMS_2_AnaerobicLagoon,2,6),X_Cell_Dairy_Stage1MMS_2_AnaerobicLagoon_AmountSeparated_Method1)</f>
        <v>8.8999999999999996E-2</v>
      </c>
      <c r="N235" s="25" t="str">
        <f>INDEX(X_Table_Dairy_ProductionSystems_Method1,4,1)</f>
        <v>Feed pad</v>
      </c>
      <c r="O235" s="25" t="str">
        <f>INDEX(X_Table_Dairy_Stage1MMS_2_AnaerobicLagoon,2,1)</f>
        <v>Anaerobic lagoon</v>
      </c>
      <c r="P235" s="25" cm="1">
        <f t="array" ref="P235">InputFunctions_Dairy.CalculateFractionInMMSAfterSolidSeparation(INDEX(X_Table_Dairy_ProductionSystems_Method2, 4, 2),INDEX(X_Table_Dairy_Stage1MMS_2_AnaerobicLagoon,2,2),X_Cell_Dairy_Stage1MMS_2_AnaerobicLagoon_AmountSeparated_Method2)</f>
        <v>8.8999999999999996E-2</v>
      </c>
      <c r="Q235" s="25" cm="1">
        <f t="array" ref="Q235">InputFunctions_Dairy.CalculateFractionInMMSAfterSolidSeparation(INDEX(X_Table_Dairy_ProductionSystems_Method2, 4, 3),INDEX(X_Table_Dairy_Stage1MMS_2_AnaerobicLagoon,2,3),X_Cell_Dairy_Stage1MMS_2_AnaerobicLagoon_AmountSeparated_Method2)</f>
        <v>8.8999999999999996E-2</v>
      </c>
      <c r="R235" s="25" cm="1">
        <f t="array" ref="R235">InputFunctions_Dairy.CalculateFractionInMMSAfterSolidSeparation(INDEX(X_Table_Dairy_ProductionSystems_Method2, 4, 4),INDEX(X_Table_Dairy_Stage1MMS_2_AnaerobicLagoon,2,4),X_Cell_Dairy_Stage1MMS_2_AnaerobicLagoon_AmountSeparated_Method2)</f>
        <v>8.8999999999999996E-2</v>
      </c>
      <c r="S235" s="25" cm="1">
        <f t="array" ref="S235">InputFunctions_Dairy.CalculateFractionInMMSAfterSolidSeparation(INDEX(X_Table_Dairy_ProductionSystems_Method2, 4, 5),INDEX(X_Table_Dairy_Stage1MMS_2_AnaerobicLagoon,2,5),X_Cell_Dairy_Stage1MMS_2_AnaerobicLagoon_AmountSeparated_Method2)</f>
        <v>8.8999999999999996E-2</v>
      </c>
      <c r="T235" s="25" cm="1">
        <f t="array" ref="T235">InputFunctions_Dairy.CalculateFractionInMMSAfterSolidSeparation(INDEX(X_Table_Dairy_ProductionSystems_Method2, 4, 6),INDEX(X_Table_Dairy_Stage1MMS_2_AnaerobicLagoon,2,6),X_Cell_Dairy_Stage1MMS_2_AnaerobicLagoon_AmountSeparated_Method2)</f>
        <v>8.8999999999999996E-2</v>
      </c>
    </row>
    <row r="236" spans="4:20" ht="20.100000000000001" customHeight="1" x14ac:dyDescent="0.25">
      <c r="D236" s="25" t="str">
        <f>INDEX(X_Table_Dairy_ProductionSystems_Method1,4,1)</f>
        <v>Feed pad</v>
      </c>
      <c r="E236" s="25" t="str">
        <f>INDEX(X_Table_Dairy_Stage1MMS_2_SumpAndDispersal,2,1)</f>
        <v>Sump and dispersal system</v>
      </c>
      <c r="F236" s="25" cm="1">
        <f t="array" ref="F236">InputFunctions_Dairy.CalculateFractionInMMSAfterSolidSeparation(INDEX(X_Table_Dairy_ProductionSystems_Method1, 4, 2),INDEX(X_Table_Dairy_Stage1MMS_2_SumpAndDispersal,2,2),X_Cell_Dairy_Stage1MMS_2_SumpAndDispersal_AmountSeparated_Method1)</f>
        <v>7.1199999999999999E-2</v>
      </c>
      <c r="G236" s="25" cm="1">
        <f t="array" ref="G236">InputFunctions_Dairy.CalculateFractionInMMSAfterSolidSeparation(INDEX(X_Table_Dairy_ProductionSystems_Method1, 4, 3),INDEX(X_Table_Dairy_Stage1MMS_2_SumpAndDispersal,2,3),X_Cell_Dairy_Stage1MMS_2_SumpAndDispersal_AmountSeparated_Method1)</f>
        <v>7.1199999999999999E-2</v>
      </c>
      <c r="H236" s="25" cm="1">
        <f t="array" ref="H236">InputFunctions_Dairy.CalculateFractionInMMSAfterSolidSeparation(INDEX(X_Table_Dairy_ProductionSystems_Method1, 4, 4),INDEX(X_Table_Dairy_Stage1MMS_2_SumpAndDispersal,2,4),X_Cell_Dairy_Stage1MMS_2_SumpAndDispersal_AmountSeparated_Method1)</f>
        <v>7.1199999999999999E-2</v>
      </c>
      <c r="I236" s="25" cm="1">
        <f t="array" ref="I236">InputFunctions_Dairy.CalculateFractionInMMSAfterSolidSeparation(INDEX(X_Table_Dairy_ProductionSystems_Method1, 4, 5),INDEX(X_Table_Dairy_Stage1MMS_2_SumpAndDispersal,2,5),X_Cell_Dairy_Stage1MMS_2_SumpAndDispersal_AmountSeparated_Method1)</f>
        <v>7.1199999999999999E-2</v>
      </c>
      <c r="J236" s="25" cm="1">
        <f t="array" ref="J236">InputFunctions_Dairy.CalculateFractionInMMSAfterSolidSeparation(INDEX(X_Table_Dairy_ProductionSystems_Method1, 4, 6),INDEX(X_Table_Dairy_Stage1MMS_2_SumpAndDispersal,2,6),X_Cell_Dairy_Stage1MMS_2_SumpAndDispersal_AmountSeparated_Method1)</f>
        <v>7.1199999999999999E-2</v>
      </c>
      <c r="N236" s="25" t="str">
        <f>INDEX(X_Table_Dairy_ProductionSystems_Method1,4,1)</f>
        <v>Feed pad</v>
      </c>
      <c r="O236" s="25" t="str">
        <f>INDEX(X_Table_Dairy_Stage1MMS_2_SumpAndDispersal,2,1)</f>
        <v>Sump and dispersal system</v>
      </c>
      <c r="P236" s="25" cm="1">
        <f t="array" ref="P236">InputFunctions_Dairy.CalculateFractionInMMSAfterSolidSeparation(INDEX(X_Table_Dairy_ProductionSystems_Method2, 4, 2),INDEX(X_Table_Dairy_Stage1MMS_2_SumpAndDispersal,2,2),X_Cell_Dairy_Stage1MMS_2_SumpAndDispersal_AmountSeparated_Method2)</f>
        <v>7.1199999999999999E-2</v>
      </c>
      <c r="Q236" s="25" cm="1">
        <f t="array" ref="Q236">InputFunctions_Dairy.CalculateFractionInMMSAfterSolidSeparation(INDEX(X_Table_Dairy_ProductionSystems_Method2, 4, 3),INDEX(X_Table_Dairy_Stage1MMS_2_SumpAndDispersal,2,3),X_Cell_Dairy_Stage1MMS_2_SumpAndDispersal_AmountSeparated_Method2)</f>
        <v>7.1199999999999999E-2</v>
      </c>
      <c r="R236" s="25" cm="1">
        <f t="array" ref="R236">InputFunctions_Dairy.CalculateFractionInMMSAfterSolidSeparation(INDEX(X_Table_Dairy_ProductionSystems_Method2, 4, 4),INDEX(X_Table_Dairy_Stage1MMS_2_SumpAndDispersal,2,4),X_Cell_Dairy_Stage1MMS_2_SumpAndDispersal_AmountSeparated_Method2)</f>
        <v>7.1199999999999999E-2</v>
      </c>
      <c r="S236" s="25" cm="1">
        <f t="array" ref="S236">InputFunctions_Dairy.CalculateFractionInMMSAfterSolidSeparation(INDEX(X_Table_Dairy_ProductionSystems_Method2, 4, 5),INDEX(X_Table_Dairy_Stage1MMS_2_SumpAndDispersal,2,5),X_Cell_Dairy_Stage1MMS_2_SumpAndDispersal_AmountSeparated_Method2)</f>
        <v>7.1199999999999999E-2</v>
      </c>
      <c r="T236" s="25" cm="1">
        <f t="array" ref="T236">InputFunctions_Dairy.CalculateFractionInMMSAfterSolidSeparation(INDEX(X_Table_Dairy_ProductionSystems_Method2, 4, 6),INDEX(X_Table_Dairy_Stage1MMS_2_SumpAndDispersal,2,6),X_Cell_Dairy_Stage1MMS_2_SumpAndDispersal_AmountSeparated_Method2)</f>
        <v>7.1199999999999999E-2</v>
      </c>
    </row>
    <row r="237" spans="4:20" ht="20.100000000000001" customHeight="1" x14ac:dyDescent="0.25">
      <c r="D237" s="25" t="str">
        <f>INDEX(X_Table_Dairy_ProductionSystems_Method1,4,1)</f>
        <v>Feed pad</v>
      </c>
      <c r="E237" s="25" t="str">
        <f>INDEX(X_Table_Dairy_Stage1MMS_2_DrainsToPaddock,2,1)</f>
        <v>Drains to paddock</v>
      </c>
      <c r="F237" s="25" cm="1">
        <f t="array" ref="F237">InputFunctions_Dairy.CalculateFractionInMMSAfterSolidSeparation(INDEX(X_Table_Dairy_ProductionSystems_Method1, 4, 2),INDEX(X_Table_Dairy_Stage1MMS_2_DrainsToPaddock,2,2),X_Cell_Dairy_Stage1MMS_2_DrainsToPaddock_AmountSeparated_Method1)</f>
        <v>7.1199999999999999E-2</v>
      </c>
      <c r="G237" s="25" cm="1">
        <f t="array" ref="G237">InputFunctions_Dairy.CalculateFractionInMMSAfterSolidSeparation(INDEX(X_Table_Dairy_ProductionSystems_Method1, 4, 3),INDEX(X_Table_Dairy_Stage1MMS_2_DrainsToPaddock,2,3),X_Cell_Dairy_Stage1MMS_2_DrainsToPaddock_AmountSeparated_Method1)</f>
        <v>7.1199999999999999E-2</v>
      </c>
      <c r="H237" s="25" cm="1">
        <f t="array" ref="H237">InputFunctions_Dairy.CalculateFractionInMMSAfterSolidSeparation(INDEX(X_Table_Dairy_ProductionSystems_Method1, 4, 4),INDEX(X_Table_Dairy_Stage1MMS_2_DrainsToPaddock,2,4),X_Cell_Dairy_Stage1MMS_2_DrainsToPaddock_AmountSeparated_Method1)</f>
        <v>7.1199999999999999E-2</v>
      </c>
      <c r="I237" s="25" cm="1">
        <f t="array" ref="I237">InputFunctions_Dairy.CalculateFractionInMMSAfterSolidSeparation(INDEX(X_Table_Dairy_ProductionSystems_Method1, 4, 5),INDEX(X_Table_Dairy_Stage1MMS_2_DrainsToPaddock,2,5),X_Cell_Dairy_Stage1MMS_2_DrainsToPaddock_AmountSeparated_Method1)</f>
        <v>7.1199999999999999E-2</v>
      </c>
      <c r="J237" s="25" cm="1">
        <f t="array" ref="J237">InputFunctions_Dairy.CalculateFractionInMMSAfterSolidSeparation(INDEX(X_Table_Dairy_ProductionSystems_Method1, 4, 6),INDEX(X_Table_Dairy_Stage1MMS_2_DrainsToPaddock,2,6),X_Cell_Dairy_Stage1MMS_2_DrainsToPaddock_AmountSeparated_Method1)</f>
        <v>7.1199999999999999E-2</v>
      </c>
      <c r="N237" s="25" t="str">
        <f>INDEX(X_Table_Dairy_ProductionSystems_Method1,4,1)</f>
        <v>Feed pad</v>
      </c>
      <c r="O237" s="25" t="str">
        <f>INDEX(X_Table_Dairy_Stage1MMS_2_DrainsToPaddock,2,1)</f>
        <v>Drains to paddock</v>
      </c>
      <c r="P237" s="25" cm="1">
        <f t="array" ref="P237">InputFunctions_Dairy.CalculateFractionInMMSAfterSolidSeparation(INDEX(X_Table_Dairy_ProductionSystems_Method2, 4, 2),INDEX(X_Table_Dairy_Stage1MMS_2_DrainsToPaddock,2,2),X_Cell_Dairy_Stage1MMS_2_DrainsToPaddock_AmountSeparated_Method2)</f>
        <v>7.1199999999999999E-2</v>
      </c>
      <c r="Q237" s="25" cm="1">
        <f t="array" ref="Q237">InputFunctions_Dairy.CalculateFractionInMMSAfterSolidSeparation(INDEX(X_Table_Dairy_ProductionSystems_Method2, 4, 3),INDEX(X_Table_Dairy_Stage1MMS_2_DrainsToPaddock,2,3),X_Cell_Dairy_Stage1MMS_2_DrainsToPaddock_AmountSeparated_Method2)</f>
        <v>7.1199999999999999E-2</v>
      </c>
      <c r="R237" s="25" cm="1">
        <f t="array" ref="R237">InputFunctions_Dairy.CalculateFractionInMMSAfterSolidSeparation(INDEX(X_Table_Dairy_ProductionSystems_Method2, 4, 4),INDEX(X_Table_Dairy_Stage1MMS_2_DrainsToPaddock,2,4),X_Cell_Dairy_Stage1MMS_2_DrainsToPaddock_AmountSeparated_Method2)</f>
        <v>7.1199999999999999E-2</v>
      </c>
      <c r="S237" s="25" cm="1">
        <f t="array" ref="S237">InputFunctions_Dairy.CalculateFractionInMMSAfterSolidSeparation(INDEX(X_Table_Dairy_ProductionSystems_Method2, 4, 5),INDEX(X_Table_Dairy_Stage1MMS_2_DrainsToPaddock,2,5),X_Cell_Dairy_Stage1MMS_2_DrainsToPaddock_AmountSeparated_Method2)</f>
        <v>7.1199999999999999E-2</v>
      </c>
      <c r="T237" s="25" cm="1">
        <f t="array" ref="T237">InputFunctions_Dairy.CalculateFractionInMMSAfterSolidSeparation(INDEX(X_Table_Dairy_ProductionSystems_Method2, 4, 6),INDEX(X_Table_Dairy_Stage1MMS_2_DrainsToPaddock,2,6),X_Cell_Dairy_Stage1MMS_2_DrainsToPaddock_AmountSeparated_Method2)</f>
        <v>7.1199999999999999E-2</v>
      </c>
    </row>
    <row r="238" spans="4:20" ht="20.100000000000001" customHeight="1" x14ac:dyDescent="0.25">
      <c r="D238" s="25" t="str">
        <f>INDEX(X_Table_Dairy_ProductionSystems_Method1,4,1)</f>
        <v>Feed pad</v>
      </c>
      <c r="E238" s="25" t="s">
        <v>76</v>
      </c>
      <c r="F238" s="25"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0.12459999999999999</v>
      </c>
      <c r="G238" s="25"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0.12459999999999999</v>
      </c>
      <c r="H238" s="25"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0.12459999999999999</v>
      </c>
      <c r="I238" s="25"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0.12459999999999999</v>
      </c>
      <c r="J238" s="25"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0.12459999999999999</v>
      </c>
      <c r="N238" s="25" t="str">
        <f>INDEX(X_Table_Dairy_ProductionSystems_Method1,4,1)</f>
        <v>Feed pad</v>
      </c>
      <c r="O238" s="25" t="str">
        <f>INDEX(X_Table_Dairy_Stage1MMS_2_SolidStorage,2,1)</f>
        <v>Solid storage (before solid separation)</v>
      </c>
      <c r="P238" s="25"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0.12459999999999999</v>
      </c>
      <c r="Q238" s="25"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0.12459999999999999</v>
      </c>
      <c r="R238" s="25"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0.12459999999999999</v>
      </c>
      <c r="S238" s="25"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0.12459999999999999</v>
      </c>
      <c r="T238" s="25"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0.12459999999999999</v>
      </c>
    </row>
    <row r="239" spans="4:20" ht="20.100000000000001" customHeight="1" x14ac:dyDescent="0.25">
      <c r="Q239" s="141"/>
    </row>
    <row r="240" spans="4:20" ht="20.100000000000001" customHeight="1" x14ac:dyDescent="0.25">
      <c r="D240" s="122" t="s">
        <v>400</v>
      </c>
      <c r="N240" s="122" t="s">
        <v>401</v>
      </c>
    </row>
    <row r="241" spans="1:21" ht="20.100000000000001" customHeight="1" x14ac:dyDescent="0.25">
      <c r="D241" s="123" t="s">
        <v>402</v>
      </c>
      <c r="N241" s="123" t="s">
        <v>403</v>
      </c>
    </row>
    <row r="242" spans="1:21" ht="20.100000000000001" customHeight="1" x14ac:dyDescent="0.25">
      <c r="D242" s="124" t="s">
        <v>168</v>
      </c>
      <c r="E242" s="124" t="s">
        <v>307</v>
      </c>
      <c r="F242" s="124" t="s">
        <v>213</v>
      </c>
      <c r="G242" s="124" t="s">
        <v>214</v>
      </c>
      <c r="H242" s="124" t="s">
        <v>215</v>
      </c>
      <c r="I242" s="124" t="s">
        <v>216</v>
      </c>
      <c r="J242" s="124" t="s">
        <v>217</v>
      </c>
      <c r="N242" s="124" t="s">
        <v>168</v>
      </c>
      <c r="O242" s="124" t="s">
        <v>307</v>
      </c>
      <c r="P242" s="124" t="s">
        <v>213</v>
      </c>
      <c r="Q242" s="124" t="s">
        <v>214</v>
      </c>
      <c r="R242" s="124" t="s">
        <v>215</v>
      </c>
      <c r="S242" s="124" t="s">
        <v>216</v>
      </c>
      <c r="T242" s="124" t="s">
        <v>217</v>
      </c>
    </row>
    <row r="243" spans="1:21" ht="20.100000000000001" customHeight="1" x14ac:dyDescent="0.25">
      <c r="D243" s="25" t="str">
        <f>INDEX(X_Table_Dairy_ProductionSystems_Method1,3,1)</f>
        <v>Milking shed</v>
      </c>
      <c r="E243" s="25" t="str">
        <f>INDEX(X_Table_Dairy_Stage1MMS_1_AnaerobicLagoon,2,1)</f>
        <v>Anaerobic lagoon</v>
      </c>
      <c r="F243" s="25" cm="1">
        <f t="array" ref="F243">MMS_Dairy_N2ODirect_Equations.VEERG_4_3_1_3__2_TotalNitrogenInEachMMS(D$176,F231)</f>
        <v>399.24605684746678</v>
      </c>
      <c r="G243" s="25" cm="1">
        <f t="array" ref="G243">MMS_Dairy_N2ODirect_Equations.VEERG_4_3_1_3__2_TotalNitrogenInEachMMS(E$176,G231)</f>
        <v>182.35790267782079</v>
      </c>
      <c r="H243" s="25" cm="1">
        <f t="array" ref="H243">MMS_Dairy_N2ODirect_Equations.VEERG_4_3_1_3__2_TotalNitrogenInEachMMS(F$213,H231)</f>
        <v>72.631224123843424</v>
      </c>
      <c r="I243" s="25" cm="1">
        <f t="array" ref="I243">MMS_Dairy_N2ODirect_Equations.VEERG_4_3_1_3__2_TotalNitrogenInEachMMS(G$176,I231)</f>
        <v>229.23109573986844</v>
      </c>
      <c r="J243" s="25" cm="1">
        <f t="array" ref="J243">MMS_Dairy_N2ODirect_Equations.VEERG_4_3_1_3__2_TotalNitrogenInEachMMS(H$213,J231)</f>
        <v>95.962857079055411</v>
      </c>
      <c r="N243" s="25" t="str">
        <f>INDEX(X_Table_Dairy_ProductionSystems_Method1,3,1)</f>
        <v>Milking shed</v>
      </c>
      <c r="O243" s="25" t="str">
        <f>INDEX(X_Table_Dairy_Stage1MMS_1_AnaerobicLagoon,2,1)</f>
        <v>Anaerobic lagoon</v>
      </c>
      <c r="P243" s="25" cm="1">
        <f t="array" ref="P243">MMS_Dairy_N2ODirect_Equations.VEERG_4_3_1_3__2_TotalNitrogenInEachMMS(N$176,P231)</f>
        <v>399.24605684746678</v>
      </c>
      <c r="Q243" s="25" cm="1">
        <f t="array" ref="Q243">MMS_Dairy_N2ODirect_Equations.VEERG_4_3_1_3__2_TotalNitrogenInEachMMS(O$176,Q231)</f>
        <v>182.35790267782079</v>
      </c>
      <c r="R243" s="25" cm="1">
        <f t="array" ref="R243">MMS_Dairy_N2ODirect_Equations.VEERG_4_3_1_3__2_TotalNitrogenInEachMMS(P$213,R231)</f>
        <v>72.631224123843424</v>
      </c>
      <c r="S243" s="25" cm="1">
        <f t="array" ref="S243">MMS_Dairy_N2ODirect_Equations.VEERG_4_3_1_3__2_TotalNitrogenInEachMMS(Q$176,S231)</f>
        <v>229.23109573986844</v>
      </c>
      <c r="T243" s="25" cm="1">
        <f t="array" ref="T243">MMS_Dairy_N2ODirect_Equations.VEERG_4_3_1_3__2_TotalNitrogenInEachMMS(R$213,T231)</f>
        <v>95.962857079055411</v>
      </c>
    </row>
    <row r="244" spans="1:21" ht="20.100000000000001" customHeight="1" x14ac:dyDescent="0.25">
      <c r="D244" s="25" t="str">
        <f>INDEX(X_Table_Dairy_ProductionSystems_Method1,3,1)</f>
        <v>Milking shed</v>
      </c>
      <c r="E244" s="25" t="str">
        <f>INDEX(X_Table_Dairy_Stage1MMS_1_SumpAndDispersal,2,1)</f>
        <v>Sump and dispersal system</v>
      </c>
      <c r="F244" s="25" cm="1">
        <f t="array" ref="F244">MMS_Dairy_N2ODirect_Equations.VEERG_4_3_1_3__2_TotalNitrogenInEachMMS(D$176,F232)</f>
        <v>399.24605684746678</v>
      </c>
      <c r="G244" s="25" cm="1">
        <f t="array" ref="G244">MMS_Dairy_N2ODirect_Equations.VEERG_4_3_1_3__2_TotalNitrogenInEachMMS(E$176,G232)</f>
        <v>182.35790267782079</v>
      </c>
      <c r="H244" s="25" cm="1">
        <f t="array" ref="H244">MMS_Dairy_N2ODirect_Equations.VEERG_4_3_1_3__2_TotalNitrogenInEachMMS(F$213,H232)</f>
        <v>72.631224123843424</v>
      </c>
      <c r="I244" s="25" cm="1">
        <f t="array" ref="I244">MMS_Dairy_N2ODirect_Equations.VEERG_4_3_1_3__2_TotalNitrogenInEachMMS(G$176,I232)</f>
        <v>229.23109573986844</v>
      </c>
      <c r="J244" s="25" cm="1">
        <f t="array" ref="J244">MMS_Dairy_N2ODirect_Equations.VEERG_4_3_1_3__2_TotalNitrogenInEachMMS(H$213,J232)</f>
        <v>95.962857079055411</v>
      </c>
      <c r="N244" s="25" t="str">
        <f>INDEX(X_Table_Dairy_ProductionSystems_Method1,3,1)</f>
        <v>Milking shed</v>
      </c>
      <c r="O244" s="25" t="str">
        <f>INDEX(X_Table_Dairy_Stage1MMS_1_SumpAndDispersal,2,1)</f>
        <v>Sump and dispersal system</v>
      </c>
      <c r="P244" s="25" cm="1">
        <f t="array" ref="P244">MMS_Dairy_N2ODirect_Equations.VEERG_4_3_1_3__2_TotalNitrogenInEachMMS(N$176,P232)</f>
        <v>399.24605684746678</v>
      </c>
      <c r="Q244" s="25" cm="1">
        <f t="array" ref="Q244">MMS_Dairy_N2ODirect_Equations.VEERG_4_3_1_3__2_TotalNitrogenInEachMMS(O$176,Q232)</f>
        <v>182.35790267782079</v>
      </c>
      <c r="R244" s="25" cm="1">
        <f t="array" ref="R244">MMS_Dairy_N2ODirect_Equations.VEERG_4_3_1_3__2_TotalNitrogenInEachMMS(P$213,R232)</f>
        <v>72.631224123843424</v>
      </c>
      <c r="S244" s="25" cm="1">
        <f t="array" ref="S244">MMS_Dairy_N2ODirect_Equations.VEERG_4_3_1_3__2_TotalNitrogenInEachMMS(Q$176,S232)</f>
        <v>229.23109573986844</v>
      </c>
      <c r="T244" s="25" cm="1">
        <f t="array" ref="T244">MMS_Dairy_N2ODirect_Equations.VEERG_4_3_1_3__2_TotalNitrogenInEachMMS(R$213,T232)</f>
        <v>95.962857079055411</v>
      </c>
    </row>
    <row r="245" spans="1:21" ht="20.100000000000001" customHeight="1" x14ac:dyDescent="0.25">
      <c r="A245" s="129" t="str">
        <f>HYPERLINK("#A1", "▲ Back to top")</f>
        <v>▲ Back to top</v>
      </c>
      <c r="D245" s="25" t="str">
        <f>INDEX(X_Table_Dairy_ProductionSystems_Method1,3,1)</f>
        <v>Milking shed</v>
      </c>
      <c r="E245" s="25" t="str">
        <f>INDEX(X_Table_Dairy_Stage1MMS_1_DrainsToPaddock,2,1)</f>
        <v>Drains to paddock</v>
      </c>
      <c r="F245" s="25" cm="1">
        <f t="array" ref="F245">MMS_Dairy_N2ODirect_Equations.VEERG_4_3_1_3__2_TotalNitrogenInEachMMS(D$176,F233)</f>
        <v>399.24605684746678</v>
      </c>
      <c r="G245" s="25" cm="1">
        <f t="array" ref="G245">MMS_Dairy_N2ODirect_Equations.VEERG_4_3_1_3__2_TotalNitrogenInEachMMS(E$176,G233)</f>
        <v>182.35790267782079</v>
      </c>
      <c r="H245" s="25" cm="1">
        <f t="array" ref="H245">MMS_Dairy_N2ODirect_Equations.VEERG_4_3_1_3__2_TotalNitrogenInEachMMS(F$213,H233)</f>
        <v>72.631224123843424</v>
      </c>
      <c r="I245" s="25" cm="1">
        <f t="array" ref="I245">MMS_Dairy_N2ODirect_Equations.VEERG_4_3_1_3__2_TotalNitrogenInEachMMS(G$176,I233)</f>
        <v>229.23109573986844</v>
      </c>
      <c r="J245" s="25" cm="1">
        <f t="array" ref="J245">MMS_Dairy_N2ODirect_Equations.VEERG_4_3_1_3__2_TotalNitrogenInEachMMS(H$213,J233)</f>
        <v>95.962857079055411</v>
      </c>
      <c r="N245" s="25" t="str">
        <f>INDEX(X_Table_Dairy_ProductionSystems_Method1,3,1)</f>
        <v>Milking shed</v>
      </c>
      <c r="O245" s="25" t="str">
        <f>INDEX(X_Table_Dairy_Stage1MMS_1_DrainsToPaddock,2,1)</f>
        <v>Drains to paddock</v>
      </c>
      <c r="P245" s="25" cm="1">
        <f t="array" ref="P245">MMS_Dairy_N2ODirect_Equations.VEERG_4_3_1_3__2_TotalNitrogenInEachMMS(N$176,P233)</f>
        <v>399.24605684746678</v>
      </c>
      <c r="Q245" s="25" cm="1">
        <f t="array" ref="Q245">MMS_Dairy_N2ODirect_Equations.VEERG_4_3_1_3__2_TotalNitrogenInEachMMS(O$176,Q233)</f>
        <v>182.35790267782079</v>
      </c>
      <c r="R245" s="25" cm="1">
        <f t="array" ref="R245">MMS_Dairy_N2ODirect_Equations.VEERG_4_3_1_3__2_TotalNitrogenInEachMMS(P$213,R233)</f>
        <v>72.631224123843424</v>
      </c>
      <c r="S245" s="25" cm="1">
        <f t="array" ref="S245">MMS_Dairy_N2ODirect_Equations.VEERG_4_3_1_3__2_TotalNitrogenInEachMMS(Q$176,S233)</f>
        <v>229.23109573986844</v>
      </c>
      <c r="T245" s="25" cm="1">
        <f t="array" ref="T245">MMS_Dairy_N2ODirect_Equations.VEERG_4_3_1_3__2_TotalNitrogenInEachMMS(R$213,T233)</f>
        <v>95.962857079055411</v>
      </c>
    </row>
    <row r="246" spans="1:21" ht="20.100000000000001" customHeight="1" x14ac:dyDescent="0.25">
      <c r="D246" s="25" t="str">
        <f>INDEX(X_Table_Dairy_ProductionSystems_Method1,3,1)</f>
        <v>Milking shed</v>
      </c>
      <c r="E246" s="25" t="s">
        <v>76</v>
      </c>
      <c r="F246" s="25" cm="1">
        <f t="array" ref="F246">MMS_Dairy_N2ODirect_Equations.VEERG_4_3_1_3__2_TotalNitrogenInEachMMS(D$176,F234)</f>
        <v>798.49211369493332</v>
      </c>
      <c r="G246" s="25" cm="1">
        <f t="array" ref="G246">MMS_Dairy_N2ODirect_Equations.VEERG_4_3_1_3__2_TotalNitrogenInEachMMS(E$176,G234)</f>
        <v>364.71580535564152</v>
      </c>
      <c r="H246" s="25" cm="1">
        <f t="array" ref="H246">MMS_Dairy_N2ODirect_Equations.VEERG_4_3_1_3__2_TotalNitrogenInEachMMS(F$213,H234)</f>
        <v>145.26244824768682</v>
      </c>
      <c r="I246" s="25" cm="1">
        <f t="array" ref="I246">MMS_Dairy_N2ODirect_Equations.VEERG_4_3_1_3__2_TotalNitrogenInEachMMS(G$176,I234)</f>
        <v>458.46219147973682</v>
      </c>
      <c r="J246" s="25" cm="1">
        <f t="array" ref="J246">MMS_Dairy_N2ODirect_Equations.VEERG_4_3_1_3__2_TotalNitrogenInEachMMS(H$213,J234)</f>
        <v>191.92571415811079</v>
      </c>
      <c r="N246" s="25" t="str">
        <f>INDEX(X_Table_Dairy_ProductionSystems_Method1,3,1)</f>
        <v>Milking shed</v>
      </c>
      <c r="O246" s="25" t="s">
        <v>76</v>
      </c>
      <c r="P246" s="25" cm="1">
        <f t="array" ref="P246">MMS_Dairy_N2ODirect_Equations.VEERG_4_3_1_3__2_TotalNitrogenInEachMMS(N$176,P234)</f>
        <v>798.49211369493332</v>
      </c>
      <c r="Q246" s="25" cm="1">
        <f t="array" ref="Q246">MMS_Dairy_N2ODirect_Equations.VEERG_4_3_1_3__2_TotalNitrogenInEachMMS(O$176,Q234)</f>
        <v>364.71580535564152</v>
      </c>
      <c r="R246" s="25" cm="1">
        <f t="array" ref="R246">MMS_Dairy_N2ODirect_Equations.VEERG_4_3_1_3__2_TotalNitrogenInEachMMS(P$213,R234)</f>
        <v>145.26244824768682</v>
      </c>
      <c r="S246" s="25" cm="1">
        <f t="array" ref="S246">MMS_Dairy_N2ODirect_Equations.VEERG_4_3_1_3__2_TotalNitrogenInEachMMS(Q$176,S234)</f>
        <v>458.46219147973682</v>
      </c>
      <c r="T246" s="25" cm="1">
        <f t="array" ref="T246">MMS_Dairy_N2ODirect_Equations.VEERG_4_3_1_3__2_TotalNitrogenInEachMMS(R$213,T234)</f>
        <v>191.92571415811079</v>
      </c>
    </row>
    <row r="247" spans="1:21" ht="20.100000000000001" customHeight="1" x14ac:dyDescent="0.25">
      <c r="D247" s="25" t="str">
        <f>INDEX(X_Table_Dairy_ProductionSystems_Method1,4,1)</f>
        <v>Feed pad</v>
      </c>
      <c r="E247" s="25" t="str">
        <f>INDEX(X_Table_Dairy_Stage1MMS_2_AnaerobicLagoon,2,1)</f>
        <v>Anaerobic lagoon</v>
      </c>
      <c r="F247" s="25" cm="1">
        <f t="array" ref="F247">MMS_Dairy_N2ODirect_Equations.VEERG_4_3_1_3__2_TotalNitrogenInEachMMS(D$176,F235)</f>
        <v>1615.131775428388</v>
      </c>
      <c r="G247" s="25" cm="1">
        <f t="array" ref="G247">MMS_Dairy_N2ODirect_Equations.VEERG_4_3_1_3__2_TotalNitrogenInEachMMS(E$176,G235)</f>
        <v>737.72060628754764</v>
      </c>
      <c r="H247" s="25" cm="1">
        <f t="array" ref="H247">MMS_Dairy_N2ODirect_Equations.VEERG_4_3_1_3__2_TotalNitrogenInEachMMS(F$213,H235)</f>
        <v>293.82631577373019</v>
      </c>
      <c r="I247" s="25" cm="1">
        <f t="array" ref="I247">MMS_Dairy_N2ODirect_Equations.VEERG_4_3_1_3__2_TotalNitrogenInEachMMS(G$176,I235)</f>
        <v>927.34397822037681</v>
      </c>
      <c r="J247" s="25" cm="1">
        <f t="array" ref="J247">MMS_Dairy_N2ODirect_Equations.VEERG_4_3_1_3__2_TotalNitrogenInEachMMS(H$213,J235)</f>
        <v>388.21337636526954</v>
      </c>
      <c r="N247" s="25" t="str">
        <f>INDEX(X_Table_Dairy_ProductionSystems_Method1,4,1)</f>
        <v>Feed pad</v>
      </c>
      <c r="O247" s="25" t="str">
        <f>INDEX(X_Table_Dairy_Stage1MMS_2_AnaerobicLagoon,2,1)</f>
        <v>Anaerobic lagoon</v>
      </c>
      <c r="P247" s="25" cm="1">
        <f t="array" ref="P247">MMS_Dairy_N2ODirect_Equations.VEERG_4_3_1_3__2_TotalNitrogenInEachMMS(N$176,P235)</f>
        <v>1615.131775428388</v>
      </c>
      <c r="Q247" s="25" cm="1">
        <f t="array" ref="Q247">MMS_Dairy_N2ODirect_Equations.VEERG_4_3_1_3__2_TotalNitrogenInEachMMS(O$176,Q235)</f>
        <v>737.72060628754764</v>
      </c>
      <c r="R247" s="25" cm="1">
        <f t="array" ref="R247">MMS_Dairy_N2ODirect_Equations.VEERG_4_3_1_3__2_TotalNitrogenInEachMMS(P$213,R235)</f>
        <v>293.82631577373019</v>
      </c>
      <c r="S247" s="25" cm="1">
        <f t="array" ref="S247">MMS_Dairy_N2ODirect_Equations.VEERG_4_3_1_3__2_TotalNitrogenInEachMMS(Q$176,S235)</f>
        <v>927.34397822037681</v>
      </c>
      <c r="T247" s="25" cm="1">
        <f t="array" ref="T247">MMS_Dairy_N2ODirect_Equations.VEERG_4_3_1_3__2_TotalNitrogenInEachMMS(R$213,T235)</f>
        <v>388.21337636526954</v>
      </c>
    </row>
    <row r="248" spans="1:21" ht="20.100000000000001" customHeight="1" x14ac:dyDescent="0.25">
      <c r="D248" s="25" t="str">
        <f>INDEX(X_Table_Dairy_ProductionSystems_Method1,4,1)</f>
        <v>Feed pad</v>
      </c>
      <c r="E248" s="25" t="str">
        <f>INDEX(X_Table_Dairy_Stage1MMS_2_SumpAndDispersal,2,1)</f>
        <v>Sump and dispersal system</v>
      </c>
      <c r="F248" s="25" cm="1">
        <f t="array" ref="F248">MMS_Dairy_N2ODirect_Equations.VEERG_4_3_1_3__2_TotalNitrogenInEachMMS(D$176,F236)</f>
        <v>1292.1054203427104</v>
      </c>
      <c r="G248" s="25" cm="1">
        <f t="array" ref="G248">MMS_Dairy_N2ODirect_Equations.VEERG_4_3_1_3__2_TotalNitrogenInEachMMS(E$176,G236)</f>
        <v>590.17648503003818</v>
      </c>
      <c r="H248" s="25" cm="1">
        <f t="array" ref="H248">MMS_Dairy_N2ODirect_Equations.VEERG_4_3_1_3__2_TotalNitrogenInEachMMS(F$213,H236)</f>
        <v>235.06105261898415</v>
      </c>
      <c r="I248" s="25" cm="1">
        <f t="array" ref="I248">MMS_Dairy_N2ODirect_Equations.VEERG_4_3_1_3__2_TotalNitrogenInEachMMS(G$176,I236)</f>
        <v>741.87518257630143</v>
      </c>
      <c r="J248" s="25" cm="1">
        <f t="array" ref="J248">MMS_Dairy_N2ODirect_Equations.VEERG_4_3_1_3__2_TotalNitrogenInEachMMS(H$213,J236)</f>
        <v>310.57070109221564</v>
      </c>
      <c r="N248" s="25" t="str">
        <f>INDEX(X_Table_Dairy_ProductionSystems_Method1,4,1)</f>
        <v>Feed pad</v>
      </c>
      <c r="O248" s="25" t="str">
        <f>INDEX(X_Table_Dairy_Stage1MMS_2_SumpAndDispersal,2,1)</f>
        <v>Sump and dispersal system</v>
      </c>
      <c r="P248" s="25" cm="1">
        <f t="array" ref="P248">MMS_Dairy_N2ODirect_Equations.VEERG_4_3_1_3__2_TotalNitrogenInEachMMS(N$176,P236)</f>
        <v>1292.1054203427104</v>
      </c>
      <c r="Q248" s="25" cm="1">
        <f t="array" ref="Q248">MMS_Dairy_N2ODirect_Equations.VEERG_4_3_1_3__2_TotalNitrogenInEachMMS(O$176,Q236)</f>
        <v>590.17648503003818</v>
      </c>
      <c r="R248" s="25" cm="1">
        <f t="array" ref="R248">MMS_Dairy_N2ODirect_Equations.VEERG_4_3_1_3__2_TotalNitrogenInEachMMS(P$213,R236)</f>
        <v>235.06105261898415</v>
      </c>
      <c r="S248" s="25" cm="1">
        <f t="array" ref="S248">MMS_Dairy_N2ODirect_Equations.VEERG_4_3_1_3__2_TotalNitrogenInEachMMS(Q$176,S236)</f>
        <v>741.87518257630143</v>
      </c>
      <c r="T248" s="25" cm="1">
        <f t="array" ref="T248">MMS_Dairy_N2ODirect_Equations.VEERG_4_3_1_3__2_TotalNitrogenInEachMMS(R$213,T236)</f>
        <v>310.57070109221564</v>
      </c>
    </row>
    <row r="249" spans="1:21" ht="20.100000000000001" customHeight="1" x14ac:dyDescent="0.25">
      <c r="D249" s="25" t="str">
        <f>INDEX(X_Table_Dairy_ProductionSystems_Method1,4,1)</f>
        <v>Feed pad</v>
      </c>
      <c r="E249" s="25" t="str">
        <f>INDEX(X_Table_Dairy_Stage1MMS_2_DrainsToPaddock,2,1)</f>
        <v>Drains to paddock</v>
      </c>
      <c r="F249" s="25" cm="1">
        <f t="array" ref="F249">MMS_Dairy_N2ODirect_Equations.VEERG_4_3_1_3__2_TotalNitrogenInEachMMS(D$176,F237)</f>
        <v>1292.1054203427104</v>
      </c>
      <c r="G249" s="25" cm="1">
        <f t="array" ref="G249">MMS_Dairy_N2ODirect_Equations.VEERG_4_3_1_3__2_TotalNitrogenInEachMMS(E$176,G237)</f>
        <v>590.17648503003818</v>
      </c>
      <c r="H249" s="25" cm="1">
        <f t="array" ref="H249">MMS_Dairy_N2ODirect_Equations.VEERG_4_3_1_3__2_TotalNitrogenInEachMMS(F$213,H237)</f>
        <v>235.06105261898415</v>
      </c>
      <c r="I249" s="25" cm="1">
        <f t="array" ref="I249">MMS_Dairy_N2ODirect_Equations.VEERG_4_3_1_3__2_TotalNitrogenInEachMMS(G$176,I237)</f>
        <v>741.87518257630143</v>
      </c>
      <c r="J249" s="25" cm="1">
        <f t="array" ref="J249">MMS_Dairy_N2ODirect_Equations.VEERG_4_3_1_3__2_TotalNitrogenInEachMMS(H$213,J237)</f>
        <v>310.57070109221564</v>
      </c>
      <c r="N249" s="25" t="str">
        <f>INDEX(X_Table_Dairy_ProductionSystems_Method1,4,1)</f>
        <v>Feed pad</v>
      </c>
      <c r="O249" s="25" t="str">
        <f>INDEX(X_Table_Dairy_Stage1MMS_2_DrainsToPaddock,2,1)</f>
        <v>Drains to paddock</v>
      </c>
      <c r="P249" s="25" cm="1">
        <f t="array" ref="P249">MMS_Dairy_N2ODirect_Equations.VEERG_4_3_1_3__2_TotalNitrogenInEachMMS(N$176,P237)</f>
        <v>1292.1054203427104</v>
      </c>
      <c r="Q249" s="25" cm="1">
        <f t="array" ref="Q249">MMS_Dairy_N2ODirect_Equations.VEERG_4_3_1_3__2_TotalNitrogenInEachMMS(O$176,Q237)</f>
        <v>590.17648503003818</v>
      </c>
      <c r="R249" s="25" cm="1">
        <f t="array" ref="R249">MMS_Dairy_N2ODirect_Equations.VEERG_4_3_1_3__2_TotalNitrogenInEachMMS(P$213,R237)</f>
        <v>235.06105261898415</v>
      </c>
      <c r="S249" s="25" cm="1">
        <f t="array" ref="S249">MMS_Dairy_N2ODirect_Equations.VEERG_4_3_1_3__2_TotalNitrogenInEachMMS(Q$176,S237)</f>
        <v>741.87518257630143</v>
      </c>
      <c r="T249" s="25" cm="1">
        <f t="array" ref="T249">MMS_Dairy_N2ODirect_Equations.VEERG_4_3_1_3__2_TotalNitrogenInEachMMS(R$213,T237)</f>
        <v>310.57070109221564</v>
      </c>
    </row>
    <row r="250" spans="1:21" ht="20.100000000000001" customHeight="1" x14ac:dyDescent="0.25">
      <c r="D250" s="25" t="str">
        <f>INDEX(X_Table_Dairy_ProductionSystems_Method1,4,1)</f>
        <v>Feed pad</v>
      </c>
      <c r="E250" s="25" t="s">
        <v>76</v>
      </c>
      <c r="F250" s="25" cm="1">
        <f t="array" ref="F250">MMS_Dairy_N2ODirect_Equations.VEERG_4_3_1_3__2_TotalNitrogenInEachMMS(D$176,F238)</f>
        <v>2261.1844855997429</v>
      </c>
      <c r="G250" s="25" cm="1">
        <f t="array" ref="G250">MMS_Dairy_N2ODirect_Equations.VEERG_4_3_1_3__2_TotalNitrogenInEachMMS(E$176,G238)</f>
        <v>1032.8088488025667</v>
      </c>
      <c r="H250" s="25" cm="1">
        <f t="array" ref="H250">MMS_Dairy_N2ODirect_Equations.VEERG_4_3_1_3__2_TotalNitrogenInEachMMS(F$213,H238)</f>
        <v>411.35684208322226</v>
      </c>
      <c r="I250" s="25" cm="1">
        <f t="array" ref="I250">MMS_Dairy_N2ODirect_Equations.VEERG_4_3_1_3__2_TotalNitrogenInEachMMS(G$176,I238)</f>
        <v>1298.2815695085274</v>
      </c>
      <c r="J250" s="25" cm="1">
        <f t="array" ref="J250">MMS_Dairy_N2ODirect_Equations.VEERG_4_3_1_3__2_TotalNitrogenInEachMMS(H$213,J238)</f>
        <v>543.49872691137739</v>
      </c>
      <c r="N250" s="25" t="str">
        <f>INDEX(X_Table_Dairy_ProductionSystems_Method1,4,1)</f>
        <v>Feed pad</v>
      </c>
      <c r="O250" s="25" t="s">
        <v>76</v>
      </c>
      <c r="P250" s="25" cm="1">
        <f t="array" ref="P250">MMS_Dairy_N2ODirect_Equations.VEERG_4_3_1_3__2_TotalNitrogenInEachMMS(N$176,P238)</f>
        <v>2261.1844855997429</v>
      </c>
      <c r="Q250" s="25" cm="1">
        <f t="array" ref="Q250">MMS_Dairy_N2ODirect_Equations.VEERG_4_3_1_3__2_TotalNitrogenInEachMMS(O$176,Q238)</f>
        <v>1032.8088488025667</v>
      </c>
      <c r="R250" s="25" cm="1">
        <f t="array" ref="R250">MMS_Dairy_N2ODirect_Equations.VEERG_4_3_1_3__2_TotalNitrogenInEachMMS(P$213,R238)</f>
        <v>411.35684208322226</v>
      </c>
      <c r="S250" s="25" cm="1">
        <f t="array" ref="S250">MMS_Dairy_N2ODirect_Equations.VEERG_4_3_1_3__2_TotalNitrogenInEachMMS(Q$176,S238)</f>
        <v>1298.2815695085274</v>
      </c>
      <c r="T250" s="2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101"/>
      <c r="D253" s="101"/>
      <c r="E253" s="101"/>
      <c r="F253" s="101"/>
      <c r="G253" s="101"/>
      <c r="H253" s="101"/>
      <c r="I253" s="101"/>
      <c r="J253" s="101"/>
      <c r="K253" s="101"/>
      <c r="M253" s="101"/>
      <c r="N253" s="101"/>
      <c r="O253" s="101"/>
      <c r="P253" s="101"/>
      <c r="Q253" s="101"/>
      <c r="R253" s="101"/>
      <c r="S253" s="101"/>
      <c r="T253" s="101"/>
      <c r="U253" s="101"/>
    </row>
    <row r="254" spans="1:21" ht="20.100000000000001" customHeight="1" x14ac:dyDescent="0.25">
      <c r="D254" s="2"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27" t="str" cm="1">
        <f t="array" ref="D255">MMS_Dairy_N2ODirect_Equations.VEERG_4_3_1_3__1_TotalAnnualDirectNitrousOxideEmissionsFromMMS_Source()</f>
        <v>VEERG 2026: 4.3.1.3, Equation (1)</v>
      </c>
    </row>
    <row r="256" spans="1:21" ht="20.100000000000001" customHeight="1" x14ac:dyDescent="0.25">
      <c r="D256" s="118" t="s">
        <v>262</v>
      </c>
      <c r="E256" s="118"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2"/>
    </row>
    <row r="259" spans="4:9" ht="20.100000000000001" customHeight="1" x14ac:dyDescent="0.25">
      <c r="D259" s="87" t="s">
        <v>263</v>
      </c>
      <c r="E259" s="1" t="str" cm="1">
        <f t="array" ref="E259">MMS_Dairy_N2ODirect_Equations.VEERG_4_3_1_3__1_TotalAnnualDirectNitrousOxideEmissionsFromMMS_Variable()</f>
        <v>E_N2Odir</v>
      </c>
    </row>
    <row r="260" spans="4:9" ht="20.100000000000001" customHeight="1" x14ac:dyDescent="0.25">
      <c r="D260" s="87" t="s">
        <v>122</v>
      </c>
      <c r="E260" s="15"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20" t="str" cm="1">
        <f t="array" ref="D262:E264">_xlfn.CHOOSECOLS(MMS_Dairy_N2ODirect_Equations.VEERG_4_3_1_3__1_TotalAnnualDirectNitrousOxideEmissionsFromMMS_Arguments(),1,2)</f>
        <v>MN_jm</v>
      </c>
      <c r="E262" s="120" t="str">
        <v>total nitrogen in each MMS for dairy cattle classes</v>
      </c>
      <c r="F262" s="120"/>
      <c r="G262" s="120" t="str" cm="1">
        <f t="array" ref="G262:H264">_xlfn.CHOOSECOLS(MMS_Dairy_N2ODirect_Equations.VEERG_4_3_1_3__1_TotalAnnualDirectNitrousOxideEmissionsFromMMS_Arguments(),3,4)</f>
        <v>kg N</v>
      </c>
      <c r="H262" s="128" t="str">
        <v>Calculated from 4.3.1.3 (2)</v>
      </c>
      <c r="I262" s="127" t="str" cm="1">
        <f t="array" aca="1" ref="I262" ca="1">HYPERLINK(Common_InputFunctions.Utility_SourceHyperlink($D$240),$D$240)</f>
        <v>M1_Table_MN_j_m</v>
      </c>
    </row>
    <row r="263" spans="4:9" ht="20.100000000000001" customHeight="1" x14ac:dyDescent="0.25">
      <c r="D263" s="120" t="str">
        <v>EF_m</v>
      </c>
      <c r="E263" s="120" t="str">
        <v>nitrous oxide emission factor for each MMS (kg N2O-N/kg N deposited)</v>
      </c>
      <c r="F263" s="120"/>
      <c r="G263" s="120" t="str">
        <v>kg N2O-N/kg N</v>
      </c>
      <c r="H263" s="128" t="str">
        <v>Constant</v>
      </c>
      <c r="I263" s="127" t="str" cm="1">
        <f t="array" aca="1" ref="I263" ca="1">HYPERLINK(Common_InputFunctions.Utility_SourceHyperlink($D$266),$D$266)</f>
        <v>Table_EF_m</v>
      </c>
    </row>
    <row r="264" spans="4:9" ht="20.100000000000001" customHeight="1" x14ac:dyDescent="0.25">
      <c r="D264" s="120" t="str">
        <v>C_N2O</v>
      </c>
      <c r="E264" s="120" t="str">
        <v>factor to convert elemental mass of N2O to molecular mass</v>
      </c>
      <c r="F264" s="120"/>
      <c r="G264" s="120" t="str">
        <v>fraction</v>
      </c>
      <c r="H264" s="128" t="str">
        <v>Constant</v>
      </c>
      <c r="I264" s="120">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22" t="s">
        <v>404</v>
      </c>
    </row>
    <row r="267" spans="4:9" ht="20.100000000000001" customHeight="1" x14ac:dyDescent="0.25">
      <c r="D267" s="123" t="s">
        <v>405</v>
      </c>
    </row>
    <row r="268" spans="4:9" ht="20.100000000000001" customHeight="1" x14ac:dyDescent="0.25">
      <c r="D268" s="124" t="s">
        <v>307</v>
      </c>
      <c r="E268" s="124" t="s">
        <v>406</v>
      </c>
    </row>
    <row r="269" spans="4:9" ht="20.100000000000001" customHeight="1" x14ac:dyDescent="0.25">
      <c r="D269" s="25" t="str" cm="1">
        <f t="array" ref="D269:D273">Table_SourceData_Dairy_EFmFracGASM[NIR reference]</f>
        <v>Pasture range and paddock</v>
      </c>
      <c r="E269" s="25" cm="1">
        <f t="array" ref="E269:E273">Table_SourceData_Dairy_EFmFracGASM[EFm]</f>
        <v>0</v>
      </c>
    </row>
    <row r="270" spans="4:9" ht="20.100000000000001" customHeight="1" x14ac:dyDescent="0.25">
      <c r="D270" s="25" t="str">
        <v>Anaerobic lagoon</v>
      </c>
      <c r="E270" s="25">
        <v>0</v>
      </c>
    </row>
    <row r="271" spans="4:9" ht="20.100000000000001" customHeight="1" x14ac:dyDescent="0.25">
      <c r="D271" s="25" t="str">
        <v>Sump and dispersal system</v>
      </c>
      <c r="E271" s="25">
        <v>0</v>
      </c>
    </row>
    <row r="272" spans="4:9" ht="20.100000000000001" customHeight="1" x14ac:dyDescent="0.25">
      <c r="D272" s="25" t="str">
        <v>Drains to paddock</v>
      </c>
      <c r="E272" s="25">
        <v>0</v>
      </c>
    </row>
    <row r="273" spans="1:20" ht="20.100000000000001" customHeight="1" x14ac:dyDescent="0.25">
      <c r="D273" s="25" t="str">
        <v>Solid storage</v>
      </c>
      <c r="E273" s="25">
        <v>5.0000000000000001E-3</v>
      </c>
    </row>
    <row r="274" spans="1:20" ht="20.100000000000001" customHeight="1" x14ac:dyDescent="0.25"/>
    <row r="275" spans="1:20" ht="20.100000000000001" customHeight="1" x14ac:dyDescent="0.25">
      <c r="D275" s="122" t="s">
        <v>407</v>
      </c>
      <c r="N275" s="122" t="s">
        <v>408</v>
      </c>
    </row>
    <row r="276" spans="1:20" ht="20.100000000000001" customHeight="1" x14ac:dyDescent="0.25">
      <c r="D276" s="123" t="s">
        <v>409</v>
      </c>
      <c r="N276" s="123" t="s">
        <v>410</v>
      </c>
    </row>
    <row r="277" spans="1:20" ht="20.100000000000001" customHeight="1" x14ac:dyDescent="0.25">
      <c r="D277" s="124" t="s">
        <v>168</v>
      </c>
      <c r="E277" s="124" t="s">
        <v>307</v>
      </c>
      <c r="F277" s="124" t="s">
        <v>213</v>
      </c>
      <c r="G277" s="124" t="s">
        <v>214</v>
      </c>
      <c r="H277" s="124" t="s">
        <v>215</v>
      </c>
      <c r="I277" s="124" t="s">
        <v>216</v>
      </c>
      <c r="J277" s="124" t="s">
        <v>217</v>
      </c>
      <c r="N277" s="124" t="s">
        <v>168</v>
      </c>
      <c r="O277" s="124" t="s">
        <v>307</v>
      </c>
      <c r="P277" s="124" t="s">
        <v>213</v>
      </c>
      <c r="Q277" s="124" t="s">
        <v>214</v>
      </c>
      <c r="R277" s="124" t="s">
        <v>215</v>
      </c>
      <c r="S277" s="124" t="s">
        <v>216</v>
      </c>
      <c r="T277" s="124" t="s">
        <v>217</v>
      </c>
    </row>
    <row r="278" spans="1:20" ht="20.100000000000001" customHeight="1" x14ac:dyDescent="0.25">
      <c r="D278" s="25" t="str">
        <f>INDEX(X_Table_Dairy_ProductionSystems_Method1,3,1)</f>
        <v>Milking shed</v>
      </c>
      <c r="E278" s="25" t="str">
        <f>INDEX(X_Table_Dairy_Stage1MMS_1_AnaerobicLagoon,2,1)</f>
        <v>Anaerobic lagoon</v>
      </c>
      <c r="F278" s="25" cm="1">
        <f t="array" ref="F278">MMS_Dairy_N2ODirect_Equations.VEERG_4_3_1_3__1_TotalAnnualDirectNitrousOxideEmissionsFromMMS(F243,$E270,$I$264)</f>
        <v>0</v>
      </c>
      <c r="G278" s="25" cm="1">
        <f t="array" ref="G278">MMS_Dairy_N2ODirect_Equations.VEERG_4_3_1_3__1_TotalAnnualDirectNitrousOxideEmissionsFromMMS(G243,$E270,$I$264)</f>
        <v>0</v>
      </c>
      <c r="H278" s="25" cm="1">
        <f t="array" ref="H278">MMS_Dairy_N2ODirect_Equations.VEERG_4_3_1_3__1_TotalAnnualDirectNitrousOxideEmissionsFromMMS(H243,$E270,$I$264)</f>
        <v>0</v>
      </c>
      <c r="I278" s="25" cm="1">
        <f t="array" ref="I278">MMS_Dairy_N2ODirect_Equations.VEERG_4_3_1_3__1_TotalAnnualDirectNitrousOxideEmissionsFromMMS(I243,$E270,$I$264)</f>
        <v>0</v>
      </c>
      <c r="J278" s="25" cm="1">
        <f t="array" ref="J278">MMS_Dairy_N2ODirect_Equations.VEERG_4_3_1_3__1_TotalAnnualDirectNitrousOxideEmissionsFromMMS(J243,$E270,$I$264)</f>
        <v>0</v>
      </c>
      <c r="N278" s="25" t="str">
        <f>INDEX(X_Table_Dairy_ProductionSystems_Method1,3,1)</f>
        <v>Milking shed</v>
      </c>
      <c r="O278" s="25" t="str">
        <f>INDEX(X_Table_Dairy_Stage1MMS_1_AnaerobicLagoon,2,1)</f>
        <v>Anaerobic lagoon</v>
      </c>
      <c r="P278" s="25" cm="1">
        <f t="array" ref="P278">MMS_Dairy_N2ODirect_Equations.VEERG_4_3_1_3__1_TotalAnnualDirectNitrousOxideEmissionsFromMMS(P243,$E270,$I$264)</f>
        <v>0</v>
      </c>
      <c r="Q278" s="25" cm="1">
        <f t="array" ref="Q278">MMS_Dairy_N2ODirect_Equations.VEERG_4_3_1_3__1_TotalAnnualDirectNitrousOxideEmissionsFromMMS(Q243,$E270,$I$264)</f>
        <v>0</v>
      </c>
      <c r="R278" s="25" cm="1">
        <f t="array" ref="R278">MMS_Dairy_N2ODirect_Equations.VEERG_4_3_1_3__1_TotalAnnualDirectNitrousOxideEmissionsFromMMS(R243,$E270,$I$264)</f>
        <v>0</v>
      </c>
      <c r="S278" s="25" cm="1">
        <f t="array" ref="S278">MMS_Dairy_N2ODirect_Equations.VEERG_4_3_1_3__1_TotalAnnualDirectNitrousOxideEmissionsFromMMS(S243,$E270,$I$264)</f>
        <v>0</v>
      </c>
      <c r="T278" s="25" cm="1">
        <f t="array" ref="T278">MMS_Dairy_N2ODirect_Equations.VEERG_4_3_1_3__1_TotalAnnualDirectNitrousOxideEmissionsFromMMS(T243,$E270,$I$264)</f>
        <v>0</v>
      </c>
    </row>
    <row r="279" spans="1:20" ht="20.100000000000001" customHeight="1" x14ac:dyDescent="0.25">
      <c r="D279" s="25" t="str">
        <f>INDEX(X_Table_Dairy_ProductionSystems_Method1,3,1)</f>
        <v>Milking shed</v>
      </c>
      <c r="E279" s="25" t="str">
        <f>INDEX(X_Table_Dairy_Stage1MMS_1_SumpAndDispersal,2,1)</f>
        <v>Sump and dispersal system</v>
      </c>
      <c r="F279" s="25" cm="1">
        <f t="array" ref="F279">MMS_Dairy_N2ODirect_Equations.VEERG_4_3_1_3__1_TotalAnnualDirectNitrousOxideEmissionsFromMMS(F244,$E271,$I$264)</f>
        <v>0</v>
      </c>
      <c r="G279" s="25" cm="1">
        <f t="array" ref="G279">MMS_Dairy_N2ODirect_Equations.VEERG_4_3_1_3__1_TotalAnnualDirectNitrousOxideEmissionsFromMMS(G244,$E271,$I$264)</f>
        <v>0</v>
      </c>
      <c r="H279" s="25" cm="1">
        <f t="array" ref="H279">MMS_Dairy_N2ODirect_Equations.VEERG_4_3_1_3__1_TotalAnnualDirectNitrousOxideEmissionsFromMMS(H244,$E271,$I$264)</f>
        <v>0</v>
      </c>
      <c r="I279" s="25" cm="1">
        <f t="array" ref="I279">MMS_Dairy_N2ODirect_Equations.VEERG_4_3_1_3__1_TotalAnnualDirectNitrousOxideEmissionsFromMMS(I244,$E271,$I$264)</f>
        <v>0</v>
      </c>
      <c r="J279" s="25" cm="1">
        <f t="array" ref="J279">MMS_Dairy_N2ODirect_Equations.VEERG_4_3_1_3__1_TotalAnnualDirectNitrousOxideEmissionsFromMMS(J244,$E271,$I$264)</f>
        <v>0</v>
      </c>
      <c r="N279" s="25" t="str">
        <f>INDEX(X_Table_Dairy_ProductionSystems_Method1,3,1)</f>
        <v>Milking shed</v>
      </c>
      <c r="O279" s="25" t="str">
        <f>INDEX(X_Table_Dairy_Stage1MMS_1_SumpAndDispersal,2,1)</f>
        <v>Sump and dispersal system</v>
      </c>
      <c r="P279" s="25" cm="1">
        <f t="array" ref="P279">MMS_Dairy_N2ODirect_Equations.VEERG_4_3_1_3__1_TotalAnnualDirectNitrousOxideEmissionsFromMMS(P244,$E271,$I$264)</f>
        <v>0</v>
      </c>
      <c r="Q279" s="25" cm="1">
        <f t="array" ref="Q279">MMS_Dairy_N2ODirect_Equations.VEERG_4_3_1_3__1_TotalAnnualDirectNitrousOxideEmissionsFromMMS(Q244,$E271,$I$264)</f>
        <v>0</v>
      </c>
      <c r="R279" s="25" cm="1">
        <f t="array" ref="R279">MMS_Dairy_N2ODirect_Equations.VEERG_4_3_1_3__1_TotalAnnualDirectNitrousOxideEmissionsFromMMS(R244,$E271,$I$264)</f>
        <v>0</v>
      </c>
      <c r="S279" s="25" cm="1">
        <f t="array" ref="S279">MMS_Dairy_N2ODirect_Equations.VEERG_4_3_1_3__1_TotalAnnualDirectNitrousOxideEmissionsFromMMS(S244,$E271,$I$264)</f>
        <v>0</v>
      </c>
      <c r="T279" s="25" cm="1">
        <f t="array" ref="T279">MMS_Dairy_N2ODirect_Equations.VEERG_4_3_1_3__1_TotalAnnualDirectNitrousOxideEmissionsFromMMS(T244,$E271,$I$264)</f>
        <v>0</v>
      </c>
    </row>
    <row r="280" spans="1:20" ht="20.100000000000001" customHeight="1" x14ac:dyDescent="0.25">
      <c r="D280" s="25" t="str">
        <f>INDEX(X_Table_Dairy_ProductionSystems_Method1,3,1)</f>
        <v>Milking shed</v>
      </c>
      <c r="E280" s="25" t="str">
        <f>INDEX(X_Table_Dairy_Stage1MMS_1_DrainsToPaddock,2,1)</f>
        <v>Drains to paddock</v>
      </c>
      <c r="F280" s="25" cm="1">
        <f t="array" ref="F280">MMS_Dairy_N2ODirect_Equations.VEERG_4_3_1_3__1_TotalAnnualDirectNitrousOxideEmissionsFromMMS(F245,$E272,$I$264)</f>
        <v>0</v>
      </c>
      <c r="G280" s="25" cm="1">
        <f t="array" ref="G280">MMS_Dairy_N2ODirect_Equations.VEERG_4_3_1_3__1_TotalAnnualDirectNitrousOxideEmissionsFromMMS(G245,$E272,$I$264)</f>
        <v>0</v>
      </c>
      <c r="H280" s="25" cm="1">
        <f t="array" ref="H280">MMS_Dairy_N2ODirect_Equations.VEERG_4_3_1_3__1_TotalAnnualDirectNitrousOxideEmissionsFromMMS(H245,$E272,$I$264)</f>
        <v>0</v>
      </c>
      <c r="I280" s="25" cm="1">
        <f t="array" ref="I280">MMS_Dairy_N2ODirect_Equations.VEERG_4_3_1_3__1_TotalAnnualDirectNitrousOxideEmissionsFromMMS(I245,$E272,$I$264)</f>
        <v>0</v>
      </c>
      <c r="J280" s="25" cm="1">
        <f t="array" ref="J280">MMS_Dairy_N2ODirect_Equations.VEERG_4_3_1_3__1_TotalAnnualDirectNitrousOxideEmissionsFromMMS(J245,$E272,$I$264)</f>
        <v>0</v>
      </c>
      <c r="N280" s="25" t="str">
        <f>INDEX(X_Table_Dairy_ProductionSystems_Method1,3,1)</f>
        <v>Milking shed</v>
      </c>
      <c r="O280" s="25" t="str">
        <f>INDEX(X_Table_Dairy_Stage1MMS_1_DrainsToPaddock,2,1)</f>
        <v>Drains to paddock</v>
      </c>
      <c r="P280" s="25" cm="1">
        <f t="array" ref="P280">MMS_Dairy_N2ODirect_Equations.VEERG_4_3_1_3__1_TotalAnnualDirectNitrousOxideEmissionsFromMMS(P245,$E272,$I$264)</f>
        <v>0</v>
      </c>
      <c r="Q280" s="25" cm="1">
        <f t="array" ref="Q280">MMS_Dairy_N2ODirect_Equations.VEERG_4_3_1_3__1_TotalAnnualDirectNitrousOxideEmissionsFromMMS(Q245,$E272,$I$264)</f>
        <v>0</v>
      </c>
      <c r="R280" s="25" cm="1">
        <f t="array" ref="R280">MMS_Dairy_N2ODirect_Equations.VEERG_4_3_1_3__1_TotalAnnualDirectNitrousOxideEmissionsFromMMS(R245,$E272,$I$264)</f>
        <v>0</v>
      </c>
      <c r="S280" s="25" cm="1">
        <f t="array" ref="S280">MMS_Dairy_N2ODirect_Equations.VEERG_4_3_1_3__1_TotalAnnualDirectNitrousOxideEmissionsFromMMS(S245,$E272,$I$264)</f>
        <v>0</v>
      </c>
      <c r="T280" s="25" cm="1">
        <f t="array" ref="T280">MMS_Dairy_N2ODirect_Equations.VEERG_4_3_1_3__1_TotalAnnualDirectNitrousOxideEmissionsFromMMS(T245,$E272,$I$264)</f>
        <v>0</v>
      </c>
    </row>
    <row r="281" spans="1:20" ht="20.100000000000001" customHeight="1" x14ac:dyDescent="0.25">
      <c r="D281" s="25" t="str">
        <f>INDEX(X_Table_Dairy_ProductionSystems_Method1,3,1)</f>
        <v>Milking shed</v>
      </c>
      <c r="E281" s="25" t="s">
        <v>76</v>
      </c>
      <c r="F281" s="25" cm="1">
        <f t="array" ref="F281">MMS_Dairy_N2ODirect_Equations.VEERG_4_3_1_3__1_TotalAnnualDirectNitrousOxideEmissionsFromMMS(F246,$E273,$I$264)</f>
        <v>6.2738666076030481E-3</v>
      </c>
      <c r="G281" s="25" cm="1">
        <f t="array" ref="G281">MMS_Dairy_N2ODirect_Equations.VEERG_4_3_1_3__1_TotalAnnualDirectNitrousOxideEmissionsFromMMS(G246,$E273,$I$264)</f>
        <v>2.8656241849371834E-3</v>
      </c>
      <c r="H281" s="25" cm="1">
        <f t="array" ref="H281">MMS_Dairy_N2ODirect_Equations.VEERG_4_3_1_3__1_TotalAnnualDirectNitrousOxideEmissionsFromMMS(H246,$E273,$I$264)</f>
        <v>1.1413478076603965E-3</v>
      </c>
      <c r="I281" s="25" cm="1">
        <f t="array" ref="I281">MMS_Dairy_N2ODirect_Equations.VEERG_4_3_1_3__1_TotalAnnualDirectNitrousOxideEmissionsFromMMS(I246,$E273,$I$264)</f>
        <v>3.6022029330550747E-3</v>
      </c>
      <c r="J281" s="25" cm="1">
        <f t="array" ref="J281">MMS_Dairy_N2ODirect_Equations.VEERG_4_3_1_3__1_TotalAnnualDirectNitrousOxideEmissionsFromMMS(J246,$E273,$I$264)</f>
        <v>1.5079877540994421E-3</v>
      </c>
      <c r="N281" s="25" t="str">
        <f>INDEX(X_Table_Dairy_ProductionSystems_Method1,3,1)</f>
        <v>Milking shed</v>
      </c>
      <c r="O281" s="25" t="s">
        <v>76</v>
      </c>
      <c r="P281" s="25" cm="1">
        <f t="array" ref="P281">MMS_Dairy_N2ODirect_Equations.VEERG_4_3_1_3__1_TotalAnnualDirectNitrousOxideEmissionsFromMMS(P246,$E273,$I$264)</f>
        <v>6.2738666076030481E-3</v>
      </c>
      <c r="Q281" s="25" cm="1">
        <f t="array" ref="Q281">MMS_Dairy_N2ODirect_Equations.VEERG_4_3_1_3__1_TotalAnnualDirectNitrousOxideEmissionsFromMMS(Q246,$E273,$I$264)</f>
        <v>2.8656241849371834E-3</v>
      </c>
      <c r="R281" s="25" cm="1">
        <f t="array" ref="R281">MMS_Dairy_N2ODirect_Equations.VEERG_4_3_1_3__1_TotalAnnualDirectNitrousOxideEmissionsFromMMS(R246,$E273,$I$264)</f>
        <v>1.1413478076603965E-3</v>
      </c>
      <c r="S281" s="25" cm="1">
        <f t="array" ref="S281">MMS_Dairy_N2ODirect_Equations.VEERG_4_3_1_3__1_TotalAnnualDirectNitrousOxideEmissionsFromMMS(S246,$E273,$I$264)</f>
        <v>3.6022029330550747E-3</v>
      </c>
      <c r="T281" s="25" cm="1">
        <f t="array" ref="T281">MMS_Dairy_N2ODirect_Equations.VEERG_4_3_1_3__1_TotalAnnualDirectNitrousOxideEmissionsFromMMS(T246,$E273,$I$264)</f>
        <v>1.5079877540994421E-3</v>
      </c>
    </row>
    <row r="282" spans="1:20" ht="20.100000000000001" customHeight="1" x14ac:dyDescent="0.25">
      <c r="D282" s="25" t="str">
        <f>INDEX(X_Table_Dairy_ProductionSystems_Method1,4,1)</f>
        <v>Feed pad</v>
      </c>
      <c r="E282" s="25" t="str">
        <f>INDEX(X_Table_Dairy_Stage1MMS_2_AnaerobicLagoon,2,1)</f>
        <v>Anaerobic lagoon</v>
      </c>
      <c r="F282" s="25" cm="1">
        <f t="array" ref="F282">MMS_Dairy_N2ODirect_Equations.VEERG_4_3_1_3__1_TotalAnnualDirectNitrousOxideEmissionsFromMMS(F247,$E270,$I$264)</f>
        <v>0</v>
      </c>
      <c r="G282" s="25" cm="1">
        <f t="array" ref="G282">MMS_Dairy_N2ODirect_Equations.VEERG_4_3_1_3__1_TotalAnnualDirectNitrousOxideEmissionsFromMMS(G247,$E270,$I$264)</f>
        <v>0</v>
      </c>
      <c r="H282" s="25" cm="1">
        <f t="array" ref="H282">MMS_Dairy_N2ODirect_Equations.VEERG_4_3_1_3__1_TotalAnnualDirectNitrousOxideEmissionsFromMMS(H247,$E270,$I$264)</f>
        <v>0</v>
      </c>
      <c r="I282" s="25" cm="1">
        <f t="array" ref="I282">MMS_Dairy_N2ODirect_Equations.VEERG_4_3_1_3__1_TotalAnnualDirectNitrousOxideEmissionsFromMMS(I247,$E270,$I$264)</f>
        <v>0</v>
      </c>
      <c r="J282" s="25" cm="1">
        <f t="array" ref="J282">MMS_Dairy_N2ODirect_Equations.VEERG_4_3_1_3__1_TotalAnnualDirectNitrousOxideEmissionsFromMMS(J247,$E270,$I$264)</f>
        <v>0</v>
      </c>
      <c r="N282" s="25" t="str">
        <f>INDEX(X_Table_Dairy_ProductionSystems_Method1,4,1)</f>
        <v>Feed pad</v>
      </c>
      <c r="O282" s="25" t="str">
        <f>INDEX(X_Table_Dairy_Stage1MMS_2_AnaerobicLagoon,2,1)</f>
        <v>Anaerobic lagoon</v>
      </c>
      <c r="P282" s="25" cm="1">
        <f t="array" ref="P282">MMS_Dairy_N2ODirect_Equations.VEERG_4_3_1_3__1_TotalAnnualDirectNitrousOxideEmissionsFromMMS(P247,$E270,$I$264)</f>
        <v>0</v>
      </c>
      <c r="Q282" s="25" cm="1">
        <f t="array" ref="Q282">MMS_Dairy_N2ODirect_Equations.VEERG_4_3_1_3__1_TotalAnnualDirectNitrousOxideEmissionsFromMMS(Q247,$E270,$I$264)</f>
        <v>0</v>
      </c>
      <c r="R282" s="25" cm="1">
        <f t="array" ref="R282">MMS_Dairy_N2ODirect_Equations.VEERG_4_3_1_3__1_TotalAnnualDirectNitrousOxideEmissionsFromMMS(R247,$E270,$I$264)</f>
        <v>0</v>
      </c>
      <c r="S282" s="25" cm="1">
        <f t="array" ref="S282">MMS_Dairy_N2ODirect_Equations.VEERG_4_3_1_3__1_TotalAnnualDirectNitrousOxideEmissionsFromMMS(S247,$E270,$I$264)</f>
        <v>0</v>
      </c>
      <c r="T282" s="25" cm="1">
        <f t="array" ref="T282">MMS_Dairy_N2ODirect_Equations.VEERG_4_3_1_3__1_TotalAnnualDirectNitrousOxideEmissionsFromMMS(T247,$E270,$I$264)</f>
        <v>0</v>
      </c>
    </row>
    <row r="283" spans="1:20" ht="20.100000000000001" customHeight="1" x14ac:dyDescent="0.25">
      <c r="D283" s="25" t="str">
        <f>INDEX(X_Table_Dairy_ProductionSystems_Method1,4,1)</f>
        <v>Feed pad</v>
      </c>
      <c r="E283" s="25" t="str">
        <f>INDEX(X_Table_Dairy_Stage1MMS_2_SumpAndDispersal,2,1)</f>
        <v>Sump and dispersal system</v>
      </c>
      <c r="F283" s="25" cm="1">
        <f t="array" ref="F283">MMS_Dairy_N2ODirect_Equations.VEERG_4_3_1_3__1_TotalAnnualDirectNitrousOxideEmissionsFromMMS(F248,$E271,$I$264)</f>
        <v>0</v>
      </c>
      <c r="G283" s="25" cm="1">
        <f t="array" ref="G283">MMS_Dairy_N2ODirect_Equations.VEERG_4_3_1_3__1_TotalAnnualDirectNitrousOxideEmissionsFromMMS(G248,$E271,$I$264)</f>
        <v>0</v>
      </c>
      <c r="H283" s="25" cm="1">
        <f t="array" ref="H283">MMS_Dairy_N2ODirect_Equations.VEERG_4_3_1_3__1_TotalAnnualDirectNitrousOxideEmissionsFromMMS(H248,$E271,$I$264)</f>
        <v>0</v>
      </c>
      <c r="I283" s="25" cm="1">
        <f t="array" ref="I283">MMS_Dairy_N2ODirect_Equations.VEERG_4_3_1_3__1_TotalAnnualDirectNitrousOxideEmissionsFromMMS(I248,$E271,$I$264)</f>
        <v>0</v>
      </c>
      <c r="J283" s="25" cm="1">
        <f t="array" ref="J283">MMS_Dairy_N2ODirect_Equations.VEERG_4_3_1_3__1_TotalAnnualDirectNitrousOxideEmissionsFromMMS(J248,$E271,$I$264)</f>
        <v>0</v>
      </c>
      <c r="N283" s="25" t="str">
        <f>INDEX(X_Table_Dairy_ProductionSystems_Method1,4,1)</f>
        <v>Feed pad</v>
      </c>
      <c r="O283" s="25" t="str">
        <f>INDEX(X_Table_Dairy_Stage1MMS_2_SumpAndDispersal,2,1)</f>
        <v>Sump and dispersal system</v>
      </c>
      <c r="P283" s="25" cm="1">
        <f t="array" ref="P283">MMS_Dairy_N2ODirect_Equations.VEERG_4_3_1_3__1_TotalAnnualDirectNitrousOxideEmissionsFromMMS(P248,$E271,$I$264)</f>
        <v>0</v>
      </c>
      <c r="Q283" s="25" cm="1">
        <f t="array" ref="Q283">MMS_Dairy_N2ODirect_Equations.VEERG_4_3_1_3__1_TotalAnnualDirectNitrousOxideEmissionsFromMMS(Q248,$E271,$I$264)</f>
        <v>0</v>
      </c>
      <c r="R283" s="25" cm="1">
        <f t="array" ref="R283">MMS_Dairy_N2ODirect_Equations.VEERG_4_3_1_3__1_TotalAnnualDirectNitrousOxideEmissionsFromMMS(R248,$E271,$I$264)</f>
        <v>0</v>
      </c>
      <c r="S283" s="25" cm="1">
        <f t="array" ref="S283">MMS_Dairy_N2ODirect_Equations.VEERG_4_3_1_3__1_TotalAnnualDirectNitrousOxideEmissionsFromMMS(S248,$E271,$I$264)</f>
        <v>0</v>
      </c>
      <c r="T283" s="25" cm="1">
        <f t="array" ref="T283">MMS_Dairy_N2ODirect_Equations.VEERG_4_3_1_3__1_TotalAnnualDirectNitrousOxideEmissionsFromMMS(T248,$E271,$I$264)</f>
        <v>0</v>
      </c>
    </row>
    <row r="284" spans="1:20" ht="20.100000000000001" customHeight="1" x14ac:dyDescent="0.25">
      <c r="D284" s="25" t="str">
        <f>INDEX(X_Table_Dairy_ProductionSystems_Method1,4,1)</f>
        <v>Feed pad</v>
      </c>
      <c r="E284" s="25" t="str">
        <f>INDEX(X_Table_Dairy_Stage1MMS_2_DrainsToPaddock,2,1)</f>
        <v>Drains to paddock</v>
      </c>
      <c r="F284" s="25" cm="1">
        <f t="array" ref="F284">MMS_Dairy_N2ODirect_Equations.VEERG_4_3_1_3__1_TotalAnnualDirectNitrousOxideEmissionsFromMMS(F249,$E272,$I$264)</f>
        <v>0</v>
      </c>
      <c r="G284" s="25" cm="1">
        <f t="array" ref="G284">MMS_Dairy_N2ODirect_Equations.VEERG_4_3_1_3__1_TotalAnnualDirectNitrousOxideEmissionsFromMMS(G249,$E272,$I$264)</f>
        <v>0</v>
      </c>
      <c r="H284" s="25" cm="1">
        <f t="array" ref="H284">MMS_Dairy_N2ODirect_Equations.VEERG_4_3_1_3__1_TotalAnnualDirectNitrousOxideEmissionsFromMMS(H249,$E272,$I$264)</f>
        <v>0</v>
      </c>
      <c r="I284" s="25" cm="1">
        <f t="array" ref="I284">MMS_Dairy_N2ODirect_Equations.VEERG_4_3_1_3__1_TotalAnnualDirectNitrousOxideEmissionsFromMMS(I249,$E272,$I$264)</f>
        <v>0</v>
      </c>
      <c r="J284" s="25" cm="1">
        <f t="array" ref="J284">MMS_Dairy_N2ODirect_Equations.VEERG_4_3_1_3__1_TotalAnnualDirectNitrousOxideEmissionsFromMMS(J249,$E272,$I$264)</f>
        <v>0</v>
      </c>
      <c r="N284" s="25" t="str">
        <f>INDEX(X_Table_Dairy_ProductionSystems_Method1,4,1)</f>
        <v>Feed pad</v>
      </c>
      <c r="O284" s="25" t="str">
        <f>INDEX(X_Table_Dairy_Stage1MMS_2_DrainsToPaddock,2,1)</f>
        <v>Drains to paddock</v>
      </c>
      <c r="P284" s="25" cm="1">
        <f t="array" ref="P284">MMS_Dairy_N2ODirect_Equations.VEERG_4_3_1_3__1_TotalAnnualDirectNitrousOxideEmissionsFromMMS(P249,$E272,$I$264)</f>
        <v>0</v>
      </c>
      <c r="Q284" s="25" cm="1">
        <f t="array" ref="Q284">MMS_Dairy_N2ODirect_Equations.VEERG_4_3_1_3__1_TotalAnnualDirectNitrousOxideEmissionsFromMMS(Q249,$E272,$I$264)</f>
        <v>0</v>
      </c>
      <c r="R284" s="25" cm="1">
        <f t="array" ref="R284">MMS_Dairy_N2ODirect_Equations.VEERG_4_3_1_3__1_TotalAnnualDirectNitrousOxideEmissionsFromMMS(R249,$E272,$I$264)</f>
        <v>0</v>
      </c>
      <c r="S284" s="25" cm="1">
        <f t="array" ref="S284">MMS_Dairy_N2ODirect_Equations.VEERG_4_3_1_3__1_TotalAnnualDirectNitrousOxideEmissionsFromMMS(S249,$E272,$I$264)</f>
        <v>0</v>
      </c>
      <c r="T284" s="25" cm="1">
        <f t="array" ref="T284">MMS_Dairy_N2ODirect_Equations.VEERG_4_3_1_3__1_TotalAnnualDirectNitrousOxideEmissionsFromMMS(T249,$E272,$I$264)</f>
        <v>0</v>
      </c>
    </row>
    <row r="285" spans="1:20" ht="20.100000000000001" customHeight="1" x14ac:dyDescent="0.25">
      <c r="A285" s="129" t="str">
        <f>HYPERLINK("#A1", "▲ Back to top")</f>
        <v>▲ Back to top</v>
      </c>
      <c r="D285" s="25" t="str">
        <f>INDEX(X_Table_Dairy_ProductionSystems_Method1,4,1)</f>
        <v>Feed pad</v>
      </c>
      <c r="E285" s="25" t="s">
        <v>76</v>
      </c>
      <c r="F285" s="25" cm="1">
        <f t="array" ref="F285">MMS_Dairy_N2ODirect_Equations.VEERG_4_3_1_3__1_TotalAnnualDirectNitrousOxideEmissionsFromMMS(F250,$E273,$I$264)</f>
        <v>1.7766449529712264E-2</v>
      </c>
      <c r="G285" s="25" cm="1">
        <f t="array" ref="G285">MMS_Dairy_N2ODirect_Equations.VEERG_4_3_1_3__1_TotalAnnualDirectNitrousOxideEmissionsFromMMS(G250,$E273,$I$264)</f>
        <v>8.1149266691630251E-3</v>
      </c>
      <c r="H285" s="25" cm="1">
        <f t="array" ref="H285">MMS_Dairy_N2ODirect_Equations.VEERG_4_3_1_3__1_TotalAnnualDirectNitrousOxideEmissionsFromMMS(H250,$E273,$I$264)</f>
        <v>3.2320894735110321E-3</v>
      </c>
      <c r="I285" s="25" cm="1">
        <f t="array" ref="I285">MMS_Dairy_N2ODirect_Equations.VEERG_4_3_1_3__1_TotalAnnualDirectNitrousOxideEmissionsFromMMS(I250,$E273,$I$264)</f>
        <v>1.0200783760424144E-2</v>
      </c>
      <c r="J285" s="25" cm="1">
        <f t="array" ref="J285">MMS_Dairy_N2ODirect_Equations.VEERG_4_3_1_3__1_TotalAnnualDirectNitrousOxideEmissionsFromMMS(J250,$E273,$I$264)</f>
        <v>4.2703471400179658E-3</v>
      </c>
      <c r="N285" s="25" t="str">
        <f>INDEX(X_Table_Dairy_ProductionSystems_Method1,4,1)</f>
        <v>Feed pad</v>
      </c>
      <c r="O285" s="25" t="s">
        <v>76</v>
      </c>
      <c r="P285" s="25" cm="1">
        <f t="array" ref="P285">MMS_Dairy_N2ODirect_Equations.VEERG_4_3_1_3__1_TotalAnnualDirectNitrousOxideEmissionsFromMMS(P250,$E273,$I$264)</f>
        <v>1.7766449529712264E-2</v>
      </c>
      <c r="Q285" s="25" cm="1">
        <f t="array" ref="Q285">MMS_Dairy_N2ODirect_Equations.VEERG_4_3_1_3__1_TotalAnnualDirectNitrousOxideEmissionsFromMMS(Q250,$E273,$I$264)</f>
        <v>8.1149266691630251E-3</v>
      </c>
      <c r="R285" s="25" cm="1">
        <f t="array" ref="R285">MMS_Dairy_N2ODirect_Equations.VEERG_4_3_1_3__1_TotalAnnualDirectNitrousOxideEmissionsFromMMS(R250,$E273,$I$264)</f>
        <v>3.2320894735110321E-3</v>
      </c>
      <c r="S285" s="25" cm="1">
        <f t="array" ref="S285">MMS_Dairy_N2ODirect_Equations.VEERG_4_3_1_3__1_TotalAnnualDirectNitrousOxideEmissionsFromMMS(S250,$E273,$I$264)</f>
        <v>1.0200783760424144E-2</v>
      </c>
      <c r="T285" s="2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35" t="s">
        <v>411</v>
      </c>
      <c r="E287" s="136">
        <f>SUM(F278:J285)</f>
        <v>5.8975625860183567E-2</v>
      </c>
      <c r="F287" s="137" t="str">
        <f>$E$260</f>
        <v>t N2O</v>
      </c>
      <c r="N287" s="135" t="s">
        <v>411</v>
      </c>
      <c r="O287" s="136">
        <f>SUM(P278:T285)</f>
        <v>5.8975625860183567E-2</v>
      </c>
      <c r="P287" s="137" t="str">
        <f>$E$260</f>
        <v>t N2O</v>
      </c>
    </row>
    <row r="288" spans="1:20" ht="20.100000000000001" customHeight="1" x14ac:dyDescent="0.25"/>
    <row r="289" spans="4:17" ht="20.100000000000001" customHeight="1" x14ac:dyDescent="0.25">
      <c r="D289" s="132" t="str" cm="1">
        <f t="array" ref="D289:E290">Common_Equations.Common_ConvertN2OToCO2e_Arguments()</f>
        <v>EN2O</v>
      </c>
      <c r="E289" s="138" t="str">
        <v>Nitrous oxide emissions (t N2O)</v>
      </c>
      <c r="F289" s="139"/>
      <c r="G289" s="25">
        <f>VEERG_4_3_1_3__1_TotalAnnualDirectNitrousOxideEmissionsFromMMS_Result_Method1</f>
        <v>5.8975625860183567E-2</v>
      </c>
      <c r="N289" s="132" t="str" cm="1">
        <f t="array" ref="N289:O290">Common_Equations.Common_ConvertN2OToCO2e_Arguments()</f>
        <v>EN2O</v>
      </c>
      <c r="O289" s="138" t="str">
        <v>Nitrous oxide emissions (t N2O)</v>
      </c>
      <c r="P289" s="139"/>
      <c r="Q289" s="25">
        <f>VEERG_4_3_1_3__1_TotalAnnualDirectNitrousOxideEmissionsFromMMS_Result_Method2</f>
        <v>5.8975625860183567E-2</v>
      </c>
    </row>
    <row r="290" spans="4:17" ht="20.100000000000001" customHeight="1" x14ac:dyDescent="0.25">
      <c r="D290" s="132" t="str">
        <v>GWPN2O</v>
      </c>
      <c r="E290" s="138" t="str">
        <v>Global warming potential for nitrous oxide (t CO2-e / t N2O)</v>
      </c>
      <c r="F290" s="139"/>
      <c r="G290" s="25">
        <f>Common_InputFunctions.Utility_LookupValueInTableNumber("N2O",Table_GWPData[Gas],Table_GWPData[CO2-e factor])</f>
        <v>265</v>
      </c>
      <c r="N290" s="132" t="str">
        <v>GWPN2O</v>
      </c>
      <c r="O290" s="138" t="str">
        <v>Global warming potential for nitrous oxide (t CO2-e / t N2O)</v>
      </c>
      <c r="P290" s="139"/>
      <c r="Q290" s="25">
        <f>Common_InputFunctions.Utility_LookupValueInTableNumber("N2O",Table_GWPData[Gas],Table_GWPData[CO2-e factor])</f>
        <v>265</v>
      </c>
    </row>
    <row r="291" spans="4:17" ht="20.100000000000001" customHeight="1" x14ac:dyDescent="0.25"/>
    <row r="292" spans="4:17" ht="18.75" x14ac:dyDescent="0.25">
      <c r="D292" s="101" t="s">
        <v>412</v>
      </c>
      <c r="E292" s="101" cm="1">
        <f t="array" ref="E292">Common_Equations.Common_ConvertN2OToCO2e(G289,G290)</f>
        <v>15.628540852948646</v>
      </c>
      <c r="F292" s="140" t="str" cm="1">
        <f t="array" ref="F292">Common_Equations.Common_ConvertN2OToCO2e_Unit()</f>
        <v>t CO2e</v>
      </c>
      <c r="N292" s="101" t="s">
        <v>412</v>
      </c>
      <c r="O292" s="101" cm="1">
        <f t="array" ref="O292">Common_Equations.Common_ConvertN2OToCO2e(Q289,Q290)</f>
        <v>15.628540852948646</v>
      </c>
      <c r="P292" s="140" t="str" cm="1">
        <f t="array" ref="P292">Common_Equations.Common_ConvertN2OToCO2e_Unit()</f>
        <v>t CO2e</v>
      </c>
    </row>
  </sheetData>
  <dataValidations count="1">
    <dataValidation operator="equal" allowBlank="1" showInputMessage="1" showErrorMessage="1" sqref="O113:T113 O285 N90:P90 D79:E79 E108:J108 E73:F73 F113:J113 O278 E231 E250 O231 E238 E243 O234 O243 E272 E269 O250 E278 E285 E234 E246 O246 E281 O281" xr:uid="{E1A18FFD-38CC-408C-BD37-13D61753958C}"/>
  </dataValidation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6B49C-1EF9-4F91-B7F1-B1B5F22A5371}">
  <dimension ref="A1:W165"/>
  <sheetViews>
    <sheetView showGridLines="0" topLeftCell="A50"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30" customFormat="1" ht="30" customHeight="1" x14ac:dyDescent="0.35">
      <c r="A1" s="16" t="e" vm="1">
        <v>#VALUE!</v>
      </c>
      <c r="C1" s="30" t="s">
        <v>413</v>
      </c>
    </row>
    <row r="2" spans="1:23" s="3" customFormat="1" ht="20.100000000000001" customHeight="1" x14ac:dyDescent="0.25">
      <c r="A2"/>
    </row>
    <row r="3" spans="1:23" ht="20.100000000000001" customHeight="1" x14ac:dyDescent="0.25">
      <c r="A3" s="5" t="str">
        <f>HYPERLINK("#'Home'!A1", "Home")</f>
        <v>Home</v>
      </c>
      <c r="C3" s="32"/>
      <c r="D3" s="32" t="s">
        <v>136</v>
      </c>
      <c r="E3" s="32"/>
      <c r="F3" s="32"/>
      <c r="G3" s="32"/>
      <c r="H3" s="32"/>
      <c r="I3" s="32"/>
      <c r="J3" s="32"/>
      <c r="K3" s="32"/>
      <c r="L3" s="32"/>
      <c r="N3" s="32"/>
      <c r="O3" s="32" t="s">
        <v>137</v>
      </c>
      <c r="P3" s="32"/>
      <c r="Q3" s="32"/>
      <c r="R3" s="32"/>
      <c r="S3" s="32"/>
      <c r="T3" s="32"/>
      <c r="U3" s="32"/>
      <c r="V3" s="32"/>
      <c r="W3" s="32"/>
    </row>
    <row r="4" spans="1:23" ht="20.100000000000001" customHeight="1" x14ac:dyDescent="0.25">
      <c r="A4" s="5" t="str">
        <f>HYPERLINK("#'Overview'!A1", "Overview")</f>
        <v>Overview</v>
      </c>
    </row>
    <row r="5" spans="1:23" ht="20.100000000000001" customHeight="1" x14ac:dyDescent="0.25">
      <c r="A5" s="5" t="str">
        <f>HYPERLINK("#'Results'!A1", "Results")</f>
        <v>Results</v>
      </c>
      <c r="D5" s="2" t="str" cm="1">
        <f t="array" ref="D5">MMS_Dairy_AtmosphericDeposition_Equations.VEERG_4_3_1_5__2_TotalNitrogenVolatilisedFromMMS_Title()</f>
        <v>Total nitrogen volatilised from MMS</v>
      </c>
    </row>
    <row r="6" spans="1:23" ht="20.100000000000001" customHeight="1" x14ac:dyDescent="0.25">
      <c r="D6" s="27" t="str" cm="1">
        <f t="array" ref="D6">MMS_Dairy_AtmosphericDeposition_Equations.VEERG_4_3_1_5__2_TotalNitrogenVolatilisedFromMMS_Source()</f>
        <v>VEERG 2026: 4.3.1.5, Equation (2)</v>
      </c>
    </row>
    <row r="7" spans="1:23" ht="20.100000000000001" customHeight="1" x14ac:dyDescent="0.25">
      <c r="D7" s="118" t="s">
        <v>262</v>
      </c>
      <c r="E7" s="118" t="str" cm="1">
        <f t="array" aca="1" ref="E7" ca="1">Common_InputFunctions.Utility_DisplayFunctionName(F40)</f>
        <v>=MMS_Dairy_AtmosphericDeposition_Equations.VEERG_4_3_1_5__2_TotalNitrogenVolatilisedFromMMS</v>
      </c>
    </row>
    <row r="8" spans="1:23" ht="20.100000000000001" customHeight="1" x14ac:dyDescent="0.25">
      <c r="A8" s="7" t="s">
        <v>0</v>
      </c>
    </row>
    <row r="9" spans="1:23" ht="20.100000000000001" customHeight="1" x14ac:dyDescent="0.25">
      <c r="A9" s="5" t="str">
        <f>HYPERLINK("#'Input - Enterprise'!A1", "Enterprise")</f>
        <v>Enterprise</v>
      </c>
    </row>
    <row r="10" spans="1:23" ht="20.100000000000001" customHeight="1" x14ac:dyDescent="0.25">
      <c r="A10" s="5" t="str">
        <f>HYPERLINK("#'Input - Site'!A1", "Site")</f>
        <v>Site</v>
      </c>
      <c r="D10" s="87" t="s">
        <v>263</v>
      </c>
      <c r="E10" s="1" t="str" cm="1">
        <f t="array" ref="E10">MMS_Dairy_AtmosphericDeposition_Equations.VEERG_4_3_1_5__2_TotalNitrogenVolatilisedFromMMS_Variable()</f>
        <v>MN_ATMOS</v>
      </c>
    </row>
    <row r="11" spans="1:23" ht="20.100000000000001" customHeight="1" x14ac:dyDescent="0.25">
      <c r="A11" s="5" t="str">
        <f>HYPERLINK("#'Input - Dairy'!A1", "Dairy")</f>
        <v>Dairy</v>
      </c>
      <c r="D11" s="87" t="s">
        <v>122</v>
      </c>
      <c r="E11" s="15" t="str" cm="1">
        <f t="array" ref="E11">MMS_Dairy_AtmosphericDeposition_Equations.VEERG_4_3_1_5__2_TotalNitrogenVolatilisedFromMMS_Unit()</f>
        <v>kg N</v>
      </c>
    </row>
    <row r="12" spans="1:23" ht="20.100000000000001" customHeight="1" x14ac:dyDescent="0.25">
      <c r="A12" s="5" t="str">
        <f>HYPERLINK("#'Input - Dairy (Enteric)'!A1", "Dairy (Enteric)")</f>
        <v>Dairy (Enteric)</v>
      </c>
    </row>
    <row r="13" spans="1:23" ht="20.100000000000001" customHeight="1" x14ac:dyDescent="0.25">
      <c r="A13" s="5" t="str">
        <f>HYPERLINK("#'Input - Livestock sales'!A1", "Livestock sales")</f>
        <v>Livestock sales</v>
      </c>
      <c r="D13" s="120" t="str" cm="1">
        <f t="array" ref="D13:E14">_xlfn.CHOOSECOLS(MMS_Dairy_AtmosphericDeposition_Equations.VEERG_4_3_1_5__2_TotalNitrogenVolatilisedFromMMS_Arguments(),1,2)</f>
        <v>MN_jm</v>
      </c>
      <c r="E13" s="125" t="str">
        <v>total nitrogen in each MMS for dairy cattle classes</v>
      </c>
      <c r="F13" s="126"/>
      <c r="G13" s="120" t="str" cm="1">
        <f t="array" ref="G13:H14">_xlfn.CHOOSECOLS(MMS_Dairy_AtmosphericDeposition_Equations.VEERG_4_3_1_5__2_TotalNitrogenVolatilisedFromMMS_Arguments(),3,4)</f>
        <v>kg N</v>
      </c>
      <c r="H13" s="128" t="str">
        <v>Calculated from 4.3.1.3 (2)</v>
      </c>
      <c r="I13" s="127" t="str" cm="1">
        <f t="array" aca="1" ref="I13" ca="1">HYPERLINK(Common_InputFunctions.Utility_SourceHyperlink(D$16),D$16)</f>
        <v>M1_Table_MN_j_m</v>
      </c>
    </row>
    <row r="14" spans="1:23" ht="20.100000000000001" customHeight="1" x14ac:dyDescent="0.25">
      <c r="A14" s="5" t="str">
        <f>HYPERLINK("#'Input - Dairy cattle purchases'!A1", "Dairy cattle purchases")</f>
        <v>Dairy cattle purchases</v>
      </c>
      <c r="D14" s="120" t="str">
        <v>FracGASM_m</v>
      </c>
      <c r="E14" s="125" t="str">
        <v>fraction of N volatilised from MMS</v>
      </c>
      <c r="F14" s="126"/>
      <c r="G14" s="120" t="str">
        <v>fraction</v>
      </c>
      <c r="H14" s="128" t="str">
        <v>Constant</v>
      </c>
      <c r="I14" s="127" t="str" cm="1">
        <f t="array" aca="1" ref="I14" ca="1">HYPERLINK(Common_InputFunctions.Utility_SourceHyperlink($D$28),$D$28)</f>
        <v>Table_FracGASM_m</v>
      </c>
    </row>
    <row r="15" spans="1:23" ht="20.100000000000001" customHeight="1" x14ac:dyDescent="0.25">
      <c r="A15" s="5" t="str">
        <f>HYPERLINK("#'Input - Pasture'!A1", "Pasture")</f>
        <v>Pasture</v>
      </c>
    </row>
    <row r="16" spans="1:23" ht="20.100000000000001" customHeight="1" x14ac:dyDescent="0.25">
      <c r="A16" s="5" t="str">
        <f>HYPERLINK("#'Input - Fert Prod System'!A1", "Fert Prod System")</f>
        <v>Fert Prod System</v>
      </c>
      <c r="D16" s="122" t="s">
        <v>400</v>
      </c>
      <c r="O16" s="122" t="s">
        <v>401</v>
      </c>
    </row>
    <row r="17" spans="1:22" ht="20.100000000000001" customHeight="1" x14ac:dyDescent="0.25">
      <c r="A17" s="5" t="str">
        <f>HYPERLINK("#'Input - Fertiliser'!A1", "Fertiliser")</f>
        <v>Fertiliser</v>
      </c>
      <c r="D17" s="123" t="s">
        <v>402</v>
      </c>
      <c r="O17" s="123" t="s">
        <v>403</v>
      </c>
    </row>
    <row r="18" spans="1:22" ht="20.100000000000001" customHeight="1" x14ac:dyDescent="0.25">
      <c r="A18" s="5" t="str">
        <f>HYPERLINK("#'Input - Fuel'!A1", "Fuel")</f>
        <v>Fuel</v>
      </c>
      <c r="D18" s="124" t="s">
        <v>168</v>
      </c>
      <c r="E18" s="124" t="s">
        <v>307</v>
      </c>
      <c r="F18" s="124" t="s">
        <v>213</v>
      </c>
      <c r="G18" s="124" t="s">
        <v>214</v>
      </c>
      <c r="H18" s="124" t="s">
        <v>215</v>
      </c>
      <c r="I18" s="124" t="s">
        <v>216</v>
      </c>
      <c r="J18" s="124" t="s">
        <v>217</v>
      </c>
      <c r="O18" s="124" t="s">
        <v>168</v>
      </c>
      <c r="P18" s="124" t="s">
        <v>307</v>
      </c>
      <c r="Q18" s="124" t="s">
        <v>213</v>
      </c>
      <c r="R18" s="124" t="s">
        <v>214</v>
      </c>
      <c r="S18" s="124" t="s">
        <v>215</v>
      </c>
      <c r="T18" s="124" t="s">
        <v>216</v>
      </c>
      <c r="U18" s="124" t="s">
        <v>217</v>
      </c>
    </row>
    <row r="19" spans="1:22" ht="20.100000000000001" customHeight="1" x14ac:dyDescent="0.25">
      <c r="A19" s="5" t="str">
        <f>HYPERLINK("#'Input - Electricity'!A1", "Electricity")</f>
        <v>Electricity</v>
      </c>
      <c r="D19" s="25" t="str">
        <f>INDEX(X_Table_Dairy_ProductionSystems_Method1,3,1)</f>
        <v>Milking shed</v>
      </c>
      <c r="E19" s="25" t="str">
        <f>INDEX(X_Table_Dairy_Stage1MMS_1_AnaerobicLagoon,2,1)</f>
        <v>Anaerobic lagoon</v>
      </c>
      <c r="F19" s="25">
        <f>INDEX(M1_Table_MN_j_m,2,3)</f>
        <v>399.24605684746678</v>
      </c>
      <c r="G19" s="25">
        <f>INDEX(M1_Table_MN_j_m,2,4)</f>
        <v>182.35790267782079</v>
      </c>
      <c r="H19" s="25">
        <f>INDEX(M1_Table_MN_j_m,2,5)</f>
        <v>72.631224123843424</v>
      </c>
      <c r="I19" s="25">
        <f>INDEX(M1_Table_MN_j_m,2,6)</f>
        <v>229.23109573986844</v>
      </c>
      <c r="J19" s="25">
        <f>INDEX(M1_Table_MN_j_m,2,7)</f>
        <v>95.962857079055411</v>
      </c>
      <c r="K19" s="26" t="str">
        <f>$G$13</f>
        <v>kg N</v>
      </c>
      <c r="O19" s="25" t="str">
        <f>INDEX(X_Table_Dairy_ProductionSystems_Method1,3,1)</f>
        <v>Milking shed</v>
      </c>
      <c r="P19" s="25" t="str">
        <f>INDEX(X_Table_Dairy_Stage1MMS_1_AnaerobicLagoon,2,1)</f>
        <v>Anaerobic lagoon</v>
      </c>
      <c r="Q19" s="25">
        <f>INDEX(M2_Table_MN_j_m,2,3)</f>
        <v>399.24605684746678</v>
      </c>
      <c r="R19" s="25">
        <f>INDEX(M2_Table_MN_j_m,2,4)</f>
        <v>182.35790267782079</v>
      </c>
      <c r="S19" s="25">
        <f>INDEX(M2_Table_MN_j_m,2,5)</f>
        <v>72.631224123843424</v>
      </c>
      <c r="T19" s="25">
        <f>INDEX(M2_Table_MN_j_m,2,6)</f>
        <v>229.23109573986844</v>
      </c>
      <c r="U19" s="25">
        <f>INDEX(M2_Table_MN_j_m,2,7)</f>
        <v>95.962857079055411</v>
      </c>
      <c r="V19" s="26" t="str">
        <f>$G$13</f>
        <v>kg N</v>
      </c>
    </row>
    <row r="20" spans="1:22" ht="20.100000000000001" customHeight="1" x14ac:dyDescent="0.25">
      <c r="A20" s="5" t="str">
        <f>HYPERLINK("#'Input - Farm Inputs'!A1", "Farm Inputs")</f>
        <v>Farm Inputs</v>
      </c>
      <c r="D20" s="25" t="str">
        <f>INDEX(X_Table_Dairy_ProductionSystems_Method1,3,1)</f>
        <v>Milking shed</v>
      </c>
      <c r="E20" s="25" t="str">
        <f>INDEX(X_Table_Dairy_Stage1MMS_1_SumpAndDispersal,2,1)</f>
        <v>Sump and dispersal system</v>
      </c>
      <c r="F20" s="25">
        <f>INDEX(M1_Table_MN_j_m,3,3)</f>
        <v>399.24605684746678</v>
      </c>
      <c r="G20" s="25">
        <f>INDEX(M1_Table_MN_j_m,3,4)</f>
        <v>182.35790267782079</v>
      </c>
      <c r="H20" s="25">
        <f>INDEX(M1_Table_MN_j_m,3,5)</f>
        <v>72.631224123843424</v>
      </c>
      <c r="I20" s="25">
        <f>INDEX(M1_Table_MN_j_m,3,6)</f>
        <v>229.23109573986844</v>
      </c>
      <c r="J20" s="25">
        <f>INDEX(M1_Table_MN_j_m,3,7)</f>
        <v>95.962857079055411</v>
      </c>
      <c r="K20" s="26"/>
      <c r="O20" s="25" t="str">
        <f>INDEX(X_Table_Dairy_ProductionSystems_Method1,3,1)</f>
        <v>Milking shed</v>
      </c>
      <c r="P20" s="25" t="str">
        <f>INDEX(X_Table_Dairy_Stage1MMS_1_SumpAndDispersal,2,1)</f>
        <v>Sump and dispersal system</v>
      </c>
      <c r="Q20" s="25">
        <f>INDEX(M2_Table_MN_j_m,3,3)</f>
        <v>399.24605684746678</v>
      </c>
      <c r="R20" s="25">
        <f>INDEX(M2_Table_MN_j_m,3,4)</f>
        <v>182.35790267782079</v>
      </c>
      <c r="S20" s="25">
        <f>INDEX(M2_Table_MN_j_m,3,5)</f>
        <v>72.631224123843424</v>
      </c>
      <c r="T20" s="25">
        <f>INDEX(M2_Table_MN_j_m,3,6)</f>
        <v>229.23109573986844</v>
      </c>
      <c r="U20" s="25">
        <f>INDEX(M2_Table_MN_j_m,3,7)</f>
        <v>95.962857079055411</v>
      </c>
      <c r="V20" s="26"/>
    </row>
    <row r="21" spans="1:22" ht="20.100000000000001" customHeight="1" x14ac:dyDescent="0.25">
      <c r="A21" s="5" t="str">
        <f>HYPERLINK("#'Input - Freight'!A1", "Freight")</f>
        <v>Freight</v>
      </c>
      <c r="D21" s="25" t="str">
        <f>INDEX(X_Table_Dairy_ProductionSystems_Method1,3,1)</f>
        <v>Milking shed</v>
      </c>
      <c r="E21" s="25" t="str">
        <f>INDEX(X_Table_Dairy_Stage1MMS_1_DrainsToPaddock,2,1)</f>
        <v>Drains to paddock</v>
      </c>
      <c r="F21" s="25">
        <f>INDEX(M1_Table_MN_j_m,4,3)</f>
        <v>399.24605684746678</v>
      </c>
      <c r="G21" s="25">
        <f>INDEX(M1_Table_MN_j_m,4,4)</f>
        <v>182.35790267782079</v>
      </c>
      <c r="H21" s="25">
        <f>INDEX(M1_Table_MN_j_m,4,5)</f>
        <v>72.631224123843424</v>
      </c>
      <c r="I21" s="25">
        <f>INDEX(M1_Table_MN_j_m,4,6)</f>
        <v>229.23109573986844</v>
      </c>
      <c r="J21" s="25">
        <f>INDEX(M1_Table_MN_j_m,4,7)</f>
        <v>95.962857079055411</v>
      </c>
      <c r="K21" s="26"/>
      <c r="O21" s="25" t="str">
        <f>INDEX(X_Table_Dairy_ProductionSystems_Method1,3,1)</f>
        <v>Milking shed</v>
      </c>
      <c r="P21" s="25" t="str">
        <f>INDEX(X_Table_Dairy_Stage1MMS_1_DrainsToPaddock,2,1)</f>
        <v>Drains to paddock</v>
      </c>
      <c r="Q21" s="25">
        <f>INDEX(M2_Table_MN_j_m,4,3)</f>
        <v>399.24605684746678</v>
      </c>
      <c r="R21" s="25">
        <f>INDEX(M2_Table_MN_j_m,4,4)</f>
        <v>182.35790267782079</v>
      </c>
      <c r="S21" s="25">
        <f>INDEX(M2_Table_MN_j_m,4,5)</f>
        <v>72.631224123843424</v>
      </c>
      <c r="T21" s="25">
        <f>INDEX(M2_Table_MN_j_m,4,6)</f>
        <v>229.23109573986844</v>
      </c>
      <c r="U21" s="25">
        <f>INDEX(M2_Table_MN_j_m,4,7)</f>
        <v>95.962857079055411</v>
      </c>
      <c r="V21" s="26"/>
    </row>
    <row r="22" spans="1:22" ht="20.100000000000001" customHeight="1" x14ac:dyDescent="0.25">
      <c r="A22" s="5" t="str">
        <f>HYPERLINK("#'Input - Manure sent off-site'!A1", "Manure sent off-site")</f>
        <v>Manure sent off-site</v>
      </c>
      <c r="D22" s="25" t="str">
        <f>INDEX(X_Table_Dairy_ProductionSystems_Method1,3,1)</f>
        <v>Milking shed</v>
      </c>
      <c r="E22" s="25" t="s">
        <v>76</v>
      </c>
      <c r="F22" s="25">
        <f>INDEX(M1_Table_MN_j_m,5,3)</f>
        <v>798.49211369493332</v>
      </c>
      <c r="G22" s="25">
        <f>INDEX(M1_Table_MN_j_m,5,4)</f>
        <v>364.71580535564152</v>
      </c>
      <c r="H22" s="25">
        <f>INDEX(M1_Table_MN_j_m,5,5)</f>
        <v>145.26244824768682</v>
      </c>
      <c r="I22" s="25">
        <f>INDEX(M1_Table_MN_j_m,5,6)</f>
        <v>458.46219147973682</v>
      </c>
      <c r="J22" s="25">
        <f>INDEX(M1_Table_MN_j_m,5,7)</f>
        <v>191.92571415811079</v>
      </c>
      <c r="K22" s="26"/>
      <c r="O22" s="25" t="str">
        <f>INDEX(X_Table_Dairy_ProductionSystems_Method1,3,1)</f>
        <v>Milking shed</v>
      </c>
      <c r="P22" s="25" t="s">
        <v>76</v>
      </c>
      <c r="Q22" s="25">
        <f>INDEX(M2_Table_MN_j_m,5,3)</f>
        <v>798.49211369493332</v>
      </c>
      <c r="R22" s="25">
        <f>INDEX(M2_Table_MN_j_m,5,4)</f>
        <v>364.71580535564152</v>
      </c>
      <c r="S22" s="25">
        <f>INDEX(M2_Table_MN_j_m,5,5)</f>
        <v>145.26244824768682</v>
      </c>
      <c r="T22" s="25">
        <f>INDEX(M2_Table_MN_j_m,5,6)</f>
        <v>458.46219147973682</v>
      </c>
      <c r="U22" s="25">
        <f>INDEX(M2_Table_MN_j_m,5,7)</f>
        <v>191.92571415811079</v>
      </c>
      <c r="V22" s="26"/>
    </row>
    <row r="23" spans="1:22" ht="20.100000000000001" customHeight="1" x14ac:dyDescent="0.25">
      <c r="A23" s="5" t="str">
        <f>HYPERLINK("#'Input - Solid waste'!A1", "Solid waste")</f>
        <v>Solid waste</v>
      </c>
      <c r="D23" s="25" t="str">
        <f>INDEX(X_Table_Dairy_ProductionSystems_Method1,4,1)</f>
        <v>Feed pad</v>
      </c>
      <c r="E23" s="25" t="str">
        <f>INDEX(X_Table_Dairy_Stage1MMS_2_AnaerobicLagoon,2,1)</f>
        <v>Anaerobic lagoon</v>
      </c>
      <c r="F23" s="25">
        <f>INDEX(M1_Table_MN_j_m,6,3)</f>
        <v>1615.131775428388</v>
      </c>
      <c r="G23" s="25">
        <f>INDEX(M1_Table_MN_j_m,6,4)</f>
        <v>737.72060628754764</v>
      </c>
      <c r="H23" s="25">
        <f>INDEX(M1_Table_MN_j_m,6,5)</f>
        <v>293.82631577373019</v>
      </c>
      <c r="I23" s="25">
        <f>INDEX(M1_Table_MN_j_m,6,6)</f>
        <v>927.34397822037681</v>
      </c>
      <c r="J23" s="25">
        <f>INDEX(M1_Table_MN_j_m,6,7)</f>
        <v>388.21337636526954</v>
      </c>
      <c r="K23" s="26"/>
      <c r="O23" s="25" t="str">
        <f>INDEX(X_Table_Dairy_ProductionSystems_Method1,4,1)</f>
        <v>Feed pad</v>
      </c>
      <c r="P23" s="25" t="str">
        <f>INDEX(X_Table_Dairy_Stage1MMS_2_AnaerobicLagoon,2,1)</f>
        <v>Anaerobic lagoon</v>
      </c>
      <c r="Q23" s="25">
        <f>INDEX(M2_Table_MN_j_m,6,3)</f>
        <v>1615.131775428388</v>
      </c>
      <c r="R23" s="25">
        <f>INDEX(M2_Table_MN_j_m,6,4)</f>
        <v>737.72060628754764</v>
      </c>
      <c r="S23" s="25">
        <f>INDEX(M2_Table_MN_j_m,6,5)</f>
        <v>293.82631577373019</v>
      </c>
      <c r="T23" s="25">
        <f>INDEX(M2_Table_MN_j_m,6,6)</f>
        <v>927.34397822037681</v>
      </c>
      <c r="U23" s="25">
        <f>INDEX(M2_Table_MN_j_m,6,7)</f>
        <v>388.21337636526954</v>
      </c>
      <c r="V23" s="26"/>
    </row>
    <row r="24" spans="1:22" ht="20.100000000000001" customHeight="1" x14ac:dyDescent="0.25">
      <c r="A24" s="5" t="str">
        <f>HYPERLINK("#'Input - Data quality'!A1", "Data quality")</f>
        <v>Data quality</v>
      </c>
      <c r="D24" s="25" t="str">
        <f>INDEX(X_Table_Dairy_ProductionSystems_Method1,4,1)</f>
        <v>Feed pad</v>
      </c>
      <c r="E24" s="25" t="str">
        <f>INDEX(X_Table_Dairy_Stage1MMS_2_SumpAndDispersal,2,1)</f>
        <v>Sump and dispersal system</v>
      </c>
      <c r="F24" s="25">
        <f>INDEX(M1_Table_MN_j_m,7,3)</f>
        <v>1292.1054203427104</v>
      </c>
      <c r="G24" s="25">
        <f>INDEX(M1_Table_MN_j_m,7,4)</f>
        <v>590.17648503003818</v>
      </c>
      <c r="H24" s="25">
        <f>INDEX(M1_Table_MN_j_m,7,5)</f>
        <v>235.06105261898415</v>
      </c>
      <c r="I24" s="25">
        <f>INDEX(M1_Table_MN_j_m,7,6)</f>
        <v>741.87518257630143</v>
      </c>
      <c r="J24" s="25">
        <f>INDEX(M1_Table_MN_j_m,7,7)</f>
        <v>310.57070109221564</v>
      </c>
      <c r="K24" s="26"/>
      <c r="O24" s="25" t="str">
        <f>INDEX(X_Table_Dairy_ProductionSystems_Method1,4,1)</f>
        <v>Feed pad</v>
      </c>
      <c r="P24" s="25" t="str">
        <f>INDEX(X_Table_Dairy_Stage1MMS_2_SumpAndDispersal,2,1)</f>
        <v>Sump and dispersal system</v>
      </c>
      <c r="Q24" s="25">
        <f>INDEX(M2_Table_MN_j_m,7,3)</f>
        <v>1292.1054203427104</v>
      </c>
      <c r="R24" s="25">
        <f>INDEX(M2_Table_MN_j_m,7,4)</f>
        <v>590.17648503003818</v>
      </c>
      <c r="S24" s="25">
        <f>INDEX(M2_Table_MN_j_m,7,5)</f>
        <v>235.06105261898415</v>
      </c>
      <c r="T24" s="25">
        <f>INDEX(M2_Table_MN_j_m,7,6)</f>
        <v>741.87518257630143</v>
      </c>
      <c r="U24" s="25">
        <f>INDEX(M2_Table_MN_j_m,7,7)</f>
        <v>310.57070109221564</v>
      </c>
      <c r="V24" s="26"/>
    </row>
    <row r="25" spans="1:22" ht="20.100000000000001" customHeight="1" x14ac:dyDescent="0.25">
      <c r="D25" s="25" t="str">
        <f>INDEX(X_Table_Dairy_ProductionSystems_Method1,4,1)</f>
        <v>Feed pad</v>
      </c>
      <c r="E25" s="25" t="str">
        <f>INDEX(X_Table_Dairy_Stage1MMS_2_DrainsToPaddock,2,1)</f>
        <v>Drains to paddock</v>
      </c>
      <c r="F25" s="25">
        <f>INDEX(M1_Table_MN_j_m,8,3)</f>
        <v>1292.1054203427104</v>
      </c>
      <c r="G25" s="25">
        <f>INDEX(M1_Table_MN_j_m,8,4)</f>
        <v>590.17648503003818</v>
      </c>
      <c r="H25" s="25">
        <f>INDEX(M1_Table_MN_j_m,8,5)</f>
        <v>235.06105261898415</v>
      </c>
      <c r="I25" s="25">
        <f>INDEX(M1_Table_MN_j_m,8,6)</f>
        <v>741.87518257630143</v>
      </c>
      <c r="J25" s="25">
        <f>INDEX(M1_Table_MN_j_m,8,7)</f>
        <v>310.57070109221564</v>
      </c>
      <c r="K25" s="26"/>
      <c r="O25" s="25" t="str">
        <f>INDEX(X_Table_Dairy_ProductionSystems_Method1,4,1)</f>
        <v>Feed pad</v>
      </c>
      <c r="P25" s="25" t="str">
        <f>INDEX(X_Table_Dairy_Stage1MMS_2_DrainsToPaddock,2,1)</f>
        <v>Drains to paddock</v>
      </c>
      <c r="Q25" s="25">
        <f>INDEX(M2_Table_MN_j_m,8,3)</f>
        <v>1292.1054203427104</v>
      </c>
      <c r="R25" s="25">
        <f>INDEX(M2_Table_MN_j_m,8,4)</f>
        <v>590.17648503003818</v>
      </c>
      <c r="S25" s="25">
        <f>INDEX(M2_Table_MN_j_m,8,5)</f>
        <v>235.06105261898415</v>
      </c>
      <c r="T25" s="25">
        <f>INDEX(M2_Table_MN_j_m,8,6)</f>
        <v>741.87518257630143</v>
      </c>
      <c r="U25" s="25">
        <f>INDEX(M2_Table_MN_j_m,8,7)</f>
        <v>310.57070109221564</v>
      </c>
      <c r="V25" s="26"/>
    </row>
    <row r="26" spans="1:22" ht="20.100000000000001" customHeight="1" x14ac:dyDescent="0.25">
      <c r="D26" s="25" t="str">
        <f>INDEX(X_Table_Dairy_ProductionSystems_Method1,4,1)</f>
        <v>Feed pad</v>
      </c>
      <c r="E26" s="25" t="s">
        <v>76</v>
      </c>
      <c r="F26" s="25">
        <f>INDEX(M1_Table_MN_j_m,9,3)</f>
        <v>2261.1844855997429</v>
      </c>
      <c r="G26" s="25">
        <f>INDEX(M1_Table_MN_j_m,9,4)</f>
        <v>1032.8088488025667</v>
      </c>
      <c r="H26" s="25">
        <f>INDEX(M1_Table_MN_j_m,9,5)</f>
        <v>411.35684208322226</v>
      </c>
      <c r="I26" s="25">
        <f>INDEX(M1_Table_MN_j_m,9,6)</f>
        <v>1298.2815695085274</v>
      </c>
      <c r="J26" s="25">
        <f>INDEX(M1_Table_MN_j_m,9,7)</f>
        <v>543.49872691137739</v>
      </c>
      <c r="K26" s="26"/>
      <c r="O26" s="25" t="str">
        <f>INDEX(X_Table_Dairy_ProductionSystems_Method1,4,1)</f>
        <v>Feed pad</v>
      </c>
      <c r="P26" s="25" t="s">
        <v>76</v>
      </c>
      <c r="Q26" s="25">
        <f>INDEX(M2_Table_MN_j_m,9,3)</f>
        <v>2261.1844855997429</v>
      </c>
      <c r="R26" s="25">
        <f>INDEX(M2_Table_MN_j_m,9,4)</f>
        <v>1032.8088488025667</v>
      </c>
      <c r="S26" s="25">
        <f>INDEX(M2_Table_MN_j_m,9,5)</f>
        <v>411.35684208322226</v>
      </c>
      <c r="T26" s="25">
        <f>INDEX(M2_Table_MN_j_m,9,6)</f>
        <v>1298.2815695085274</v>
      </c>
      <c r="U26" s="25">
        <f>INDEX(M2_Table_MN_j_m,9,7)</f>
        <v>543.49872691137739</v>
      </c>
      <c r="V26" s="26"/>
    </row>
    <row r="27" spans="1:22" ht="20.100000000000001" customHeight="1" x14ac:dyDescent="0.25">
      <c r="A27" s="6" t="s">
        <v>2</v>
      </c>
    </row>
    <row r="28" spans="1:22" ht="20.100000000000001" customHeight="1" x14ac:dyDescent="0.25">
      <c r="A28" s="5" t="str">
        <f>HYPERLINK("#'5.1.1.1-2 Inorganic fert N2O'!A1", "5.1.1.1-2 Inorganic fert N2O")</f>
        <v>5.1.1.1-2 Inorganic fert N2O</v>
      </c>
      <c r="D28" s="122" t="s">
        <v>414</v>
      </c>
    </row>
    <row r="29" spans="1:22" ht="20.100000000000001" customHeight="1" x14ac:dyDescent="0.25">
      <c r="A29" s="5" t="str">
        <f>HYPERLINK("#'5.1.1.3-4 Inorganic fert CO2'!A1", "5.1.1.3-4 Inorganic fert CO2")</f>
        <v>5.1.1.3-4 Inorganic fert CO2</v>
      </c>
      <c r="D29" s="123" t="s">
        <v>415</v>
      </c>
    </row>
    <row r="30" spans="1:22" ht="20.100000000000001" customHeight="1" x14ac:dyDescent="0.25">
      <c r="A30" s="5" t="str">
        <f>HYPERLINK("#'5.2.1.1-2 Organic Fert N2O'!A1", "5.2.1.1-2 Organic fert N2O")</f>
        <v>5.2.1.1-2 Organic fert N2O</v>
      </c>
      <c r="D30" s="124" t="s">
        <v>307</v>
      </c>
      <c r="E30" s="124" t="s">
        <v>416</v>
      </c>
    </row>
    <row r="31" spans="1:22" ht="20.100000000000001" customHeight="1" x14ac:dyDescent="0.25">
      <c r="A31" s="5" t="str">
        <f>HYPERLINK("#'5.3.1.1-2 Lime CO2'!A1", "5.3.1.1-2 Lime CO2")</f>
        <v>5.3.1.1-2 Lime CO2</v>
      </c>
      <c r="D31" s="25" t="str" cm="1">
        <f t="array" ref="D31:D35">Table_SourceData_Dairy_EFmFracGASM[NIR reference]</f>
        <v>Pasture range and paddock</v>
      </c>
      <c r="E31" s="25" cm="1">
        <f t="array" ref="E31:E35">Table_SourceData_Dairy_EFmFracGASM[FracGASMm]</f>
        <v>0</v>
      </c>
      <c r="F31" s="26" t="str">
        <f>G14</f>
        <v>fraction</v>
      </c>
    </row>
    <row r="32" spans="1:22" ht="20.100000000000001" customHeight="1" x14ac:dyDescent="0.25">
      <c r="A32" s="5" t="str">
        <f>HYPERLINK("#'5.4.1.1-4 Atmos deposition'!A1", "5.4.1.1-4 Atmos. deposition")</f>
        <v>5.4.1.1-4 Atmos. deposition</v>
      </c>
      <c r="D32" s="25" t="str">
        <v>Anaerobic lagoon</v>
      </c>
      <c r="E32" s="25">
        <v>0.35</v>
      </c>
      <c r="F32" s="26"/>
    </row>
    <row r="33" spans="1:22" ht="20.100000000000001" customHeight="1" x14ac:dyDescent="0.25">
      <c r="A33" s="5" t="str">
        <f>HYPERLINK("#'5.5.1.1-2 Leaching and runoff'!A1", "5.5.1.1-2 Leaching &amp; runoff")</f>
        <v>5.5.1.1-2 Leaching &amp; runoff</v>
      </c>
      <c r="D33" s="25" t="str">
        <v>Sump and dispersal system</v>
      </c>
      <c r="E33" s="25">
        <v>7.0000000000000007E-2</v>
      </c>
      <c r="F33" s="26"/>
    </row>
    <row r="34" spans="1:22" ht="20.100000000000001" customHeight="1" x14ac:dyDescent="0.25">
      <c r="A34" s="5" t="str">
        <f>HYPERLINK("#'6.2.1.1-2 Pasture residue N2O'!A1", "6.2.1.1-2 Pasture residue N2O")</f>
        <v>6.2.1.1-2 Pasture residue N2O</v>
      </c>
      <c r="D34" s="25" t="str">
        <v>Drains to paddock</v>
      </c>
      <c r="E34" s="25">
        <v>0.2</v>
      </c>
      <c r="F34" s="26"/>
    </row>
    <row r="35" spans="1:22" ht="20.100000000000001" customHeight="1" x14ac:dyDescent="0.25">
      <c r="A35" s="5" t="str">
        <f>HYPERLINK("#'6.3.1.1-2 Leach runoff pasture'!A1", "6.3.1.1-2 Leach &amp; runoff (pasture)")</f>
        <v>6.3.1.1-2 Leach &amp; runoff (pasture)</v>
      </c>
      <c r="D35" s="25" t="str">
        <v>Solid storage</v>
      </c>
      <c r="E35" s="25">
        <v>0.3</v>
      </c>
      <c r="F35" s="26"/>
    </row>
    <row r="36" spans="1:22" ht="20.100000000000001" customHeight="1" x14ac:dyDescent="0.25">
      <c r="A36" s="5" t="str">
        <f>HYPERLINK("#'8.1.1.1-2 Transport fuel'!A1", "8.1.1.1-2 Transport fuel")</f>
        <v>8.1.1.1-2 Transport fuel</v>
      </c>
    </row>
    <row r="37" spans="1:22" ht="20.100000000000001" customHeight="1" x14ac:dyDescent="0.25">
      <c r="A37" s="5" t="str">
        <f>HYPERLINK("#'8.2.1.1-2 Stationary fuel'!A1", "8.2.1.1-2 Stationary fuel")</f>
        <v>8.2.1.1-2 Stationary fuel</v>
      </c>
      <c r="D37" s="122" t="s">
        <v>417</v>
      </c>
      <c r="O37" s="122" t="s">
        <v>418</v>
      </c>
    </row>
    <row r="38" spans="1:22" ht="20.100000000000001" customHeight="1" x14ac:dyDescent="0.25">
      <c r="A38" s="5" t="str">
        <f>HYPERLINK("#'14.1.1-2 Purchased electricity'!A1", "14.1.1-2 Purchased electricity")</f>
        <v>14.1.1-2 Purchased electricity</v>
      </c>
      <c r="D38" s="123" t="s">
        <v>419</v>
      </c>
      <c r="O38" s="123" t="s">
        <v>420</v>
      </c>
    </row>
    <row r="39" spans="1:22" ht="20.100000000000001" customHeight="1" x14ac:dyDescent="0.25">
      <c r="A39" s="5" t="str">
        <f>HYPERLINK("#'15 Scope 3'!A1", "15 Scope 3")</f>
        <v>15 Scope 3</v>
      </c>
      <c r="D39" s="124" t="s">
        <v>168</v>
      </c>
      <c r="E39" s="124" t="s">
        <v>307</v>
      </c>
      <c r="F39" s="124" t="s">
        <v>213</v>
      </c>
      <c r="G39" s="124" t="s">
        <v>214</v>
      </c>
      <c r="H39" s="124" t="s">
        <v>215</v>
      </c>
      <c r="I39" s="124" t="s">
        <v>216</v>
      </c>
      <c r="J39" s="124" t="s">
        <v>217</v>
      </c>
      <c r="O39" s="124" t="s">
        <v>168</v>
      </c>
      <c r="P39" s="124" t="s">
        <v>307</v>
      </c>
      <c r="Q39" s="124" t="s">
        <v>213</v>
      </c>
      <c r="R39" s="124" t="s">
        <v>214</v>
      </c>
      <c r="S39" s="124" t="s">
        <v>215</v>
      </c>
      <c r="T39" s="124" t="s">
        <v>216</v>
      </c>
      <c r="U39" s="124" t="s">
        <v>217</v>
      </c>
    </row>
    <row r="40" spans="1:22" ht="20.100000000000001" customHeight="1" x14ac:dyDescent="0.25">
      <c r="A40" s="5" t="str">
        <f>HYPERLINK("#'Calcs - Manure sent off-site'!A1", "Calcs - Manure sent off-site")</f>
        <v>Calcs - Manure sent off-site</v>
      </c>
      <c r="D40" s="25" t="str">
        <f>INDEX(X_Table_Dairy_ProductionSystems_Method1,3,1)</f>
        <v>Milking shed</v>
      </c>
      <c r="E40" s="25" t="str">
        <f>INDEX(X_Table_Dairy_Stage1MMS_1_AnaerobicLagoon,2,1)</f>
        <v>Anaerobic lagoon</v>
      </c>
      <c r="F40" s="25" cm="1">
        <f t="array" ref="F40">MMS_Dairy_AtmosphericDeposition_Equations.VEERG_4_3_1_5__2_TotalNitrogenVolatilisedFromMMS(F19,$E32)</f>
        <v>139.73611989661336</v>
      </c>
      <c r="G40" s="25" cm="1">
        <f t="array" ref="G40">MMS_Dairy_AtmosphericDeposition_Equations.VEERG_4_3_1_5__2_TotalNitrogenVolatilisedFromMMS(G19,$E32)</f>
        <v>63.825265937237269</v>
      </c>
      <c r="H40" s="25" cm="1">
        <f t="array" ref="H40">MMS_Dairy_AtmosphericDeposition_Equations.VEERG_4_3_1_5__2_TotalNitrogenVolatilisedFromMMS(H19,$E32)</f>
        <v>25.420928443345197</v>
      </c>
      <c r="I40" s="25" cm="1">
        <f t="array" ref="I40">MMS_Dairy_AtmosphericDeposition_Equations.VEERG_4_3_1_5__2_TotalNitrogenVolatilisedFromMMS(I19,$E32)</f>
        <v>80.230883508953951</v>
      </c>
      <c r="J40" s="25" cm="1">
        <f t="array" ref="J40">MMS_Dairy_AtmosphericDeposition_Equations.VEERG_4_3_1_5__2_TotalNitrogenVolatilisedFromMMS(J19,$E32)</f>
        <v>33.586999977669393</v>
      </c>
      <c r="K40" s="26" t="str">
        <f>$E$11</f>
        <v>kg N</v>
      </c>
      <c r="O40" s="25" t="str">
        <f>INDEX(X_Table_Dairy_ProductionSystems_Method1,3,1)</f>
        <v>Milking shed</v>
      </c>
      <c r="P40" s="25" t="str">
        <f>INDEX(X_Table_Dairy_Stage1MMS_1_AnaerobicLagoon,2,1)</f>
        <v>Anaerobic lagoon</v>
      </c>
      <c r="Q40" s="25" cm="1">
        <f t="array" ref="Q40">MMS_Dairy_AtmosphericDeposition_Equations.VEERG_4_3_1_5__2_TotalNitrogenVolatilisedFromMMS(Q19,$E32)</f>
        <v>139.73611989661336</v>
      </c>
      <c r="R40" s="25" cm="1">
        <f t="array" ref="R40">MMS_Dairy_AtmosphericDeposition_Equations.VEERG_4_3_1_5__2_TotalNitrogenVolatilisedFromMMS(R19,$E32)</f>
        <v>63.825265937237269</v>
      </c>
      <c r="S40" s="25" cm="1">
        <f t="array" ref="S40">MMS_Dairy_AtmosphericDeposition_Equations.VEERG_4_3_1_5__2_TotalNitrogenVolatilisedFromMMS(S19,$E32)</f>
        <v>25.420928443345197</v>
      </c>
      <c r="T40" s="25" cm="1">
        <f t="array" ref="T40">MMS_Dairy_AtmosphericDeposition_Equations.VEERG_4_3_1_5__2_TotalNitrogenVolatilisedFromMMS(T19,$E32)</f>
        <v>80.230883508953951</v>
      </c>
      <c r="U40" s="25" cm="1">
        <f t="array" ref="U40">MMS_Dairy_AtmosphericDeposition_Equations.VEERG_4_3_1_5__2_TotalNitrogenVolatilisedFromMMS(U19,$E32)</f>
        <v>33.586999977669393</v>
      </c>
      <c r="V40" s="26" t="str">
        <f>$E$11</f>
        <v>kg N</v>
      </c>
    </row>
    <row r="41" spans="1:22" ht="20.100000000000001" customHeight="1" x14ac:dyDescent="0.25">
      <c r="A41" s="5" t="str">
        <f>HYPERLINK("#'4.3.1.1-2 Methane'!A1", "4.3.1.1-2 Methane")</f>
        <v>4.3.1.1-2 Methane</v>
      </c>
      <c r="D41" s="25" t="str">
        <f>INDEX(X_Table_Dairy_ProductionSystems_Method1,3,1)</f>
        <v>Milking shed</v>
      </c>
      <c r="E41" s="25" t="str">
        <f>INDEX(X_Table_Dairy_Stage1MMS_1_SumpAndDispersal,2,1)</f>
        <v>Sump and dispersal system</v>
      </c>
      <c r="F41" s="25" cm="1">
        <f t="array" ref="F41">MMS_Dairy_AtmosphericDeposition_Equations.VEERG_4_3_1_5__2_TotalNitrogenVolatilisedFromMMS(F20,$E33)</f>
        <v>27.947223979322676</v>
      </c>
      <c r="G41" s="25" cm="1">
        <f t="array" ref="G41">MMS_Dairy_AtmosphericDeposition_Equations.VEERG_4_3_1_5__2_TotalNitrogenVolatilisedFromMMS(G20,$E33)</f>
        <v>12.765053187447457</v>
      </c>
      <c r="H41" s="25" cm="1">
        <f t="array" ref="H41">MMS_Dairy_AtmosphericDeposition_Equations.VEERG_4_3_1_5__2_TotalNitrogenVolatilisedFromMMS(H20,$E33)</f>
        <v>5.0841856886690397</v>
      </c>
      <c r="I41" s="25" cm="1">
        <f t="array" ref="I41">MMS_Dairy_AtmosphericDeposition_Equations.VEERG_4_3_1_5__2_TotalNitrogenVolatilisedFromMMS(I20,$E33)</f>
        <v>16.046176701790792</v>
      </c>
      <c r="J41" s="25" cm="1">
        <f t="array" ref="J41">MMS_Dairy_AtmosphericDeposition_Equations.VEERG_4_3_1_5__2_TotalNitrogenVolatilisedFromMMS(J20,$E33)</f>
        <v>6.7173999955338797</v>
      </c>
      <c r="K41" s="26"/>
      <c r="O41" s="25" t="str">
        <f>INDEX(X_Table_Dairy_ProductionSystems_Method1,3,1)</f>
        <v>Milking shed</v>
      </c>
      <c r="P41" s="25" t="str">
        <f>INDEX(X_Table_Dairy_Stage1MMS_1_SumpAndDispersal,2,1)</f>
        <v>Sump and dispersal system</v>
      </c>
      <c r="Q41" s="25" cm="1">
        <f t="array" ref="Q41">MMS_Dairy_AtmosphericDeposition_Equations.VEERG_4_3_1_5__2_TotalNitrogenVolatilisedFromMMS(Q20,$E33)</f>
        <v>27.947223979322676</v>
      </c>
      <c r="R41" s="25" cm="1">
        <f t="array" ref="R41">MMS_Dairy_AtmosphericDeposition_Equations.VEERG_4_3_1_5__2_TotalNitrogenVolatilisedFromMMS(R20,$E33)</f>
        <v>12.765053187447457</v>
      </c>
      <c r="S41" s="25" cm="1">
        <f t="array" ref="S41">MMS_Dairy_AtmosphericDeposition_Equations.VEERG_4_3_1_5__2_TotalNitrogenVolatilisedFromMMS(S20,$E33)</f>
        <v>5.0841856886690397</v>
      </c>
      <c r="T41" s="25" cm="1">
        <f t="array" ref="T41">MMS_Dairy_AtmosphericDeposition_Equations.VEERG_4_3_1_5__2_TotalNitrogenVolatilisedFromMMS(T20,$E33)</f>
        <v>16.046176701790792</v>
      </c>
      <c r="U41" s="25" cm="1">
        <f t="array" ref="U41">MMS_Dairy_AtmosphericDeposition_Equations.VEERG_4_3_1_5__2_TotalNitrogenVolatilisedFromMMS(U20,$E33)</f>
        <v>6.7173999955338797</v>
      </c>
      <c r="V41" s="26"/>
    </row>
    <row r="42" spans="1:22" ht="20.100000000000001" customHeight="1" x14ac:dyDescent="0.25">
      <c r="A42" s="5" t="str">
        <f>HYPERLINK("#'4.3.1.3-4 Direct N20'!A1", "4.3.1.3-4 Direct N20")</f>
        <v>4.3.1.3-4 Direct N20</v>
      </c>
      <c r="D42" s="25" t="str">
        <f>INDEX(X_Table_Dairy_ProductionSystems_Method1,3,1)</f>
        <v>Milking shed</v>
      </c>
      <c r="E42" s="25" t="str">
        <f>INDEX(X_Table_Dairy_Stage1MMS_1_DrainsToPaddock,2,1)</f>
        <v>Drains to paddock</v>
      </c>
      <c r="F42" s="25" cm="1">
        <f t="array" ref="F42">MMS_Dairy_AtmosphericDeposition_Equations.VEERG_4_3_1_5__2_TotalNitrogenVolatilisedFromMMS(F21,$E34)</f>
        <v>79.849211369493361</v>
      </c>
      <c r="G42" s="25" cm="1">
        <f t="array" ref="G42">MMS_Dairy_AtmosphericDeposition_Equations.VEERG_4_3_1_5__2_TotalNitrogenVolatilisedFromMMS(G21,$E34)</f>
        <v>36.471580535564158</v>
      </c>
      <c r="H42" s="25" cm="1">
        <f t="array" ref="H42">MMS_Dairy_AtmosphericDeposition_Equations.VEERG_4_3_1_5__2_TotalNitrogenVolatilisedFromMMS(H21,$E34)</f>
        <v>14.526244824768686</v>
      </c>
      <c r="I42" s="25" cm="1">
        <f t="array" ref="I42">MMS_Dairy_AtmosphericDeposition_Equations.VEERG_4_3_1_5__2_TotalNitrogenVolatilisedFromMMS(I21,$E34)</f>
        <v>45.846219147973692</v>
      </c>
      <c r="J42" s="25" cm="1">
        <f t="array" ref="J42">MMS_Dairy_AtmosphericDeposition_Equations.VEERG_4_3_1_5__2_TotalNitrogenVolatilisedFromMMS(J21,$E34)</f>
        <v>19.192571415811084</v>
      </c>
      <c r="K42" s="26"/>
      <c r="O42" s="25" t="str">
        <f>INDEX(X_Table_Dairy_ProductionSystems_Method1,3,1)</f>
        <v>Milking shed</v>
      </c>
      <c r="P42" s="25" t="str">
        <f>INDEX(X_Table_Dairy_Stage1MMS_1_DrainsToPaddock,2,1)</f>
        <v>Drains to paddock</v>
      </c>
      <c r="Q42" s="25" cm="1">
        <f t="array" ref="Q42">MMS_Dairy_AtmosphericDeposition_Equations.VEERG_4_3_1_5__2_TotalNitrogenVolatilisedFromMMS(Q21,$E34)</f>
        <v>79.849211369493361</v>
      </c>
      <c r="R42" s="25" cm="1">
        <f t="array" ref="R42">MMS_Dairy_AtmosphericDeposition_Equations.VEERG_4_3_1_5__2_TotalNitrogenVolatilisedFromMMS(R21,$E34)</f>
        <v>36.471580535564158</v>
      </c>
      <c r="S42" s="25" cm="1">
        <f t="array" ref="S42">MMS_Dairy_AtmosphericDeposition_Equations.VEERG_4_3_1_5__2_TotalNitrogenVolatilisedFromMMS(S21,$E34)</f>
        <v>14.526244824768686</v>
      </c>
      <c r="T42" s="25" cm="1">
        <f t="array" ref="T42">MMS_Dairy_AtmosphericDeposition_Equations.VEERG_4_3_1_5__2_TotalNitrogenVolatilisedFromMMS(T21,$E34)</f>
        <v>45.846219147973692</v>
      </c>
      <c r="U42" s="25" cm="1">
        <f t="array" ref="U42">MMS_Dairy_AtmosphericDeposition_Equations.VEERG_4_3_1_5__2_TotalNitrogenVolatilisedFromMMS(U21,$E34)</f>
        <v>19.192571415811084</v>
      </c>
      <c r="V42" s="26"/>
    </row>
    <row r="43" spans="1:22" ht="20.100000000000001" customHeight="1" x14ac:dyDescent="0.25">
      <c r="A43" s="119" t="str">
        <f>HYPERLINK("#'4.3.1.5 Atmos deposition'!A1", "4.3.1.5 Atmos deposition")</f>
        <v>4.3.1.5 Atmos deposition</v>
      </c>
      <c r="D43" s="25" t="str">
        <f>INDEX(X_Table_Dairy_ProductionSystems_Method1,3,1)</f>
        <v>Milking shed</v>
      </c>
      <c r="E43" s="25" t="s">
        <v>76</v>
      </c>
      <c r="F43" s="25" cm="1">
        <f t="array" ref="F43">MMS_Dairy_AtmosphericDeposition_Equations.VEERG_4_3_1_5__2_TotalNitrogenVolatilisedFromMMS(F22,$E35)</f>
        <v>239.54763410848</v>
      </c>
      <c r="G43" s="25" cm="1">
        <f t="array" ref="G43">MMS_Dairy_AtmosphericDeposition_Equations.VEERG_4_3_1_5__2_TotalNitrogenVolatilisedFromMMS(G22,$E35)</f>
        <v>109.41474160669246</v>
      </c>
      <c r="H43" s="25" cm="1">
        <f t="array" ref="H43">MMS_Dairy_AtmosphericDeposition_Equations.VEERG_4_3_1_5__2_TotalNitrogenVolatilisedFromMMS(H22,$E35)</f>
        <v>43.578734474306046</v>
      </c>
      <c r="I43" s="25" cm="1">
        <f t="array" ref="I43">MMS_Dairy_AtmosphericDeposition_Equations.VEERG_4_3_1_5__2_TotalNitrogenVolatilisedFromMMS(I22,$E35)</f>
        <v>137.53865744392104</v>
      </c>
      <c r="J43" s="25" cm="1">
        <f t="array" ref="J43">MMS_Dairy_AtmosphericDeposition_Equations.VEERG_4_3_1_5__2_TotalNitrogenVolatilisedFromMMS(J22,$E35)</f>
        <v>57.577714247433235</v>
      </c>
      <c r="K43" s="26"/>
      <c r="O43" s="25" t="str">
        <f>INDEX(X_Table_Dairy_ProductionSystems_Method1,3,1)</f>
        <v>Milking shed</v>
      </c>
      <c r="P43" s="25" t="s">
        <v>76</v>
      </c>
      <c r="Q43" s="25" cm="1">
        <f t="array" ref="Q43">MMS_Dairy_AtmosphericDeposition_Equations.VEERG_4_3_1_5__2_TotalNitrogenVolatilisedFromMMS(Q22,$E35)</f>
        <v>239.54763410848</v>
      </c>
      <c r="R43" s="25" cm="1">
        <f t="array" ref="R43">MMS_Dairy_AtmosphericDeposition_Equations.VEERG_4_3_1_5__2_TotalNitrogenVolatilisedFromMMS(R22,$E35)</f>
        <v>109.41474160669246</v>
      </c>
      <c r="S43" s="25" cm="1">
        <f t="array" ref="S43">MMS_Dairy_AtmosphericDeposition_Equations.VEERG_4_3_1_5__2_TotalNitrogenVolatilisedFromMMS(S22,$E35)</f>
        <v>43.578734474306046</v>
      </c>
      <c r="T43" s="25" cm="1">
        <f t="array" ref="T43">MMS_Dairy_AtmosphericDeposition_Equations.VEERG_4_3_1_5__2_TotalNitrogenVolatilisedFromMMS(T22,$E35)</f>
        <v>137.53865744392104</v>
      </c>
      <c r="U43" s="25" cm="1">
        <f t="array" ref="U43">MMS_Dairy_AtmosphericDeposition_Equations.VEERG_4_3_1_5__2_TotalNitrogenVolatilisedFromMMS(U22,$E35)</f>
        <v>57.577714247433235</v>
      </c>
      <c r="V43" s="26"/>
    </row>
    <row r="44" spans="1:22" ht="20.100000000000001" customHeight="1" x14ac:dyDescent="0.25">
      <c r="A44" s="5" t="str">
        <f>HYPERLINK("#'4.3.1.6-7 Leaching and runoff'!A1", "4.3.1.6-7 Leaching and runoff")</f>
        <v>4.3.1.6-7 Leaching and runoff</v>
      </c>
      <c r="D44" s="25" t="str">
        <f>INDEX(X_Table_Dairy_ProductionSystems_Method1,4,1)</f>
        <v>Feed pad</v>
      </c>
      <c r="E44" s="25" t="str">
        <f>INDEX(X_Table_Dairy_Stage1MMS_2_AnaerobicLagoon,2,1)</f>
        <v>Anaerobic lagoon</v>
      </c>
      <c r="F44" s="25" cm="1">
        <f t="array" ref="F44">MMS_Dairy_AtmosphericDeposition_Equations.VEERG_4_3_1_5__2_TotalNitrogenVolatilisedFromMMS(F23, $E32)</f>
        <v>565.29612139993571</v>
      </c>
      <c r="G44" s="25" cm="1">
        <f t="array" ref="G44">MMS_Dairy_AtmosphericDeposition_Equations.VEERG_4_3_1_5__2_TotalNitrogenVolatilisedFromMMS(G23, $E32)</f>
        <v>258.20221220064167</v>
      </c>
      <c r="H44" s="25" cm="1">
        <f t="array" ref="H44">MMS_Dairy_AtmosphericDeposition_Equations.VEERG_4_3_1_5__2_TotalNitrogenVolatilisedFromMMS(H23, $E32)</f>
        <v>102.83921052080557</v>
      </c>
      <c r="I44" s="25" cm="1">
        <f t="array" ref="I44">MMS_Dairy_AtmosphericDeposition_Equations.VEERG_4_3_1_5__2_TotalNitrogenVolatilisedFromMMS(I23, $E32)</f>
        <v>324.57039237713184</v>
      </c>
      <c r="J44" s="25" cm="1">
        <f t="array" ref="J44">MMS_Dairy_AtmosphericDeposition_Equations.VEERG_4_3_1_5__2_TotalNitrogenVolatilisedFromMMS(J23, $E32)</f>
        <v>135.87468172784432</v>
      </c>
      <c r="K44" s="26"/>
      <c r="O44" s="25" t="str">
        <f>INDEX(X_Table_Dairy_ProductionSystems_Method1,4,1)</f>
        <v>Feed pad</v>
      </c>
      <c r="P44" s="25" t="str">
        <f>INDEX(X_Table_Dairy_Stage1MMS_2_AnaerobicLagoon,2,1)</f>
        <v>Anaerobic lagoon</v>
      </c>
      <c r="Q44" s="25" cm="1">
        <f t="array" ref="Q44">MMS_Dairy_AtmosphericDeposition_Equations.VEERG_4_3_1_5__2_TotalNitrogenVolatilisedFromMMS(Q23, $E32)</f>
        <v>565.29612139993571</v>
      </c>
      <c r="R44" s="25" cm="1">
        <f t="array" ref="R44">MMS_Dairy_AtmosphericDeposition_Equations.VEERG_4_3_1_5__2_TotalNitrogenVolatilisedFromMMS(R23, $E32)</f>
        <v>258.20221220064167</v>
      </c>
      <c r="S44" s="25" cm="1">
        <f t="array" ref="S44">MMS_Dairy_AtmosphericDeposition_Equations.VEERG_4_3_1_5__2_TotalNitrogenVolatilisedFromMMS(S23, $E32)</f>
        <v>102.83921052080557</v>
      </c>
      <c r="T44" s="25" cm="1">
        <f t="array" ref="T44">MMS_Dairy_AtmosphericDeposition_Equations.VEERG_4_3_1_5__2_TotalNitrogenVolatilisedFromMMS(T23, $E32)</f>
        <v>324.57039237713184</v>
      </c>
      <c r="U44" s="25" cm="1">
        <f t="array" ref="U44">MMS_Dairy_AtmosphericDeposition_Equations.VEERG_4_3_1_5__2_TotalNitrogenVolatilisedFromMMS(U23, $E32)</f>
        <v>135.87468172784432</v>
      </c>
      <c r="V44" s="26"/>
    </row>
    <row r="45" spans="1:22" ht="20.100000000000001" customHeight="1" x14ac:dyDescent="0.25">
      <c r="A45" s="5" t="str">
        <f>HYPERLINK("#'4.3.1.8 Manure applied to soils'!A1", "4.3.1.8 Manure applied to soils")</f>
        <v>4.3.1.8 Manure applied to soils</v>
      </c>
      <c r="D45" s="25" t="str">
        <f>INDEX(X_Table_Dairy_ProductionSystems_Method1,4,1)</f>
        <v>Feed pad</v>
      </c>
      <c r="E45" s="25" t="str">
        <f>INDEX(X_Table_Dairy_Stage1MMS_2_SumpAndDispersal,2,1)</f>
        <v>Sump and dispersal system</v>
      </c>
      <c r="F45" s="25" cm="1">
        <f t="array" ref="F45">MMS_Dairy_AtmosphericDeposition_Equations.VEERG_4_3_1_5__2_TotalNitrogenVolatilisedFromMMS(F24, $E33)</f>
        <v>90.447379423989744</v>
      </c>
      <c r="G45" s="25" cm="1">
        <f t="array" ref="G45">MMS_Dairy_AtmosphericDeposition_Equations.VEERG_4_3_1_5__2_TotalNitrogenVolatilisedFromMMS(G24, $E33)</f>
        <v>41.312353952102676</v>
      </c>
      <c r="H45" s="25" cm="1">
        <f t="array" ref="H45">MMS_Dairy_AtmosphericDeposition_Equations.VEERG_4_3_1_5__2_TotalNitrogenVolatilisedFromMMS(H24, $E33)</f>
        <v>16.454273683328893</v>
      </c>
      <c r="I45" s="25" cm="1">
        <f t="array" ref="I45">MMS_Dairy_AtmosphericDeposition_Equations.VEERG_4_3_1_5__2_TotalNitrogenVolatilisedFromMMS(I24, $E33)</f>
        <v>51.931262780341108</v>
      </c>
      <c r="J45" s="25" cm="1">
        <f t="array" ref="J45">MMS_Dairy_AtmosphericDeposition_Equations.VEERG_4_3_1_5__2_TotalNitrogenVolatilisedFromMMS(J24, $E33)</f>
        <v>21.739949076455098</v>
      </c>
      <c r="K45" s="26"/>
      <c r="O45" s="25" t="str">
        <f>INDEX(X_Table_Dairy_ProductionSystems_Method1,4,1)</f>
        <v>Feed pad</v>
      </c>
      <c r="P45" s="25" t="str">
        <f>INDEX(X_Table_Dairy_Stage1MMS_2_SumpAndDispersal,2,1)</f>
        <v>Sump and dispersal system</v>
      </c>
      <c r="Q45" s="25" cm="1">
        <f t="array" ref="Q45">MMS_Dairy_AtmosphericDeposition_Equations.VEERG_4_3_1_5__2_TotalNitrogenVolatilisedFromMMS(Q24, $E33)</f>
        <v>90.447379423989744</v>
      </c>
      <c r="R45" s="25" cm="1">
        <f t="array" ref="R45">MMS_Dairy_AtmosphericDeposition_Equations.VEERG_4_3_1_5__2_TotalNitrogenVolatilisedFromMMS(R24, $E33)</f>
        <v>41.312353952102676</v>
      </c>
      <c r="S45" s="25" cm="1">
        <f t="array" ref="S45">MMS_Dairy_AtmosphericDeposition_Equations.VEERG_4_3_1_5__2_TotalNitrogenVolatilisedFromMMS(S24, $E33)</f>
        <v>16.454273683328893</v>
      </c>
      <c r="T45" s="25" cm="1">
        <f t="array" ref="T45">MMS_Dairy_AtmosphericDeposition_Equations.VEERG_4_3_1_5__2_TotalNitrogenVolatilisedFromMMS(T24, $E33)</f>
        <v>51.931262780341108</v>
      </c>
      <c r="U45" s="25" cm="1">
        <f t="array" ref="U45">MMS_Dairy_AtmosphericDeposition_Equations.VEERG_4_3_1_5__2_TotalNitrogenVolatilisedFromMMS(U24, $E33)</f>
        <v>21.739949076455098</v>
      </c>
      <c r="V45" s="26"/>
    </row>
    <row r="46" spans="1:22" ht="20.100000000000001" customHeight="1" x14ac:dyDescent="0.25">
      <c r="A46" s="5" t="str">
        <f>HYPERLINK("#'4.3.1.9 Soil direct N2O'!A1", "4.3.1.9 Soil direct N2O")</f>
        <v>4.3.1.9 Soil direct N2O</v>
      </c>
      <c r="D46" s="25" t="str">
        <f>INDEX(X_Table_Dairy_ProductionSystems_Method1,4,1)</f>
        <v>Feed pad</v>
      </c>
      <c r="E46" s="25" t="str">
        <f>INDEX(X_Table_Dairy_Stage1MMS_2_DrainsToPaddock,2,1)</f>
        <v>Drains to paddock</v>
      </c>
      <c r="F46" s="25" cm="1">
        <f t="array" ref="F46">MMS_Dairy_AtmosphericDeposition_Equations.VEERG_4_3_1_5__2_TotalNitrogenVolatilisedFromMMS(F25, $E34)</f>
        <v>258.42108406854209</v>
      </c>
      <c r="G46" s="25" cm="1">
        <f t="array" ref="G46">MMS_Dairy_AtmosphericDeposition_Equations.VEERG_4_3_1_5__2_TotalNitrogenVolatilisedFromMMS(G25, $E34)</f>
        <v>118.03529700600764</v>
      </c>
      <c r="H46" s="25" cm="1">
        <f t="array" ref="H46">MMS_Dairy_AtmosphericDeposition_Equations.VEERG_4_3_1_5__2_TotalNitrogenVolatilisedFromMMS(H25, $E34)</f>
        <v>47.012210523796831</v>
      </c>
      <c r="I46" s="25" cm="1">
        <f t="array" ref="I46">MMS_Dairy_AtmosphericDeposition_Equations.VEERG_4_3_1_5__2_TotalNitrogenVolatilisedFromMMS(I25, $E34)</f>
        <v>148.37503651526029</v>
      </c>
      <c r="J46" s="25" cm="1">
        <f t="array" ref="J46">MMS_Dairy_AtmosphericDeposition_Equations.VEERG_4_3_1_5__2_TotalNitrogenVolatilisedFromMMS(J25, $E34)</f>
        <v>62.114140218443133</v>
      </c>
      <c r="K46" s="26"/>
      <c r="O46" s="25" t="str">
        <f>INDEX(X_Table_Dairy_ProductionSystems_Method1,4,1)</f>
        <v>Feed pad</v>
      </c>
      <c r="P46" s="25" t="str">
        <f>INDEX(X_Table_Dairy_Stage1MMS_2_DrainsToPaddock,2,1)</f>
        <v>Drains to paddock</v>
      </c>
      <c r="Q46" s="25" cm="1">
        <f t="array" ref="Q46">MMS_Dairy_AtmosphericDeposition_Equations.VEERG_4_3_1_5__2_TotalNitrogenVolatilisedFromMMS(Q25, $E34)</f>
        <v>258.42108406854209</v>
      </c>
      <c r="R46" s="25" cm="1">
        <f t="array" ref="R46">MMS_Dairy_AtmosphericDeposition_Equations.VEERG_4_3_1_5__2_TotalNitrogenVolatilisedFromMMS(R25, $E34)</f>
        <v>118.03529700600764</v>
      </c>
      <c r="S46" s="25" cm="1">
        <f t="array" ref="S46">MMS_Dairy_AtmosphericDeposition_Equations.VEERG_4_3_1_5__2_TotalNitrogenVolatilisedFromMMS(S25, $E34)</f>
        <v>47.012210523796831</v>
      </c>
      <c r="T46" s="25" cm="1">
        <f t="array" ref="T46">MMS_Dairy_AtmosphericDeposition_Equations.VEERG_4_3_1_5__2_TotalNitrogenVolatilisedFromMMS(T25, $E34)</f>
        <v>148.37503651526029</v>
      </c>
      <c r="U46" s="25" cm="1">
        <f t="array" ref="U46">MMS_Dairy_AtmosphericDeposition_Equations.VEERG_4_3_1_5__2_TotalNitrogenVolatilisedFromMMS(U25, $E34)</f>
        <v>62.114140218443133</v>
      </c>
      <c r="V46" s="26"/>
    </row>
    <row r="47" spans="1:22" ht="20.100000000000001" customHeight="1" x14ac:dyDescent="0.25">
      <c r="A47" s="5" t="str">
        <f>HYPERLINK("#'4.3.1.10-11 Soil Atmos Dep'!A1", "4.3.1.10-11 Soil Atmos Dep")</f>
        <v>4.3.1.10-11 Soil Atmos Dep</v>
      </c>
      <c r="D47" s="25" t="str">
        <f>INDEX(X_Table_Dairy_ProductionSystems_Method1,4,1)</f>
        <v>Feed pad</v>
      </c>
      <c r="E47" s="25" t="s">
        <v>76</v>
      </c>
      <c r="F47" s="25" cm="1">
        <f t="array" ref="F47">MMS_Dairy_AtmosphericDeposition_Equations.VEERG_4_3_1_5__2_TotalNitrogenVolatilisedFromMMS(F26, $E35)</f>
        <v>678.35534567992283</v>
      </c>
      <c r="G47" s="25" cm="1">
        <f t="array" ref="G47">MMS_Dairy_AtmosphericDeposition_Equations.VEERG_4_3_1_5__2_TotalNitrogenVolatilisedFromMMS(G26, $E35)</f>
        <v>309.84265464076998</v>
      </c>
      <c r="H47" s="25" cm="1">
        <f t="array" ref="H47">MMS_Dairy_AtmosphericDeposition_Equations.VEERG_4_3_1_5__2_TotalNitrogenVolatilisedFromMMS(H26, $E35)</f>
        <v>123.40705262496667</v>
      </c>
      <c r="I47" s="25" cm="1">
        <f t="array" ref="I47">MMS_Dairy_AtmosphericDeposition_Equations.VEERG_4_3_1_5__2_TotalNitrogenVolatilisedFromMMS(I26, $E35)</f>
        <v>389.48447085255822</v>
      </c>
      <c r="J47" s="25" cm="1">
        <f t="array" ref="J47">MMS_Dairy_AtmosphericDeposition_Equations.VEERG_4_3_1_5__2_TotalNitrogenVolatilisedFromMMS(J26, $E35)</f>
        <v>163.0496180734132</v>
      </c>
      <c r="K47" s="26"/>
      <c r="O47" s="25" t="str">
        <f>INDEX(X_Table_Dairy_ProductionSystems_Method1,4,1)</f>
        <v>Feed pad</v>
      </c>
      <c r="P47" s="25" t="s">
        <v>76</v>
      </c>
      <c r="Q47" s="25" cm="1">
        <f t="array" ref="Q47">MMS_Dairy_AtmosphericDeposition_Equations.VEERG_4_3_1_5__2_TotalNitrogenVolatilisedFromMMS(Q26, $E35)</f>
        <v>678.35534567992283</v>
      </c>
      <c r="R47" s="25" cm="1">
        <f t="array" ref="R47">MMS_Dairy_AtmosphericDeposition_Equations.VEERG_4_3_1_5__2_TotalNitrogenVolatilisedFromMMS(R26, $E35)</f>
        <v>309.84265464076998</v>
      </c>
      <c r="S47" s="25" cm="1">
        <f t="array" ref="S47">MMS_Dairy_AtmosphericDeposition_Equations.VEERG_4_3_1_5__2_TotalNitrogenVolatilisedFromMMS(S26, $E35)</f>
        <v>123.40705262496667</v>
      </c>
      <c r="T47" s="25" cm="1">
        <f t="array" ref="T47">MMS_Dairy_AtmosphericDeposition_Equations.VEERG_4_3_1_5__2_TotalNitrogenVolatilisedFromMMS(T26, $E35)</f>
        <v>389.48447085255822</v>
      </c>
      <c r="U47" s="25" cm="1">
        <f t="array" ref="U47">MMS_Dairy_AtmosphericDeposition_Equations.VEERG_4_3_1_5__2_TotalNitrogenVolatilisedFromMMS(U26, $E35)</f>
        <v>163.0496180734132</v>
      </c>
      <c r="V47" s="26"/>
    </row>
    <row r="48" spans="1:22" ht="20.100000000000001" customHeight="1" x14ac:dyDescent="0.25">
      <c r="A48" s="5" t="str">
        <f>HYPERLINK("#'4.3.1.12-13 Soil leach runoff'!A1", "4.3.1.12-13 Soil leach runoff")</f>
        <v>4.3.1.12-13 Soil leach runoff</v>
      </c>
    </row>
    <row r="49" spans="1:23" ht="20.100000000000001" customHeight="1" x14ac:dyDescent="0.25">
      <c r="A49" s="5" t="str">
        <f>HYPERLINK("#'3.3.1.1-2 Enteric Methane'!A1", "3.3.1.1-2 Enteric Methane")</f>
        <v>3.3.1.1-2 Enteric Methane</v>
      </c>
      <c r="D49" s="142" t="s">
        <v>421</v>
      </c>
      <c r="E49" s="101">
        <f>SUM(F40:J47)</f>
        <v>5101.668293837286</v>
      </c>
      <c r="F49" s="140" t="str">
        <f>$E$11</f>
        <v>kg N</v>
      </c>
      <c r="O49" s="142" t="s">
        <v>421</v>
      </c>
      <c r="P49" s="101">
        <f>SUM(Q40:U47)</f>
        <v>5101.668293837286</v>
      </c>
      <c r="Q49" s="140" t="str">
        <f>$E$11</f>
        <v>kg N</v>
      </c>
    </row>
    <row r="50" spans="1:23" ht="20.100000000000001" customHeight="1" x14ac:dyDescent="0.25">
      <c r="A50" s="5" t="str">
        <f>HYPERLINK("#'10.1.1-2 Solid waste treatment'!A1", "10.1.1-2 Solid waste treatment")</f>
        <v>10.1.1-2 Solid waste treatment</v>
      </c>
    </row>
    <row r="51" spans="1:23" ht="20.100000000000001" customHeight="1" x14ac:dyDescent="0.25"/>
    <row r="52" spans="1:23" ht="20.100000000000001" customHeight="1" x14ac:dyDescent="0.25">
      <c r="C52" s="101"/>
      <c r="D52" s="101"/>
      <c r="E52" s="101"/>
      <c r="F52" s="101"/>
      <c r="G52" s="101"/>
      <c r="H52" s="101"/>
      <c r="I52" s="101"/>
      <c r="J52" s="101"/>
      <c r="K52" s="101"/>
      <c r="L52" s="101"/>
      <c r="N52" s="101"/>
      <c r="O52" s="101"/>
      <c r="P52" s="101"/>
      <c r="Q52" s="101"/>
      <c r="R52" s="101"/>
      <c r="S52" s="101"/>
      <c r="T52" s="101"/>
      <c r="U52" s="101"/>
      <c r="V52" s="101"/>
      <c r="W52" s="101"/>
    </row>
    <row r="53" spans="1:23" ht="20.100000000000001" customHeight="1" x14ac:dyDescent="0.25">
      <c r="A53" s="100" t="s">
        <v>1</v>
      </c>
      <c r="D53" s="2" t="str" cm="1">
        <f t="array" ref="D53">MMS_Dairy_AtmosphericDeposition_Equations.VEERG_4_3_1_5__1_AnnualAtmosphericDepositionEmissionsFromMMS_Title()</f>
        <v>Annual atmospheric deposition emissions from MMS</v>
      </c>
    </row>
    <row r="54" spans="1:23" ht="20.100000000000001" customHeight="1" x14ac:dyDescent="0.25">
      <c r="A54" s="5" t="str">
        <f>HYPERLINK("#'Constants - Dairy'!A1", "Constants - Dairy")</f>
        <v>Constants - Dairy</v>
      </c>
      <c r="D54" s="27" t="str" cm="1">
        <f t="array" ref="D54">MMS_Dairy_AtmosphericDeposition_Equations.VEERG_4_3_1_5__1_AnnualAtmosphericDepositionEmissionsFromMMS_Source()</f>
        <v>VEERG 2026: 4.3.1.5, Equation (1)</v>
      </c>
    </row>
    <row r="55" spans="1:23" ht="20.100000000000001" customHeight="1" x14ac:dyDescent="0.25">
      <c r="A55" s="5" t="str">
        <f>HYPERLINK("#'Constants - Ag Residue'!A1", "Constants - Ag residue")</f>
        <v>Constants - Ag residue</v>
      </c>
      <c r="D55" s="118" t="s">
        <v>262</v>
      </c>
      <c r="E55" s="118" t="str">
        <f ca="1">Common_InputFunctions.Utility_DisplayFunctionName(VEERG_4_3_1_5__1_AnnualAtmosphericDepositionEmissionsFromMMS_Result_Method1)</f>
        <v>=MMS_Dairy_AtmosphericDeposition_Equations.VEERG_4_3_1_5__1_AnnualAtmosphericDepositionEmissionsFromMMS</v>
      </c>
    </row>
    <row r="56" spans="1:23" ht="20.100000000000001" customHeight="1" x14ac:dyDescent="0.25">
      <c r="A56" s="5" t="str">
        <f>HYPERLINK("#'Constants - Common Livestock'!A1", "Constants - Common Livestock")</f>
        <v>Constants - Common Livestock</v>
      </c>
    </row>
    <row r="57" spans="1:23" ht="20.100000000000001" customHeight="1" x14ac:dyDescent="0.25">
      <c r="A57" s="5" t="str">
        <f>HYPERLINK("#'Constants - Electricity'!A1", "Constants - Electricity")</f>
        <v>Constants - Electricity</v>
      </c>
      <c r="D57" s="2"/>
      <c r="H57" s="1" t="s">
        <v>422</v>
      </c>
    </row>
    <row r="58" spans="1:23" ht="20.100000000000001" customHeight="1" x14ac:dyDescent="0.25">
      <c r="A58" s="5" t="str">
        <f>HYPERLINK("#'Constants - Fertiliser'!A1", "Constants - Fertiliser")</f>
        <v>Constants - Fertiliser</v>
      </c>
      <c r="D58" s="87" t="s">
        <v>263</v>
      </c>
      <c r="E58" s="1" t="str" cm="1">
        <f t="array" ref="E58">MMS_Dairy_AtmosphericDeposition_Equations.VEERG_4_3_1_5__1_AnnualAtmosphericDepositionEmissionsFromMMS_Variable()</f>
        <v>E_N2OMMSad</v>
      </c>
    </row>
    <row r="59" spans="1:23" ht="20.100000000000001" customHeight="1" x14ac:dyDescent="0.25">
      <c r="A59" s="5" t="str">
        <f>HYPERLINK("#'Constants - Fuel'!A1", "Constants - Fuel")</f>
        <v>Constants - Fuel</v>
      </c>
      <c r="D59" s="87" t="s">
        <v>122</v>
      </c>
      <c r="E59" s="15" t="str" cm="1">
        <f t="array" ref="E59">MMS_Dairy_AtmosphericDeposition_Equations.VEERG_4_3_1_5__1_AnnualAtmosphericDepositionEmissionsFromMMS_Unit()</f>
        <v>t N2O</v>
      </c>
    </row>
    <row r="60" spans="1:23" ht="20.100000000000001" customHeight="1" x14ac:dyDescent="0.25">
      <c r="A60" s="5" t="str">
        <f>HYPERLINK("#'Constants - Scope 3'!A1", "Constants - Scope 3")</f>
        <v>Constants - Scope 3</v>
      </c>
    </row>
    <row r="61" spans="1:23" ht="20.100000000000001" customHeight="1" x14ac:dyDescent="0.25">
      <c r="A61" s="5" t="str">
        <f>HYPERLINK("#'Constants - Common'!A1", "Constants - Common")</f>
        <v>Constants - Common</v>
      </c>
      <c r="D61" s="120" t="str" cm="1">
        <f t="array" ref="D61:E66">_xlfn.CHOOSECOLS(MMS_Dairy_AtmosphericDeposition_Equations.VEERG_4_3_1_5__1_AnnualAtmosphericDepositionEmissionsFromMMS_Arguments(),1,2)</f>
        <v>MN_ATMOS</v>
      </c>
      <c r="E61" s="125" t="str">
        <v>mass of N volatilised from MMS</v>
      </c>
      <c r="F61" s="126"/>
      <c r="G61" s="120" t="str" cm="1">
        <f t="array" ref="G61:H66">_xlfn.CHOOSECOLS(MMS_Dairy_AtmosphericDeposition_Equations.VEERG_4_3_1_5__1_AnnualAtmosphericDepositionEmissionsFromMMS_Arguments(),3,4)</f>
        <v>kg N</v>
      </c>
      <c r="H61" s="128" t="str">
        <v>Calculated from 4.3.1.5 (2)</v>
      </c>
      <c r="I61" s="120">
        <f>$E$49</f>
        <v>5101.668293837286</v>
      </c>
      <c r="O61" s="132" t="str">
        <f>D61</f>
        <v>MN_ATMOS</v>
      </c>
      <c r="P61" s="138" t="str">
        <f>E61</f>
        <v>mass of N volatilised from MMS</v>
      </c>
      <c r="Q61" s="143"/>
      <c r="R61" s="132">
        <f>$P$49</f>
        <v>5101.668293837286</v>
      </c>
    </row>
    <row r="62" spans="1:23" ht="20.100000000000001" customHeight="1" x14ac:dyDescent="0.25">
      <c r="A62" s="5" t="str">
        <f>HYPERLINK("#'Acknowledgements'!A1", "Acknowledgements")</f>
        <v>Acknowledgements</v>
      </c>
      <c r="D62" s="120" t="str">
        <v>EF_N2O</v>
      </c>
      <c r="E62" s="125" t="str">
        <v>nitrous oxide emission factor for atmospheric deposition</v>
      </c>
      <c r="F62" s="126"/>
      <c r="G62" s="120" t="str">
        <v>kg N2O-N/kg N</v>
      </c>
      <c r="H62" s="128" t="str">
        <v>Constant</v>
      </c>
      <c r="I62" s="120">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132"/>
      <c r="P62" s="138"/>
      <c r="Q62" s="143"/>
      <c r="R62" s="132"/>
    </row>
    <row r="63" spans="1:23" ht="20.100000000000001" customHeight="1" x14ac:dyDescent="0.25">
      <c r="A63" s="5" t="str">
        <f>HYPERLINK("#'Constants - Solid Waste'!A1", "Constants - Solid Waste")</f>
        <v>Constants - Solid Waste</v>
      </c>
      <c r="D63" s="120" t="str">
        <v>C_N2O</v>
      </c>
      <c r="E63" s="125" t="str">
        <v>factor to convert elemental mass of N2O to molecular mass</v>
      </c>
      <c r="F63" s="126"/>
      <c r="G63" s="120" t="str">
        <v/>
      </c>
      <c r="H63" s="128" t="str">
        <v>Constant</v>
      </c>
      <c r="I63" s="120">
        <f>Common_InputFunctions.Utility_LookupValueInTableNumber("N2O",Table_GasToMolecularConversionFactor[Gas],Table_GasToMolecularConversionFactor[Conversion factor combined])</f>
        <v>1.5714285714285714</v>
      </c>
      <c r="O63" s="132"/>
      <c r="P63" s="138"/>
      <c r="Q63" s="143"/>
      <c r="R63" s="132"/>
    </row>
    <row r="64" spans="1:23" ht="20.100000000000001" customHeight="1" x14ac:dyDescent="0.25">
      <c r="D64" s="120" t="str">
        <v>j</v>
      </c>
      <c r="E64" s="125" t="str">
        <v>production system</v>
      </c>
      <c r="F64" s="126"/>
      <c r="G64" s="120" t="str">
        <v/>
      </c>
      <c r="H64" s="121" t="str">
        <v>Input</v>
      </c>
      <c r="I64" s="120" t="str">
        <f>X_Cell_Dairy_ManureAppliedProductionSystem</f>
        <v>Pasture</v>
      </c>
      <c r="O64" s="132"/>
      <c r="P64" s="138"/>
      <c r="Q64" s="143"/>
      <c r="R64" s="132"/>
    </row>
    <row r="65" spans="4:18" ht="20.100000000000001" customHeight="1" x14ac:dyDescent="0.25">
      <c r="D65" s="120" t="str">
        <v>ir</v>
      </c>
      <c r="E65" s="125" t="str">
        <v>irrigation method</v>
      </c>
      <c r="F65" s="126"/>
      <c r="G65" s="120" t="str">
        <v/>
      </c>
      <c r="H65" s="121" t="str">
        <v>Input</v>
      </c>
      <c r="I65" s="120" t="str">
        <f>X_Cell_Dairy_ManureAppliedIrrigationMethod</f>
        <v>Sprinkler irrigation</v>
      </c>
      <c r="O65" s="132"/>
      <c r="P65" s="138"/>
      <c r="Q65" s="143"/>
      <c r="R65" s="132"/>
    </row>
    <row r="66" spans="4:18" ht="20.100000000000001" customHeight="1" x14ac:dyDescent="0.25">
      <c r="D66" s="120" t="str">
        <v>r</v>
      </c>
      <c r="E66" s="125" t="str">
        <v>rainfall region</v>
      </c>
      <c r="F66" s="126"/>
      <c r="G66" s="120" t="str">
        <v/>
      </c>
      <c r="H66" s="121" t="str">
        <v>Input</v>
      </c>
      <c r="I66" s="120" t="str">
        <f>X_Cell_Site_RainfallZone</f>
        <v>High rainfall</v>
      </c>
      <c r="O66" s="132"/>
      <c r="P66" s="138"/>
      <c r="Q66" s="143"/>
      <c r="R66" s="132"/>
    </row>
    <row r="67" spans="4:18" ht="20.100000000000001" customHeight="1" x14ac:dyDescent="0.25"/>
    <row r="68" spans="4:18" ht="20.100000000000001" customHeight="1" x14ac:dyDescent="0.25">
      <c r="D68" s="135" t="s">
        <v>423</v>
      </c>
      <c r="E68" s="136" cm="1">
        <f t="array" ref="E68">MMS_Dairy_AtmosphericDeposition_Equations.VEERG_4_3_1_5__1_AnnualAtmosphericDepositionEmissionsFromMMS($I$61,$I$62,$I$63)</f>
        <v>4.7299753181434263E-2</v>
      </c>
      <c r="F68" s="137" t="str">
        <f>$E$59</f>
        <v>t N2O</v>
      </c>
      <c r="O68" s="135" t="s">
        <v>423</v>
      </c>
      <c r="P68" s="136" cm="1">
        <f t="array" ref="P68">MMS_Dairy_AtmosphericDeposition_Equations.VEERG_4_3_1_5__1_AnnualAtmosphericDepositionEmissionsFromMMS($R$61,$I$62,$I$63)</f>
        <v>4.7299753181434263E-2</v>
      </c>
      <c r="Q68" s="137" t="str">
        <f>$E$59</f>
        <v>t N2O</v>
      </c>
    </row>
    <row r="69" spans="4:18" ht="20.100000000000001" customHeight="1" x14ac:dyDescent="0.25"/>
    <row r="70" spans="4:18" ht="20.100000000000001" customHeight="1" x14ac:dyDescent="0.25">
      <c r="D70" s="132" t="str" cm="1">
        <f t="array" ref="D70:E71">Common_Equations.Common_ConvertN2OToCO2e_Arguments()</f>
        <v>EN2O</v>
      </c>
      <c r="E70" s="138" t="str">
        <v>Nitrous oxide emissions (t N2O)</v>
      </c>
      <c r="F70" s="139"/>
      <c r="G70" s="25">
        <f>VEERG_4_3_1_5__1_AnnualAtmosphericDepositionEmissionsFromMMS_Result_Method1</f>
        <v>4.7299753181434263E-2</v>
      </c>
      <c r="O70" s="132" t="str" cm="1">
        <f t="array" ref="O70:P71">Common_Equations.Common_ConvertN2OToCO2e_Arguments()</f>
        <v>EN2O</v>
      </c>
      <c r="P70" s="138" t="str">
        <v>Nitrous oxide emissions (t N2O)</v>
      </c>
      <c r="Q70" s="139"/>
      <c r="R70" s="25">
        <f>VEERG_4_3_1_5__1_AnnualAtmosphericDepositionEmissionsFromMMS_Result_Method2</f>
        <v>4.7299753181434263E-2</v>
      </c>
    </row>
    <row r="71" spans="4:18" ht="20.100000000000001" customHeight="1" x14ac:dyDescent="0.25">
      <c r="D71" s="132" t="str">
        <v>GWPN2O</v>
      </c>
      <c r="E71" s="138" t="str">
        <v>Global warming potential for nitrous oxide (t CO2-e / t N2O)</v>
      </c>
      <c r="F71" s="139"/>
      <c r="G71" s="25">
        <f>Common_InputFunctions.Utility_LookupValueInTableNumber("N2O",Table_GWPData[Gas],Table_GWPData[CO2-e factor])</f>
        <v>265</v>
      </c>
      <c r="O71" s="132" t="str">
        <v>GWPN2O</v>
      </c>
      <c r="P71" s="138" t="str">
        <v>Global warming potential for nitrous oxide (t CO2-e / t N2O)</v>
      </c>
      <c r="Q71" s="139"/>
      <c r="R71" s="25">
        <f>Common_InputFunctions.Utility_LookupValueInTableNumber("N2O",Table_GWPData[Gas],Table_GWPData[CO2-e factor])</f>
        <v>265</v>
      </c>
    </row>
    <row r="72" spans="4:18" ht="20.100000000000001" customHeight="1" x14ac:dyDescent="0.25"/>
    <row r="73" spans="4:18" ht="20.100000000000001" customHeight="1" x14ac:dyDescent="0.25">
      <c r="D73" s="101" t="s">
        <v>412</v>
      </c>
      <c r="E73" s="101" cm="1">
        <f t="array" ref="E73">Common_Equations.Common_ConvertN2OToCO2e(G70,G71)</f>
        <v>12.53443459308008</v>
      </c>
      <c r="F73" s="140" t="str" cm="1">
        <f t="array" ref="F73">Common_Equations.Common_ConvertN2OToCO2e_Unit()</f>
        <v>t CO2e</v>
      </c>
      <c r="O73" s="101" t="s">
        <v>412</v>
      </c>
      <c r="P73" s="101" cm="1">
        <f t="array" ref="P73">Common_Equations.Common_ConvertN2OToCO2e(R70,R71)</f>
        <v>12.53443459308008</v>
      </c>
      <c r="Q73" s="140"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4DF98625-F2D8-4D54-9407-ACB277DF1C40}"/>
  </dataValidation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C27E1-D9DD-4CC8-BA12-C94EC645FA38}">
  <dimension ref="A1:W165"/>
  <sheetViews>
    <sheetView showGridLines="0" topLeftCell="A4"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30" customFormat="1" ht="30" customHeight="1" x14ac:dyDescent="0.35">
      <c r="A1" s="16" t="e" vm="1">
        <v>#VALUE!</v>
      </c>
      <c r="C1" s="30" t="s">
        <v>424</v>
      </c>
    </row>
    <row r="2" spans="1:23" s="3" customFormat="1" ht="20.100000000000001" customHeight="1" x14ac:dyDescent="0.25">
      <c r="A2"/>
    </row>
    <row r="3" spans="1:23" ht="20.100000000000001" customHeight="1" x14ac:dyDescent="0.25">
      <c r="A3" s="5" t="str">
        <f>HYPERLINK("#'Home'!A1", "Home")</f>
        <v>Home</v>
      </c>
      <c r="C3" s="32"/>
      <c r="D3" s="32" t="s">
        <v>136</v>
      </c>
      <c r="E3" s="32"/>
      <c r="F3" s="32"/>
      <c r="G3" s="32"/>
      <c r="H3" s="32"/>
      <c r="I3" s="32"/>
      <c r="J3" s="32"/>
      <c r="K3" s="32"/>
      <c r="L3" s="32"/>
      <c r="N3" s="32"/>
      <c r="O3" s="32" t="s">
        <v>137</v>
      </c>
      <c r="P3" s="32"/>
      <c r="Q3" s="32"/>
      <c r="R3" s="32"/>
      <c r="S3" s="32"/>
      <c r="T3" s="32"/>
      <c r="U3" s="32"/>
      <c r="V3" s="32"/>
      <c r="W3" s="32"/>
    </row>
    <row r="4" spans="1:23" ht="20.100000000000001" customHeight="1" x14ac:dyDescent="0.25">
      <c r="A4" s="5" t="str">
        <f>HYPERLINK("#'Overview'!A1", "Overview")</f>
        <v>Overview</v>
      </c>
    </row>
    <row r="5" spans="1:23" ht="20.100000000000001" customHeight="1" x14ac:dyDescent="0.25">
      <c r="A5" s="5" t="str">
        <f>HYPERLINK("#'Results'!A1", "Results")</f>
        <v>Results</v>
      </c>
      <c r="D5" s="2"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D6" s="27" t="str" cm="1">
        <f t="array" ref="D6">MMS_Dairy_LeachingAndRunoff_Equations.VEERG_4_3_1_6__2_MassOfNitrogenLostToLeachingAndRunoffFromSolidStorage_Source()</f>
        <v>VEERG 2026: 4.3.1.6, Equation (2)</v>
      </c>
    </row>
    <row r="7" spans="1:23" ht="20.100000000000001" customHeight="1" x14ac:dyDescent="0.25">
      <c r="D7" s="118" t="s">
        <v>262</v>
      </c>
      <c r="E7" s="118" t="str" cm="1">
        <f t="array" aca="1" ref="E7" ca="1">Common_InputFunctions.Utility_DisplayFunctionName($F$29)</f>
        <v>=MMS_Dairy_LeachingAndRunoff_Equations.VEERG_4_3_1_6__2_MassOfNitrogenLostToLeachingAndRunoffFromSolidStorage</v>
      </c>
    </row>
    <row r="8" spans="1:23" ht="20.100000000000001" customHeight="1" x14ac:dyDescent="0.25">
      <c r="A8" s="7" t="s">
        <v>0</v>
      </c>
    </row>
    <row r="9" spans="1:23" ht="20.100000000000001" customHeight="1" x14ac:dyDescent="0.25">
      <c r="A9" s="5" t="str">
        <f>HYPERLINK("#'Input - Enterprise'!A1", "Enterprise")</f>
        <v>Enterprise</v>
      </c>
    </row>
    <row r="10" spans="1:23" ht="20.100000000000001" customHeight="1" x14ac:dyDescent="0.25">
      <c r="A10" s="5" t="str">
        <f>HYPERLINK("#'Input - Site'!A1", "Site")</f>
        <v>Site</v>
      </c>
      <c r="D10" s="87" t="s">
        <v>263</v>
      </c>
      <c r="E10" s="1" t="str" cm="1">
        <f t="array" ref="E10">MMS_Dairy_LeachingAndRunoff_Equations.VEERG_4_3_1_6__2_MassOfNitrogenLostToLeachingAndRunoffFromSolidStorage_Variable()</f>
        <v>MNLeach_jm4</v>
      </c>
    </row>
    <row r="11" spans="1:23" ht="20.100000000000001" customHeight="1" x14ac:dyDescent="0.25">
      <c r="A11" s="5" t="str">
        <f>HYPERLINK("#'Input - Dairy'!A1", "Dairy")</f>
        <v>Dairy</v>
      </c>
      <c r="D11" s="87" t="s">
        <v>122</v>
      </c>
      <c r="E11" s="15" t="str" cm="1">
        <f t="array" ref="E11">MMS_Dairy_LeachingAndRunoff_Equations.VEERG_4_3_1_6__2_MassOfNitrogenLostToLeachingAndRunoffFromSolidStorage_Unit()</f>
        <v>kg N</v>
      </c>
    </row>
    <row r="12" spans="1:23" ht="20.100000000000001" customHeight="1" x14ac:dyDescent="0.25">
      <c r="A12" s="5" t="str">
        <f>HYPERLINK("#'Input - Dairy (Enteric)'!A1", "Dairy (Enteric)")</f>
        <v>Dairy (Enteric)</v>
      </c>
    </row>
    <row r="13" spans="1:23" ht="20.100000000000001" customHeight="1" x14ac:dyDescent="0.25">
      <c r="A13" s="5" t="str">
        <f>HYPERLINK("#'Input - Livestock sales'!A1", "Livestock sales")</f>
        <v>Livestock sales</v>
      </c>
      <c r="D13" s="120" t="str" cm="1">
        <f t="array" ref="D13:E18">_xlfn.CHOOSECOLS(MMS_Dairy_LeachingAndRunoff_Equations.VEERG_4_3_1_6__2_MassOfNitrogenLostToLeachingAndRunoffFromSolidStorage_Arguments(),1,2)</f>
        <v>MN_jm4</v>
      </c>
      <c r="E13" s="125" t="str">
        <v>total nitrogen in solid storage system m=4 (kg N)</v>
      </c>
      <c r="F13" s="133"/>
      <c r="G13" s="126"/>
      <c r="H13" s="120" t="str" cm="1">
        <f t="array" ref="H13:I18">_xlfn.CHOOSECOLS(MMS_Dairy_LeachingAndRunoff_Equations.VEERG_4_3_1_6__2_MassOfNitrogenLostToLeachingAndRunoffFromSolidStorage_Arguments(),3,4)</f>
        <v>kg N</v>
      </c>
      <c r="I13" s="128" t="str">
        <v>Calculated from 4.3.1.3 (2)</v>
      </c>
      <c r="J13" s="127" t="str" cm="1">
        <f t="array" aca="1" ref="J13" ca="1">HYPERLINK(Common_InputFunctions.Utility_SourceHyperlink($D$20),$D$20)</f>
        <v>M1_Table_MN_j_m-4</v>
      </c>
    </row>
    <row r="14" spans="1:23" ht="20.100000000000001" customHeight="1" x14ac:dyDescent="0.25">
      <c r="A14" s="5" t="str">
        <f>HYPERLINK("#'Input - Dairy cattle purchases'!A1", "Dairy cattle purchases")</f>
        <v>Dairy cattle purchases</v>
      </c>
      <c r="D14" s="120" t="str">
        <v>FracWET_i</v>
      </c>
      <c r="E14" s="125" t="str">
        <v>fraction of N that is available for leaching and runoff from the leaching zone z and irrigation type ir</v>
      </c>
      <c r="F14" s="133"/>
      <c r="G14" s="126"/>
      <c r="H14" s="120" t="str">
        <v>fraction</v>
      </c>
      <c r="I14" s="128" t="str">
        <v>Constant</v>
      </c>
      <c r="J14" s="120">
        <f>Common_InputFunctions.CommonCropping_GetFracWET(J16,J18,Table_SourceData_FracWET[Is in leaching zone],Table_SourceData_FracWET[FracWET],Table_SourceData_FracWETIrrigation[Irrigation type i],Table_SourceData_FracWETIrrigation[FracWET])</f>
        <v>1</v>
      </c>
    </row>
    <row r="15" spans="1:23" ht="20.100000000000001" customHeight="1" x14ac:dyDescent="0.25">
      <c r="A15" s="5" t="str">
        <f>HYPERLINK("#'Input - Pasture'!A1", "Pasture")</f>
        <v>Pasture</v>
      </c>
      <c r="D15" s="120" t="str">
        <v>FracLEACH_MS</v>
      </c>
      <c r="E15" s="125" t="str">
        <v>fraction of N that is lost through leaching and runoff</v>
      </c>
      <c r="F15" s="133"/>
      <c r="G15" s="126"/>
      <c r="H15" s="120" t="str">
        <v>fraction</v>
      </c>
      <c r="I15" s="128" t="str">
        <v>Constant</v>
      </c>
      <c r="J15" s="120">
        <f>SourceData_Dairy_FractionOfNitrogenLostThroughLeachingAndRunoffSolidStorage_Data</f>
        <v>0.02</v>
      </c>
    </row>
    <row r="16" spans="1:23" ht="20.100000000000001" customHeight="1" x14ac:dyDescent="0.25">
      <c r="A16" s="5" t="str">
        <f>HYPERLINK("#'Input - Fert Prod System'!A1", "Fert Prod System")</f>
        <v>Fert Prod System</v>
      </c>
      <c r="D16" s="120" t="str">
        <v>z</v>
      </c>
      <c r="E16" s="125" t="str">
        <v>location in leaching zone</v>
      </c>
      <c r="F16" s="133"/>
      <c r="G16" s="126"/>
      <c r="H16" s="120" t="str">
        <v/>
      </c>
      <c r="I16" s="121" t="str">
        <v>Input</v>
      </c>
      <c r="J16" s="120" t="str">
        <f>X_Cell_Site_LeachingZone</f>
        <v>NO - Not in leaching zone</v>
      </c>
    </row>
    <row r="17" spans="1:22" ht="20.100000000000001" customHeight="1" x14ac:dyDescent="0.25">
      <c r="A17" s="5" t="str">
        <f>HYPERLINK("#'Input - Fertiliser'!A1", "Fertiliser")</f>
        <v>Fertiliser</v>
      </c>
      <c r="D17" s="120" t="str">
        <v>j</v>
      </c>
      <c r="E17" s="125" t="str">
        <v>production system</v>
      </c>
      <c r="F17" s="133"/>
      <c r="G17" s="126"/>
      <c r="H17" s="120" t="str">
        <v/>
      </c>
      <c r="I17" s="121" t="str">
        <v>Input</v>
      </c>
      <c r="J17" s="120" t="str">
        <f>X_Cell_Dairy_ManureAppliedProductionSystem</f>
        <v>Pasture</v>
      </c>
    </row>
    <row r="18" spans="1:22" ht="20.100000000000001" customHeight="1" x14ac:dyDescent="0.25">
      <c r="A18" s="5" t="str">
        <f>HYPERLINK("#'Input - Fuel'!A1", "Fuel")</f>
        <v>Fuel</v>
      </c>
      <c r="D18" s="120" t="str">
        <v>ir</v>
      </c>
      <c r="E18" s="125" t="str">
        <v>irrigation method</v>
      </c>
      <c r="F18" s="133"/>
      <c r="G18" s="126"/>
      <c r="H18" s="120" t="str">
        <v/>
      </c>
      <c r="I18" s="121" t="str">
        <v>Input</v>
      </c>
      <c r="J18" s="120" t="str">
        <f>X_Cell_Dairy_ManureAppliedIrrigationMethod</f>
        <v>Sprinkler irrigation</v>
      </c>
    </row>
    <row r="19" spans="1:22" ht="20.100000000000001" customHeight="1" x14ac:dyDescent="0.25">
      <c r="A19" s="5" t="str">
        <f>HYPERLINK("#'Input - Electricity'!A1", "Electricity")</f>
        <v>Electricity</v>
      </c>
    </row>
    <row r="20" spans="1:22" ht="20.100000000000001" customHeight="1" x14ac:dyDescent="0.25">
      <c r="A20" s="5" t="str">
        <f>HYPERLINK("#'Input - Farm Inputs'!A1", "Farm Inputs")</f>
        <v>Farm Inputs</v>
      </c>
      <c r="D20" s="122" t="s">
        <v>425</v>
      </c>
      <c r="O20" s="122" t="s">
        <v>426</v>
      </c>
    </row>
    <row r="21" spans="1:22" ht="20.100000000000001" customHeight="1" x14ac:dyDescent="0.25">
      <c r="A21" s="5" t="str">
        <f>HYPERLINK("#'Input - Freight'!A1", "Freight")</f>
        <v>Freight</v>
      </c>
      <c r="D21" s="123" t="s">
        <v>427</v>
      </c>
      <c r="O21" s="123" t="s">
        <v>428</v>
      </c>
    </row>
    <row r="22" spans="1:22" ht="20.100000000000001" customHeight="1" x14ac:dyDescent="0.25">
      <c r="A22" s="5" t="str">
        <f>HYPERLINK("#'Input - Manure sent off-site'!A1", "Manure sent off-site")</f>
        <v>Manure sent off-site</v>
      </c>
      <c r="D22" s="124" t="s">
        <v>168</v>
      </c>
      <c r="E22" s="124" t="s">
        <v>307</v>
      </c>
      <c r="F22" s="124" t="s">
        <v>213</v>
      </c>
      <c r="G22" s="124" t="s">
        <v>214</v>
      </c>
      <c r="H22" s="124" t="s">
        <v>215</v>
      </c>
      <c r="I22" s="124" t="s">
        <v>216</v>
      </c>
      <c r="J22" s="124" t="s">
        <v>217</v>
      </c>
      <c r="O22" s="124" t="s">
        <v>168</v>
      </c>
      <c r="P22" s="124" t="s">
        <v>307</v>
      </c>
      <c r="Q22" s="124" t="s">
        <v>213</v>
      </c>
      <c r="R22" s="124" t="s">
        <v>214</v>
      </c>
      <c r="S22" s="124" t="s">
        <v>215</v>
      </c>
      <c r="T22" s="124" t="s">
        <v>216</v>
      </c>
      <c r="U22" s="124" t="s">
        <v>217</v>
      </c>
    </row>
    <row r="23" spans="1:22" ht="20.100000000000001" customHeight="1" x14ac:dyDescent="0.25">
      <c r="A23" s="5" t="str">
        <f>HYPERLINK("#'Input - Solid waste'!A1", "Solid waste")</f>
        <v>Solid waste</v>
      </c>
      <c r="D23" s="25" t="str">
        <f>INDEX(X_Table_Dairy_ProductionSystems_Method1,3,1)</f>
        <v>Milking shed</v>
      </c>
      <c r="E23" s="25" t="s">
        <v>76</v>
      </c>
      <c r="F23" s="25">
        <f>INDEX(M1_Table_MN_j_m,5,3)</f>
        <v>798.49211369493332</v>
      </c>
      <c r="G23" s="25">
        <f>INDEX(M1_Table_MN_j_m,5,4)</f>
        <v>364.71580535564152</v>
      </c>
      <c r="H23" s="25">
        <f>INDEX(M1_Table_MN_j_m,5,5)</f>
        <v>145.26244824768682</v>
      </c>
      <c r="I23" s="25">
        <f>INDEX(M1_Table_MN_j_m,5,6)</f>
        <v>458.46219147973682</v>
      </c>
      <c r="J23" s="25">
        <f>INDEX(M1_Table_MN_j_m,5,7)</f>
        <v>191.92571415811079</v>
      </c>
      <c r="K23" s="26" t="str">
        <f>$H$13</f>
        <v>kg N</v>
      </c>
      <c r="O23" s="25" t="str">
        <f>INDEX(X_Table_Dairy_ProductionSystems_Method1,3,1)</f>
        <v>Milking shed</v>
      </c>
      <c r="P23" s="25" t="s">
        <v>76</v>
      </c>
      <c r="Q23" s="25">
        <f>INDEX(M2_Table_MN_j_m,5,3)</f>
        <v>798.49211369493332</v>
      </c>
      <c r="R23" s="25">
        <f>INDEX(M2_Table_MN_j_m,5,4)</f>
        <v>364.71580535564152</v>
      </c>
      <c r="S23" s="25">
        <f>INDEX(M2_Table_MN_j_m,5,5)</f>
        <v>145.26244824768682</v>
      </c>
      <c r="T23" s="25">
        <f>INDEX(M2_Table_MN_j_m,5,6)</f>
        <v>458.46219147973682</v>
      </c>
      <c r="U23" s="25">
        <f>INDEX(M2_Table_MN_j_m,5,7)</f>
        <v>191.92571415811079</v>
      </c>
      <c r="V23" s="26" t="str">
        <f>$H$13</f>
        <v>kg N</v>
      </c>
    </row>
    <row r="24" spans="1:22" ht="20.100000000000001" customHeight="1" x14ac:dyDescent="0.25">
      <c r="A24" s="5" t="str">
        <f>HYPERLINK("#'Input - Data quality'!A1", "Data quality")</f>
        <v>Data quality</v>
      </c>
      <c r="D24" s="25" t="str">
        <f>INDEX(X_Table_Dairy_ProductionSystems_Method1,4,1)</f>
        <v>Feed pad</v>
      </c>
      <c r="E24" s="25" t="s">
        <v>76</v>
      </c>
      <c r="F24" s="25">
        <f>INDEX(M1_Table_MN_j_m,9,3)</f>
        <v>2261.1844855997429</v>
      </c>
      <c r="G24" s="25">
        <f>INDEX(M1_Table_MN_j_m,9,4)</f>
        <v>1032.8088488025667</v>
      </c>
      <c r="H24" s="25">
        <f>INDEX(M1_Table_MN_j_m,9,5)</f>
        <v>411.35684208322226</v>
      </c>
      <c r="I24" s="25">
        <f>INDEX(M1_Table_MN_j_m,9,6)</f>
        <v>1298.2815695085274</v>
      </c>
      <c r="J24" s="25">
        <f>INDEX(M1_Table_MN_j_m,9,7)</f>
        <v>543.49872691137739</v>
      </c>
      <c r="K24" s="26"/>
      <c r="O24" s="25" t="str">
        <f>INDEX(X_Table_Dairy_ProductionSystems_Method1,4,1)</f>
        <v>Feed pad</v>
      </c>
      <c r="P24" s="25" t="s">
        <v>76</v>
      </c>
      <c r="Q24" s="25">
        <f>INDEX(M2_Table_MN_j_m,9,3)</f>
        <v>2261.1844855997429</v>
      </c>
      <c r="R24" s="25">
        <f>INDEX(M2_Table_MN_j_m,9,4)</f>
        <v>1032.8088488025667</v>
      </c>
      <c r="S24" s="25">
        <f>INDEX(M2_Table_MN_j_m,9,5)</f>
        <v>411.35684208322226</v>
      </c>
      <c r="T24" s="25">
        <f>INDEX(M2_Table_MN_j_m,9,6)</f>
        <v>1298.2815695085274</v>
      </c>
      <c r="U24" s="25">
        <f>INDEX(M2_Table_MN_j_m,9,7)</f>
        <v>543.49872691137739</v>
      </c>
      <c r="V24" s="26"/>
    </row>
    <row r="25" spans="1:22" ht="20.100000000000001" customHeight="1" x14ac:dyDescent="0.25"/>
    <row r="26" spans="1:22" ht="20.100000000000001" customHeight="1" x14ac:dyDescent="0.25">
      <c r="D26" s="122" t="s">
        <v>429</v>
      </c>
      <c r="O26" s="122" t="s">
        <v>430</v>
      </c>
    </row>
    <row r="27" spans="1:22" ht="20.100000000000001" customHeight="1" x14ac:dyDescent="0.25">
      <c r="A27" s="6" t="s">
        <v>2</v>
      </c>
      <c r="D27" s="123" t="s">
        <v>431</v>
      </c>
      <c r="O27" s="123" t="s">
        <v>432</v>
      </c>
    </row>
    <row r="28" spans="1:22" ht="20.100000000000001" customHeight="1" x14ac:dyDescent="0.25">
      <c r="A28" s="5" t="str">
        <f>HYPERLINK("#'5.1.1.1-2 Inorganic fert N2O'!A1", "5.1.1.1-2 Inorganic fert N2O")</f>
        <v>5.1.1.1-2 Inorganic fert N2O</v>
      </c>
      <c r="D28" s="124" t="s">
        <v>168</v>
      </c>
      <c r="E28" s="124" t="s">
        <v>307</v>
      </c>
      <c r="F28" s="124" t="s">
        <v>213</v>
      </c>
      <c r="G28" s="124" t="s">
        <v>214</v>
      </c>
      <c r="H28" s="124" t="s">
        <v>215</v>
      </c>
      <c r="I28" s="124" t="s">
        <v>216</v>
      </c>
      <c r="J28" s="124" t="s">
        <v>217</v>
      </c>
      <c r="O28" s="124" t="s">
        <v>168</v>
      </c>
      <c r="P28" s="124" t="s">
        <v>307</v>
      </c>
      <c r="Q28" s="124" t="s">
        <v>213</v>
      </c>
      <c r="R28" s="124" t="s">
        <v>214</v>
      </c>
      <c r="S28" s="124" t="s">
        <v>215</v>
      </c>
      <c r="T28" s="124" t="s">
        <v>216</v>
      </c>
      <c r="U28" s="124" t="s">
        <v>217</v>
      </c>
    </row>
    <row r="29" spans="1:22" ht="20.100000000000001" customHeight="1" x14ac:dyDescent="0.25">
      <c r="A29" s="5" t="str">
        <f>HYPERLINK("#'5.1.1.3-4 Inorganic fert CO2'!A1", "5.1.1.3-4 Inorganic fert CO2")</f>
        <v>5.1.1.3-4 Inorganic fert CO2</v>
      </c>
      <c r="D29" s="25" t="str">
        <f>INDEX(X_Table_Dairy_ProductionSystems_Method1,3,1)</f>
        <v>Milking shed</v>
      </c>
      <c r="E29" s="25" t="s">
        <v>76</v>
      </c>
      <c r="F29" s="25" cm="1">
        <f t="array" ref="F29">MMS_Dairy_LeachingAndRunoff_Equations.VEERG_4_3_1_6__2_MassOfNitrogenLostToLeachingAndRunoffFromSolidStorage(F23,$J$14,$J$15)</f>
        <v>15.969842273898667</v>
      </c>
      <c r="G29" s="25" cm="1">
        <f t="array" ref="G29">MMS_Dairy_LeachingAndRunoff_Equations.VEERG_4_3_1_6__2_MassOfNitrogenLostToLeachingAndRunoffFromSolidStorage(G23,$J$14,$J$15)</f>
        <v>7.2943161071128308</v>
      </c>
      <c r="H29" s="25" cm="1">
        <f t="array" ref="H29">MMS_Dairy_LeachingAndRunoff_Equations.VEERG_4_3_1_6__2_MassOfNitrogenLostToLeachingAndRunoffFromSolidStorage(H23,$J$14,$J$15)</f>
        <v>2.9052489649537363</v>
      </c>
      <c r="I29" s="25" cm="1">
        <f t="array" ref="I29">MMS_Dairy_LeachingAndRunoff_Equations.VEERG_4_3_1_6__2_MassOfNitrogenLostToLeachingAndRunoffFromSolidStorage(I23,$J$14,$J$15)</f>
        <v>9.1692438295947358</v>
      </c>
      <c r="J29" s="25" cm="1">
        <f t="array" ref="J29">MMS_Dairy_LeachingAndRunoff_Equations.VEERG_4_3_1_6__2_MassOfNitrogenLostToLeachingAndRunoffFromSolidStorage(J23,$J$14,$J$15)</f>
        <v>3.8385142831622159</v>
      </c>
      <c r="K29" s="26" t="str">
        <f>$E$11</f>
        <v>kg N</v>
      </c>
      <c r="O29" s="25" t="str">
        <f>INDEX(X_Table_Dairy_ProductionSystems_Method1,3,1)</f>
        <v>Milking shed</v>
      </c>
      <c r="P29" s="25" t="s">
        <v>76</v>
      </c>
      <c r="Q29" s="25" cm="1">
        <f t="array" ref="Q29">MMS_Dairy_LeachingAndRunoff_Equations.VEERG_4_3_1_6__2_MassOfNitrogenLostToLeachingAndRunoffFromSolidStorage(Q23,$J$14,$J$15)</f>
        <v>15.969842273898667</v>
      </c>
      <c r="R29" s="25" cm="1">
        <f t="array" ref="R29">MMS_Dairy_LeachingAndRunoff_Equations.VEERG_4_3_1_6__2_MassOfNitrogenLostToLeachingAndRunoffFromSolidStorage(R23,$J$14,$J$15)</f>
        <v>7.2943161071128308</v>
      </c>
      <c r="S29" s="25" cm="1">
        <f t="array" ref="S29">MMS_Dairy_LeachingAndRunoff_Equations.VEERG_4_3_1_6__2_MassOfNitrogenLostToLeachingAndRunoffFromSolidStorage(S23,$J$14,$J$15)</f>
        <v>2.9052489649537363</v>
      </c>
      <c r="T29" s="25" cm="1">
        <f t="array" ref="T29">MMS_Dairy_LeachingAndRunoff_Equations.VEERG_4_3_1_6__2_MassOfNitrogenLostToLeachingAndRunoffFromSolidStorage(T23,$J$14,$J$15)</f>
        <v>9.1692438295947358</v>
      </c>
      <c r="U29" s="25" cm="1">
        <f t="array" ref="U29">MMS_Dairy_LeachingAndRunoff_Equations.VEERG_4_3_1_6__2_MassOfNitrogenLostToLeachingAndRunoffFromSolidStorage(U23,$J$14,$J$15)</f>
        <v>3.8385142831622159</v>
      </c>
      <c r="V29" s="26" t="str">
        <f>$E$11</f>
        <v>kg N</v>
      </c>
    </row>
    <row r="30" spans="1:22" ht="20.100000000000001" customHeight="1" x14ac:dyDescent="0.25">
      <c r="A30" s="5" t="str">
        <f>HYPERLINK("#'5.2.1.1-2 Organic Fert N2O'!A1", "5.2.1.1-2 Organic fert N2O")</f>
        <v>5.2.1.1-2 Organic fert N2O</v>
      </c>
      <c r="D30" s="25" t="str">
        <f>INDEX(X_Table_Dairy_ProductionSystems_Method1,4,1)</f>
        <v>Feed pad</v>
      </c>
      <c r="E30" s="25" t="s">
        <v>76</v>
      </c>
      <c r="F30" s="25" cm="1">
        <f t="array" ref="F30">MMS_Dairy_LeachingAndRunoff_Equations.VEERG_4_3_1_6__2_MassOfNitrogenLostToLeachingAndRunoffFromSolidStorage(F24,$J$14,$J$15)</f>
        <v>45.223689711994858</v>
      </c>
      <c r="G30" s="25" cm="1">
        <f t="array" ref="G30">MMS_Dairy_LeachingAndRunoff_Equations.VEERG_4_3_1_6__2_MassOfNitrogenLostToLeachingAndRunoffFromSolidStorage(G24,$J$14,$J$15)</f>
        <v>20.656176976051334</v>
      </c>
      <c r="H30" s="25" cm="1">
        <f t="array" ref="H30">MMS_Dairy_LeachingAndRunoff_Equations.VEERG_4_3_1_6__2_MassOfNitrogenLostToLeachingAndRunoffFromSolidStorage(H24,$J$14,$J$15)</f>
        <v>8.2271368416644446</v>
      </c>
      <c r="I30" s="25" cm="1">
        <f t="array" ref="I30">MMS_Dairy_LeachingAndRunoff_Equations.VEERG_4_3_1_6__2_MassOfNitrogenLostToLeachingAndRunoffFromSolidStorage(I24,$J$14,$J$15)</f>
        <v>25.965631390170547</v>
      </c>
      <c r="J30" s="25" cm="1">
        <f t="array" ref="J30">MMS_Dairy_LeachingAndRunoff_Equations.VEERG_4_3_1_6__2_MassOfNitrogenLostToLeachingAndRunoffFromSolidStorage(J24,$J$14,$J$15)</f>
        <v>10.869974538227549</v>
      </c>
      <c r="K30" s="26"/>
      <c r="O30" s="25" t="str">
        <f>INDEX(X_Table_Dairy_ProductionSystems_Method1,4,1)</f>
        <v>Feed pad</v>
      </c>
      <c r="P30" s="25" t="s">
        <v>76</v>
      </c>
      <c r="Q30" s="25" cm="1">
        <f t="array" ref="Q30">MMS_Dairy_LeachingAndRunoff_Equations.VEERG_4_3_1_6__2_MassOfNitrogenLostToLeachingAndRunoffFromSolidStorage(Q24,$J$14,$J$15)</f>
        <v>45.223689711994858</v>
      </c>
      <c r="R30" s="25" cm="1">
        <f t="array" ref="R30">MMS_Dairy_LeachingAndRunoff_Equations.VEERG_4_3_1_6__2_MassOfNitrogenLostToLeachingAndRunoffFromSolidStorage(R24,$J$14,$J$15)</f>
        <v>20.656176976051334</v>
      </c>
      <c r="S30" s="25" cm="1">
        <f t="array" ref="S30">MMS_Dairy_LeachingAndRunoff_Equations.VEERG_4_3_1_6__2_MassOfNitrogenLostToLeachingAndRunoffFromSolidStorage(S24,$J$14,$J$15)</f>
        <v>8.2271368416644446</v>
      </c>
      <c r="T30" s="25" cm="1">
        <f t="array" ref="T30">MMS_Dairy_LeachingAndRunoff_Equations.VEERG_4_3_1_6__2_MassOfNitrogenLostToLeachingAndRunoffFromSolidStorage(T24,$J$14,$J$15)</f>
        <v>25.965631390170547</v>
      </c>
      <c r="U30" s="25" cm="1">
        <f t="array" ref="U30">MMS_Dairy_LeachingAndRunoff_Equations.VEERG_4_3_1_6__2_MassOfNitrogenLostToLeachingAndRunoffFromSolidStorage(U24,$J$14,$J$15)</f>
        <v>10.869974538227549</v>
      </c>
      <c r="V30" s="26"/>
    </row>
    <row r="31" spans="1:22" ht="20.100000000000001" customHeight="1" x14ac:dyDescent="0.25">
      <c r="A31" s="5" t="str">
        <f>HYPERLINK("#'5.3.1.1-2 Lime CO2'!A1", "5.3.1.1-2 Lime CO2")</f>
        <v>5.3.1.1-2 Lime CO2</v>
      </c>
    </row>
    <row r="32" spans="1:22" ht="20.100000000000001" customHeight="1" x14ac:dyDescent="0.25">
      <c r="A32" s="5" t="str">
        <f>HYPERLINK("#'5.4.1.1-4 Atmos deposition'!A1", "5.4.1.1-4 Atmos. deposition")</f>
        <v>5.4.1.1-4 Atmos. deposition</v>
      </c>
    </row>
    <row r="33" spans="1:23" ht="20.100000000000001" customHeight="1" x14ac:dyDescent="0.25">
      <c r="A33" s="5" t="str">
        <f>HYPERLINK("#'5.5.1.1-2 Leaching and runoff'!A1", "5.5.1.1-2 Leaching &amp; runoff")</f>
        <v>5.5.1.1-2 Leaching &amp; runoff</v>
      </c>
      <c r="C33" s="101"/>
      <c r="D33" s="101"/>
      <c r="E33" s="101"/>
      <c r="F33" s="101"/>
      <c r="G33" s="101"/>
      <c r="H33" s="101"/>
      <c r="I33" s="101"/>
      <c r="J33" s="101"/>
      <c r="K33" s="101"/>
      <c r="L33" s="101"/>
      <c r="N33" s="101"/>
      <c r="O33" s="101"/>
      <c r="P33" s="101"/>
      <c r="Q33" s="101"/>
      <c r="R33" s="101"/>
      <c r="S33" s="101"/>
      <c r="T33" s="101"/>
      <c r="U33" s="101"/>
      <c r="V33" s="101"/>
      <c r="W33" s="101"/>
    </row>
    <row r="34" spans="1:23" ht="20.100000000000001" customHeight="1" x14ac:dyDescent="0.25">
      <c r="A34" s="5" t="str">
        <f>HYPERLINK("#'6.2.1.1-2 Pasture residue N2O'!A1", "6.2.1.1-2 Pasture residue N2O")</f>
        <v>6.2.1.1-2 Pasture residue N2O</v>
      </c>
      <c r="D34" s="2" t="str" cm="1">
        <f t="array" ref="D34">MMS_Dairy_LeachingAndRunoff_Equations.VEERG_4_3_1_6__1_AnnualEmissionsFromLeachingAndRunoffFromMMS_Title()</f>
        <v>Annual emissions from leaching and runoff from each MMS</v>
      </c>
    </row>
    <row r="35" spans="1:23" ht="20.100000000000001" customHeight="1" x14ac:dyDescent="0.25">
      <c r="A35" s="5" t="str">
        <f>HYPERLINK("#'6.3.1.1-2 Leach runoff pasture'!A1", "6.3.1.1-2 Leach &amp; runoff (pasture)")</f>
        <v>6.3.1.1-2 Leach &amp; runoff (pasture)</v>
      </c>
      <c r="D35" s="27" t="str" cm="1">
        <f t="array" ref="D35">MMS_Dairy_LeachingAndRunoff_Equations.VEERG_4_3_1_6__1_AnnualEmissionsFromLeachingAndRunoffFromMMS_Source()</f>
        <v>VEERG 2026: 4.3.1.6, Equation (1)</v>
      </c>
    </row>
    <row r="36" spans="1:23" ht="20.100000000000001" customHeight="1" x14ac:dyDescent="0.25">
      <c r="A36" s="5" t="str">
        <f>HYPERLINK("#'8.1.1.1-2 Transport fuel'!A1", "8.1.1.1-2 Transport fuel")</f>
        <v>8.1.1.1-2 Transport fuel</v>
      </c>
      <c r="D36" s="118" t="s">
        <v>262</v>
      </c>
      <c r="E36" s="118" t="str" cm="1">
        <f t="array" aca="1" ref="E36" ca="1">Common_InputFunctions.Utility_DisplayFunctionName(J49)</f>
        <v>=MMS_Dairy_LeachingAndRunoff_Equations.VEERG_4_3_1_6__1_AnnualEmissionsFromLeachingAndRunoffFromMMS</v>
      </c>
    </row>
    <row r="37" spans="1:23" ht="20.100000000000001" customHeight="1" x14ac:dyDescent="0.25">
      <c r="A37" s="5" t="str">
        <f>HYPERLINK("#'8.2.1.1-2 Stationary fuel'!A1", "8.2.1.1-2 Stationary fuel")</f>
        <v>8.2.1.1-2 Stationary fuel</v>
      </c>
    </row>
    <row r="38" spans="1:23" ht="20.100000000000001" customHeight="1" x14ac:dyDescent="0.25">
      <c r="A38" s="5" t="str">
        <f>HYPERLINK("#'14.1.1-2 Purchased electricity'!A1", "14.1.1-2 Purchased electricity")</f>
        <v>14.1.1-2 Purchased electricity</v>
      </c>
      <c r="D38" s="2"/>
    </row>
    <row r="39" spans="1:23" ht="20.100000000000001" customHeight="1" x14ac:dyDescent="0.25">
      <c r="A39" s="5" t="str">
        <f>HYPERLINK("#'15 Scope 3'!A1", "15 Scope 3")</f>
        <v>15 Scope 3</v>
      </c>
      <c r="D39" s="87" t="s">
        <v>263</v>
      </c>
      <c r="E39" s="1" t="str" cm="1">
        <f t="array" ref="E39">MMS_Dairy_LeachingAndRunoff_Equations.VEERG_4_3_1_6__1_AnnualEmissionsFromLeachingAndRunoffFromMMS_Variable()</f>
        <v>E_N2Oleach</v>
      </c>
    </row>
    <row r="40" spans="1:23" ht="20.100000000000001" customHeight="1" x14ac:dyDescent="0.25">
      <c r="A40" s="5" t="str">
        <f>HYPERLINK("#'Calcs - Manure sent off-site'!A1", "Calcs - Manure sent off-site")</f>
        <v>Calcs - Manure sent off-site</v>
      </c>
      <c r="D40" s="87" t="s">
        <v>122</v>
      </c>
      <c r="E40" s="15" t="str" cm="1">
        <f t="array" ref="E40">MMS_Dairy_LeachingAndRunoff_Equations.VEERG_4_3_1_6__1_AnnualEmissionsFromLeachingAndRunoffFromMMS_Unit()</f>
        <v>t N2O</v>
      </c>
    </row>
    <row r="41" spans="1:23" ht="20.100000000000001" customHeight="1" x14ac:dyDescent="0.25">
      <c r="A41" s="5" t="str">
        <f>HYPERLINK("#'4.3.1.1-2 Methane'!A1", "4.3.1.1-2 Methane")</f>
        <v>4.3.1.1-2 Methane</v>
      </c>
    </row>
    <row r="42" spans="1:23" ht="20.100000000000001" customHeight="1" x14ac:dyDescent="0.25">
      <c r="A42" s="5" t="str">
        <f>HYPERLINK("#'4.3.1.3-4 Direct N20'!A1", "4.3.1.3-4 Direct N20")</f>
        <v>4.3.1.3-4 Direct N20</v>
      </c>
      <c r="D42" s="120" t="str" cm="1">
        <f t="array" ref="D42:E44">_xlfn.CHOOSECOLS(MMS_Dairy_LeachingAndRunoff_Equations.VEERG_4_3_1_6__1_AnnualEmissionsFromLeachingAndRunoffFromMMS_Arguments(),1,2)</f>
        <v>MNLeach_jm</v>
      </c>
      <c r="E42" s="125" t="str">
        <v>mass of N lost through leaching and runoff</v>
      </c>
      <c r="F42" s="126"/>
      <c r="G42" s="120" t="str" cm="1">
        <f t="array" ref="G42:H44">_xlfn.CHOOSECOLS(MMS_Dairy_LeachingAndRunoff_Equations.VEERG_4_3_1_6__1_AnnualEmissionsFromLeachingAndRunoffFromMMS_Arguments(),3,4)</f>
        <v>kg N</v>
      </c>
      <c r="H42" s="128" t="str">
        <v>Calculated from 4.3.1.6 (2)</v>
      </c>
      <c r="I42" s="127" t="str" cm="1">
        <f t="array" aca="1" ref="I42" ca="1">HYPERLINK(Common_InputFunctions.Utility_SourceHyperlink($D$26),$D$26)</f>
        <v>M1_Table_MN_leach_j_m-4</v>
      </c>
    </row>
    <row r="43" spans="1:23" ht="20.100000000000001" customHeight="1" x14ac:dyDescent="0.25">
      <c r="A43" s="5" t="str">
        <f>HYPERLINK("#'4.3.1.5 Atmos deposition'!A1", "4.3.1.5 Atmos deposition")</f>
        <v>4.3.1.5 Atmos deposition</v>
      </c>
      <c r="D43" s="120" t="str">
        <v>EF_leach</v>
      </c>
      <c r="E43" s="125" t="str">
        <v>nitrous oxide emission factor for leaching and runoff</v>
      </c>
      <c r="F43" s="126"/>
      <c r="G43" s="120" t="str">
        <v>kg N2O-N/kg N</v>
      </c>
      <c r="H43" s="128" t="str">
        <v>Constant</v>
      </c>
      <c r="I43" s="120">
        <f>SourceData_Dairy_EmissionFactorForLeachingAndRunoff_Data</f>
        <v>1.0999999999999999E-2</v>
      </c>
    </row>
    <row r="44" spans="1:23" ht="20.100000000000001" customHeight="1" x14ac:dyDescent="0.25">
      <c r="A44" s="119" t="str">
        <f>HYPERLINK("#'4.3.1.6-7 Leaching and runoff'!A1", "4.3.1.6-7 Leaching and runoff")</f>
        <v>4.3.1.6-7 Leaching and runoff</v>
      </c>
      <c r="D44" s="120" t="str">
        <v>C_N2O</v>
      </c>
      <c r="E44" s="125" t="str">
        <v>factor to convert elemental mass of N2O to molecular mass</v>
      </c>
      <c r="F44" s="126"/>
      <c r="G44" s="120" t="str">
        <v/>
      </c>
      <c r="H44" s="128" t="str">
        <v>Constant</v>
      </c>
      <c r="I44" s="120">
        <f>Common_InputFunctions.Utility_LookupValueInTableNumber("N2O",Table_GasToMolecularConversionFactor[Gas],Table_GasToMolecularConversionFactor[Conversion factor combined])</f>
        <v>1.5714285714285714</v>
      </c>
    </row>
    <row r="45" spans="1:23" ht="20.100000000000001" customHeight="1" x14ac:dyDescent="0.25">
      <c r="A45" s="5" t="str">
        <f>HYPERLINK("#'4.3.1.8 Manure applied to soils'!A1", "4.3.1.8 Manure applied to soils")</f>
        <v>4.3.1.8 Manure applied to soils</v>
      </c>
    </row>
    <row r="46" spans="1:23" ht="20.100000000000001" customHeight="1" x14ac:dyDescent="0.25">
      <c r="A46" s="5" t="str">
        <f>HYPERLINK("#'4.3.1.9 Soil direct N2O'!A1", "4.3.1.9 Soil direct N2O")</f>
        <v>4.3.1.9 Soil direct N2O</v>
      </c>
      <c r="D46" s="122" t="s">
        <v>433</v>
      </c>
      <c r="O46" s="122" t="s">
        <v>434</v>
      </c>
    </row>
    <row r="47" spans="1:23" ht="20.100000000000001" customHeight="1" x14ac:dyDescent="0.25">
      <c r="A47" s="5" t="str">
        <f>HYPERLINK("#'4.3.1.10-11 Soil Atmos Dep'!A1", "4.3.1.10-11 Soil Atmos Dep")</f>
        <v>4.3.1.10-11 Soil Atmos Dep</v>
      </c>
      <c r="D47" s="123" t="s">
        <v>435</v>
      </c>
      <c r="O47" s="123" t="s">
        <v>436</v>
      </c>
    </row>
    <row r="48" spans="1:23" ht="20.100000000000001" customHeight="1" x14ac:dyDescent="0.25">
      <c r="A48" s="5" t="str">
        <f>HYPERLINK("#'4.3.1.12-13 Soil leach runoff'!A1", "4.3.1.12-13 Soil leach runoff")</f>
        <v>4.3.1.12-13 Soil leach runoff</v>
      </c>
      <c r="D48" s="124" t="s">
        <v>168</v>
      </c>
      <c r="E48" s="124" t="s">
        <v>307</v>
      </c>
      <c r="F48" s="124" t="s">
        <v>213</v>
      </c>
      <c r="G48" s="124" t="s">
        <v>214</v>
      </c>
      <c r="H48" s="124" t="s">
        <v>215</v>
      </c>
      <c r="I48" s="124" t="s">
        <v>216</v>
      </c>
      <c r="J48" s="124" t="s">
        <v>217</v>
      </c>
      <c r="O48" s="124" t="s">
        <v>168</v>
      </c>
      <c r="P48" s="124" t="s">
        <v>307</v>
      </c>
      <c r="Q48" s="124" t="s">
        <v>213</v>
      </c>
      <c r="R48" s="124" t="s">
        <v>214</v>
      </c>
      <c r="S48" s="124" t="s">
        <v>215</v>
      </c>
      <c r="T48" s="124" t="s">
        <v>216</v>
      </c>
      <c r="U48" s="124" t="s">
        <v>217</v>
      </c>
    </row>
    <row r="49" spans="1:22" ht="20.100000000000001" customHeight="1" x14ac:dyDescent="0.25">
      <c r="A49" s="5" t="str">
        <f>HYPERLINK("#'3.3.1.1-2 Enteric Methane'!A1", "3.3.1.1-2 Enteric Methane")</f>
        <v>3.3.1.1-2 Enteric Methane</v>
      </c>
      <c r="D49" s="25" t="str">
        <f>INDEX(X_Table_Dairy_ProductionSystems_Method1,3,1)</f>
        <v>Milking shed</v>
      </c>
      <c r="E49" s="25" t="s">
        <v>76</v>
      </c>
      <c r="F49" s="25" cm="1">
        <f t="array" ref="F49">MMS_Dairy_LeachingAndRunoff_Equations.VEERG_4_3_1_6__1_AnnualEmissionsFromLeachingAndRunoffFromMMS(F29,$I$43,$I$44)</f>
        <v>2.7605013073453405E-4</v>
      </c>
      <c r="G49" s="25" cm="1">
        <f t="array" ref="G49">MMS_Dairy_LeachingAndRunoff_Equations.VEERG_4_3_1_6__1_AnnualEmissionsFromLeachingAndRunoffFromMMS(G29,$I$43,$I$44)</f>
        <v>1.2608746413723606E-4</v>
      </c>
      <c r="H49" s="25" cm="1">
        <f t="array" ref="H49">MMS_Dairy_LeachingAndRunoff_Equations.VEERG_4_3_1_6__1_AnnualEmissionsFromLeachingAndRunoffFromMMS(H29,$I$43,$I$44)</f>
        <v>5.0219303537057436E-5</v>
      </c>
      <c r="I49" s="25" cm="1">
        <f t="array" ref="I49">MMS_Dairy_LeachingAndRunoff_Equations.VEERG_4_3_1_6__1_AnnualEmissionsFromLeachingAndRunoffFromMMS(I29,$I$43,$I$44)</f>
        <v>1.5849692905442329E-4</v>
      </c>
      <c r="J49" s="25" cm="1">
        <f t="array" ref="J49">MMS_Dairy_LeachingAndRunoff_Equations.VEERG_4_3_1_6__1_AnnualEmissionsFromLeachingAndRunoffFromMMS(J29,$I$43,$I$44)</f>
        <v>6.6351461180375439E-5</v>
      </c>
      <c r="K49" s="26" t="str">
        <f>$E$40</f>
        <v>t N2O</v>
      </c>
      <c r="O49" s="25" t="str">
        <f>INDEX(X_Table_Dairy_ProductionSystems_Method1,3,1)</f>
        <v>Milking shed</v>
      </c>
      <c r="P49" s="25" t="s">
        <v>76</v>
      </c>
      <c r="Q49" s="25" cm="1">
        <f t="array" ref="Q49">MMS_Dairy_LeachingAndRunoff_Equations.VEERG_4_3_1_6__1_AnnualEmissionsFromLeachingAndRunoffFromMMS(Q29,$I$43,$I$44)</f>
        <v>2.7605013073453405E-4</v>
      </c>
      <c r="R49" s="25" cm="1">
        <f t="array" ref="R49">MMS_Dairy_LeachingAndRunoff_Equations.VEERG_4_3_1_6__1_AnnualEmissionsFromLeachingAndRunoffFromMMS(R29,$I$43,$I$44)</f>
        <v>1.2608746413723606E-4</v>
      </c>
      <c r="S49" s="25" cm="1">
        <f t="array" ref="S49">MMS_Dairy_LeachingAndRunoff_Equations.VEERG_4_3_1_6__1_AnnualEmissionsFromLeachingAndRunoffFromMMS(S29,$I$43,$I$44)</f>
        <v>5.0219303537057436E-5</v>
      </c>
      <c r="T49" s="25" cm="1">
        <f t="array" ref="T49">MMS_Dairy_LeachingAndRunoff_Equations.VEERG_4_3_1_6__1_AnnualEmissionsFromLeachingAndRunoffFromMMS(T29,$I$43,$I$44)</f>
        <v>1.5849692905442329E-4</v>
      </c>
      <c r="U49" s="25" cm="1">
        <f t="array" ref="U49">MMS_Dairy_LeachingAndRunoff_Equations.VEERG_4_3_1_6__1_AnnualEmissionsFromLeachingAndRunoffFromMMS(U29,$I$43,$I$44)</f>
        <v>6.6351461180375439E-5</v>
      </c>
      <c r="V49" s="26" t="str">
        <f>$E$40</f>
        <v>t N2O</v>
      </c>
    </row>
    <row r="50" spans="1:22" ht="20.100000000000001" customHeight="1" x14ac:dyDescent="0.25">
      <c r="A50" s="5" t="str">
        <f>HYPERLINK("#'10.1.1-2 Solid waste treatment'!A1", "10.1.1-2 Solid waste treatment")</f>
        <v>10.1.1-2 Solid waste treatment</v>
      </c>
      <c r="D50" s="25" t="str">
        <f>INDEX(X_Table_Dairy_ProductionSystems_Method1,4,1)</f>
        <v>Feed pad</v>
      </c>
      <c r="E50" s="25" t="s">
        <v>76</v>
      </c>
      <c r="F50" s="25" cm="1">
        <f t="array" ref="F50">MMS_Dairy_LeachingAndRunoff_Equations.VEERG_4_3_1_6__1_AnnualEmissionsFromLeachingAndRunoffFromMMS(F30,$I$43,$I$44)</f>
        <v>7.8172377930733959E-4</v>
      </c>
      <c r="G50" s="25" cm="1">
        <f t="array" ref="G50">MMS_Dairy_LeachingAndRunoff_Equations.VEERG_4_3_1_6__1_AnnualEmissionsFromLeachingAndRunoffFromMMS(G30,$I$43,$I$44)</f>
        <v>3.5705677344317308E-4</v>
      </c>
      <c r="H50" s="25" cm="1">
        <f t="array" ref="H50">MMS_Dairy_LeachingAndRunoff_Equations.VEERG_4_3_1_6__1_AnnualEmissionsFromLeachingAndRunoffFromMMS(H30,$I$43,$I$44)</f>
        <v>1.4221193683448539E-4</v>
      </c>
      <c r="I50" s="25" cm="1">
        <f t="array" ref="I50">MMS_Dairy_LeachingAndRunoff_Equations.VEERG_4_3_1_6__1_AnnualEmissionsFromLeachingAndRunoffFromMMS(I30,$I$43,$I$44)</f>
        <v>4.4883448545866232E-4</v>
      </c>
      <c r="J50" s="25" cm="1">
        <f t="array" ref="J50">MMS_Dairy_LeachingAndRunoff_Equations.VEERG_4_3_1_6__1_AnnualEmissionsFromLeachingAndRunoffFromMMS(J30,$I$43,$I$44)</f>
        <v>1.8789527416079047E-4</v>
      </c>
      <c r="K50" s="26"/>
      <c r="O50" s="25" t="str">
        <f>INDEX(X_Table_Dairy_ProductionSystems_Method1,4,1)</f>
        <v>Feed pad</v>
      </c>
      <c r="P50" s="25" t="s">
        <v>76</v>
      </c>
      <c r="Q50" s="25" cm="1">
        <f t="array" ref="Q50">MMS_Dairy_LeachingAndRunoff_Equations.VEERG_4_3_1_6__1_AnnualEmissionsFromLeachingAndRunoffFromMMS(Q30,$I$43,$I$44)</f>
        <v>7.8172377930733959E-4</v>
      </c>
      <c r="R50" s="25" cm="1">
        <f t="array" ref="R50">MMS_Dairy_LeachingAndRunoff_Equations.VEERG_4_3_1_6__1_AnnualEmissionsFromLeachingAndRunoffFromMMS(R30,$I$43,$I$44)</f>
        <v>3.5705677344317308E-4</v>
      </c>
      <c r="S50" s="25" cm="1">
        <f t="array" ref="S50">MMS_Dairy_LeachingAndRunoff_Equations.VEERG_4_3_1_6__1_AnnualEmissionsFromLeachingAndRunoffFromMMS(S30,$I$43,$I$44)</f>
        <v>1.4221193683448539E-4</v>
      </c>
      <c r="T50" s="25" cm="1">
        <f t="array" ref="T50">MMS_Dairy_LeachingAndRunoff_Equations.VEERG_4_3_1_6__1_AnnualEmissionsFromLeachingAndRunoffFromMMS(T30,$I$43,$I$44)</f>
        <v>4.4883448545866232E-4</v>
      </c>
      <c r="U50" s="25" cm="1">
        <f t="array" ref="U50">MMS_Dairy_LeachingAndRunoff_Equations.VEERG_4_3_1_6__1_AnnualEmissionsFromLeachingAndRunoffFromMMS(U30,$I$43,$I$44)</f>
        <v>1.8789527416079047E-4</v>
      </c>
      <c r="V50" s="26"/>
    </row>
    <row r="51" spans="1:22" ht="20.100000000000001" customHeight="1" x14ac:dyDescent="0.25"/>
    <row r="52" spans="1:22" ht="20.100000000000001" customHeight="1" x14ac:dyDescent="0.25">
      <c r="D52" s="135" t="s">
        <v>423</v>
      </c>
      <c r="E52" s="136">
        <f>SUM(F49:J50)</f>
        <v>2.5949275378480772E-3</v>
      </c>
      <c r="F52" s="137" t="str">
        <f>$E$40</f>
        <v>t N2O</v>
      </c>
      <c r="O52" s="135" t="s">
        <v>423</v>
      </c>
      <c r="P52" s="136">
        <f>SUM(Q49:U50)</f>
        <v>2.5949275378480772E-3</v>
      </c>
      <c r="Q52" s="137" t="str">
        <f>$E$40</f>
        <v>t N2O</v>
      </c>
    </row>
    <row r="53" spans="1:22" ht="20.100000000000001" customHeight="1" x14ac:dyDescent="0.25">
      <c r="A53" s="100" t="s">
        <v>1</v>
      </c>
    </row>
    <row r="54" spans="1:22" ht="20.100000000000001" customHeight="1" x14ac:dyDescent="0.25">
      <c r="A54" s="5" t="str">
        <f>HYPERLINK("#'Constants - Dairy'!A1", "Constants - Dairy")</f>
        <v>Constants - Dairy</v>
      </c>
      <c r="D54" s="132" t="str" cm="1">
        <f t="array" ref="D54:E55">Common_Equations.Common_ConvertN2OToCO2e_Arguments()</f>
        <v>EN2O</v>
      </c>
      <c r="E54" s="138" t="str">
        <v>Nitrous oxide emissions (t N2O)</v>
      </c>
      <c r="F54" s="139"/>
      <c r="G54" s="25">
        <f>VEERG_4_3_1_6__1_AnnualEmissionsFromLeachingAndRunoffFromMMS_Result_Method1</f>
        <v>2.5949275378480772E-3</v>
      </c>
      <c r="O54" s="132" t="str" cm="1">
        <f t="array" ref="O54:P55">Common_Equations.Common_ConvertN2OToCO2e_Arguments()</f>
        <v>EN2O</v>
      </c>
      <c r="P54" s="138" t="str">
        <v>Nitrous oxide emissions (t N2O)</v>
      </c>
      <c r="Q54" s="139"/>
      <c r="R54" s="25">
        <f>VEERG_4_3_1_6__1_AnnualEmissionsFromLeachingAndRunoffFromMMS_Result_Method2</f>
        <v>2.5949275378480772E-3</v>
      </c>
    </row>
    <row r="55" spans="1:22" ht="20.100000000000001" customHeight="1" x14ac:dyDescent="0.25">
      <c r="A55" s="5" t="str">
        <f>HYPERLINK("#'Constants - Ag Residue'!A1", "Constants - Ag residue")</f>
        <v>Constants - Ag residue</v>
      </c>
      <c r="D55" s="132" t="str">
        <v>GWPN2O</v>
      </c>
      <c r="E55" s="138" t="str">
        <v>Global warming potential for nitrous oxide (t CO2-e / t N2O)</v>
      </c>
      <c r="F55" s="139"/>
      <c r="G55" s="25">
        <f>Common_InputFunctions.Utility_LookupValueInTableNumber("N2O",Table_GWPData[Gas],Table_GWPData[CO2-e factor])</f>
        <v>265</v>
      </c>
      <c r="O55" s="132" t="str">
        <v>GWPN2O</v>
      </c>
      <c r="P55" s="138" t="str">
        <v>Global warming potential for nitrous oxide (t CO2-e / t N2O)</v>
      </c>
      <c r="Q55" s="139"/>
      <c r="R55" s="25">
        <f>Common_InputFunctions.Utility_LookupValueInTableNumber("N2O",Table_GWPData[Gas],Table_GWPData[CO2-e factor])</f>
        <v>265</v>
      </c>
    </row>
    <row r="56" spans="1:22" ht="20.100000000000001" customHeight="1" x14ac:dyDescent="0.25">
      <c r="A56" s="5" t="str">
        <f>HYPERLINK("#'Constants - Common Livestock'!A1", "Constants - Common Livestock")</f>
        <v>Constants - Common Livestock</v>
      </c>
    </row>
    <row r="57" spans="1:22" ht="20.100000000000001" customHeight="1" x14ac:dyDescent="0.25">
      <c r="A57" s="5" t="str">
        <f>HYPERLINK("#'Constants - Electricity'!A1", "Constants - Electricity")</f>
        <v>Constants - Electricity</v>
      </c>
      <c r="D57" s="101" t="s">
        <v>412</v>
      </c>
      <c r="E57" s="101" cm="1">
        <f t="array" ref="E57">Common_Equations.Common_ConvertN2OToCO2e(G54,G55)</f>
        <v>0.68765579752974049</v>
      </c>
      <c r="F57" s="140" t="str" cm="1">
        <f t="array" ref="F57">Common_Equations.Common_ConvertN2OToCO2e_Unit()</f>
        <v>t CO2e</v>
      </c>
      <c r="O57" s="101" t="s">
        <v>412</v>
      </c>
      <c r="P57" s="101" cm="1">
        <f t="array" ref="P57">Common_Equations.Common_ConvertN2OToCO2e(R54,R55)</f>
        <v>0.68765579752974049</v>
      </c>
      <c r="Q57" s="140" t="str" cm="1">
        <f t="array" ref="Q57">Common_Equations.Common_ConvertN2OToCO2e_Unit()</f>
        <v>t CO2e</v>
      </c>
    </row>
    <row r="58" spans="1:22" ht="20.100000000000001" customHeight="1" x14ac:dyDescent="0.25">
      <c r="A58" s="5" t="str">
        <f>HYPERLINK("#'Constants - Fertiliser'!A1", "Constants - Fertiliser")</f>
        <v>Constants - Fertiliser</v>
      </c>
    </row>
    <row r="59" spans="1:22" ht="20.100000000000001" customHeight="1" x14ac:dyDescent="0.25">
      <c r="A59" s="5" t="str">
        <f>HYPERLINK("#'Constants - Fuel'!A1", "Constants - Fuel")</f>
        <v>Constants - Fuel</v>
      </c>
    </row>
    <row r="60" spans="1:22" ht="20.100000000000001" customHeight="1" x14ac:dyDescent="0.25">
      <c r="A60" s="5" t="str">
        <f>HYPERLINK("#'Constants - Scope 3'!A1", "Constants - Scope 3")</f>
        <v>Constants - Scope 3</v>
      </c>
    </row>
    <row r="61" spans="1:22" ht="20.100000000000001" customHeight="1" x14ac:dyDescent="0.25">
      <c r="A61" s="5" t="str">
        <f>HYPERLINK("#'Constants - Common'!A1", "Constants - Common")</f>
        <v>Constants - Common</v>
      </c>
    </row>
    <row r="62" spans="1:22" ht="20.100000000000001" customHeight="1" x14ac:dyDescent="0.25">
      <c r="A62" s="5" t="str">
        <f>HYPERLINK("#'Acknowledgements'!A1", "Acknowledgements")</f>
        <v>Acknowledgements</v>
      </c>
    </row>
    <row r="63" spans="1:22" ht="20.100000000000001" customHeight="1" x14ac:dyDescent="0.25">
      <c r="A63" s="5" t="str">
        <f>HYPERLINK("#'Constants - Solid Waste'!A1", "Constants - Solid Waste")</f>
        <v>Constants - Solid Waste</v>
      </c>
    </row>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E1009858-CAEC-4E7E-AE4D-3CEB1E917E40}"/>
  </dataValidation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C85CA-1C0B-4E32-AEF5-66B4B5B4AF26}">
  <dimension ref="A1:W207"/>
  <sheetViews>
    <sheetView showGridLines="0" topLeftCell="B101"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44" customWidth="1"/>
    <col min="14" max="14" width="4.7109375" style="1" customWidth="1"/>
    <col min="15" max="22" width="30.7109375" style="1" customWidth="1"/>
    <col min="23" max="23" width="4.7109375" style="1" customWidth="1"/>
  </cols>
  <sheetData>
    <row r="1" spans="1:23" s="30" customFormat="1" ht="30" customHeight="1" x14ac:dyDescent="0.35">
      <c r="A1" s="16" t="e" vm="1">
        <v>#VALUE!</v>
      </c>
      <c r="C1" s="30" t="s">
        <v>437</v>
      </c>
      <c r="M1" s="144"/>
    </row>
    <row r="2" spans="1:23" s="3" customFormat="1" ht="20.100000000000001" customHeight="1" x14ac:dyDescent="0.25">
      <c r="A2"/>
      <c r="M2" s="144"/>
    </row>
    <row r="3" spans="1:23" ht="20.100000000000001" customHeight="1" x14ac:dyDescent="0.25">
      <c r="A3" s="5" t="str">
        <f>HYPERLINK("#'Home'!A1", "Home")</f>
        <v>Home</v>
      </c>
      <c r="C3" s="32"/>
      <c r="D3" s="32" t="s">
        <v>136</v>
      </c>
      <c r="E3" s="32"/>
      <c r="F3" s="32"/>
      <c r="G3" s="32"/>
      <c r="H3" s="32"/>
      <c r="I3" s="32"/>
      <c r="J3" s="32"/>
      <c r="K3" s="32"/>
      <c r="L3" s="32"/>
      <c r="N3" s="32"/>
      <c r="O3" s="32" t="s">
        <v>137</v>
      </c>
      <c r="P3" s="32"/>
      <c r="Q3" s="32"/>
      <c r="R3" s="32"/>
      <c r="S3" s="32"/>
      <c r="T3" s="32"/>
      <c r="U3" s="32"/>
      <c r="V3" s="32"/>
      <c r="W3" s="32"/>
    </row>
    <row r="4" spans="1:23" ht="20.100000000000001" customHeight="1" x14ac:dyDescent="0.25">
      <c r="A4" s="5" t="str">
        <f>HYPERLINK("#'Overview'!A1", "Overview")</f>
        <v>Overview</v>
      </c>
    </row>
    <row r="5" spans="1:23" ht="20.100000000000001" customHeight="1" x14ac:dyDescent="0.25">
      <c r="A5" s="5" t="str">
        <f>HYPERLINK("#'Results'!A1", "Results")</f>
        <v>Results</v>
      </c>
      <c r="D5" s="2" t="str" cm="1">
        <f t="array" ref="D5">MMS_Dairy_ManureAppliedToSoils_Equations.VEERG_4_3_1_8__1_MassOfNitrogenAppliedToSoilsScope1_Title()</f>
        <v>Mass of nitrogen from manure applied to soils for scope 1 emissions</v>
      </c>
    </row>
    <row r="6" spans="1:23" ht="20.100000000000001" customHeight="1" x14ac:dyDescent="0.25">
      <c r="D6" s="27" t="str" cm="1">
        <f t="array" ref="D6">MMS_Dairy_ManureAppliedToSoils_Equations.VEERG_4_3_1_8__1_MassOfNitrogenAppliedToSoilsScope1_Source()</f>
        <v>VEERG 2026: 4.3.1.8, Equation (1)</v>
      </c>
    </row>
    <row r="7" spans="1:23" ht="20.100000000000001" customHeight="1" x14ac:dyDescent="0.25">
      <c r="D7" s="118" t="s">
        <v>262</v>
      </c>
      <c r="E7" s="118" t="str" cm="1">
        <f t="array" aca="1" ref="E7" ca="1">Common_InputFunctions.Utility_DisplayFunctionName($F$76)</f>
        <v>=MMS_Dairy_ManureAppliedToSoils_Equations.VEERG_4_3_1_8__1_MassOfNitrogenAppliedToSoilsScope1</v>
      </c>
    </row>
    <row r="8" spans="1:23" ht="20.100000000000001" customHeight="1" x14ac:dyDescent="0.25">
      <c r="A8" s="7" t="s">
        <v>0</v>
      </c>
    </row>
    <row r="9" spans="1:23" ht="20.100000000000001" customHeight="1" x14ac:dyDescent="0.25">
      <c r="A9" s="5" t="str">
        <f>HYPERLINK("#'Input - Enterprise'!A1", "Enterprise")</f>
        <v>Enterprise</v>
      </c>
    </row>
    <row r="10" spans="1:23" ht="20.100000000000001" customHeight="1" x14ac:dyDescent="0.25">
      <c r="A10" s="5" t="str">
        <f>HYPERLINK("#'Input - Site'!A1", "Site")</f>
        <v>Site</v>
      </c>
      <c r="D10" s="87" t="s">
        <v>263</v>
      </c>
      <c r="E10" s="1" t="str" cm="1">
        <f t="array" ref="E10">MMS_Dairy_ManureAppliedToSoils_Equations.VEERG_4_3_1_8__1_MassOfNitrogenAppliedToSoilsScope1_Variable()</f>
        <v>MNSoil_scope1</v>
      </c>
    </row>
    <row r="11" spans="1:23" ht="20.100000000000001" customHeight="1" x14ac:dyDescent="0.25">
      <c r="A11" s="5" t="str">
        <f>HYPERLINK("#'Input - Dairy'!A1", "Dairy")</f>
        <v>Dairy</v>
      </c>
      <c r="D11" s="87" t="s">
        <v>122</v>
      </c>
      <c r="E11" s="15" t="str" cm="1">
        <f t="array" ref="E11">MMS_Dairy_ManureAppliedToSoils_Equations.VEERG_4_3_1_8__1_MassOfNitrogenAppliedToSoilsScope1_Unit()</f>
        <v>kg N</v>
      </c>
    </row>
    <row r="12" spans="1:23" ht="20.100000000000001" customHeight="1" x14ac:dyDescent="0.25">
      <c r="A12" s="5" t="str">
        <f>HYPERLINK("#'Input - Dairy (Enteric)'!A1", "Dairy (Enteric)")</f>
        <v>Dairy (Enteric)</v>
      </c>
    </row>
    <row r="13" spans="1:23" ht="20.100000000000001" customHeight="1" x14ac:dyDescent="0.25">
      <c r="A13" s="5" t="str">
        <f>HYPERLINK("#'Input - Livestock sales'!A1", "Livestock sales")</f>
        <v>Livestock sales</v>
      </c>
      <c r="D13" s="120" t="str" cm="1">
        <f t="array" ref="D13:E17">_xlfn.CHOOSECOLS(MMS_Dairy_ManureAppliedToSoils_Equations.VEERG_4_3_1_8__1_MassOfNitrogenAppliedToSoilsScope1_Arguments(),1,2)</f>
        <v>MN_jm</v>
      </c>
      <c r="E13" s="125" t="str">
        <v>total nitrogen in each MMS for dairy cattle classes</v>
      </c>
      <c r="F13" s="126"/>
      <c r="G13" s="120" t="str" cm="1">
        <f t="array" ref="G13:H17">_xlfn.CHOOSECOLS(MMS_Dairy_ManureAppliedToSoils_Equations.VEERG_4_3_1_8__1_MassOfNitrogenAppliedToSoilsScope1_Arguments(),3,4)</f>
        <v>kg N</v>
      </c>
      <c r="H13" s="128" t="str">
        <v>Calculated from 4.3.1.3 (2)</v>
      </c>
      <c r="I13" s="127" t="str" cm="1">
        <f t="array" aca="1" ref="I13" ca="1">HYPERLINK(Common_InputFunctions.Utility_SourceHyperlink($D$37),$D$37)</f>
        <v>M1_Table_MN_j_m</v>
      </c>
    </row>
    <row r="14" spans="1:23" ht="20.100000000000001" customHeight="1" x14ac:dyDescent="0.25">
      <c r="A14" s="5" t="str">
        <f>HYPERLINK("#'Input - Dairy cattle purchases'!A1", "Dairy cattle purchases")</f>
        <v>Dairy cattle purchases</v>
      </c>
      <c r="D14" s="120" t="str">
        <v>EF_m</v>
      </c>
      <c r="E14" s="125" t="str">
        <v>emission factor for nitrous oxide emissions per MMS</v>
      </c>
      <c r="F14" s="126"/>
      <c r="G14" s="120" t="str">
        <v>kg N2O-N/kg N</v>
      </c>
      <c r="H14" s="128" t="str">
        <v>Constant</v>
      </c>
      <c r="I14" s="127" t="str" cm="1">
        <f t="array" aca="1" ref="I14" ca="1">HYPERLINK(Common_InputFunctions.Utility_SourceHyperlink($D$19),$D$19)</f>
        <v>Table_EF_m</v>
      </c>
    </row>
    <row r="15" spans="1:23" ht="20.100000000000001" customHeight="1" x14ac:dyDescent="0.25">
      <c r="A15" s="5" t="str">
        <f>HYPERLINK("#'Input - Pasture'!A1", "Pasture")</f>
        <v>Pasture</v>
      </c>
      <c r="D15" s="120" t="str">
        <v>FracGASM_m</v>
      </c>
      <c r="E15" s="125" t="str">
        <v>fraction of N volatilised from MMS</v>
      </c>
      <c r="F15" s="126"/>
      <c r="G15" s="120" t="str">
        <v>fraction</v>
      </c>
      <c r="H15" s="128" t="str">
        <v>Constant</v>
      </c>
      <c r="I15" s="127" t="str" cm="1">
        <f t="array" aca="1" ref="I15" ca="1">HYPERLINK(Common_InputFunctions.Utility_SourceHyperlink($D$28),$D$28)</f>
        <v>Table_FracGASM_m</v>
      </c>
    </row>
    <row r="16" spans="1:23" ht="20.100000000000001" customHeight="1" x14ac:dyDescent="0.25">
      <c r="A16" s="5" t="str">
        <f>HYPERLINK("#'Input - Fert Prod System'!A1", "Fert Prod System")</f>
        <v>Fert Prod System</v>
      </c>
      <c r="D16" s="120" t="str">
        <v>MNLeach_jm</v>
      </c>
      <c r="E16" s="125" t="str">
        <v>mass of N lost through leaching and runoff from each MMS</v>
      </c>
      <c r="F16" s="126"/>
      <c r="G16" s="120" t="str">
        <v>kg N</v>
      </c>
      <c r="H16" s="128" t="str">
        <v>Calculated from 4.3.1.6 (2)</v>
      </c>
      <c r="I16" s="127" t="str" cm="1">
        <f t="array" aca="1" ref="I16" ca="1">HYPERLINK(Common_InputFunctions.Utility_SourceHyperlink($D$49),$D$49)</f>
        <v>M1_Table_MN_leach_j_m</v>
      </c>
    </row>
    <row r="17" spans="1:9" ht="20.100000000000001" customHeight="1" x14ac:dyDescent="0.25">
      <c r="A17" s="5" t="str">
        <f>HYPERLINK("#'Input - Fertiliser'!A1", "Fertiliser")</f>
        <v>Fertiliser</v>
      </c>
      <c r="D17" s="120" t="str">
        <v>PF_scope</v>
      </c>
      <c r="E17" s="125" t="str">
        <v>fraction of manure applied to soil within farm boundary</v>
      </c>
      <c r="F17" s="126"/>
      <c r="G17" s="120" t="str">
        <v>fraction</v>
      </c>
      <c r="H17" s="121" t="str">
        <v>Input</v>
      </c>
      <c r="I17" s="127" t="str" cm="1">
        <f t="array" aca="1" ref="I17" ca="1">HYPERLINK(Common_InputFunctions.Utility_SourceHyperlink($D$61),$D$61)</f>
        <v>Table_PF_scope</v>
      </c>
    </row>
    <row r="18" spans="1:9" ht="20.100000000000001" customHeight="1" x14ac:dyDescent="0.25">
      <c r="A18" s="5" t="str">
        <f>HYPERLINK("#'Input - Fuel'!A1", "Fuel")</f>
        <v>Fuel</v>
      </c>
    </row>
    <row r="19" spans="1:9" ht="20.100000000000001" customHeight="1" x14ac:dyDescent="0.25">
      <c r="A19" s="5" t="str">
        <f>HYPERLINK("#'Input - Electricity'!A1", "Electricity")</f>
        <v>Electricity</v>
      </c>
      <c r="D19" s="122" t="s">
        <v>404</v>
      </c>
    </row>
    <row r="20" spans="1:9" ht="20.100000000000001" customHeight="1" x14ac:dyDescent="0.25">
      <c r="A20" s="5" t="str">
        <f>HYPERLINK("#'Input - Farm Inputs'!A1", "Farm Inputs")</f>
        <v>Farm Inputs</v>
      </c>
      <c r="D20" s="123" t="s">
        <v>405</v>
      </c>
    </row>
    <row r="21" spans="1:9" ht="20.100000000000001" customHeight="1" x14ac:dyDescent="0.25">
      <c r="A21" s="5" t="str">
        <f>HYPERLINK("#'Input - Freight'!A1", "Freight")</f>
        <v>Freight</v>
      </c>
      <c r="D21" s="124" t="s">
        <v>307</v>
      </c>
      <c r="E21" s="124" t="s">
        <v>406</v>
      </c>
    </row>
    <row r="22" spans="1:9" ht="20.100000000000001" customHeight="1" x14ac:dyDescent="0.25">
      <c r="A22" s="5" t="str">
        <f>HYPERLINK("#'Input - Manure sent off-site'!A1", "Manure sent off-site")</f>
        <v>Manure sent off-site</v>
      </c>
      <c r="D22" s="25" t="str" cm="1">
        <f t="array" ref="D22:D26">Table_SourceData_Dairy_EFmFracGASM[NIR reference]</f>
        <v>Pasture range and paddock</v>
      </c>
      <c r="E22" s="25" cm="1">
        <f t="array" ref="E22:E26">Table_SourceData_Dairy_EFmFracGASM[EFm]</f>
        <v>0</v>
      </c>
    </row>
    <row r="23" spans="1:9" ht="20.100000000000001" customHeight="1" x14ac:dyDescent="0.25">
      <c r="A23" s="5" t="str">
        <f>HYPERLINK("#'Input - Solid waste'!A1", "Solid waste")</f>
        <v>Solid waste</v>
      </c>
      <c r="D23" s="25" t="str">
        <v>Anaerobic lagoon</v>
      </c>
      <c r="E23" s="25">
        <v>0</v>
      </c>
    </row>
    <row r="24" spans="1:9" ht="20.100000000000001" customHeight="1" x14ac:dyDescent="0.25">
      <c r="A24" s="5" t="str">
        <f>HYPERLINK("#'Input - Data quality'!A1", "Data quality")</f>
        <v>Data quality</v>
      </c>
      <c r="D24" s="25" t="str">
        <v>Sump and dispersal system</v>
      </c>
      <c r="E24" s="25">
        <v>0</v>
      </c>
    </row>
    <row r="25" spans="1:9" ht="20.100000000000001" customHeight="1" x14ac:dyDescent="0.25">
      <c r="D25" s="25" t="str">
        <v>Drains to paddock</v>
      </c>
      <c r="E25" s="25">
        <v>0</v>
      </c>
    </row>
    <row r="26" spans="1:9" ht="20.100000000000001" customHeight="1" x14ac:dyDescent="0.25">
      <c r="D26" s="25" t="str">
        <v>Solid storage</v>
      </c>
      <c r="E26" s="25">
        <v>5.0000000000000001E-3</v>
      </c>
    </row>
    <row r="27" spans="1:9" ht="20.100000000000001" customHeight="1" x14ac:dyDescent="0.25">
      <c r="A27" s="6" t="s">
        <v>2</v>
      </c>
    </row>
    <row r="28" spans="1:9" ht="20.100000000000001" customHeight="1" x14ac:dyDescent="0.25">
      <c r="A28" s="5" t="str">
        <f>HYPERLINK("#'5.1.1.1-2 Inorganic fert N2O'!A1", "5.1.1.1-2 Inorganic fert N2O")</f>
        <v>5.1.1.1-2 Inorganic fert N2O</v>
      </c>
      <c r="D28" s="122" t="s">
        <v>414</v>
      </c>
    </row>
    <row r="29" spans="1:9" ht="20.100000000000001" customHeight="1" x14ac:dyDescent="0.25">
      <c r="A29" s="5" t="str">
        <f>HYPERLINK("#'5.1.1.3-4 Inorganic fert CO2'!A1", "5.1.1.3-4 Inorganic fert CO2")</f>
        <v>5.1.1.3-4 Inorganic fert CO2</v>
      </c>
      <c r="D29" s="123" t="s">
        <v>415</v>
      </c>
    </row>
    <row r="30" spans="1:9" ht="20.100000000000001" customHeight="1" x14ac:dyDescent="0.25">
      <c r="A30" s="5" t="str">
        <f>HYPERLINK("#'5.2.1.1-2 Organic Fert N2O'!A1", "5.2.1.1-2 Organic fert N2O")</f>
        <v>5.2.1.1-2 Organic fert N2O</v>
      </c>
      <c r="D30" s="124" t="s">
        <v>307</v>
      </c>
      <c r="E30" s="124" t="s">
        <v>416</v>
      </c>
    </row>
    <row r="31" spans="1:9" ht="20.100000000000001" customHeight="1" x14ac:dyDescent="0.25">
      <c r="A31" s="5" t="str">
        <f>HYPERLINK("#'5.3.1.1-2 Lime CO2'!A1", "5.3.1.1-2 Lime CO2")</f>
        <v>5.3.1.1-2 Lime CO2</v>
      </c>
      <c r="D31" s="25" t="str" cm="1">
        <f t="array" ref="D31:D35">Table_SourceData_Dairy_EFmFracGASM[NIR reference]</f>
        <v>Pasture range and paddock</v>
      </c>
      <c r="E31" s="25" cm="1">
        <f t="array" ref="E31:E35">Table_SourceData_Dairy_EFmFracGASM[FracGASMm]</f>
        <v>0</v>
      </c>
      <c r="F31" s="26" t="str">
        <f>'Constants - Dairy'!$D$84</f>
        <v>kg N2O-N/kg N excreted</v>
      </c>
    </row>
    <row r="32" spans="1:9" ht="20.100000000000001" customHeight="1" x14ac:dyDescent="0.25">
      <c r="A32" s="5" t="str">
        <f>HYPERLINK("#'5.4.1.1-4 Atmos deposition'!A1", "5.4.1.1-4 Atmos. deposition")</f>
        <v>5.4.1.1-4 Atmos. deposition</v>
      </c>
      <c r="D32" s="25" t="str">
        <v>Anaerobic lagoon</v>
      </c>
      <c r="E32" s="25">
        <v>0.35</v>
      </c>
      <c r="F32" s="26" t="str">
        <f>'Constants - Dairy'!$D$84</f>
        <v>kg N2O-N/kg N excreted</v>
      </c>
    </row>
    <row r="33" spans="1:22" ht="20.100000000000001" customHeight="1" x14ac:dyDescent="0.25">
      <c r="A33" s="5" t="str">
        <f>HYPERLINK("#'5.5.1.1-2 Leaching and runoff'!A1", "5.5.1.1-2 Leaching &amp; runoff")</f>
        <v>5.5.1.1-2 Leaching &amp; runoff</v>
      </c>
      <c r="D33" s="25" t="str">
        <v>Sump and dispersal system</v>
      </c>
      <c r="E33" s="25">
        <v>7.0000000000000007E-2</v>
      </c>
      <c r="F33" s="26" t="str">
        <f>'Constants - Dairy'!$D$84</f>
        <v>kg N2O-N/kg N excreted</v>
      </c>
    </row>
    <row r="34" spans="1:22" ht="20.100000000000001" customHeight="1" x14ac:dyDescent="0.25">
      <c r="A34" s="5" t="str">
        <f>HYPERLINK("#'6.2.1.1-2 Pasture residue N2O'!A1", "6.2.1.1-2 Pasture residue N2O")</f>
        <v>6.2.1.1-2 Pasture residue N2O</v>
      </c>
      <c r="D34" s="25" t="str">
        <v>Drains to paddock</v>
      </c>
      <c r="E34" s="25">
        <v>0.2</v>
      </c>
      <c r="F34" s="26" t="str">
        <f>'Constants - Dairy'!$D$84</f>
        <v>kg N2O-N/kg N excreted</v>
      </c>
    </row>
    <row r="35" spans="1:22" ht="20.100000000000001" customHeight="1" x14ac:dyDescent="0.25">
      <c r="A35" s="5" t="str">
        <f>HYPERLINK("#'6.3.1.1-2 Leach runoff pasture'!A1", "6.3.1.1-2 Leach &amp; runoff (pasture)")</f>
        <v>6.3.1.1-2 Leach &amp; runoff (pasture)</v>
      </c>
      <c r="D35" s="25" t="str">
        <v>Solid storage</v>
      </c>
      <c r="E35" s="25">
        <v>0.3</v>
      </c>
      <c r="F35" s="26" t="str">
        <f>'Constants - Dairy'!$D$84</f>
        <v>kg N2O-N/kg N excreted</v>
      </c>
    </row>
    <row r="36" spans="1:22" ht="20.100000000000001" customHeight="1" x14ac:dyDescent="0.25">
      <c r="A36" s="5" t="str">
        <f>HYPERLINK("#'8.1.1.1-2 Transport fuel'!A1", "8.1.1.1-2 Transport fuel")</f>
        <v>8.1.1.1-2 Transport fuel</v>
      </c>
    </row>
    <row r="37" spans="1:22" ht="20.100000000000001" customHeight="1" x14ac:dyDescent="0.25">
      <c r="A37" s="5" t="str">
        <f>HYPERLINK("#'8.2.1.1-2 Stationary fuel'!A1", "8.2.1.1-2 Stationary fuel")</f>
        <v>8.2.1.1-2 Stationary fuel</v>
      </c>
      <c r="D37" s="122" t="s">
        <v>400</v>
      </c>
      <c r="M37"/>
      <c r="O37" s="122" t="s">
        <v>401</v>
      </c>
    </row>
    <row r="38" spans="1:22" ht="20.100000000000001" customHeight="1" x14ac:dyDescent="0.25">
      <c r="A38" s="5" t="str">
        <f>HYPERLINK("#'14.1.1-2 Purchased electricity'!A1", "14.1.1-2 Purchased electricity")</f>
        <v>14.1.1-2 Purchased electricity</v>
      </c>
      <c r="D38" s="123" t="s">
        <v>402</v>
      </c>
      <c r="M38"/>
      <c r="O38" s="123" t="s">
        <v>403</v>
      </c>
    </row>
    <row r="39" spans="1:22" ht="20.100000000000001" customHeight="1" x14ac:dyDescent="0.25">
      <c r="A39" s="5" t="str">
        <f>HYPERLINK("#'15 Scope 3'!A1", "15 Scope 3")</f>
        <v>15 Scope 3</v>
      </c>
      <c r="D39" s="124" t="s">
        <v>168</v>
      </c>
      <c r="E39" s="124" t="s">
        <v>307</v>
      </c>
      <c r="F39" s="124" t="s">
        <v>213</v>
      </c>
      <c r="G39" s="124" t="s">
        <v>214</v>
      </c>
      <c r="H39" s="124" t="s">
        <v>215</v>
      </c>
      <c r="I39" s="124" t="s">
        <v>216</v>
      </c>
      <c r="J39" s="124" t="s">
        <v>217</v>
      </c>
      <c r="M39"/>
      <c r="O39" s="124" t="s">
        <v>168</v>
      </c>
      <c r="P39" s="124" t="s">
        <v>307</v>
      </c>
      <c r="Q39" s="124" t="s">
        <v>213</v>
      </c>
      <c r="R39" s="124" t="s">
        <v>214</v>
      </c>
      <c r="S39" s="124" t="s">
        <v>215</v>
      </c>
      <c r="T39" s="124" t="s">
        <v>216</v>
      </c>
      <c r="U39" s="124" t="s">
        <v>217</v>
      </c>
    </row>
    <row r="40" spans="1:22" ht="20.100000000000001" customHeight="1" x14ac:dyDescent="0.25">
      <c r="A40" s="5" t="str">
        <f>HYPERLINK("#'Calcs - Manure sent off-site'!A1", "Calcs - Manure sent off-site")</f>
        <v>Calcs - Manure sent off-site</v>
      </c>
      <c r="D40" s="25" t="str">
        <f>INDEX(X_Table_Dairy_ProductionSystems_Method1,3,1)</f>
        <v>Milking shed</v>
      </c>
      <c r="E40" s="25" t="str">
        <f>INDEX(X_Table_Dairy_Stage1MMS_1_AnaerobicLagoon,2,1)</f>
        <v>Anaerobic lagoon</v>
      </c>
      <c r="F40" s="25">
        <f>INDEX(M1_Table_MN_j_m,2,3)</f>
        <v>399.24605684746678</v>
      </c>
      <c r="G40" s="25">
        <f>INDEX(M1_Table_MN_j_m,2,4)</f>
        <v>182.35790267782079</v>
      </c>
      <c r="H40" s="25">
        <f>INDEX(M1_Table_MN_j_m,2,5)</f>
        <v>72.631224123843424</v>
      </c>
      <c r="I40" s="25">
        <f>INDEX(M1_Table_MN_j_m,2,6)</f>
        <v>229.23109573986844</v>
      </c>
      <c r="J40" s="25">
        <f>INDEX(M1_Table_MN_j_m,2,7)</f>
        <v>95.962857079055411</v>
      </c>
      <c r="K40" s="26" t="str">
        <f>$G$13</f>
        <v>kg N</v>
      </c>
      <c r="M40"/>
      <c r="O40" s="25" t="str">
        <f>INDEX(X_Table_Dairy_ProductionSystems_Method1,3,1)</f>
        <v>Milking shed</v>
      </c>
      <c r="P40" s="25" t="str">
        <f>INDEX(X_Table_Dairy_Stage1MMS_1_AnaerobicLagoon,2,1)</f>
        <v>Anaerobic lagoon</v>
      </c>
      <c r="Q40" s="25">
        <f>INDEX(M2_Table_MN_j_m,2,3)</f>
        <v>399.24605684746678</v>
      </c>
      <c r="R40" s="25">
        <f>INDEX(M2_Table_MN_j_m,2,4)</f>
        <v>182.35790267782079</v>
      </c>
      <c r="S40" s="25">
        <f>INDEX(M2_Table_MN_j_m,2,5)</f>
        <v>72.631224123843424</v>
      </c>
      <c r="T40" s="25">
        <f>INDEX(M2_Table_MN_j_m,2,6)</f>
        <v>229.23109573986844</v>
      </c>
      <c r="U40" s="25">
        <f>INDEX(M2_Table_MN_j_m,2,7)</f>
        <v>95.962857079055411</v>
      </c>
      <c r="V40" s="26" t="str">
        <f>$G$13</f>
        <v>kg N</v>
      </c>
    </row>
    <row r="41" spans="1:22" ht="20.100000000000001" customHeight="1" x14ac:dyDescent="0.25">
      <c r="A41" s="5" t="str">
        <f>HYPERLINK("#'4.3.1.1-2 Methane'!A1", "4.3.1.1-2 Methane")</f>
        <v>4.3.1.1-2 Methane</v>
      </c>
      <c r="D41" s="25" t="str">
        <f>INDEX(X_Table_Dairy_ProductionSystems_Method1,3,1)</f>
        <v>Milking shed</v>
      </c>
      <c r="E41" s="25" t="str">
        <f>INDEX(X_Table_Dairy_Stage1MMS_1_SumpAndDispersal,2,1)</f>
        <v>Sump and dispersal system</v>
      </c>
      <c r="F41" s="25">
        <f>INDEX(M1_Table_MN_j_m,3,3)</f>
        <v>399.24605684746678</v>
      </c>
      <c r="G41" s="25">
        <f>INDEX(M1_Table_MN_j_m,3,4)</f>
        <v>182.35790267782079</v>
      </c>
      <c r="H41" s="25">
        <f>INDEX(M1_Table_MN_j_m,3,5)</f>
        <v>72.631224123843424</v>
      </c>
      <c r="I41" s="25">
        <f>INDEX(M1_Table_MN_j_m,3,6)</f>
        <v>229.23109573986844</v>
      </c>
      <c r="J41" s="25">
        <f>INDEX(M1_Table_MN_j_m,3,7)</f>
        <v>95.962857079055411</v>
      </c>
      <c r="K41" s="26"/>
      <c r="M41"/>
      <c r="O41" s="25" t="str">
        <f>INDEX(X_Table_Dairy_ProductionSystems_Method1,3,1)</f>
        <v>Milking shed</v>
      </c>
      <c r="P41" s="25" t="str">
        <f>INDEX(X_Table_Dairy_Stage1MMS_1_SumpAndDispersal,2,1)</f>
        <v>Sump and dispersal system</v>
      </c>
      <c r="Q41" s="25">
        <f>INDEX(M2_Table_MN_j_m,3,3)</f>
        <v>399.24605684746678</v>
      </c>
      <c r="R41" s="25">
        <f>INDEX(M2_Table_MN_j_m,3,4)</f>
        <v>182.35790267782079</v>
      </c>
      <c r="S41" s="25">
        <f>INDEX(M2_Table_MN_j_m,3,5)</f>
        <v>72.631224123843424</v>
      </c>
      <c r="T41" s="25">
        <f>INDEX(M2_Table_MN_j_m,3,6)</f>
        <v>229.23109573986844</v>
      </c>
      <c r="U41" s="25">
        <f>INDEX(M2_Table_MN_j_m,3,7)</f>
        <v>95.962857079055411</v>
      </c>
      <c r="V41" s="26"/>
    </row>
    <row r="42" spans="1:22" ht="20.100000000000001" customHeight="1" x14ac:dyDescent="0.25">
      <c r="A42" s="5" t="str">
        <f>HYPERLINK("#'4.3.1.3-4 Direct N20'!A1", "4.3.1.3-4 Direct N20")</f>
        <v>4.3.1.3-4 Direct N20</v>
      </c>
      <c r="D42" s="25" t="str">
        <f>INDEX(X_Table_Dairy_ProductionSystems_Method1,3,1)</f>
        <v>Milking shed</v>
      </c>
      <c r="E42" s="25" t="str">
        <f>INDEX(X_Table_Dairy_Stage1MMS_1_DrainsToPaddock,2,1)</f>
        <v>Drains to paddock</v>
      </c>
      <c r="F42" s="25">
        <f>INDEX(M1_Table_MN_j_m,4,3)</f>
        <v>399.24605684746678</v>
      </c>
      <c r="G42" s="25">
        <f>INDEX(M1_Table_MN_j_m,4,4)</f>
        <v>182.35790267782079</v>
      </c>
      <c r="H42" s="25">
        <f>INDEX(M1_Table_MN_j_m,4,5)</f>
        <v>72.631224123843424</v>
      </c>
      <c r="I42" s="25">
        <f>INDEX(M1_Table_MN_j_m,4,6)</f>
        <v>229.23109573986844</v>
      </c>
      <c r="J42" s="25">
        <f>INDEX(M1_Table_MN_j_m,4,7)</f>
        <v>95.962857079055411</v>
      </c>
      <c r="K42" s="26"/>
      <c r="M42"/>
      <c r="O42" s="25" t="str">
        <f>INDEX(X_Table_Dairy_ProductionSystems_Method1,3,1)</f>
        <v>Milking shed</v>
      </c>
      <c r="P42" s="25" t="str">
        <f>INDEX(X_Table_Dairy_Stage1MMS_1_DrainsToPaddock,2,1)</f>
        <v>Drains to paddock</v>
      </c>
      <c r="Q42" s="25">
        <f>INDEX(M2_Table_MN_j_m,4,3)</f>
        <v>399.24605684746678</v>
      </c>
      <c r="R42" s="25">
        <f>INDEX(M2_Table_MN_j_m,4,4)</f>
        <v>182.35790267782079</v>
      </c>
      <c r="S42" s="25">
        <f>INDEX(M2_Table_MN_j_m,4,5)</f>
        <v>72.631224123843424</v>
      </c>
      <c r="T42" s="25">
        <f>INDEX(M2_Table_MN_j_m,4,6)</f>
        <v>229.23109573986844</v>
      </c>
      <c r="U42" s="25">
        <f>INDEX(M2_Table_MN_j_m,4,7)</f>
        <v>95.962857079055411</v>
      </c>
      <c r="V42" s="26"/>
    </row>
    <row r="43" spans="1:22" ht="20.100000000000001" customHeight="1" x14ac:dyDescent="0.25">
      <c r="A43" s="5" t="str">
        <f>HYPERLINK("#'4.3.1.5 Atmos deposition'!A1", "4.3.1.5 Atmos deposition")</f>
        <v>4.3.1.5 Atmos deposition</v>
      </c>
      <c r="D43" s="25" t="str">
        <f>INDEX(X_Table_Dairy_ProductionSystems_Method1,3,1)</f>
        <v>Milking shed</v>
      </c>
      <c r="E43" s="25" t="s">
        <v>76</v>
      </c>
      <c r="F43" s="25">
        <f>INDEX(M1_Table_MN_j_m,5,3)</f>
        <v>798.49211369493332</v>
      </c>
      <c r="G43" s="25">
        <f>INDEX(M1_Table_MN_j_m,5,4)</f>
        <v>364.71580535564152</v>
      </c>
      <c r="H43" s="25">
        <f>INDEX(M1_Table_MN_j_m,5,5)</f>
        <v>145.26244824768682</v>
      </c>
      <c r="I43" s="25">
        <f>INDEX(M1_Table_MN_j_m,5,6)</f>
        <v>458.46219147973682</v>
      </c>
      <c r="J43" s="25">
        <f>INDEX(M1_Table_MN_j_m,5,7)</f>
        <v>191.92571415811079</v>
      </c>
      <c r="K43" s="26"/>
      <c r="M43"/>
      <c r="O43" s="25" t="str">
        <f>INDEX(X_Table_Dairy_ProductionSystems_Method1,3,1)</f>
        <v>Milking shed</v>
      </c>
      <c r="P43" s="25" t="s">
        <v>76</v>
      </c>
      <c r="Q43" s="25">
        <f>INDEX(M2_Table_MN_j_m,5,3)</f>
        <v>798.49211369493332</v>
      </c>
      <c r="R43" s="25">
        <f>INDEX(M2_Table_MN_j_m,5,4)</f>
        <v>364.71580535564152</v>
      </c>
      <c r="S43" s="25">
        <f>INDEX(M2_Table_MN_j_m,5,5)</f>
        <v>145.26244824768682</v>
      </c>
      <c r="T43" s="25">
        <f>INDEX(M2_Table_MN_j_m,5,6)</f>
        <v>458.46219147973682</v>
      </c>
      <c r="U43" s="25">
        <f>INDEX(M2_Table_MN_j_m,5,7)</f>
        <v>191.92571415811079</v>
      </c>
      <c r="V43" s="26"/>
    </row>
    <row r="44" spans="1:22" ht="20.100000000000001" customHeight="1" x14ac:dyDescent="0.25">
      <c r="A44" s="5" t="str">
        <f>HYPERLINK("#'4.3.1.6-7 Leaching and runoff'!A1", "4.3.1.6-7 Leaching and runoff")</f>
        <v>4.3.1.6-7 Leaching and runoff</v>
      </c>
      <c r="D44" s="25" t="str">
        <f>INDEX(X_Table_Dairy_ProductionSystems_Method1,4,1)</f>
        <v>Feed pad</v>
      </c>
      <c r="E44" s="25" t="str">
        <f>INDEX(X_Table_Dairy_Stage1MMS_2_AnaerobicLagoon,2,1)</f>
        <v>Anaerobic lagoon</v>
      </c>
      <c r="F44" s="25">
        <f>INDEX(M1_Table_MN_j_m,6,3)</f>
        <v>1615.131775428388</v>
      </c>
      <c r="G44" s="25">
        <f>INDEX(M1_Table_MN_j_m,6,4)</f>
        <v>737.72060628754764</v>
      </c>
      <c r="H44" s="25">
        <f>INDEX(M1_Table_MN_j_m,6,5)</f>
        <v>293.82631577373019</v>
      </c>
      <c r="I44" s="25">
        <f>INDEX(M1_Table_MN_j_m,6,6)</f>
        <v>927.34397822037681</v>
      </c>
      <c r="J44" s="25">
        <f>INDEX(M1_Table_MN_j_m,6,7)</f>
        <v>388.21337636526954</v>
      </c>
      <c r="K44" s="26"/>
      <c r="M44"/>
      <c r="O44" s="25" t="str">
        <f>INDEX(X_Table_Dairy_ProductionSystems_Method1,4,1)</f>
        <v>Feed pad</v>
      </c>
      <c r="P44" s="25" t="str">
        <f>INDEX(X_Table_Dairy_Stage1MMS_2_AnaerobicLagoon,2,1)</f>
        <v>Anaerobic lagoon</v>
      </c>
      <c r="Q44" s="25">
        <f>INDEX(M2_Table_MN_j_m,6,3)</f>
        <v>1615.131775428388</v>
      </c>
      <c r="R44" s="25">
        <f>INDEX(M2_Table_MN_j_m,6,4)</f>
        <v>737.72060628754764</v>
      </c>
      <c r="S44" s="25">
        <f>INDEX(M2_Table_MN_j_m,6,5)</f>
        <v>293.82631577373019</v>
      </c>
      <c r="T44" s="25">
        <f>INDEX(M2_Table_MN_j_m,6,6)</f>
        <v>927.34397822037681</v>
      </c>
      <c r="U44" s="25">
        <f>INDEX(M2_Table_MN_j_m,6,7)</f>
        <v>388.21337636526954</v>
      </c>
      <c r="V44" s="26"/>
    </row>
    <row r="45" spans="1:22" ht="20.100000000000001" customHeight="1" x14ac:dyDescent="0.25">
      <c r="A45" s="119" t="str">
        <f>HYPERLINK("#'4.3.1.8 Manure applied to soils'!A1", "4.3.1.8 Manure applied to soils")</f>
        <v>4.3.1.8 Manure applied to soils</v>
      </c>
      <c r="D45" s="25" t="str">
        <f>INDEX(X_Table_Dairy_ProductionSystems_Method1,4,1)</f>
        <v>Feed pad</v>
      </c>
      <c r="E45" s="25" t="str">
        <f>INDEX(X_Table_Dairy_Stage1MMS_2_SumpAndDispersal,2,1)</f>
        <v>Sump and dispersal system</v>
      </c>
      <c r="F45" s="25">
        <f>INDEX(M1_Table_MN_j_m,7,3)</f>
        <v>1292.1054203427104</v>
      </c>
      <c r="G45" s="25">
        <f>INDEX(M1_Table_MN_j_m,7,4)</f>
        <v>590.17648503003818</v>
      </c>
      <c r="H45" s="25">
        <f>INDEX(M1_Table_MN_j_m,7,5)</f>
        <v>235.06105261898415</v>
      </c>
      <c r="I45" s="25">
        <f>INDEX(M1_Table_MN_j_m,7,6)</f>
        <v>741.87518257630143</v>
      </c>
      <c r="J45" s="25">
        <f>INDEX(M1_Table_MN_j_m,7,7)</f>
        <v>310.57070109221564</v>
      </c>
      <c r="K45" s="26"/>
      <c r="M45"/>
      <c r="O45" s="25" t="str">
        <f>INDEX(X_Table_Dairy_ProductionSystems_Method1,4,1)</f>
        <v>Feed pad</v>
      </c>
      <c r="P45" s="25" t="str">
        <f>INDEX(X_Table_Dairy_Stage1MMS_2_SumpAndDispersal,2,1)</f>
        <v>Sump and dispersal system</v>
      </c>
      <c r="Q45" s="25">
        <f>INDEX(M2_Table_MN_j_m,7,3)</f>
        <v>1292.1054203427104</v>
      </c>
      <c r="R45" s="25">
        <f>INDEX(M2_Table_MN_j_m,7,4)</f>
        <v>590.17648503003818</v>
      </c>
      <c r="S45" s="25">
        <f>INDEX(M2_Table_MN_j_m,7,5)</f>
        <v>235.06105261898415</v>
      </c>
      <c r="T45" s="25">
        <f>INDEX(M2_Table_MN_j_m,7,6)</f>
        <v>741.87518257630143</v>
      </c>
      <c r="U45" s="25">
        <f>INDEX(M2_Table_MN_j_m,7,7)</f>
        <v>310.57070109221564</v>
      </c>
      <c r="V45" s="26"/>
    </row>
    <row r="46" spans="1:22" ht="20.100000000000001" customHeight="1" x14ac:dyDescent="0.25">
      <c r="A46" s="5" t="str">
        <f>HYPERLINK("#'4.3.1.9 Soil direct N2O'!A1", "4.3.1.9 Soil direct N2O")</f>
        <v>4.3.1.9 Soil direct N2O</v>
      </c>
      <c r="D46" s="25" t="str">
        <f>INDEX(X_Table_Dairy_ProductionSystems_Method1,4,1)</f>
        <v>Feed pad</v>
      </c>
      <c r="E46" s="25" t="str">
        <f>INDEX(X_Table_Dairy_Stage1MMS_2_DrainsToPaddock,2,1)</f>
        <v>Drains to paddock</v>
      </c>
      <c r="F46" s="25">
        <f>INDEX(M1_Table_MN_j_m,8,3)</f>
        <v>1292.1054203427104</v>
      </c>
      <c r="G46" s="25">
        <f>INDEX(M1_Table_MN_j_m,8,4)</f>
        <v>590.17648503003818</v>
      </c>
      <c r="H46" s="25">
        <f>INDEX(M1_Table_MN_j_m,8,5)</f>
        <v>235.06105261898415</v>
      </c>
      <c r="I46" s="25">
        <f>INDEX(M1_Table_MN_j_m,8,6)</f>
        <v>741.87518257630143</v>
      </c>
      <c r="J46" s="25">
        <f>INDEX(M1_Table_MN_j_m,8,7)</f>
        <v>310.57070109221564</v>
      </c>
      <c r="K46" s="26"/>
      <c r="M46"/>
      <c r="O46" s="25" t="str">
        <f>INDEX(X_Table_Dairy_ProductionSystems_Method1,4,1)</f>
        <v>Feed pad</v>
      </c>
      <c r="P46" s="25" t="str">
        <f>INDEX(X_Table_Dairy_Stage1MMS_2_DrainsToPaddock,2,1)</f>
        <v>Drains to paddock</v>
      </c>
      <c r="Q46" s="25">
        <f>INDEX(M2_Table_MN_j_m,8,3)</f>
        <v>1292.1054203427104</v>
      </c>
      <c r="R46" s="25">
        <f>INDEX(M2_Table_MN_j_m,8,4)</f>
        <v>590.17648503003818</v>
      </c>
      <c r="S46" s="25">
        <f>INDEX(M2_Table_MN_j_m,8,5)</f>
        <v>235.06105261898415</v>
      </c>
      <c r="T46" s="25">
        <f>INDEX(M2_Table_MN_j_m,8,6)</f>
        <v>741.87518257630143</v>
      </c>
      <c r="U46" s="25">
        <f>INDEX(M2_Table_MN_j_m,8,7)</f>
        <v>310.57070109221564</v>
      </c>
      <c r="V46" s="26"/>
    </row>
    <row r="47" spans="1:22" ht="20.100000000000001" customHeight="1" x14ac:dyDescent="0.25">
      <c r="A47" s="5" t="str">
        <f>HYPERLINK("#'4.3.1.10-11 Soil Atmos Dep'!A1", "4.3.1.10-11 Soil Atmos Dep")</f>
        <v>4.3.1.10-11 Soil Atmos Dep</v>
      </c>
      <c r="D47" s="25" t="str">
        <f>INDEX(X_Table_Dairy_ProductionSystems_Method1,4,1)</f>
        <v>Feed pad</v>
      </c>
      <c r="E47" s="25" t="s">
        <v>76</v>
      </c>
      <c r="F47" s="25">
        <f>INDEX(M1_Table_MN_j_m,9,3)</f>
        <v>2261.1844855997429</v>
      </c>
      <c r="G47" s="25">
        <f>INDEX(M1_Table_MN_j_m,9,4)</f>
        <v>1032.8088488025667</v>
      </c>
      <c r="H47" s="25">
        <f>INDEX(M1_Table_MN_j_m,9,5)</f>
        <v>411.35684208322226</v>
      </c>
      <c r="I47" s="25">
        <f>INDEX(M1_Table_MN_j_m,9,6)</f>
        <v>1298.2815695085274</v>
      </c>
      <c r="J47" s="25">
        <f>INDEX(M1_Table_MN_j_m,9,7)</f>
        <v>543.49872691137739</v>
      </c>
      <c r="K47" s="26"/>
      <c r="M47"/>
      <c r="O47" s="25" t="str">
        <f>INDEX(X_Table_Dairy_ProductionSystems_Method1,4,1)</f>
        <v>Feed pad</v>
      </c>
      <c r="P47" s="25" t="s">
        <v>76</v>
      </c>
      <c r="Q47" s="25">
        <f>INDEX(M2_Table_MN_j_m,9,3)</f>
        <v>2261.1844855997429</v>
      </c>
      <c r="R47" s="25">
        <f>INDEX(M2_Table_MN_j_m,9,4)</f>
        <v>1032.8088488025667</v>
      </c>
      <c r="S47" s="25">
        <f>INDEX(M2_Table_MN_j_m,9,5)</f>
        <v>411.35684208322226</v>
      </c>
      <c r="T47" s="25">
        <f>INDEX(M2_Table_MN_j_m,9,6)</f>
        <v>1298.2815695085274</v>
      </c>
      <c r="U47" s="25">
        <f>INDEX(M2_Table_MN_j_m,9,7)</f>
        <v>543.49872691137739</v>
      </c>
      <c r="V47" s="26"/>
    </row>
    <row r="48" spans="1:22" ht="20.100000000000001" customHeight="1" x14ac:dyDescent="0.25">
      <c r="A48" s="5" t="str">
        <f>HYPERLINK("#'4.3.1.12-13 Soil leach runoff'!A1", "4.3.1.12-13 Soil leach runoff")</f>
        <v>4.3.1.12-13 Soil leach runoff</v>
      </c>
    </row>
    <row r="49" spans="1:22" ht="20.100000000000001" customHeight="1" x14ac:dyDescent="0.25">
      <c r="A49" s="5" t="str">
        <f>HYPERLINK("#'3.3.1.1-2 Enteric Methane'!A1", "3.3.1.1-2 Enteric Methane")</f>
        <v>3.3.1.1-2 Enteric Methane</v>
      </c>
      <c r="D49" s="122" t="s">
        <v>438</v>
      </c>
      <c r="O49" s="122" t="s">
        <v>439</v>
      </c>
    </row>
    <row r="50" spans="1:22" ht="20.100000000000001" customHeight="1" x14ac:dyDescent="0.25">
      <c r="A50" s="5" t="str">
        <f>HYPERLINK("#'10.1.1-2 Solid waste treatment'!A1", "10.1.1-2 Solid waste treatment")</f>
        <v>10.1.1-2 Solid waste treatment</v>
      </c>
      <c r="D50" s="123" t="s">
        <v>440</v>
      </c>
      <c r="O50" s="123" t="s">
        <v>441</v>
      </c>
    </row>
    <row r="51" spans="1:22" ht="20.100000000000001" customHeight="1" x14ac:dyDescent="0.25">
      <c r="D51" s="124" t="s">
        <v>168</v>
      </c>
      <c r="E51" s="124" t="s">
        <v>307</v>
      </c>
      <c r="F51" s="124" t="s">
        <v>213</v>
      </c>
      <c r="G51" s="124" t="s">
        <v>214</v>
      </c>
      <c r="H51" s="124" t="s">
        <v>215</v>
      </c>
      <c r="I51" s="124" t="s">
        <v>216</v>
      </c>
      <c r="J51" s="124" t="s">
        <v>217</v>
      </c>
      <c r="O51" s="124" t="s">
        <v>168</v>
      </c>
      <c r="P51" s="124" t="s">
        <v>307</v>
      </c>
      <c r="Q51" s="124" t="s">
        <v>213</v>
      </c>
      <c r="R51" s="124" t="s">
        <v>214</v>
      </c>
      <c r="S51" s="124" t="s">
        <v>215</v>
      </c>
      <c r="T51" s="124" t="s">
        <v>216</v>
      </c>
      <c r="U51" s="124" t="s">
        <v>217</v>
      </c>
    </row>
    <row r="52" spans="1:22" ht="20.100000000000001" customHeight="1" x14ac:dyDescent="0.25">
      <c r="D52" s="25" t="str">
        <f>INDEX(X_Table_Dairy_ProductionSystems_Method1,3,1)</f>
        <v>Milking shed</v>
      </c>
      <c r="E52" s="25" t="str">
        <f>INDEX(X_Table_Dairy_Stage1MMS_1_AnaerobicLagoon,2,1)</f>
        <v>Anaerobic lagoon</v>
      </c>
      <c r="F52" s="25">
        <v>0</v>
      </c>
      <c r="G52" s="25">
        <v>0</v>
      </c>
      <c r="H52" s="25">
        <v>0</v>
      </c>
      <c r="I52" s="25">
        <v>0</v>
      </c>
      <c r="J52" s="25">
        <v>0</v>
      </c>
      <c r="K52" s="26" t="str">
        <f>$G$16</f>
        <v>kg N</v>
      </c>
      <c r="O52" s="25" t="str">
        <f>INDEX(X_Table_Dairy_ProductionSystems_Method1,3,1)</f>
        <v>Milking shed</v>
      </c>
      <c r="P52" s="25" t="str">
        <f>INDEX(X_Table_Dairy_Stage1MMS_1_AnaerobicLagoon,2,1)</f>
        <v>Anaerobic lagoon</v>
      </c>
      <c r="Q52" s="25">
        <v>0</v>
      </c>
      <c r="R52" s="25">
        <v>0</v>
      </c>
      <c r="S52" s="25">
        <v>0</v>
      </c>
      <c r="T52" s="25">
        <v>0</v>
      </c>
      <c r="U52" s="25">
        <v>0</v>
      </c>
      <c r="V52" s="26" t="str">
        <f>$G$16</f>
        <v>kg N</v>
      </c>
    </row>
    <row r="53" spans="1:22" ht="20.100000000000001" customHeight="1" x14ac:dyDescent="0.25">
      <c r="A53" s="100" t="s">
        <v>1</v>
      </c>
      <c r="D53" s="25" t="str">
        <f>INDEX(X_Table_Dairy_ProductionSystems_Method1,3,1)</f>
        <v>Milking shed</v>
      </c>
      <c r="E53" s="25" t="str">
        <f>INDEX(X_Table_Dairy_Stage1MMS_1_SumpAndDispersal,2,1)</f>
        <v>Sump and dispersal system</v>
      </c>
      <c r="F53" s="25">
        <v>0</v>
      </c>
      <c r="G53" s="25">
        <v>0</v>
      </c>
      <c r="H53" s="25">
        <v>0</v>
      </c>
      <c r="I53" s="25">
        <v>0</v>
      </c>
      <c r="J53" s="25">
        <v>0</v>
      </c>
      <c r="K53" s="26"/>
      <c r="O53" s="25" t="str">
        <f>INDEX(X_Table_Dairy_ProductionSystems_Method1,3,1)</f>
        <v>Milking shed</v>
      </c>
      <c r="P53" s="25" t="str">
        <f>INDEX(X_Table_Dairy_Stage1MMS_1_SumpAndDispersal,2,1)</f>
        <v>Sump and dispersal system</v>
      </c>
      <c r="Q53" s="25">
        <v>0</v>
      </c>
      <c r="R53" s="25">
        <v>0</v>
      </c>
      <c r="S53" s="25">
        <v>0</v>
      </c>
      <c r="T53" s="25">
        <v>0</v>
      </c>
      <c r="U53" s="25">
        <v>0</v>
      </c>
      <c r="V53" s="26"/>
    </row>
    <row r="54" spans="1:22" ht="20.100000000000001" customHeight="1" x14ac:dyDescent="0.25">
      <c r="A54" s="5" t="str">
        <f>HYPERLINK("#'Constants - Dairy'!A1", "Constants - Dairy")</f>
        <v>Constants - Dairy</v>
      </c>
      <c r="D54" s="25" t="str">
        <f>INDEX(X_Table_Dairy_ProductionSystems_Method1,3,1)</f>
        <v>Milking shed</v>
      </c>
      <c r="E54" s="25" t="str">
        <f>INDEX(X_Table_Dairy_Stage1MMS_1_DrainsToPaddock,2,1)</f>
        <v>Drains to paddock</v>
      </c>
      <c r="F54" s="25">
        <v>0</v>
      </c>
      <c r="G54" s="25">
        <v>0</v>
      </c>
      <c r="H54" s="25">
        <v>0</v>
      </c>
      <c r="I54" s="25">
        <v>0</v>
      </c>
      <c r="J54" s="25">
        <v>0</v>
      </c>
      <c r="K54" s="26"/>
      <c r="O54" s="25" t="str">
        <f>INDEX(X_Table_Dairy_ProductionSystems_Method1,3,1)</f>
        <v>Milking shed</v>
      </c>
      <c r="P54" s="25" t="str">
        <f>INDEX(X_Table_Dairy_Stage1MMS_1_DrainsToPaddock,2,1)</f>
        <v>Drains to paddock</v>
      </c>
      <c r="Q54" s="25">
        <v>0</v>
      </c>
      <c r="R54" s="25">
        <v>0</v>
      </c>
      <c r="S54" s="25">
        <v>0</v>
      </c>
      <c r="T54" s="25">
        <v>0</v>
      </c>
      <c r="U54" s="25">
        <v>0</v>
      </c>
      <c r="V54" s="26"/>
    </row>
    <row r="55" spans="1:22" ht="20.100000000000001" customHeight="1" x14ac:dyDescent="0.25">
      <c r="A55" s="5" t="str">
        <f>HYPERLINK("#'Constants - Ag Residue'!A1", "Constants - Ag residue")</f>
        <v>Constants - Ag residue</v>
      </c>
      <c r="D55" s="25" t="str">
        <f>INDEX(X_Table_Dairy_ProductionSystems_Method1,3,1)</f>
        <v>Milking shed</v>
      </c>
      <c r="E55" s="25" t="s">
        <v>76</v>
      </c>
      <c r="F55" s="25">
        <f>INDEX(M1_Table_MN_leach_j_m4,2,3)</f>
        <v>15.969842273898667</v>
      </c>
      <c r="G55" s="25">
        <f>INDEX(M1_Table_MN_leach_j_m4,2,4)</f>
        <v>7.2943161071128308</v>
      </c>
      <c r="H55" s="25">
        <f>INDEX(M1_Table_MN_leach_j_m4,2,5)</f>
        <v>2.9052489649537363</v>
      </c>
      <c r="I55" s="25">
        <f>INDEX(M1_Table_MN_leach_j_m4,2,6)</f>
        <v>9.1692438295947358</v>
      </c>
      <c r="J55" s="25">
        <f>INDEX(M1_Table_MN_leach_j_m4,2,7)</f>
        <v>3.8385142831622159</v>
      </c>
      <c r="K55" s="26"/>
      <c r="O55" s="25" t="str">
        <f>INDEX(X_Table_Dairy_ProductionSystems_Method1,3,1)</f>
        <v>Milking shed</v>
      </c>
      <c r="P55" s="25" t="s">
        <v>76</v>
      </c>
      <c r="Q55" s="25">
        <f>INDEX(M2_Table_MN_leach_j_m4,2,3)</f>
        <v>15.969842273898667</v>
      </c>
      <c r="R55" s="25">
        <f>INDEX(M2_Table_MN_leach_j_m4,2,4)</f>
        <v>7.2943161071128308</v>
      </c>
      <c r="S55" s="25">
        <f>INDEX(M2_Table_MN_leach_j_m4,2,5)</f>
        <v>2.9052489649537363</v>
      </c>
      <c r="T55" s="25">
        <f>INDEX(M2_Table_MN_leach_j_m4,2,6)</f>
        <v>9.1692438295947358</v>
      </c>
      <c r="U55" s="25">
        <f>INDEX(M2_Table_MN_leach_j_m4,2,7)</f>
        <v>3.8385142831622159</v>
      </c>
      <c r="V55" s="26"/>
    </row>
    <row r="56" spans="1:22" ht="20.100000000000001" customHeight="1" x14ac:dyDescent="0.25">
      <c r="A56" s="5" t="str">
        <f>HYPERLINK("#'Constants - Common Livestock'!A1", "Constants - Common Livestock")</f>
        <v>Constants - Common Livestock</v>
      </c>
      <c r="D56" s="25" t="str">
        <f>INDEX(X_Table_Dairy_ProductionSystems_Method1,4,1)</f>
        <v>Feed pad</v>
      </c>
      <c r="E56" s="25" t="str">
        <f>INDEX(X_Table_Dairy_Stage1MMS_2_AnaerobicLagoon,2,1)</f>
        <v>Anaerobic lagoon</v>
      </c>
      <c r="F56" s="25">
        <v>0</v>
      </c>
      <c r="G56" s="25">
        <v>0</v>
      </c>
      <c r="H56" s="25">
        <v>0</v>
      </c>
      <c r="I56" s="25">
        <v>0</v>
      </c>
      <c r="J56" s="25">
        <v>0</v>
      </c>
      <c r="K56" s="26"/>
      <c r="O56" s="25" t="str">
        <f>INDEX(X_Table_Dairy_ProductionSystems_Method1,4,1)</f>
        <v>Feed pad</v>
      </c>
      <c r="P56" s="25" t="str">
        <f>INDEX(X_Table_Dairy_Stage1MMS_2_AnaerobicLagoon,2,1)</f>
        <v>Anaerobic lagoon</v>
      </c>
      <c r="Q56" s="25">
        <v>0</v>
      </c>
      <c r="R56" s="25">
        <v>0</v>
      </c>
      <c r="S56" s="25">
        <v>0</v>
      </c>
      <c r="T56" s="25">
        <v>0</v>
      </c>
      <c r="U56" s="25">
        <v>0</v>
      </c>
      <c r="V56" s="26"/>
    </row>
    <row r="57" spans="1:22" ht="20.100000000000001" customHeight="1" x14ac:dyDescent="0.25">
      <c r="A57" s="5" t="str">
        <f>HYPERLINK("#'Constants - Electricity'!A1", "Constants - Electricity")</f>
        <v>Constants - Electricity</v>
      </c>
      <c r="D57" s="25" t="str">
        <f>INDEX(X_Table_Dairy_ProductionSystems_Method1,4,1)</f>
        <v>Feed pad</v>
      </c>
      <c r="E57" s="25" t="str">
        <f>INDEX(X_Table_Dairy_Stage1MMS_2_SumpAndDispersal,2,1)</f>
        <v>Sump and dispersal system</v>
      </c>
      <c r="F57" s="25">
        <v>0</v>
      </c>
      <c r="G57" s="25">
        <v>0</v>
      </c>
      <c r="H57" s="25">
        <v>0</v>
      </c>
      <c r="I57" s="25">
        <v>0</v>
      </c>
      <c r="J57" s="25">
        <v>0</v>
      </c>
      <c r="K57" s="26"/>
      <c r="O57" s="25" t="str">
        <f>INDEX(X_Table_Dairy_ProductionSystems_Method1,4,1)</f>
        <v>Feed pad</v>
      </c>
      <c r="P57" s="25" t="str">
        <f>INDEX(X_Table_Dairy_Stage1MMS_2_SumpAndDispersal,2,1)</f>
        <v>Sump and dispersal system</v>
      </c>
      <c r="Q57" s="25">
        <v>0</v>
      </c>
      <c r="R57" s="25">
        <v>0</v>
      </c>
      <c r="S57" s="25">
        <v>0</v>
      </c>
      <c r="T57" s="25">
        <v>0</v>
      </c>
      <c r="U57" s="25">
        <v>0</v>
      </c>
      <c r="V57" s="26"/>
    </row>
    <row r="58" spans="1:22" ht="20.100000000000001" customHeight="1" x14ac:dyDescent="0.25">
      <c r="A58" s="5" t="str">
        <f>HYPERLINK("#'Constants - Fertiliser'!A1", "Constants - Fertiliser")</f>
        <v>Constants - Fertiliser</v>
      </c>
      <c r="D58" s="25" t="str">
        <f>INDEX(X_Table_Dairy_ProductionSystems_Method1,4,1)</f>
        <v>Feed pad</v>
      </c>
      <c r="E58" s="25" t="str">
        <f>INDEX(X_Table_Dairy_Stage1MMS_2_DrainsToPaddock,2,1)</f>
        <v>Drains to paddock</v>
      </c>
      <c r="F58" s="25">
        <v>0</v>
      </c>
      <c r="G58" s="25">
        <v>0</v>
      </c>
      <c r="H58" s="25">
        <v>0</v>
      </c>
      <c r="I58" s="25">
        <v>0</v>
      </c>
      <c r="J58" s="25">
        <v>0</v>
      </c>
      <c r="K58" s="26"/>
      <c r="O58" s="25" t="str">
        <f>INDEX(X_Table_Dairy_ProductionSystems_Method1,4,1)</f>
        <v>Feed pad</v>
      </c>
      <c r="P58" s="25" t="str">
        <f>INDEX(X_Table_Dairy_Stage1MMS_2_DrainsToPaddock,2,1)</f>
        <v>Drains to paddock</v>
      </c>
      <c r="Q58" s="25">
        <v>0</v>
      </c>
      <c r="R58" s="25">
        <v>0</v>
      </c>
      <c r="S58" s="25">
        <v>0</v>
      </c>
      <c r="T58" s="25">
        <v>0</v>
      </c>
      <c r="U58" s="25">
        <v>0</v>
      </c>
      <c r="V58" s="26"/>
    </row>
    <row r="59" spans="1:22" ht="20.100000000000001" customHeight="1" x14ac:dyDescent="0.25">
      <c r="A59" s="5" t="str">
        <f>HYPERLINK("#'Constants - Fuel'!A1", "Constants - Fuel")</f>
        <v>Constants - Fuel</v>
      </c>
      <c r="D59" s="25" t="str">
        <f>INDEX(X_Table_Dairy_ProductionSystems_Method1,4,1)</f>
        <v>Feed pad</v>
      </c>
      <c r="E59" s="25" t="s">
        <v>76</v>
      </c>
      <c r="F59" s="25">
        <f>INDEX(M1_Table_MN_leach_j_m4,3,3)</f>
        <v>45.223689711994858</v>
      </c>
      <c r="G59" s="25">
        <f>INDEX(M1_Table_MN_leach_j_m4,3,4)</f>
        <v>20.656176976051334</v>
      </c>
      <c r="H59" s="25">
        <f>INDEX(M1_Table_MN_leach_j_m4,3,5)</f>
        <v>8.2271368416644446</v>
      </c>
      <c r="I59" s="25">
        <f>INDEX(M1_Table_MN_leach_j_m4,3,6)</f>
        <v>25.965631390170547</v>
      </c>
      <c r="J59" s="25">
        <f>INDEX(M1_Table_MN_leach_j_m4,3,7)</f>
        <v>10.869974538227549</v>
      </c>
      <c r="K59" s="26"/>
      <c r="O59" s="25" t="str">
        <f>INDEX(X_Table_Dairy_ProductionSystems_Method1,4,1)</f>
        <v>Feed pad</v>
      </c>
      <c r="P59" s="25" t="s">
        <v>76</v>
      </c>
      <c r="Q59" s="25">
        <f>INDEX(M2_Table_MN_leach_j_m4,3,3)</f>
        <v>45.223689711994858</v>
      </c>
      <c r="R59" s="25">
        <f>INDEX(M2_Table_MN_leach_j_m4,3,4)</f>
        <v>20.656176976051334</v>
      </c>
      <c r="S59" s="25">
        <f>INDEX(M2_Table_MN_leach_j_m4,3,5)</f>
        <v>8.2271368416644446</v>
      </c>
      <c r="T59" s="25">
        <f>INDEX(M2_Table_MN_leach_j_m4,3,6)</f>
        <v>25.965631390170547</v>
      </c>
      <c r="U59" s="25">
        <f>INDEX(M2_Table_MN_leach_j_m4,3,7)</f>
        <v>10.869974538227549</v>
      </c>
      <c r="V59" s="26"/>
    </row>
    <row r="60" spans="1:22" ht="20.100000000000001" customHeight="1" x14ac:dyDescent="0.25">
      <c r="A60" s="5" t="str">
        <f>HYPERLINK("#'Constants - Scope 3'!A1", "Constants - Scope 3")</f>
        <v>Constants - Scope 3</v>
      </c>
    </row>
    <row r="61" spans="1:22" ht="20.100000000000001" customHeight="1" x14ac:dyDescent="0.25">
      <c r="A61" s="5" t="str">
        <f>HYPERLINK("#'Constants - Common'!A1", "Constants - Common")</f>
        <v>Constants - Common</v>
      </c>
      <c r="D61" s="122" t="s">
        <v>442</v>
      </c>
    </row>
    <row r="62" spans="1:22" ht="20.100000000000001" customHeight="1" x14ac:dyDescent="0.25">
      <c r="A62" s="5" t="str">
        <f>HYPERLINK("#'Acknowledgements'!A1", "Acknowledgements")</f>
        <v>Acknowledgements</v>
      </c>
      <c r="D62" s="123" t="s">
        <v>443</v>
      </c>
    </row>
    <row r="63" spans="1:22" ht="20.100000000000001" customHeight="1" x14ac:dyDescent="0.25">
      <c r="A63" s="5" t="str">
        <f>HYPERLINK("#'Constants - Solid Waste'!A1", "Constants - Solid Waste")</f>
        <v>Constants - Solid Waste</v>
      </c>
      <c r="D63" s="94" t="s">
        <v>168</v>
      </c>
      <c r="E63" s="94" t="s">
        <v>307</v>
      </c>
      <c r="F63" s="94" t="s">
        <v>444</v>
      </c>
    </row>
    <row r="64" spans="1:22" ht="20.100000000000001" customHeight="1" x14ac:dyDescent="0.25">
      <c r="D64" s="25" t="str">
        <f>INDEX(X_Table_Dairy_ProductionSystems_Method1,3,1)</f>
        <v>Milking shed</v>
      </c>
      <c r="E64" s="25" t="str">
        <f>INDEX(X_Table_Dairy_Stage1MMS_1_AnaerobicLagoon,2,1)</f>
        <v>Anaerobic lagoon</v>
      </c>
      <c r="F64" s="25">
        <f ca="1">SUM(OFFSET(X_Table_Dairy_Stage1MMS_1_AnaerobicLagoon_Destinations,1,2,1,2))</f>
        <v>0.75</v>
      </c>
      <c r="G64" s="26" t="str">
        <f>$G$17</f>
        <v>fraction</v>
      </c>
    </row>
    <row r="65" spans="4:22" ht="20.100000000000001" customHeight="1" x14ac:dyDescent="0.25">
      <c r="D65" s="25" t="str">
        <f>INDEX(X_Table_Dairy_ProductionSystems_Method1,3,1)</f>
        <v>Milking shed</v>
      </c>
      <c r="E65" s="25" t="str">
        <f>INDEX(X_Table_Dairy_Stage1MMS_1_SumpAndDispersal,2,1)</f>
        <v>Sump and dispersal system</v>
      </c>
      <c r="F65" s="25">
        <f ca="1">SUM(OFFSET(X_Table_Dairy_Stage1MMS_1_SumpAndDispersal_Destinations,1,2,1,2))</f>
        <v>0.75</v>
      </c>
      <c r="G65" s="26"/>
    </row>
    <row r="66" spans="4:22" ht="20.100000000000001" customHeight="1" x14ac:dyDescent="0.25">
      <c r="D66" s="25" t="str">
        <f>INDEX(X_Table_Dairy_ProductionSystems_Method1,3,1)</f>
        <v>Milking shed</v>
      </c>
      <c r="E66" s="25" t="str">
        <f>INDEX(X_Table_Dairy_Stage1MMS_1_DrainsToPaddock,2,1)</f>
        <v>Drains to paddock</v>
      </c>
      <c r="F66" s="25">
        <f ca="1">SUM(OFFSET(X_Table_Dairy_Stage1MMS_1_DrainsToPaddock_Destinations,1,2,1,2))</f>
        <v>0.75</v>
      </c>
      <c r="G66" s="26"/>
    </row>
    <row r="67" spans="4:22" ht="20.100000000000001" customHeight="1" x14ac:dyDescent="0.25">
      <c r="D67" s="25" t="str">
        <f>INDEX(X_Table_Dairy_ProductionSystems_Method1,3,1)</f>
        <v>Milking shed</v>
      </c>
      <c r="E67" s="25" t="str">
        <f>INDEX(X_Table_Dairy_Stage1MMS_1_SolidStorage,2,1)</f>
        <v>Solid storage (before solid separation)</v>
      </c>
      <c r="F67" s="25">
        <f ca="1">SUM(OFFSET(X_Table_Dairy_Stage1MMS_1_SolidStorage_Destinations,1,2,1,2))</f>
        <v>0.75</v>
      </c>
      <c r="G67" s="26"/>
    </row>
    <row r="68" spans="4:22" ht="20.100000000000001" customHeight="1" x14ac:dyDescent="0.25">
      <c r="D68" s="25" t="str">
        <f>INDEX(X_Table_Dairy_ProductionSystems_Method1,4,1)</f>
        <v>Feed pad</v>
      </c>
      <c r="E68" s="25" t="str">
        <f>INDEX(X_Table_Dairy_Stage1MMS_2_AnaerobicLagoon,2,1)</f>
        <v>Anaerobic lagoon</v>
      </c>
      <c r="F68" s="25">
        <f ca="1">SUM(OFFSET(X_Table_Dairy_Stage1MMS_2_AnaerobicLagoon_Destinations,1,2,1,2))</f>
        <v>0.75</v>
      </c>
      <c r="G68" s="26"/>
    </row>
    <row r="69" spans="4:22" ht="20.100000000000001" customHeight="1" x14ac:dyDescent="0.25">
      <c r="D69" s="25" t="str">
        <f>INDEX(X_Table_Dairy_ProductionSystems_Method1,4,1)</f>
        <v>Feed pad</v>
      </c>
      <c r="E69" s="25" t="str">
        <f>INDEX(X_Table_Dairy_Stage1MMS_2_SumpAndDispersal,2,1)</f>
        <v>Sump and dispersal system</v>
      </c>
      <c r="F69" s="25">
        <f ca="1">SUM(OFFSET(X_Table_Dairy_Stage1MMS_2_SumpAndDispersal_Destinations,1,2,1,2))</f>
        <v>0.75</v>
      </c>
      <c r="G69" s="26"/>
    </row>
    <row r="70" spans="4:22" ht="20.100000000000001" customHeight="1" x14ac:dyDescent="0.25">
      <c r="D70" s="25" t="str">
        <f>INDEX(X_Table_Dairy_ProductionSystems_Method1,4,1)</f>
        <v>Feed pad</v>
      </c>
      <c r="E70" s="25" t="str">
        <f>INDEX(X_Table_Dairy_Stage1MMS_2_DrainsToPaddock,2,1)</f>
        <v>Drains to paddock</v>
      </c>
      <c r="F70" s="25">
        <f ca="1">SUM(OFFSET(X_Table_Dairy_Stage1MMS_2_DrainsToPaddock_Destinations,1,2,1,2))</f>
        <v>0.75</v>
      </c>
      <c r="G70" s="26"/>
    </row>
    <row r="71" spans="4:22" ht="20.100000000000001" customHeight="1" x14ac:dyDescent="0.25">
      <c r="D71" s="25" t="str">
        <f>INDEX(X_Table_Dairy_ProductionSystems_Method1,4,1)</f>
        <v>Feed pad</v>
      </c>
      <c r="E71" s="25" t="str">
        <f>INDEX(X_Table_Dairy_Stage1MMS_2_SolidStorage,2,1)</f>
        <v>Solid storage (before solid separation)</v>
      </c>
      <c r="F71" s="25">
        <f ca="1">SUM(OFFSET(X_Table_Dairy_Stage1MMS_2_SolidStorage_Destinations,1,2,1,2))</f>
        <v>0.75</v>
      </c>
      <c r="G71" s="26"/>
    </row>
    <row r="72" spans="4:22" ht="20.100000000000001" customHeight="1" x14ac:dyDescent="0.25"/>
    <row r="73" spans="4:22" ht="20.100000000000001" customHeight="1" x14ac:dyDescent="0.25">
      <c r="D73" s="122" t="s">
        <v>445</v>
      </c>
      <c r="O73" s="122" t="s">
        <v>446</v>
      </c>
    </row>
    <row r="74" spans="4:22" ht="20.100000000000001" customHeight="1" x14ac:dyDescent="0.25">
      <c r="D74" s="123" t="s">
        <v>447</v>
      </c>
      <c r="O74" s="123" t="s">
        <v>448</v>
      </c>
    </row>
    <row r="75" spans="4:22" ht="20.100000000000001" customHeight="1" x14ac:dyDescent="0.25">
      <c r="D75" s="124" t="s">
        <v>168</v>
      </c>
      <c r="E75" s="124" t="s">
        <v>307</v>
      </c>
      <c r="F75" s="124" t="s">
        <v>213</v>
      </c>
      <c r="G75" s="124" t="s">
        <v>214</v>
      </c>
      <c r="H75" s="124" t="s">
        <v>215</v>
      </c>
      <c r="I75" s="124" t="s">
        <v>216</v>
      </c>
      <c r="J75" s="124" t="s">
        <v>217</v>
      </c>
      <c r="O75" s="124" t="s">
        <v>168</v>
      </c>
      <c r="P75" s="124" t="s">
        <v>307</v>
      </c>
      <c r="Q75" s="124" t="s">
        <v>213</v>
      </c>
      <c r="R75" s="124" t="s">
        <v>214</v>
      </c>
      <c r="S75" s="124" t="s">
        <v>215</v>
      </c>
      <c r="T75" s="124" t="s">
        <v>216</v>
      </c>
      <c r="U75" s="124" t="s">
        <v>217</v>
      </c>
    </row>
    <row r="76" spans="4:22" ht="20.100000000000001" customHeight="1" x14ac:dyDescent="0.25">
      <c r="D76" s="25" t="str">
        <f>INDEX(X_Table_Dairy_ProductionSystems_Method1,3,1)</f>
        <v>Milking shed</v>
      </c>
      <c r="E76" s="25" t="str">
        <f>INDEX(X_Table_Dairy_Stage1MMS_1_AnaerobicLagoon,2,1)</f>
        <v>Anaerobic lagoon</v>
      </c>
      <c r="F76" s="25" cm="1">
        <f t="array" aca="1" ref="F76" ca="1">MMS_Dairy_ManureAppliedToSoils_Equations.VEERG_4_3_1_8__1_MassOfNitrogenAppliedToSoilsScope1(F40,_xlfn.XLOOKUP($E76,$D$22:$D$26,$E$22:$E$26),_xlfn.XLOOKUP($E76, $D$31:$D$35,$E$31:$E$35),F52,$F64)</f>
        <v>194.63245271314003</v>
      </c>
      <c r="G76" s="25" cm="1">
        <f t="array" aca="1" ref="G76" ca="1">MMS_Dairy_ManureAppliedToSoils_Equations.VEERG_4_3_1_8__1_MassOfNitrogenAppliedToSoilsScope1(G40,_xlfn.XLOOKUP($E76,$D$22:$D$26,$E$22:$E$26),_xlfn.XLOOKUP($E76, $D$31:$D$35,$E$31:$E$35),G52,$F64)</f>
        <v>88.899477555437642</v>
      </c>
      <c r="H76" s="25" cm="1">
        <f t="array" aca="1" ref="H76" ca="1">MMS_Dairy_ManureAppliedToSoils_Equations.VEERG_4_3_1_8__1_MassOfNitrogenAppliedToSoilsScope1(H40,_xlfn.XLOOKUP($E76,$D$22:$D$26,$E$22:$E$26),_xlfn.XLOOKUP($E76, $D$31:$D$35,$E$31:$E$35),H52,$F64)</f>
        <v>35.407721760373668</v>
      </c>
      <c r="I76" s="25" cm="1">
        <f t="array" aca="1" ref="I76" ca="1">MMS_Dairy_ManureAppliedToSoils_Equations.VEERG_4_3_1_8__1_MassOfNitrogenAppliedToSoilsScope1(I40,_xlfn.XLOOKUP($E76,$D$22:$D$26,$E$22:$E$26),_xlfn.XLOOKUP($E76, $D$31:$D$35,$E$31:$E$35),I52,$F64)</f>
        <v>111.75015917318586</v>
      </c>
      <c r="J76" s="25" cm="1">
        <f t="array" aca="1" ref="J76" ca="1">MMS_Dairy_ManureAppliedToSoils_Equations.VEERG_4_3_1_8__1_MassOfNitrogenAppliedToSoilsScope1(J40,_xlfn.XLOOKUP($E76,$D$22:$D$26,$E$22:$E$26),_xlfn.XLOOKUP($E76, $D$31:$D$35,$E$31:$E$35),J52,$F64)</f>
        <v>46.78189282603951</v>
      </c>
      <c r="K76" s="26" t="str">
        <f t="shared" ref="K76" si="0">$E$11</f>
        <v>kg N</v>
      </c>
      <c r="O76" s="25" t="str">
        <f>INDEX(X_Table_Dairy_ProductionSystems_Method1,3,1)</f>
        <v>Milking shed</v>
      </c>
      <c r="P76" s="25" t="str">
        <f>INDEX(X_Table_Dairy_Stage1MMS_1_AnaerobicLagoon,2,1)</f>
        <v>Anaerobic lagoon</v>
      </c>
      <c r="Q76" s="25" cm="1">
        <f t="array" aca="1" ref="Q76" ca="1">MMS_Dairy_ManureAppliedToSoils_Equations.VEERG_4_3_1_8__1_MassOfNitrogenAppliedToSoilsScope1(Q40,_xlfn.XLOOKUP($P76,$D$22:$D$26,$E$22:$E$26),_xlfn.XLOOKUP($P76, $D$31:$D$35,$E$31:$E$35),Q52,$F64)</f>
        <v>194.63245271314003</v>
      </c>
      <c r="R76" s="25" cm="1">
        <f t="array" aca="1" ref="R76" ca="1">MMS_Dairy_ManureAppliedToSoils_Equations.VEERG_4_3_1_8__1_MassOfNitrogenAppliedToSoilsScope1(R40,_xlfn.XLOOKUP($P76,$D$22:$D$26,$E$22:$E$26),_xlfn.XLOOKUP($P76, $D$31:$D$35,$E$31:$E$35),R52,$F64)</f>
        <v>88.899477555437642</v>
      </c>
      <c r="S76" s="25" cm="1">
        <f t="array" aca="1" ref="S76" ca="1">MMS_Dairy_ManureAppliedToSoils_Equations.VEERG_4_3_1_8__1_MassOfNitrogenAppliedToSoilsScope1(S40,_xlfn.XLOOKUP($P76,$D$22:$D$26,$E$22:$E$26),_xlfn.XLOOKUP($P76, $D$31:$D$35,$E$31:$E$35),S52,$F64)</f>
        <v>35.407721760373668</v>
      </c>
      <c r="T76" s="25" cm="1">
        <f t="array" aca="1" ref="T76" ca="1">MMS_Dairy_ManureAppliedToSoils_Equations.VEERG_4_3_1_8__1_MassOfNitrogenAppliedToSoilsScope1(T40,_xlfn.XLOOKUP($P76,$D$22:$D$26,$E$22:$E$26),_xlfn.XLOOKUP($P76, $D$31:$D$35,$E$31:$E$35),T52,$F64)</f>
        <v>111.75015917318586</v>
      </c>
      <c r="U76" s="25" cm="1">
        <f t="array" aca="1" ref="U76" ca="1">MMS_Dairy_ManureAppliedToSoils_Equations.VEERG_4_3_1_8__1_MassOfNitrogenAppliedToSoilsScope1(U40,_xlfn.XLOOKUP($P76,$D$22:$D$26,$E$22:$E$26),_xlfn.XLOOKUP($P76, $D$31:$D$35,$E$31:$E$35),U52,$F64)</f>
        <v>46.78189282603951</v>
      </c>
      <c r="V76" s="26" t="str">
        <f t="shared" ref="V76" si="1">$E$11</f>
        <v>kg N</v>
      </c>
    </row>
    <row r="77" spans="4:22" ht="20.100000000000001" customHeight="1" x14ac:dyDescent="0.25">
      <c r="D77" s="25" t="str">
        <f>INDEX(X_Table_Dairy_ProductionSystems_Method1,3,1)</f>
        <v>Milking shed</v>
      </c>
      <c r="E77" s="25" t="str">
        <f>INDEX(X_Table_Dairy_Stage1MMS_1_SumpAndDispersal,2,1)</f>
        <v>Sump and dispersal system</v>
      </c>
      <c r="F77" s="25" cm="1">
        <f t="array" aca="1" ref="F77" ca="1">MMS_Dairy_ManureAppliedToSoils_Equations.VEERG_4_3_1_8__1_MassOfNitrogenAppliedToSoilsScope1(F41,_xlfn.XLOOKUP($E77,$D$22:$D$26,$E$22:$E$26),_xlfn.XLOOKUP($E77, $D$31:$D$35,$E$31:$E$35),F53,$F65)</f>
        <v>278.47412465110807</v>
      </c>
      <c r="G77" s="25" cm="1">
        <f t="array" aca="1" ref="G77" ca="1">MMS_Dairy_ManureAppliedToSoils_Equations.VEERG_4_3_1_8__1_MassOfNitrogenAppliedToSoilsScope1(G41,_xlfn.XLOOKUP($E77,$D$22:$D$26,$E$22:$E$26),_xlfn.XLOOKUP($E77, $D$31:$D$35,$E$31:$E$35),G53,$F65)</f>
        <v>127.19463711777999</v>
      </c>
      <c r="H77" s="25" cm="1">
        <f t="array" aca="1" ref="H77" ca="1">MMS_Dairy_ManureAppliedToSoils_Equations.VEERG_4_3_1_8__1_MassOfNitrogenAppliedToSoilsScope1(H41,_xlfn.XLOOKUP($E77,$D$22:$D$26,$E$22:$E$26),_xlfn.XLOOKUP($E77, $D$31:$D$35,$E$31:$E$35),H53,$F65)</f>
        <v>50.660278826380789</v>
      </c>
      <c r="I77" s="25" cm="1">
        <f t="array" aca="1" ref="I77" ca="1">MMS_Dairy_ManureAppliedToSoils_Equations.VEERG_4_3_1_8__1_MassOfNitrogenAppliedToSoilsScope1(I41,_xlfn.XLOOKUP($E77,$D$22:$D$26,$E$22:$E$26),_xlfn.XLOOKUP($E77, $D$31:$D$35,$E$31:$E$35),I53,$F65)</f>
        <v>159.88868927855822</v>
      </c>
      <c r="J77" s="25" cm="1">
        <f t="array" aca="1" ref="J77" ca="1">MMS_Dairy_ManureAppliedToSoils_Equations.VEERG_4_3_1_8__1_MassOfNitrogenAppliedToSoilsScope1(J41,_xlfn.XLOOKUP($E77,$D$22:$D$26,$E$22:$E$26),_xlfn.XLOOKUP($E77, $D$31:$D$35,$E$31:$E$35),J53,$F65)</f>
        <v>66.934092812641154</v>
      </c>
      <c r="K77" s="26"/>
      <c r="O77" s="25" t="str">
        <f>INDEX(X_Table_Dairy_ProductionSystems_Method1,3,1)</f>
        <v>Milking shed</v>
      </c>
      <c r="P77" s="25" t="str">
        <f>INDEX(X_Table_Dairy_Stage1MMS_1_SumpAndDispersal,2,1)</f>
        <v>Sump and dispersal system</v>
      </c>
      <c r="Q77" s="25" cm="1">
        <f t="array" aca="1" ref="Q77" ca="1">MMS_Dairy_ManureAppliedToSoils_Equations.VEERG_4_3_1_8__1_MassOfNitrogenAppliedToSoilsScope1(Q41,_xlfn.XLOOKUP($P77,$D$22:$D$26,$E$22:$E$26),_xlfn.XLOOKUP($P77, $D$31:$D$35,$E$31:$E$35),Q53,$F65)</f>
        <v>278.47412465110807</v>
      </c>
      <c r="R77" s="25" cm="1">
        <f t="array" aca="1" ref="R77" ca="1">MMS_Dairy_ManureAppliedToSoils_Equations.VEERG_4_3_1_8__1_MassOfNitrogenAppliedToSoilsScope1(R41,_xlfn.XLOOKUP($P77,$D$22:$D$26,$E$22:$E$26),_xlfn.XLOOKUP($P77, $D$31:$D$35,$E$31:$E$35),R53,$F65)</f>
        <v>127.19463711777999</v>
      </c>
      <c r="S77" s="25" cm="1">
        <f t="array" aca="1" ref="S77" ca="1">MMS_Dairy_ManureAppliedToSoils_Equations.VEERG_4_3_1_8__1_MassOfNitrogenAppliedToSoilsScope1(S41,_xlfn.XLOOKUP($P77,$D$22:$D$26,$E$22:$E$26),_xlfn.XLOOKUP($P77, $D$31:$D$35,$E$31:$E$35),S53,$F65)</f>
        <v>50.660278826380789</v>
      </c>
      <c r="T77" s="25" cm="1">
        <f t="array" aca="1" ref="T77" ca="1">MMS_Dairy_ManureAppliedToSoils_Equations.VEERG_4_3_1_8__1_MassOfNitrogenAppliedToSoilsScope1(T41,_xlfn.XLOOKUP($P77,$D$22:$D$26,$E$22:$E$26),_xlfn.XLOOKUP($P77, $D$31:$D$35,$E$31:$E$35),T53,$F65)</f>
        <v>159.88868927855822</v>
      </c>
      <c r="U77" s="25" cm="1">
        <f t="array" aca="1" ref="U77" ca="1">MMS_Dairy_ManureAppliedToSoils_Equations.VEERG_4_3_1_8__1_MassOfNitrogenAppliedToSoilsScope1(U41,_xlfn.XLOOKUP($P77,$D$22:$D$26,$E$22:$E$26),_xlfn.XLOOKUP($P77, $D$31:$D$35,$E$31:$E$35),U53,$F65)</f>
        <v>66.934092812641154</v>
      </c>
      <c r="V77" s="26"/>
    </row>
    <row r="78" spans="4:22" ht="20.100000000000001" customHeight="1" x14ac:dyDescent="0.25">
      <c r="D78" s="25" t="str">
        <f>INDEX(X_Table_Dairy_ProductionSystems_Method1,3,1)</f>
        <v>Milking shed</v>
      </c>
      <c r="E78" s="25" t="str">
        <f>INDEX(X_Table_Dairy_Stage1MMS_1_DrainsToPaddock,2,1)</f>
        <v>Drains to paddock</v>
      </c>
      <c r="F78" s="25" cm="1">
        <f t="array" aca="1" ref="F78" ca="1">MMS_Dairy_ManureAppliedToSoils_Equations.VEERG_4_3_1_8__1_MassOfNitrogenAppliedToSoilsScope1(F42,_xlfn.XLOOKUP($E78,$D$22:$D$26,$E$22:$E$26),_xlfn.XLOOKUP($E78, $D$31:$D$35,$E$31:$E$35),F54,$F66)</f>
        <v>239.54763410848008</v>
      </c>
      <c r="G78" s="25" cm="1">
        <f t="array" aca="1" ref="G78" ca="1">MMS_Dairy_ManureAppliedToSoils_Equations.VEERG_4_3_1_8__1_MassOfNitrogenAppliedToSoilsScope1(G42,_xlfn.XLOOKUP($E78,$D$22:$D$26,$E$22:$E$26),_xlfn.XLOOKUP($E78, $D$31:$D$35,$E$31:$E$35),G54,$F66)</f>
        <v>109.41474160669247</v>
      </c>
      <c r="H78" s="25" cm="1">
        <f t="array" aca="1" ref="H78" ca="1">MMS_Dairy_ManureAppliedToSoils_Equations.VEERG_4_3_1_8__1_MassOfNitrogenAppliedToSoilsScope1(H42,_xlfn.XLOOKUP($E78,$D$22:$D$26,$E$22:$E$26),_xlfn.XLOOKUP($E78, $D$31:$D$35,$E$31:$E$35),H54,$F66)</f>
        <v>43.57873447430606</v>
      </c>
      <c r="I78" s="25" cm="1">
        <f t="array" aca="1" ref="I78" ca="1">MMS_Dairy_ManureAppliedToSoils_Equations.VEERG_4_3_1_8__1_MassOfNitrogenAppliedToSoilsScope1(I42,_xlfn.XLOOKUP($E78,$D$22:$D$26,$E$22:$E$26),_xlfn.XLOOKUP($E78, $D$31:$D$35,$E$31:$E$35),I54,$F66)</f>
        <v>137.53865744392107</v>
      </c>
      <c r="J78" s="25" cm="1">
        <f t="array" aca="1" ref="J78" ca="1">MMS_Dairy_ManureAppliedToSoils_Equations.VEERG_4_3_1_8__1_MassOfNitrogenAppliedToSoilsScope1(J42,_xlfn.XLOOKUP($E78,$D$22:$D$26,$E$22:$E$26),_xlfn.XLOOKUP($E78, $D$31:$D$35,$E$31:$E$35),J54,$F66)</f>
        <v>57.577714247433249</v>
      </c>
      <c r="K78" s="26"/>
      <c r="O78" s="25" t="str">
        <f>INDEX(X_Table_Dairy_ProductionSystems_Method1,3,1)</f>
        <v>Milking shed</v>
      </c>
      <c r="P78" s="25" t="str">
        <f>INDEX(X_Table_Dairy_Stage1MMS_1_DrainsToPaddock,2,1)</f>
        <v>Drains to paddock</v>
      </c>
      <c r="Q78" s="25" cm="1">
        <f t="array" aca="1" ref="Q78" ca="1">MMS_Dairy_ManureAppliedToSoils_Equations.VEERG_4_3_1_8__1_MassOfNitrogenAppliedToSoilsScope1(Q42,_xlfn.XLOOKUP($P78,$D$22:$D$26,$E$22:$E$26),_xlfn.XLOOKUP($P78, $D$31:$D$35,$E$31:$E$35),Q54,$F66)</f>
        <v>239.54763410848008</v>
      </c>
      <c r="R78" s="25" cm="1">
        <f t="array" aca="1" ref="R78" ca="1">MMS_Dairy_ManureAppliedToSoils_Equations.VEERG_4_3_1_8__1_MassOfNitrogenAppliedToSoilsScope1(R42,_xlfn.XLOOKUP($P78,$D$22:$D$26,$E$22:$E$26),_xlfn.XLOOKUP($P78, $D$31:$D$35,$E$31:$E$35),R54,$F66)</f>
        <v>109.41474160669247</v>
      </c>
      <c r="S78" s="25" cm="1">
        <f t="array" aca="1" ref="S78" ca="1">MMS_Dairy_ManureAppliedToSoils_Equations.VEERG_4_3_1_8__1_MassOfNitrogenAppliedToSoilsScope1(S42,_xlfn.XLOOKUP($P78,$D$22:$D$26,$E$22:$E$26),_xlfn.XLOOKUP($P78, $D$31:$D$35,$E$31:$E$35),S54,$F66)</f>
        <v>43.57873447430606</v>
      </c>
      <c r="T78" s="25" cm="1">
        <f t="array" aca="1" ref="T78" ca="1">MMS_Dairy_ManureAppliedToSoils_Equations.VEERG_4_3_1_8__1_MassOfNitrogenAppliedToSoilsScope1(T42,_xlfn.XLOOKUP($P78,$D$22:$D$26,$E$22:$E$26),_xlfn.XLOOKUP($P78, $D$31:$D$35,$E$31:$E$35),T54,$F66)</f>
        <v>137.53865744392107</v>
      </c>
      <c r="U78" s="25" cm="1">
        <f t="array" aca="1" ref="U78" ca="1">MMS_Dairy_ManureAppliedToSoils_Equations.VEERG_4_3_1_8__1_MassOfNitrogenAppliedToSoilsScope1(U42,_xlfn.XLOOKUP($P78,$D$22:$D$26,$E$22:$E$26),_xlfn.XLOOKUP($P78, $D$31:$D$35,$E$31:$E$35),U54,$F66)</f>
        <v>57.577714247433249</v>
      </c>
      <c r="V78" s="26"/>
    </row>
    <row r="79" spans="4:22" ht="20.100000000000001" customHeight="1" x14ac:dyDescent="0.25">
      <c r="D79" s="25" t="str">
        <f>INDEX(X_Table_Dairy_ProductionSystems_Method1,3,1)</f>
        <v>Milking shed</v>
      </c>
      <c r="E79" s="25" t="s">
        <v>76</v>
      </c>
      <c r="F79" s="25" cm="1">
        <f t="array" aca="1" ref="F79" ca="1">MMS_Dairy_ManureAppliedToSoils_Equations.VEERG_4_3_1_8__1_MassOfNitrogenAppliedToSoilsScope1(F43,_xlfn.XLOOKUP($E79,$D$22:$D$26,$E$22:$E$26),_xlfn.XLOOKUP($E79, $D$31:$D$35,$E$31:$E$35),F55,$F67)</f>
        <v>404.23663255806008</v>
      </c>
      <c r="G79" s="25" cm="1">
        <f t="array" aca="1" ref="G79" ca="1">MMS_Dairy_ManureAppliedToSoils_Equations.VEERG_4_3_1_8__1_MassOfNitrogenAppliedToSoilsScope1(G43,_xlfn.XLOOKUP($E79,$D$22:$D$26,$E$22:$E$26),_xlfn.XLOOKUP($E79, $D$31:$D$35,$E$31:$E$35),G55,$F67)</f>
        <v>184.63737646129354</v>
      </c>
      <c r="H79" s="25" cm="1">
        <f t="array" aca="1" ref="H79" ca="1">MMS_Dairy_ManureAppliedToSoils_Equations.VEERG_4_3_1_8__1_MassOfNitrogenAppliedToSoilsScope1(H43,_xlfn.XLOOKUP($E79,$D$22:$D$26,$E$22:$E$26),_xlfn.XLOOKUP($E79, $D$31:$D$35,$E$31:$E$35),H55,$F67)</f>
        <v>73.539114425391446</v>
      </c>
      <c r="I79" s="25" cm="1">
        <f t="array" aca="1" ref="I79" ca="1">MMS_Dairy_ManureAppliedToSoils_Equations.VEERG_4_3_1_8__1_MassOfNitrogenAppliedToSoilsScope1(I43,_xlfn.XLOOKUP($E79,$D$22:$D$26,$E$22:$E$26),_xlfn.XLOOKUP($E79, $D$31:$D$35,$E$31:$E$35),I55,$F67)</f>
        <v>232.09648443661678</v>
      </c>
      <c r="J79" s="25" cm="1">
        <f t="array" aca="1" ref="J79" ca="1">MMS_Dairy_ManureAppliedToSoils_Equations.VEERG_4_3_1_8__1_MassOfNitrogenAppliedToSoilsScope1(J43,_xlfn.XLOOKUP($E79,$D$22:$D$26,$E$22:$E$26),_xlfn.XLOOKUP($E79, $D$31:$D$35,$E$31:$E$35),J55,$F67)</f>
        <v>97.162392792543585</v>
      </c>
      <c r="K79" s="26"/>
      <c r="O79" s="25" t="str">
        <f>INDEX(X_Table_Dairy_ProductionSystems_Method1,3,1)</f>
        <v>Milking shed</v>
      </c>
      <c r="P79" s="25" t="s">
        <v>76</v>
      </c>
      <c r="Q79" s="25" cm="1">
        <f t="array" aca="1" ref="Q79" ca="1">MMS_Dairy_ManureAppliedToSoils_Equations.VEERG_4_3_1_8__1_MassOfNitrogenAppliedToSoilsScope1(Q43,_xlfn.XLOOKUP($P79,$D$22:$D$26,$E$22:$E$26),_xlfn.XLOOKUP($P79, $D$31:$D$35,$E$31:$E$35),Q55,$F67)</f>
        <v>404.23663255806008</v>
      </c>
      <c r="R79" s="25" cm="1">
        <f t="array" aca="1" ref="R79" ca="1">MMS_Dairy_ManureAppliedToSoils_Equations.VEERG_4_3_1_8__1_MassOfNitrogenAppliedToSoilsScope1(R43,_xlfn.XLOOKUP($P79,$D$22:$D$26,$E$22:$E$26),_xlfn.XLOOKUP($P79, $D$31:$D$35,$E$31:$E$35),R55,$F67)</f>
        <v>184.63737646129354</v>
      </c>
      <c r="S79" s="25" cm="1">
        <f t="array" aca="1" ref="S79" ca="1">MMS_Dairy_ManureAppliedToSoils_Equations.VEERG_4_3_1_8__1_MassOfNitrogenAppliedToSoilsScope1(S43,_xlfn.XLOOKUP($P79,$D$22:$D$26,$E$22:$E$26),_xlfn.XLOOKUP($P79, $D$31:$D$35,$E$31:$E$35),S55,$F67)</f>
        <v>73.539114425391446</v>
      </c>
      <c r="T79" s="25" cm="1">
        <f t="array" aca="1" ref="T79" ca="1">MMS_Dairy_ManureAppliedToSoils_Equations.VEERG_4_3_1_8__1_MassOfNitrogenAppliedToSoilsScope1(T43,_xlfn.XLOOKUP($P79,$D$22:$D$26,$E$22:$E$26),_xlfn.XLOOKUP($P79, $D$31:$D$35,$E$31:$E$35),T55,$F67)</f>
        <v>232.09648443661678</v>
      </c>
      <c r="U79" s="25" cm="1">
        <f t="array" aca="1" ref="U79" ca="1">MMS_Dairy_ManureAppliedToSoils_Equations.VEERG_4_3_1_8__1_MassOfNitrogenAppliedToSoilsScope1(U43,_xlfn.XLOOKUP($P79,$D$22:$D$26,$E$22:$E$26),_xlfn.XLOOKUP($P79, $D$31:$D$35,$E$31:$E$35),U55,$F67)</f>
        <v>97.162392792543585</v>
      </c>
      <c r="V79" s="26"/>
    </row>
    <row r="80" spans="4:22" ht="20.100000000000001" customHeight="1" x14ac:dyDescent="0.25">
      <c r="D80" s="25" t="str">
        <f>INDEX(X_Table_Dairy_ProductionSystems_Method1,4,1)</f>
        <v>Feed pad</v>
      </c>
      <c r="E80" s="25" t="str">
        <f>INDEX(X_Table_Dairy_Stage1MMS_2_AnaerobicLagoon,2,1)</f>
        <v>Anaerobic lagoon</v>
      </c>
      <c r="F80" s="25" cm="1">
        <f t="array" aca="1" ref="F80" ca="1">MMS_Dairy_ManureAppliedToSoils_Equations.VEERG_4_3_1_8__1_MassOfNitrogenAppliedToSoilsScope1(F44,_xlfn.XLOOKUP($E80,$D$22:$D$26,$E$22:$E$26),_xlfn.XLOOKUP($E80, $D$31:$D$35,$E$31:$E$35),F56,$F68)</f>
        <v>787.37674052133912</v>
      </c>
      <c r="G80" s="25" cm="1">
        <f t="array" aca="1" ref="G80" ca="1">MMS_Dairy_ManureAppliedToSoils_Equations.VEERG_4_3_1_8__1_MassOfNitrogenAppliedToSoilsScope1(G44,_xlfn.XLOOKUP($E80,$D$22:$D$26,$E$22:$E$26),_xlfn.XLOOKUP($E80, $D$31:$D$35,$E$31:$E$35),G56,$F68)</f>
        <v>359.63879556517946</v>
      </c>
      <c r="H80" s="25" cm="1">
        <f t="array" aca="1" ref="H80" ca="1">MMS_Dairy_ManureAppliedToSoils_Equations.VEERG_4_3_1_8__1_MassOfNitrogenAppliedToSoilsScope1(H44,_xlfn.XLOOKUP($E80,$D$22:$D$26,$E$22:$E$26),_xlfn.XLOOKUP($E80, $D$31:$D$35,$E$31:$E$35),H56,$F68)</f>
        <v>143.24032893969348</v>
      </c>
      <c r="I80" s="25" cm="1">
        <f t="array" aca="1" ref="I80" ca="1">MMS_Dairy_ManureAppliedToSoils_Equations.VEERG_4_3_1_8__1_MassOfNitrogenAppliedToSoilsScope1(I44,_xlfn.XLOOKUP($E80,$D$22:$D$26,$E$22:$E$26),_xlfn.XLOOKUP($E80, $D$31:$D$35,$E$31:$E$35),I56,$F68)</f>
        <v>452.08018938243373</v>
      </c>
      <c r="J80" s="25" cm="1">
        <f t="array" aca="1" ref="J80" ca="1">MMS_Dairy_ManureAppliedToSoils_Equations.VEERG_4_3_1_8__1_MassOfNitrogenAppliedToSoilsScope1(J44,_xlfn.XLOOKUP($E80,$D$22:$D$26,$E$22:$E$26),_xlfn.XLOOKUP($E80, $D$31:$D$35,$E$31:$E$35),J56,$F68)</f>
        <v>189.25402097806892</v>
      </c>
      <c r="K80" s="26"/>
      <c r="O80" s="25" t="str">
        <f>INDEX(X_Table_Dairy_ProductionSystems_Method1,4,1)</f>
        <v>Feed pad</v>
      </c>
      <c r="P80" s="25" t="str">
        <f>INDEX(X_Table_Dairy_Stage1MMS_2_AnaerobicLagoon,2,1)</f>
        <v>Anaerobic lagoon</v>
      </c>
      <c r="Q80" s="25" cm="1">
        <f t="array" aca="1" ref="Q80" ca="1">MMS_Dairy_ManureAppliedToSoils_Equations.VEERG_4_3_1_8__1_MassOfNitrogenAppliedToSoilsScope1(Q44,_xlfn.XLOOKUP($P80,$D$22:$D$26,$E$22:$E$26),_xlfn.XLOOKUP($P80, $D$31:$D$35,$E$31:$E$35),Q56,$F68)</f>
        <v>787.37674052133912</v>
      </c>
      <c r="R80" s="25" cm="1">
        <f t="array" aca="1" ref="R80" ca="1">MMS_Dairy_ManureAppliedToSoils_Equations.VEERG_4_3_1_8__1_MassOfNitrogenAppliedToSoilsScope1(R44,_xlfn.XLOOKUP($P80,$D$22:$D$26,$E$22:$E$26),_xlfn.XLOOKUP($P80, $D$31:$D$35,$E$31:$E$35),R56,$F68)</f>
        <v>359.63879556517946</v>
      </c>
      <c r="S80" s="25" cm="1">
        <f t="array" aca="1" ref="S80" ca="1">MMS_Dairy_ManureAppliedToSoils_Equations.VEERG_4_3_1_8__1_MassOfNitrogenAppliedToSoilsScope1(S44,_xlfn.XLOOKUP($P80,$D$22:$D$26,$E$22:$E$26),_xlfn.XLOOKUP($P80, $D$31:$D$35,$E$31:$E$35),S56,$F68)</f>
        <v>143.24032893969348</v>
      </c>
      <c r="T80" s="25" cm="1">
        <f t="array" aca="1" ref="T80" ca="1">MMS_Dairy_ManureAppliedToSoils_Equations.VEERG_4_3_1_8__1_MassOfNitrogenAppliedToSoilsScope1(T44,_xlfn.XLOOKUP($P80,$D$22:$D$26,$E$22:$E$26),_xlfn.XLOOKUP($P80, $D$31:$D$35,$E$31:$E$35),T56,$F68)</f>
        <v>452.08018938243373</v>
      </c>
      <c r="U80" s="25" cm="1">
        <f t="array" aca="1" ref="U80" ca="1">MMS_Dairy_ManureAppliedToSoils_Equations.VEERG_4_3_1_8__1_MassOfNitrogenAppliedToSoilsScope1(U44,_xlfn.XLOOKUP($P80,$D$22:$D$26,$E$22:$E$26),_xlfn.XLOOKUP($P80, $D$31:$D$35,$E$31:$E$35),U56,$F68)</f>
        <v>189.25402097806892</v>
      </c>
      <c r="V80" s="26"/>
    </row>
    <row r="81" spans="3:23" ht="20.100000000000001" customHeight="1" x14ac:dyDescent="0.25">
      <c r="D81" s="25" t="str">
        <f>INDEX(X_Table_Dairy_ProductionSystems_Method1,4,1)</f>
        <v>Feed pad</v>
      </c>
      <c r="E81" s="25" t="str">
        <f>INDEX(X_Table_Dairy_Stage1MMS_2_SumpAndDispersal,2,1)</f>
        <v>Sump and dispersal system</v>
      </c>
      <c r="F81" s="25" cm="1">
        <f t="array" aca="1" ref="F81" ca="1">MMS_Dairy_ManureAppliedToSoils_Equations.VEERG_4_3_1_8__1_MassOfNitrogenAppliedToSoilsScope1(F45,_xlfn.XLOOKUP($E81,$D$22:$D$26,$E$22:$E$26),_xlfn.XLOOKUP($E81, $D$31:$D$35,$E$31:$E$35),F57,$F69)</f>
        <v>901.24353068904043</v>
      </c>
      <c r="G81" s="25" cm="1">
        <f t="array" aca="1" ref="G81" ca="1">MMS_Dairy_ManureAppliedToSoils_Equations.VEERG_4_3_1_8__1_MassOfNitrogenAppliedToSoilsScope1(G45,_xlfn.XLOOKUP($E81,$D$22:$D$26,$E$22:$E$26),_xlfn.XLOOKUP($E81, $D$31:$D$35,$E$31:$E$35),G57,$F69)</f>
        <v>411.64809830845161</v>
      </c>
      <c r="H81" s="25" cm="1">
        <f t="array" aca="1" ref="H81" ca="1">MMS_Dairy_ManureAppliedToSoils_Equations.VEERG_4_3_1_8__1_MassOfNitrogenAppliedToSoilsScope1(H45,_xlfn.XLOOKUP($E81,$D$22:$D$26,$E$22:$E$26),_xlfn.XLOOKUP($E81, $D$31:$D$35,$E$31:$E$35),H57,$F69)</f>
        <v>163.95508420174144</v>
      </c>
      <c r="I81" s="25" cm="1">
        <f t="array" aca="1" ref="I81" ca="1">MMS_Dairy_ManureAppliedToSoils_Equations.VEERG_4_3_1_8__1_MassOfNitrogenAppliedToSoilsScope1(I45,_xlfn.XLOOKUP($E81,$D$22:$D$26,$E$22:$E$26),_xlfn.XLOOKUP($E81, $D$31:$D$35,$E$31:$E$35),I57,$F69)</f>
        <v>517.45793984697025</v>
      </c>
      <c r="J81" s="25" cm="1">
        <f t="array" aca="1" ref="J81" ca="1">MMS_Dairy_ManureAppliedToSoils_Equations.VEERG_4_3_1_8__1_MassOfNitrogenAppliedToSoilsScope1(J45,_xlfn.XLOOKUP($E81,$D$22:$D$26,$E$22:$E$26),_xlfn.XLOOKUP($E81, $D$31:$D$35,$E$31:$E$35),J57,$F69)</f>
        <v>216.62306401182042</v>
      </c>
      <c r="K81" s="26"/>
      <c r="O81" s="25" t="str">
        <f>INDEX(X_Table_Dairy_ProductionSystems_Method1,4,1)</f>
        <v>Feed pad</v>
      </c>
      <c r="P81" s="25" t="str">
        <f>INDEX(X_Table_Dairy_Stage1MMS_2_SumpAndDispersal,2,1)</f>
        <v>Sump and dispersal system</v>
      </c>
      <c r="Q81" s="25" cm="1">
        <f t="array" aca="1" ref="Q81" ca="1">MMS_Dairy_ManureAppliedToSoils_Equations.VEERG_4_3_1_8__1_MassOfNitrogenAppliedToSoilsScope1(Q45,_xlfn.XLOOKUP($P81,$D$22:$D$26,$E$22:$E$26),_xlfn.XLOOKUP($P81, $D$31:$D$35,$E$31:$E$35),Q57,$F69)</f>
        <v>901.24353068904043</v>
      </c>
      <c r="R81" s="25" cm="1">
        <f t="array" aca="1" ref="R81" ca="1">MMS_Dairy_ManureAppliedToSoils_Equations.VEERG_4_3_1_8__1_MassOfNitrogenAppliedToSoilsScope1(R45,_xlfn.XLOOKUP($P81,$D$22:$D$26,$E$22:$E$26),_xlfn.XLOOKUP($P81, $D$31:$D$35,$E$31:$E$35),R57,$F69)</f>
        <v>411.64809830845161</v>
      </c>
      <c r="S81" s="25" cm="1">
        <f t="array" aca="1" ref="S81" ca="1">MMS_Dairy_ManureAppliedToSoils_Equations.VEERG_4_3_1_8__1_MassOfNitrogenAppliedToSoilsScope1(S45,_xlfn.XLOOKUP($P81,$D$22:$D$26,$E$22:$E$26),_xlfn.XLOOKUP($P81, $D$31:$D$35,$E$31:$E$35),S57,$F69)</f>
        <v>163.95508420174144</v>
      </c>
      <c r="T81" s="25" cm="1">
        <f t="array" aca="1" ref="T81" ca="1">MMS_Dairy_ManureAppliedToSoils_Equations.VEERG_4_3_1_8__1_MassOfNitrogenAppliedToSoilsScope1(T45,_xlfn.XLOOKUP($P81,$D$22:$D$26,$E$22:$E$26),_xlfn.XLOOKUP($P81, $D$31:$D$35,$E$31:$E$35),T57,$F69)</f>
        <v>517.45793984697025</v>
      </c>
      <c r="U81" s="25" cm="1">
        <f t="array" aca="1" ref="U81" ca="1">MMS_Dairy_ManureAppliedToSoils_Equations.VEERG_4_3_1_8__1_MassOfNitrogenAppliedToSoilsScope1(U45,_xlfn.XLOOKUP($P81,$D$22:$D$26,$E$22:$E$26),_xlfn.XLOOKUP($P81, $D$31:$D$35,$E$31:$E$35),U57,$F69)</f>
        <v>216.62306401182042</v>
      </c>
      <c r="V81" s="26"/>
    </row>
    <row r="82" spans="3:23" ht="20.100000000000001" customHeight="1" x14ac:dyDescent="0.25">
      <c r="D82" s="25" t="str">
        <f>INDEX(X_Table_Dairy_ProductionSystems_Method1,4,1)</f>
        <v>Feed pad</v>
      </c>
      <c r="E82" s="25" t="str">
        <f>INDEX(X_Table_Dairy_Stage1MMS_2_DrainsToPaddock,2,1)</f>
        <v>Drains to paddock</v>
      </c>
      <c r="F82" s="25" cm="1">
        <f t="array" aca="1" ref="F82" ca="1">MMS_Dairy_ManureAppliedToSoils_Equations.VEERG_4_3_1_8__1_MassOfNitrogenAppliedToSoilsScope1(F46,_xlfn.XLOOKUP($E82,$D$22:$D$26,$E$22:$E$26),_xlfn.XLOOKUP($E82, $D$31:$D$35,$E$31:$E$35),F58,$F70)</f>
        <v>775.26325220562626</v>
      </c>
      <c r="G82" s="25" cm="1">
        <f t="array" aca="1" ref="G82" ca="1">MMS_Dairy_ManureAppliedToSoils_Equations.VEERG_4_3_1_8__1_MassOfNitrogenAppliedToSoilsScope1(G46,_xlfn.XLOOKUP($E82,$D$22:$D$26,$E$22:$E$26),_xlfn.XLOOKUP($E82, $D$31:$D$35,$E$31:$E$35),G58,$F70)</f>
        <v>354.10589101802293</v>
      </c>
      <c r="H82" s="25" cm="1">
        <f t="array" aca="1" ref="H82" ca="1">MMS_Dairy_ManureAppliedToSoils_Equations.VEERG_4_3_1_8__1_MassOfNitrogenAppliedToSoilsScope1(H46,_xlfn.XLOOKUP($E82,$D$22:$D$26,$E$22:$E$26),_xlfn.XLOOKUP($E82, $D$31:$D$35,$E$31:$E$35),H58,$F70)</f>
        <v>141.0366315713905</v>
      </c>
      <c r="I82" s="25" cm="1">
        <f t="array" aca="1" ref="I82" ca="1">MMS_Dairy_ManureAppliedToSoils_Equations.VEERG_4_3_1_8__1_MassOfNitrogenAppliedToSoilsScope1(I46,_xlfn.XLOOKUP($E82,$D$22:$D$26,$E$22:$E$26),_xlfn.XLOOKUP($E82, $D$31:$D$35,$E$31:$E$35),I58,$F70)</f>
        <v>445.1251095457809</v>
      </c>
      <c r="J82" s="25" cm="1">
        <f t="array" aca="1" ref="J82" ca="1">MMS_Dairy_ManureAppliedToSoils_Equations.VEERG_4_3_1_8__1_MassOfNitrogenAppliedToSoilsScope1(J46,_xlfn.XLOOKUP($E82,$D$22:$D$26,$E$22:$E$26),_xlfn.XLOOKUP($E82, $D$31:$D$35,$E$31:$E$35),J58,$F70)</f>
        <v>186.34242065532939</v>
      </c>
      <c r="K82" s="26"/>
      <c r="O82" s="25" t="str">
        <f>INDEX(X_Table_Dairy_ProductionSystems_Method1,4,1)</f>
        <v>Feed pad</v>
      </c>
      <c r="P82" s="25" t="str">
        <f>INDEX(X_Table_Dairy_Stage1MMS_2_DrainsToPaddock,2,1)</f>
        <v>Drains to paddock</v>
      </c>
      <c r="Q82" s="25" cm="1">
        <f t="array" aca="1" ref="Q82" ca="1">MMS_Dairy_ManureAppliedToSoils_Equations.VEERG_4_3_1_8__1_MassOfNitrogenAppliedToSoilsScope1(Q46,_xlfn.XLOOKUP($P82,$D$22:$D$26,$E$22:$E$26),_xlfn.XLOOKUP($P82, $D$31:$D$35,$E$31:$E$35),Q58,$F70)</f>
        <v>775.26325220562626</v>
      </c>
      <c r="R82" s="25" cm="1">
        <f t="array" aca="1" ref="R82" ca="1">MMS_Dairy_ManureAppliedToSoils_Equations.VEERG_4_3_1_8__1_MassOfNitrogenAppliedToSoilsScope1(R46,_xlfn.XLOOKUP($P82,$D$22:$D$26,$E$22:$E$26),_xlfn.XLOOKUP($P82, $D$31:$D$35,$E$31:$E$35),R58,$F70)</f>
        <v>354.10589101802293</v>
      </c>
      <c r="S82" s="25" cm="1">
        <f t="array" aca="1" ref="S82" ca="1">MMS_Dairy_ManureAppliedToSoils_Equations.VEERG_4_3_1_8__1_MassOfNitrogenAppliedToSoilsScope1(S46,_xlfn.XLOOKUP($P82,$D$22:$D$26,$E$22:$E$26),_xlfn.XLOOKUP($P82, $D$31:$D$35,$E$31:$E$35),S58,$F70)</f>
        <v>141.0366315713905</v>
      </c>
      <c r="T82" s="25" cm="1">
        <f t="array" aca="1" ref="T82" ca="1">MMS_Dairy_ManureAppliedToSoils_Equations.VEERG_4_3_1_8__1_MassOfNitrogenAppliedToSoilsScope1(T46,_xlfn.XLOOKUP($P82,$D$22:$D$26,$E$22:$E$26),_xlfn.XLOOKUP($P82, $D$31:$D$35,$E$31:$E$35),T58,$F70)</f>
        <v>445.1251095457809</v>
      </c>
      <c r="U82" s="25" cm="1">
        <f t="array" aca="1" ref="U82" ca="1">MMS_Dairy_ManureAppliedToSoils_Equations.VEERG_4_3_1_8__1_MassOfNitrogenAppliedToSoilsScope1(U46,_xlfn.XLOOKUP($P82,$D$22:$D$26,$E$22:$E$26),_xlfn.XLOOKUP($P82, $D$31:$D$35,$E$31:$E$35),U58,$F70)</f>
        <v>186.34242065532939</v>
      </c>
      <c r="V82" s="26"/>
    </row>
    <row r="83" spans="3:23" ht="20.100000000000001" customHeight="1" x14ac:dyDescent="0.25">
      <c r="D83" s="25" t="str">
        <f>INDEX(X_Table_Dairy_ProductionSystems_Method1,4,1)</f>
        <v>Feed pad</v>
      </c>
      <c r="E83" s="25" t="s">
        <v>76</v>
      </c>
      <c r="F83" s="25" cm="1">
        <f t="array" aca="1" ref="F83" ca="1">MMS_Dairy_ManureAppliedToSoils_Equations.VEERG_4_3_1_8__1_MassOfNitrogenAppliedToSoilsScope1(F47,_xlfn.XLOOKUP($E83,$D$22:$D$26,$E$22:$E$26),_xlfn.XLOOKUP($E83, $D$31:$D$35,$E$31:$E$35),F59,$F71)</f>
        <v>1144.72464583487</v>
      </c>
      <c r="G83" s="25" cm="1">
        <f t="array" aca="1" ref="G83" ca="1">MMS_Dairy_ManureAppliedToSoils_Equations.VEERG_4_3_1_8__1_MassOfNitrogenAppliedToSoilsScope1(G47,_xlfn.XLOOKUP($E83,$D$22:$D$26,$E$22:$E$26),_xlfn.XLOOKUP($E83, $D$31:$D$35,$E$31:$E$35),G59,$F71)</f>
        <v>522.85947970629945</v>
      </c>
      <c r="H83" s="25" cm="1">
        <f t="array" aca="1" ref="H83" ca="1">MMS_Dairy_ManureAppliedToSoils_Equations.VEERG_4_3_1_8__1_MassOfNitrogenAppliedToSoilsScope1(H47,_xlfn.XLOOKUP($E83,$D$22:$D$26,$E$22:$E$26),_xlfn.XLOOKUP($E83, $D$31:$D$35,$E$31:$E$35),H59,$F71)</f>
        <v>208.24940130463128</v>
      </c>
      <c r="I83" s="25" cm="1">
        <f t="array" aca="1" ref="I83" ca="1">MMS_Dairy_ManureAppliedToSoils_Equations.VEERG_4_3_1_8__1_MassOfNitrogenAppliedToSoilsScope1(I47,_xlfn.XLOOKUP($E83,$D$22:$D$26,$E$22:$E$26),_xlfn.XLOOKUP($E83, $D$31:$D$35,$E$31:$E$35),I59,$F71)</f>
        <v>657.25504456369208</v>
      </c>
      <c r="J83" s="25" cm="1">
        <f t="array" aca="1" ref="J83" ca="1">MMS_Dairy_ManureAppliedToSoils_Equations.VEERG_4_3_1_8__1_MassOfNitrogenAppliedToSoilsScope1(J47,_xlfn.XLOOKUP($E83,$D$22:$D$26,$E$22:$E$26),_xlfn.XLOOKUP($E83, $D$31:$D$35,$E$31:$E$35),J59,$F71)</f>
        <v>275.14623049888485</v>
      </c>
      <c r="K83" s="26"/>
      <c r="O83" s="25" t="str">
        <f>INDEX(X_Table_Dairy_ProductionSystems_Method1,4,1)</f>
        <v>Feed pad</v>
      </c>
      <c r="P83" s="25" t="s">
        <v>76</v>
      </c>
      <c r="Q83" s="25" cm="1">
        <f t="array" aca="1" ref="Q83" ca="1">MMS_Dairy_ManureAppliedToSoils_Equations.VEERG_4_3_1_8__1_MassOfNitrogenAppliedToSoilsScope1(Q47,_xlfn.XLOOKUP($P83,$D$22:$D$26,$E$22:$E$26),_xlfn.XLOOKUP($P83, $D$31:$D$35,$E$31:$E$35),Q59,$F71)</f>
        <v>1144.72464583487</v>
      </c>
      <c r="R83" s="25" cm="1">
        <f t="array" aca="1" ref="R83" ca="1">MMS_Dairy_ManureAppliedToSoils_Equations.VEERG_4_3_1_8__1_MassOfNitrogenAppliedToSoilsScope1(R47,_xlfn.XLOOKUP($P83,$D$22:$D$26,$E$22:$E$26),_xlfn.XLOOKUP($P83, $D$31:$D$35,$E$31:$E$35),R59,$F71)</f>
        <v>522.85947970629945</v>
      </c>
      <c r="S83" s="25" cm="1">
        <f t="array" aca="1" ref="S83" ca="1">MMS_Dairy_ManureAppliedToSoils_Equations.VEERG_4_3_1_8__1_MassOfNitrogenAppliedToSoilsScope1(S47,_xlfn.XLOOKUP($P83,$D$22:$D$26,$E$22:$E$26),_xlfn.XLOOKUP($P83, $D$31:$D$35,$E$31:$E$35),S59,$F71)</f>
        <v>208.24940130463128</v>
      </c>
      <c r="T83" s="25" cm="1">
        <f t="array" aca="1" ref="T83" ca="1">MMS_Dairy_ManureAppliedToSoils_Equations.VEERG_4_3_1_8__1_MassOfNitrogenAppliedToSoilsScope1(T47,_xlfn.XLOOKUP($P83,$D$22:$D$26,$E$22:$E$26),_xlfn.XLOOKUP($P83, $D$31:$D$35,$E$31:$E$35),T59,$F71)</f>
        <v>657.25504456369208</v>
      </c>
      <c r="U83" s="25" cm="1">
        <f t="array" aca="1" ref="U83" ca="1">MMS_Dairy_ManureAppliedToSoils_Equations.VEERG_4_3_1_8__1_MassOfNitrogenAppliedToSoilsScope1(U47,_xlfn.XLOOKUP($P83,$D$22:$D$26,$E$22:$E$26),_xlfn.XLOOKUP($P83, $D$31:$D$35,$E$31:$E$35),U59,$F71)</f>
        <v>275.14623049888485</v>
      </c>
      <c r="V83" s="26"/>
    </row>
    <row r="84" spans="3:23" ht="20.100000000000001" customHeight="1" x14ac:dyDescent="0.25"/>
    <row r="85" spans="3:23" ht="20.100000000000001" customHeight="1" x14ac:dyDescent="0.25">
      <c r="D85" s="135" t="s">
        <v>449</v>
      </c>
      <c r="E85" s="136">
        <f ca="1">SUM(F76:J83)</f>
        <v>11592.578908618651</v>
      </c>
      <c r="F85" s="137" t="str">
        <f>$E$11</f>
        <v>kg N</v>
      </c>
      <c r="O85" s="135" t="s">
        <v>449</v>
      </c>
      <c r="P85" s="136">
        <f ca="1">SUM(Q76:U83)</f>
        <v>11592.578908618651</v>
      </c>
      <c r="Q85" s="137" t="str">
        <f>$E$11</f>
        <v>kg N</v>
      </c>
    </row>
    <row r="86" spans="3:23" ht="20.100000000000001" customHeight="1" x14ac:dyDescent="0.25"/>
    <row r="87" spans="3:23" ht="20.100000000000001" customHeight="1" x14ac:dyDescent="0.25"/>
    <row r="88" spans="3:23" ht="20.100000000000001" customHeight="1" x14ac:dyDescent="0.25">
      <c r="C88" s="101"/>
      <c r="D88" s="101"/>
      <c r="E88" s="101"/>
      <c r="F88" s="101"/>
      <c r="G88" s="101"/>
      <c r="H88" s="101"/>
      <c r="I88" s="101"/>
      <c r="J88" s="101"/>
      <c r="K88" s="101"/>
      <c r="L88" s="101"/>
      <c r="N88" s="101"/>
      <c r="O88" s="101"/>
      <c r="P88" s="101"/>
      <c r="Q88" s="101"/>
      <c r="R88" s="101"/>
      <c r="S88" s="101"/>
      <c r="T88" s="101"/>
      <c r="U88" s="101"/>
      <c r="V88" s="101"/>
      <c r="W88" s="101"/>
    </row>
    <row r="89" spans="3:23" ht="20.100000000000001" customHeight="1" x14ac:dyDescent="0.25">
      <c r="D89" s="2" t="str" cm="1">
        <f t="array" ref="D89">MMS_Dairy_ManureAppliedToSoils_Equations.VEERG_4_3_1_8__2_MassOfNitrogenAppliedToSoilsScope3_Title()</f>
        <v>Mass of nitrogen from manure applied to soils for scope 3 emissions</v>
      </c>
    </row>
    <row r="90" spans="3:23" ht="20.100000000000001" customHeight="1" x14ac:dyDescent="0.25">
      <c r="D90" s="27" t="str" cm="1">
        <f t="array" ref="D90">MMS_Dairy_ManureAppliedToSoils_Equations.VEERG_4_3_1_8__2_MassOfNitrogenAppliedToSoilsScope3_Source()</f>
        <v>VEERG 2026: 4.3.1.8, Equation (2)</v>
      </c>
    </row>
    <row r="91" spans="3:23" ht="20.100000000000001" customHeight="1" x14ac:dyDescent="0.25">
      <c r="D91" s="118" t="s">
        <v>262</v>
      </c>
      <c r="E91" s="118"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row r="94" spans="3:23" ht="20.100000000000001" customHeight="1" x14ac:dyDescent="0.25">
      <c r="D94" s="87" t="s">
        <v>263</v>
      </c>
      <c r="E94" s="1" t="str" cm="1">
        <f t="array" ref="E94">MMS_Dairy_ManureAppliedToSoils_Equations.VEERG_4_3_1_8__2_MassOfNitrogenAppliedToSoilsScope3_Variable()</f>
        <v>MNSoil_scope3</v>
      </c>
    </row>
    <row r="95" spans="3:23" ht="20.100000000000001" customHeight="1" x14ac:dyDescent="0.25">
      <c r="D95" s="87" t="s">
        <v>122</v>
      </c>
      <c r="E95" s="15"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20" t="str" cm="1">
        <f t="array" ref="D97:E101">_xlfn.CHOOSECOLS(MMS_Dairy_ManureAppliedToSoils_Equations.VEERG_4_3_1_8__2_MassOfNitrogenAppliedToSoilsScope3_Arguments(),1,2)</f>
        <v>MN_jm</v>
      </c>
      <c r="E97" s="125" t="str">
        <v>total nitrogen in each MMS for dairy cattle classes</v>
      </c>
      <c r="F97" s="126"/>
      <c r="G97" s="120" t="str" cm="1">
        <f t="array" ref="G97:H101">_xlfn.CHOOSECOLS(MMS_Dairy_ManureAppliedToSoils_Equations.VEERG_4_3_1_8__2_MassOfNitrogenAppliedToSoilsScope3_Arguments(),3,4)</f>
        <v>kg N</v>
      </c>
      <c r="H97" s="128" t="str">
        <v>Calculated from 4.3.1.3 (2)</v>
      </c>
      <c r="I97" s="127" t="str" cm="1">
        <f t="array" aca="1" ref="I97" ca="1">HYPERLINK(Common_InputFunctions.Utility_SourceHyperlink($D$37),$D$37)</f>
        <v>M1_Table_MN_j_m</v>
      </c>
    </row>
    <row r="98" spans="4:22" ht="20.100000000000001" customHeight="1" x14ac:dyDescent="0.25">
      <c r="D98" s="120" t="str">
        <v>EF_m</v>
      </c>
      <c r="E98" s="125" t="str">
        <v>emission factor for nitrous oxide emissions per MMS</v>
      </c>
      <c r="F98" s="126"/>
      <c r="G98" s="120" t="str">
        <v>kg N2O-N/kg N</v>
      </c>
      <c r="H98" s="128" t="str">
        <v>Constant</v>
      </c>
      <c r="I98" s="127" t="str" cm="1">
        <f t="array" aca="1" ref="I98" ca="1">HYPERLINK(Common_InputFunctions.Utility_SourceHyperlink($D$19),$D$19)</f>
        <v>Table_EF_m</v>
      </c>
    </row>
    <row r="99" spans="4:22" ht="20.100000000000001" customHeight="1" x14ac:dyDescent="0.25">
      <c r="D99" s="120" t="str">
        <v>FracGASM_m</v>
      </c>
      <c r="E99" s="125" t="str">
        <v>fraction of N volatilised from MMS</v>
      </c>
      <c r="F99" s="126"/>
      <c r="G99" s="120" t="str">
        <v>fraction</v>
      </c>
      <c r="H99" s="128" t="str">
        <v>Constant</v>
      </c>
      <c r="I99" s="127" t="str" cm="1">
        <f t="array" aca="1" ref="I99" ca="1">HYPERLINK(Common_InputFunctions.Utility_SourceHyperlink($D$28),$D$28)</f>
        <v>Table_FracGASM_m</v>
      </c>
    </row>
    <row r="100" spans="4:22" ht="20.100000000000001" customHeight="1" x14ac:dyDescent="0.25">
      <c r="D100" s="120" t="str">
        <v>MNLeach_jm</v>
      </c>
      <c r="E100" s="125" t="str">
        <v>mass of N lost through leaching and runoff from each MMS</v>
      </c>
      <c r="F100" s="126"/>
      <c r="G100" s="120" t="str">
        <v>kg N</v>
      </c>
      <c r="H100" s="128" t="str">
        <v>Calculated from 4.3.1.6 (2)</v>
      </c>
      <c r="I100" s="127" t="str" cm="1">
        <f t="array" aca="1" ref="I100" ca="1">HYPERLINK(Common_InputFunctions.Utility_SourceHyperlink($D$49),$D$49)</f>
        <v>M1_Table_MN_leach_j_m</v>
      </c>
    </row>
    <row r="101" spans="4:22" ht="20.100000000000001" customHeight="1" x14ac:dyDescent="0.25">
      <c r="D101" s="120" t="str">
        <v>PF</v>
      </c>
      <c r="E101" s="125" t="str">
        <v>fraction of manure applied to soil within farm boundary</v>
      </c>
      <c r="F101" s="126"/>
      <c r="G101" s="120" t="str">
        <v>fraction</v>
      </c>
      <c r="H101" s="121" t="str">
        <v>Input</v>
      </c>
      <c r="I101" s="127" t="str" cm="1">
        <f t="array" aca="1" ref="I101" ca="1">HYPERLINK(Common_InputFunctions.Utility_SourceHyperlink($D$61),$D$61)</f>
        <v>Table_PF_scope</v>
      </c>
    </row>
    <row r="102" spans="4:22" ht="20.100000000000001" customHeight="1" x14ac:dyDescent="0.25"/>
    <row r="103" spans="4:22" ht="20.100000000000001" customHeight="1" x14ac:dyDescent="0.25">
      <c r="D103" s="122" t="s">
        <v>450</v>
      </c>
      <c r="O103" s="122" t="s">
        <v>451</v>
      </c>
    </row>
    <row r="104" spans="4:22" ht="20.100000000000001" customHeight="1" x14ac:dyDescent="0.25">
      <c r="D104" s="123" t="s">
        <v>452</v>
      </c>
      <c r="O104" s="123" t="s">
        <v>453</v>
      </c>
    </row>
    <row r="105" spans="4:22" ht="20.100000000000001" customHeight="1" x14ac:dyDescent="0.25">
      <c r="D105" s="124" t="s">
        <v>168</v>
      </c>
      <c r="E105" s="124" t="s">
        <v>307</v>
      </c>
      <c r="F105" s="124" t="s">
        <v>213</v>
      </c>
      <c r="G105" s="124" t="s">
        <v>214</v>
      </c>
      <c r="H105" s="124" t="s">
        <v>215</v>
      </c>
      <c r="I105" s="124" t="s">
        <v>216</v>
      </c>
      <c r="J105" s="124" t="s">
        <v>217</v>
      </c>
      <c r="O105" s="124" t="s">
        <v>168</v>
      </c>
      <c r="P105" s="124" t="s">
        <v>307</v>
      </c>
      <c r="Q105" s="124" t="s">
        <v>213</v>
      </c>
      <c r="R105" s="124" t="s">
        <v>214</v>
      </c>
      <c r="S105" s="124" t="s">
        <v>215</v>
      </c>
      <c r="T105" s="124" t="s">
        <v>216</v>
      </c>
      <c r="U105" s="124" t="s">
        <v>217</v>
      </c>
    </row>
    <row r="106" spans="4:22" ht="20.100000000000001" customHeight="1" x14ac:dyDescent="0.25">
      <c r="D106" s="25" t="str">
        <f>INDEX(X_Table_Dairy_ProductionSystems_Method1,3,1)</f>
        <v>Milking shed</v>
      </c>
      <c r="E106" s="25" t="str">
        <f>INDEX(X_Table_Dairy_Stage1MMS_1_AnaerobicLagoon,2,1)</f>
        <v>Anaerobic lagoon</v>
      </c>
      <c r="F106" s="25" cm="1">
        <f t="array" aca="1" ref="F106" ca="1">MMS_Dairy_ManureAppliedToSoils_Equations.VEERG_4_3_1_8__2_MassOfNitrogenAppliedToSoilsScope3(F40, _xlfn.XLOOKUP($E106, $D$22:$D$26,$E$22:$E$26), _xlfn.XLOOKUP($E106,$D$31:$D$35,$E$31:$E$35),F52, $F64)</f>
        <v>64.877484237713347</v>
      </c>
      <c r="G106" s="25" cm="1">
        <f t="array" aca="1" ref="G106" ca="1">MMS_Dairy_ManureAppliedToSoils_Equations.VEERG_4_3_1_8__2_MassOfNitrogenAppliedToSoilsScope3(G40, _xlfn.XLOOKUP($E106, $D$22:$D$26,$E$22:$E$26), _xlfn.XLOOKUP($E106,$D$31:$D$35,$E$31:$E$35),G52, $F64)</f>
        <v>29.633159185145878</v>
      </c>
      <c r="H106" s="25" cm="1">
        <f t="array" aca="1" ref="H106" ca="1">MMS_Dairy_ManureAppliedToSoils_Equations.VEERG_4_3_1_8__2_MassOfNitrogenAppliedToSoilsScope3(H40, _xlfn.XLOOKUP($E106, $D$22:$D$26,$E$22:$E$26), _xlfn.XLOOKUP($E106,$D$31:$D$35,$E$31:$E$35),H52, $F64)</f>
        <v>11.802573920124557</v>
      </c>
      <c r="I106" s="25" cm="1">
        <f t="array" aca="1" ref="I106" ca="1">MMS_Dairy_ManureAppliedToSoils_Equations.VEERG_4_3_1_8__2_MassOfNitrogenAppliedToSoilsScope3(I40, _xlfn.XLOOKUP($E106, $D$22:$D$26,$E$22:$E$26), _xlfn.XLOOKUP($E106,$D$31:$D$35,$E$31:$E$35),I52, $F64)</f>
        <v>37.250053057728621</v>
      </c>
      <c r="J106" s="25" cm="1">
        <f t="array" aca="1" ref="J106" ca="1">MMS_Dairy_ManureAppliedToSoils_Equations.VEERG_4_3_1_8__2_MassOfNitrogenAppliedToSoilsScope3(J40, _xlfn.XLOOKUP($E106, $D$22:$D$26,$E$22:$E$26), _xlfn.XLOOKUP($E106,$D$31:$D$35,$E$31:$E$35),J52, $F64)</f>
        <v>15.593964275346504</v>
      </c>
      <c r="K106" s="26" t="str">
        <f t="shared" ref="K106" si="2">$E$95</f>
        <v>kg N</v>
      </c>
      <c r="O106" s="25" t="str">
        <f>INDEX(X_Table_Dairy_ProductionSystems_Method1,3,1)</f>
        <v>Milking shed</v>
      </c>
      <c r="P106" s="25" t="str">
        <f>INDEX(X_Table_Dairy_Stage1MMS_1_AnaerobicLagoon,2,1)</f>
        <v>Anaerobic lagoon</v>
      </c>
      <c r="Q106" s="25" cm="1">
        <f t="array" aca="1" ref="Q106" ca="1">MMS_Dairy_ManureAppliedToSoils_Equations.VEERG_4_3_1_8__2_MassOfNitrogenAppliedToSoilsScope3(Q40, _xlfn.XLOOKUP($P106, $D$22:$D$26,$E$22:$E$26), _xlfn.XLOOKUP($P106,$D$31:$D$35,$E$31:$E$35),Q52, $F64)</f>
        <v>64.877484237713347</v>
      </c>
      <c r="R106" s="25" cm="1">
        <f t="array" aca="1" ref="R106" ca="1">MMS_Dairy_ManureAppliedToSoils_Equations.VEERG_4_3_1_8__2_MassOfNitrogenAppliedToSoilsScope3(R40, _xlfn.XLOOKUP($P106, $D$22:$D$26,$E$22:$E$26), _xlfn.XLOOKUP($P106,$D$31:$D$35,$E$31:$E$35),R52, $F64)</f>
        <v>29.633159185145878</v>
      </c>
      <c r="S106" s="25" cm="1">
        <f t="array" aca="1" ref="S106" ca="1">MMS_Dairy_ManureAppliedToSoils_Equations.VEERG_4_3_1_8__2_MassOfNitrogenAppliedToSoilsScope3(S40, _xlfn.XLOOKUP($P106, $D$22:$D$26,$E$22:$E$26), _xlfn.XLOOKUP($P106,$D$31:$D$35,$E$31:$E$35),S52, $F64)</f>
        <v>11.802573920124557</v>
      </c>
      <c r="T106" s="25" cm="1">
        <f t="array" aca="1" ref="T106" ca="1">MMS_Dairy_ManureAppliedToSoils_Equations.VEERG_4_3_1_8__2_MassOfNitrogenAppliedToSoilsScope3(T40, _xlfn.XLOOKUP($P106, $D$22:$D$26,$E$22:$E$26), _xlfn.XLOOKUP($P106,$D$31:$D$35,$E$31:$E$35),T52, $F64)</f>
        <v>37.250053057728621</v>
      </c>
      <c r="U106" s="25" cm="1">
        <f t="array" aca="1" ref="U106" ca="1">MMS_Dairy_ManureAppliedToSoils_Equations.VEERG_4_3_1_8__2_MassOfNitrogenAppliedToSoilsScope3(U40, _xlfn.XLOOKUP($P106, $D$22:$D$26,$E$22:$E$26), _xlfn.XLOOKUP($P106,$D$31:$D$35,$E$31:$E$35),U52, $F64)</f>
        <v>15.593964275346504</v>
      </c>
      <c r="V106" s="26" t="str">
        <f t="shared" ref="V106" si="3">$E$95</f>
        <v>kg N</v>
      </c>
    </row>
    <row r="107" spans="4:22" ht="20.100000000000001" customHeight="1" x14ac:dyDescent="0.25">
      <c r="D107" s="25" t="str">
        <f>INDEX(X_Table_Dairy_ProductionSystems_Method1,3,1)</f>
        <v>Milking shed</v>
      </c>
      <c r="E107" s="25" t="str">
        <f>INDEX(X_Table_Dairy_Stage1MMS_1_SumpAndDispersal,2,1)</f>
        <v>Sump and dispersal system</v>
      </c>
      <c r="F107" s="25" cm="1">
        <f t="array" aca="1" ref="F107" ca="1">MMS_Dairy_ManureAppliedToSoils_Equations.VEERG_4_3_1_8__2_MassOfNitrogenAppliedToSoilsScope3(F41, _xlfn.XLOOKUP($E107, $D$22:$D$26,$E$22:$E$26), _xlfn.XLOOKUP($E107,$D$31:$D$35,$E$31:$E$35),F53, $F65)</f>
        <v>92.824708217036019</v>
      </c>
      <c r="G107" s="25" cm="1">
        <f t="array" aca="1" ref="G107" ca="1">MMS_Dairy_ManureAppliedToSoils_Equations.VEERG_4_3_1_8__2_MassOfNitrogenAppliedToSoilsScope3(G41, _xlfn.XLOOKUP($E107, $D$22:$D$26,$E$22:$E$26), _xlfn.XLOOKUP($E107,$D$31:$D$35,$E$31:$E$35),G53, $F65)</f>
        <v>42.398212372593328</v>
      </c>
      <c r="H107" s="25" cm="1">
        <f t="array" aca="1" ref="H107" ca="1">MMS_Dairy_ManureAppliedToSoils_Equations.VEERG_4_3_1_8__2_MassOfNitrogenAppliedToSoilsScope3(H41, _xlfn.XLOOKUP($E107, $D$22:$D$26,$E$22:$E$26), _xlfn.XLOOKUP($E107,$D$31:$D$35,$E$31:$E$35),H53, $F65)</f>
        <v>16.886759608793596</v>
      </c>
      <c r="I107" s="25" cm="1">
        <f t="array" aca="1" ref="I107" ca="1">MMS_Dairy_ManureAppliedToSoils_Equations.VEERG_4_3_1_8__2_MassOfNitrogenAppliedToSoilsScope3(I41, _xlfn.XLOOKUP($E107, $D$22:$D$26,$E$22:$E$26), _xlfn.XLOOKUP($E107,$D$31:$D$35,$E$31:$E$35),I53, $F65)</f>
        <v>53.296229759519406</v>
      </c>
      <c r="J107" s="25" cm="1">
        <f t="array" aca="1" ref="J107" ca="1">MMS_Dairy_ManureAppliedToSoils_Equations.VEERG_4_3_1_8__2_MassOfNitrogenAppliedToSoilsScope3(J41, _xlfn.XLOOKUP($E107, $D$22:$D$26,$E$22:$E$26), _xlfn.XLOOKUP($E107,$D$31:$D$35,$E$31:$E$35),J53, $F65)</f>
        <v>22.311364270880382</v>
      </c>
      <c r="K107" s="26"/>
      <c r="O107" s="25" t="str">
        <f>INDEX(X_Table_Dairy_ProductionSystems_Method1,3,1)</f>
        <v>Milking shed</v>
      </c>
      <c r="P107" s="25" t="str">
        <f>INDEX(X_Table_Dairy_Stage1MMS_1_SumpAndDispersal,2,1)</f>
        <v>Sump and dispersal system</v>
      </c>
      <c r="Q107" s="25" cm="1">
        <f t="array" aca="1" ref="Q107" ca="1">MMS_Dairy_ManureAppliedToSoils_Equations.VEERG_4_3_1_8__2_MassOfNitrogenAppliedToSoilsScope3(Q41, _xlfn.XLOOKUP($P107, $D$22:$D$26,$E$22:$E$26), _xlfn.XLOOKUP($P107,$D$31:$D$35,$E$31:$E$35),Q53, $F65)</f>
        <v>92.824708217036019</v>
      </c>
      <c r="R107" s="25" cm="1">
        <f t="array" aca="1" ref="R107" ca="1">MMS_Dairy_ManureAppliedToSoils_Equations.VEERG_4_3_1_8__2_MassOfNitrogenAppliedToSoilsScope3(R41, _xlfn.XLOOKUP($P107, $D$22:$D$26,$E$22:$E$26), _xlfn.XLOOKUP($P107,$D$31:$D$35,$E$31:$E$35),R53, $F65)</f>
        <v>42.398212372593328</v>
      </c>
      <c r="S107" s="25" cm="1">
        <f t="array" aca="1" ref="S107" ca="1">MMS_Dairy_ManureAppliedToSoils_Equations.VEERG_4_3_1_8__2_MassOfNitrogenAppliedToSoilsScope3(S41, _xlfn.XLOOKUP($P107, $D$22:$D$26,$E$22:$E$26), _xlfn.XLOOKUP($P107,$D$31:$D$35,$E$31:$E$35),S53, $F65)</f>
        <v>16.886759608793596</v>
      </c>
      <c r="T107" s="25" cm="1">
        <f t="array" aca="1" ref="T107" ca="1">MMS_Dairy_ManureAppliedToSoils_Equations.VEERG_4_3_1_8__2_MassOfNitrogenAppliedToSoilsScope3(T41, _xlfn.XLOOKUP($P107, $D$22:$D$26,$E$22:$E$26), _xlfn.XLOOKUP($P107,$D$31:$D$35,$E$31:$E$35),T53, $F65)</f>
        <v>53.296229759519406</v>
      </c>
      <c r="U107" s="25" cm="1">
        <f t="array" aca="1" ref="U107" ca="1">MMS_Dairy_ManureAppliedToSoils_Equations.VEERG_4_3_1_8__2_MassOfNitrogenAppliedToSoilsScope3(U41, _xlfn.XLOOKUP($P107, $D$22:$D$26,$E$22:$E$26), _xlfn.XLOOKUP($P107,$D$31:$D$35,$E$31:$E$35),U53, $F65)</f>
        <v>22.311364270880382</v>
      </c>
      <c r="V107" s="26"/>
    </row>
    <row r="108" spans="4:22" ht="20.100000000000001" customHeight="1" x14ac:dyDescent="0.25">
      <c r="D108" s="25" t="str">
        <f>INDEX(X_Table_Dairy_ProductionSystems_Method1,3,1)</f>
        <v>Milking shed</v>
      </c>
      <c r="E108" s="25" t="str">
        <f>INDEX(X_Table_Dairy_Stage1MMS_1_DrainsToPaddock,2,1)</f>
        <v>Drains to paddock</v>
      </c>
      <c r="F108" s="25" cm="1">
        <f t="array" aca="1" ref="F108" ca="1">MMS_Dairy_ManureAppliedToSoils_Equations.VEERG_4_3_1_8__2_MassOfNitrogenAppliedToSoilsScope3(F42, _xlfn.XLOOKUP($E108, $D$22:$D$26,$E$22:$E$26), _xlfn.XLOOKUP($E108,$D$31:$D$35,$E$31:$E$35),F54, $F66)</f>
        <v>79.849211369493361</v>
      </c>
      <c r="G108" s="25" cm="1">
        <f t="array" aca="1" ref="G108" ca="1">MMS_Dairy_ManureAppliedToSoils_Equations.VEERG_4_3_1_8__2_MassOfNitrogenAppliedToSoilsScope3(G42, _xlfn.XLOOKUP($E108, $D$22:$D$26,$E$22:$E$26), _xlfn.XLOOKUP($E108,$D$31:$D$35,$E$31:$E$35),G54, $F66)</f>
        <v>36.471580535564158</v>
      </c>
      <c r="H108" s="25" cm="1">
        <f t="array" aca="1" ref="H108" ca="1">MMS_Dairy_ManureAppliedToSoils_Equations.VEERG_4_3_1_8__2_MassOfNitrogenAppliedToSoilsScope3(H42, _xlfn.XLOOKUP($E108, $D$22:$D$26,$E$22:$E$26), _xlfn.XLOOKUP($E108,$D$31:$D$35,$E$31:$E$35),H54, $F66)</f>
        <v>14.526244824768686</v>
      </c>
      <c r="I108" s="25" cm="1">
        <f t="array" aca="1" ref="I108" ca="1">MMS_Dairy_ManureAppliedToSoils_Equations.VEERG_4_3_1_8__2_MassOfNitrogenAppliedToSoilsScope3(I42, _xlfn.XLOOKUP($E108, $D$22:$D$26,$E$22:$E$26), _xlfn.XLOOKUP($E108,$D$31:$D$35,$E$31:$E$35),I54, $F66)</f>
        <v>45.846219147973692</v>
      </c>
      <c r="J108" s="25" cm="1">
        <f t="array" aca="1" ref="J108" ca="1">MMS_Dairy_ManureAppliedToSoils_Equations.VEERG_4_3_1_8__2_MassOfNitrogenAppliedToSoilsScope3(J42, _xlfn.XLOOKUP($E108, $D$22:$D$26,$E$22:$E$26), _xlfn.XLOOKUP($E108,$D$31:$D$35,$E$31:$E$35),J54, $F66)</f>
        <v>19.192571415811084</v>
      </c>
      <c r="K108" s="26"/>
      <c r="O108" s="25" t="str">
        <f>INDEX(X_Table_Dairy_ProductionSystems_Method1,3,1)</f>
        <v>Milking shed</v>
      </c>
      <c r="P108" s="25" t="str">
        <f>INDEX(X_Table_Dairy_Stage1MMS_1_DrainsToPaddock,2,1)</f>
        <v>Drains to paddock</v>
      </c>
      <c r="Q108" s="25" cm="1">
        <f t="array" aca="1" ref="Q108" ca="1">MMS_Dairy_ManureAppliedToSoils_Equations.VEERG_4_3_1_8__2_MassOfNitrogenAppliedToSoilsScope3(Q42, _xlfn.XLOOKUP($P108, $D$22:$D$26,$E$22:$E$26), _xlfn.XLOOKUP($P108,$D$31:$D$35,$E$31:$E$35),Q54, $F66)</f>
        <v>79.849211369493361</v>
      </c>
      <c r="R108" s="25" cm="1">
        <f t="array" aca="1" ref="R108" ca="1">MMS_Dairy_ManureAppliedToSoils_Equations.VEERG_4_3_1_8__2_MassOfNitrogenAppliedToSoilsScope3(R42, _xlfn.XLOOKUP($P108, $D$22:$D$26,$E$22:$E$26), _xlfn.XLOOKUP($P108,$D$31:$D$35,$E$31:$E$35),R54, $F66)</f>
        <v>36.471580535564158</v>
      </c>
      <c r="S108" s="25" cm="1">
        <f t="array" aca="1" ref="S108" ca="1">MMS_Dairy_ManureAppliedToSoils_Equations.VEERG_4_3_1_8__2_MassOfNitrogenAppliedToSoilsScope3(S42, _xlfn.XLOOKUP($P108, $D$22:$D$26,$E$22:$E$26), _xlfn.XLOOKUP($P108,$D$31:$D$35,$E$31:$E$35),S54, $F66)</f>
        <v>14.526244824768686</v>
      </c>
      <c r="T108" s="25" cm="1">
        <f t="array" aca="1" ref="T108" ca="1">MMS_Dairy_ManureAppliedToSoils_Equations.VEERG_4_3_1_8__2_MassOfNitrogenAppliedToSoilsScope3(T42, _xlfn.XLOOKUP($P108, $D$22:$D$26,$E$22:$E$26), _xlfn.XLOOKUP($P108,$D$31:$D$35,$E$31:$E$35),T54, $F66)</f>
        <v>45.846219147973692</v>
      </c>
      <c r="U108" s="25" cm="1">
        <f t="array" aca="1" ref="U108" ca="1">MMS_Dairy_ManureAppliedToSoils_Equations.VEERG_4_3_1_8__2_MassOfNitrogenAppliedToSoilsScope3(U42, _xlfn.XLOOKUP($P108, $D$22:$D$26,$E$22:$E$26), _xlfn.XLOOKUP($P108,$D$31:$D$35,$E$31:$E$35),U54, $F66)</f>
        <v>19.192571415811084</v>
      </c>
      <c r="V108" s="26"/>
    </row>
    <row r="109" spans="4:22" ht="20.100000000000001" customHeight="1" x14ac:dyDescent="0.25">
      <c r="D109" s="25" t="str">
        <f>INDEX(X_Table_Dairy_ProductionSystems_Method1,3,1)</f>
        <v>Milking shed</v>
      </c>
      <c r="E109" s="25" t="s">
        <v>76</v>
      </c>
      <c r="F109" s="25" cm="1">
        <f t="array" aca="1" ref="F109" ca="1">MMS_Dairy_ManureAppliedToSoils_Equations.VEERG_4_3_1_8__2_MassOfNitrogenAppliedToSoilsScope3(F43, _xlfn.XLOOKUP($E109, $D$22:$D$26,$E$22:$E$26), _xlfn.XLOOKUP($E109,$D$31:$D$35,$E$31:$E$35),F55, $F67)</f>
        <v>134.74554418602003</v>
      </c>
      <c r="G109" s="25" cm="1">
        <f t="array" aca="1" ref="G109" ca="1">MMS_Dairy_ManureAppliedToSoils_Equations.VEERG_4_3_1_8__2_MassOfNitrogenAppliedToSoilsScope3(G43, _xlfn.XLOOKUP($E109, $D$22:$D$26,$E$22:$E$26), _xlfn.XLOOKUP($E109,$D$31:$D$35,$E$31:$E$35),G55, $F67)</f>
        <v>61.545792153764516</v>
      </c>
      <c r="H109" s="25" cm="1">
        <f t="array" aca="1" ref="H109" ca="1">MMS_Dairy_ManureAppliedToSoils_Equations.VEERG_4_3_1_8__2_MassOfNitrogenAppliedToSoilsScope3(H43, _xlfn.XLOOKUP($E109, $D$22:$D$26,$E$22:$E$26), _xlfn.XLOOKUP($E109,$D$31:$D$35,$E$31:$E$35),H55, $F67)</f>
        <v>24.51303814179715</v>
      </c>
      <c r="I109" s="25" cm="1">
        <f t="array" aca="1" ref="I109" ca="1">MMS_Dairy_ManureAppliedToSoils_Equations.VEERG_4_3_1_8__2_MassOfNitrogenAppliedToSoilsScope3(I43, _xlfn.XLOOKUP($E109, $D$22:$D$26,$E$22:$E$26), _xlfn.XLOOKUP($E109,$D$31:$D$35,$E$31:$E$35),I55, $F67)</f>
        <v>77.365494812205597</v>
      </c>
      <c r="J109" s="25" cm="1">
        <f t="array" aca="1" ref="J109" ca="1">MMS_Dairy_ManureAppliedToSoils_Equations.VEERG_4_3_1_8__2_MassOfNitrogenAppliedToSoilsScope3(J43, _xlfn.XLOOKUP($E109, $D$22:$D$26,$E$22:$E$26), _xlfn.XLOOKUP($E109,$D$31:$D$35,$E$31:$E$35),J55, $F67)</f>
        <v>32.387464264181197</v>
      </c>
      <c r="K109" s="26"/>
      <c r="O109" s="25" t="str">
        <f>INDEX(X_Table_Dairy_ProductionSystems_Method1,3,1)</f>
        <v>Milking shed</v>
      </c>
      <c r="P109" s="25" t="s">
        <v>76</v>
      </c>
      <c r="Q109" s="25" cm="1">
        <f t="array" aca="1" ref="Q109" ca="1">MMS_Dairy_ManureAppliedToSoils_Equations.VEERG_4_3_1_8__2_MassOfNitrogenAppliedToSoilsScope3(Q43, _xlfn.XLOOKUP($P109, $D$22:$D$26,$E$22:$E$26), _xlfn.XLOOKUP($P109,$D$31:$D$35,$E$31:$E$35),Q55, $F67)</f>
        <v>134.74554418602003</v>
      </c>
      <c r="R109" s="25" cm="1">
        <f t="array" aca="1" ref="R109" ca="1">MMS_Dairy_ManureAppliedToSoils_Equations.VEERG_4_3_1_8__2_MassOfNitrogenAppliedToSoilsScope3(R43, _xlfn.XLOOKUP($P109, $D$22:$D$26,$E$22:$E$26), _xlfn.XLOOKUP($P109,$D$31:$D$35,$E$31:$E$35),R55, $F67)</f>
        <v>61.545792153764516</v>
      </c>
      <c r="S109" s="25" cm="1">
        <f t="array" aca="1" ref="S109" ca="1">MMS_Dairy_ManureAppliedToSoils_Equations.VEERG_4_3_1_8__2_MassOfNitrogenAppliedToSoilsScope3(S43, _xlfn.XLOOKUP($P109, $D$22:$D$26,$E$22:$E$26), _xlfn.XLOOKUP($P109,$D$31:$D$35,$E$31:$E$35),S55, $F67)</f>
        <v>24.51303814179715</v>
      </c>
      <c r="T109" s="25" cm="1">
        <f t="array" aca="1" ref="T109" ca="1">MMS_Dairy_ManureAppliedToSoils_Equations.VEERG_4_3_1_8__2_MassOfNitrogenAppliedToSoilsScope3(T43, _xlfn.XLOOKUP($P109, $D$22:$D$26,$E$22:$E$26), _xlfn.XLOOKUP($P109,$D$31:$D$35,$E$31:$E$35),T55, $F67)</f>
        <v>77.365494812205597</v>
      </c>
      <c r="U109" s="25" cm="1">
        <f t="array" aca="1" ref="U109" ca="1">MMS_Dairy_ManureAppliedToSoils_Equations.VEERG_4_3_1_8__2_MassOfNitrogenAppliedToSoilsScope3(U43, _xlfn.XLOOKUP($P109, $D$22:$D$26,$E$22:$E$26), _xlfn.XLOOKUP($P109,$D$31:$D$35,$E$31:$E$35),U55, $F67)</f>
        <v>32.387464264181197</v>
      </c>
      <c r="V109" s="26"/>
    </row>
    <row r="110" spans="4:22" ht="20.100000000000001" customHeight="1" x14ac:dyDescent="0.25">
      <c r="D110" s="25" t="str">
        <f>INDEX(X_Table_Dairy_ProductionSystems_Method1,4,1)</f>
        <v>Feed pad</v>
      </c>
      <c r="E110" s="25" t="str">
        <f>INDEX(X_Table_Dairy_Stage1MMS_2_AnaerobicLagoon,2,1)</f>
        <v>Anaerobic lagoon</v>
      </c>
      <c r="F110" s="25" cm="1">
        <f t="array" aca="1" ref="F110" ca="1">MMS_Dairy_ManureAppliedToSoils_Equations.VEERG_4_3_1_8__2_MassOfNitrogenAppliedToSoilsScope3(F44, _xlfn.XLOOKUP($E110, $D$22:$D$26,$E$22:$E$26), _xlfn.XLOOKUP($E110,$D$31:$D$35,$E$31:$E$35),F56, $F68)</f>
        <v>262.45891350711304</v>
      </c>
      <c r="G110" s="25" cm="1">
        <f t="array" aca="1" ref="G110" ca="1">MMS_Dairy_ManureAppliedToSoils_Equations.VEERG_4_3_1_8__2_MassOfNitrogenAppliedToSoilsScope3(G44, _xlfn.XLOOKUP($E110, $D$22:$D$26,$E$22:$E$26), _xlfn.XLOOKUP($E110,$D$31:$D$35,$E$31:$E$35),G56, $F68)</f>
        <v>119.87959852172649</v>
      </c>
      <c r="H110" s="25" cm="1">
        <f t="array" aca="1" ref="H110" ca="1">MMS_Dairy_ManureAppliedToSoils_Equations.VEERG_4_3_1_8__2_MassOfNitrogenAppliedToSoilsScope3(H44, _xlfn.XLOOKUP($E110, $D$22:$D$26,$E$22:$E$26), _xlfn.XLOOKUP($E110,$D$31:$D$35,$E$31:$E$35),H56, $F68)</f>
        <v>47.746776313231159</v>
      </c>
      <c r="I110" s="25" cm="1">
        <f t="array" aca="1" ref="I110" ca="1">MMS_Dairy_ManureAppliedToSoils_Equations.VEERG_4_3_1_8__2_MassOfNitrogenAppliedToSoilsScope3(I44, _xlfn.XLOOKUP($E110, $D$22:$D$26,$E$22:$E$26), _xlfn.XLOOKUP($E110,$D$31:$D$35,$E$31:$E$35),I56, $F68)</f>
        <v>150.69339646081124</v>
      </c>
      <c r="J110" s="25" cm="1">
        <f t="array" aca="1" ref="J110" ca="1">MMS_Dairy_ManureAppliedToSoils_Equations.VEERG_4_3_1_8__2_MassOfNitrogenAppliedToSoilsScope3(J44, _xlfn.XLOOKUP($E110, $D$22:$D$26,$E$22:$E$26), _xlfn.XLOOKUP($E110,$D$31:$D$35,$E$31:$E$35),J56, $F68)</f>
        <v>63.084673659356305</v>
      </c>
      <c r="K110" s="26"/>
      <c r="O110" s="25" t="str">
        <f>INDEX(X_Table_Dairy_ProductionSystems_Method1,4,1)</f>
        <v>Feed pad</v>
      </c>
      <c r="P110" s="25" t="str">
        <f>INDEX(X_Table_Dairy_Stage1MMS_2_AnaerobicLagoon,2,1)</f>
        <v>Anaerobic lagoon</v>
      </c>
      <c r="Q110" s="25" cm="1">
        <f t="array" aca="1" ref="Q110" ca="1">MMS_Dairy_ManureAppliedToSoils_Equations.VEERG_4_3_1_8__2_MassOfNitrogenAppliedToSoilsScope3(Q44, _xlfn.XLOOKUP($P110, $D$22:$D$26,$E$22:$E$26), _xlfn.XLOOKUP($P110,$D$31:$D$35,$E$31:$E$35),Q56, $F68)</f>
        <v>262.45891350711304</v>
      </c>
      <c r="R110" s="25" cm="1">
        <f t="array" aca="1" ref="R110" ca="1">MMS_Dairy_ManureAppliedToSoils_Equations.VEERG_4_3_1_8__2_MassOfNitrogenAppliedToSoilsScope3(R44, _xlfn.XLOOKUP($P110, $D$22:$D$26,$E$22:$E$26), _xlfn.XLOOKUP($P110,$D$31:$D$35,$E$31:$E$35),R56, $F68)</f>
        <v>119.87959852172649</v>
      </c>
      <c r="S110" s="25" cm="1">
        <f t="array" aca="1" ref="S110" ca="1">MMS_Dairy_ManureAppliedToSoils_Equations.VEERG_4_3_1_8__2_MassOfNitrogenAppliedToSoilsScope3(S44, _xlfn.XLOOKUP($P110, $D$22:$D$26,$E$22:$E$26), _xlfn.XLOOKUP($P110,$D$31:$D$35,$E$31:$E$35),S56, $F68)</f>
        <v>47.746776313231159</v>
      </c>
      <c r="T110" s="25" cm="1">
        <f t="array" aca="1" ref="T110" ca="1">MMS_Dairy_ManureAppliedToSoils_Equations.VEERG_4_3_1_8__2_MassOfNitrogenAppliedToSoilsScope3(T44, _xlfn.XLOOKUP($P110, $D$22:$D$26,$E$22:$E$26), _xlfn.XLOOKUP($P110,$D$31:$D$35,$E$31:$E$35),T56, $F68)</f>
        <v>150.69339646081124</v>
      </c>
      <c r="U110" s="25" cm="1">
        <f t="array" aca="1" ref="U110" ca="1">MMS_Dairy_ManureAppliedToSoils_Equations.VEERG_4_3_1_8__2_MassOfNitrogenAppliedToSoilsScope3(U44, _xlfn.XLOOKUP($P110, $D$22:$D$26,$E$22:$E$26), _xlfn.XLOOKUP($P110,$D$31:$D$35,$E$31:$E$35),U56, $F68)</f>
        <v>63.084673659356305</v>
      </c>
      <c r="V110" s="26"/>
    </row>
    <row r="111" spans="4:22" ht="20.100000000000001" customHeight="1" x14ac:dyDescent="0.25">
      <c r="D111" s="25" t="str">
        <f>INDEX(X_Table_Dairy_ProductionSystems_Method1,4,1)</f>
        <v>Feed pad</v>
      </c>
      <c r="E111" s="25" t="str">
        <f>INDEX(X_Table_Dairy_Stage1MMS_2_SumpAndDispersal,2,1)</f>
        <v>Sump and dispersal system</v>
      </c>
      <c r="F111" s="25" cm="1">
        <f t="array" aca="1" ref="F111" ca="1">MMS_Dairy_ManureAppliedToSoils_Equations.VEERG_4_3_1_8__2_MassOfNitrogenAppliedToSoilsScope3(F45, _xlfn.XLOOKUP($E111, $D$22:$D$26,$E$22:$E$26), _xlfn.XLOOKUP($E111,$D$31:$D$35,$E$31:$E$35),F57, $F69)</f>
        <v>300.41451022968016</v>
      </c>
      <c r="G111" s="25" cm="1">
        <f t="array" aca="1" ref="G111" ca="1">MMS_Dairy_ManureAppliedToSoils_Equations.VEERG_4_3_1_8__2_MassOfNitrogenAppliedToSoilsScope3(G45, _xlfn.XLOOKUP($E111, $D$22:$D$26,$E$22:$E$26), _xlfn.XLOOKUP($E111,$D$31:$D$35,$E$31:$E$35),G57, $F69)</f>
        <v>137.21603276948386</v>
      </c>
      <c r="H111" s="25" cm="1">
        <f t="array" aca="1" ref="H111" ca="1">MMS_Dairy_ManureAppliedToSoils_Equations.VEERG_4_3_1_8__2_MassOfNitrogenAppliedToSoilsScope3(H45, _xlfn.XLOOKUP($E111, $D$22:$D$26,$E$22:$E$26), _xlfn.XLOOKUP($E111,$D$31:$D$35,$E$31:$E$35),H57, $F69)</f>
        <v>54.651694733913814</v>
      </c>
      <c r="I111" s="25" cm="1">
        <f t="array" aca="1" ref="I111" ca="1">MMS_Dairy_ManureAppliedToSoils_Equations.VEERG_4_3_1_8__2_MassOfNitrogenAppliedToSoilsScope3(I45, _xlfn.XLOOKUP($E111, $D$22:$D$26,$E$22:$E$26), _xlfn.XLOOKUP($E111,$D$31:$D$35,$E$31:$E$35),I57, $F69)</f>
        <v>172.48597994899006</v>
      </c>
      <c r="J111" s="25" cm="1">
        <f t="array" aca="1" ref="J111" ca="1">MMS_Dairy_ManureAppliedToSoils_Equations.VEERG_4_3_1_8__2_MassOfNitrogenAppliedToSoilsScope3(J45, _xlfn.XLOOKUP($E111, $D$22:$D$26,$E$22:$E$26), _xlfn.XLOOKUP($E111,$D$31:$D$35,$E$31:$E$35),J57, $F69)</f>
        <v>72.207688003940135</v>
      </c>
      <c r="K111" s="26"/>
      <c r="O111" s="25" t="str">
        <f>INDEX(X_Table_Dairy_ProductionSystems_Method1,4,1)</f>
        <v>Feed pad</v>
      </c>
      <c r="P111" s="25" t="str">
        <f>INDEX(X_Table_Dairy_Stage1MMS_2_SumpAndDispersal,2,1)</f>
        <v>Sump and dispersal system</v>
      </c>
      <c r="Q111" s="25" cm="1">
        <f t="array" aca="1" ref="Q111" ca="1">MMS_Dairy_ManureAppliedToSoils_Equations.VEERG_4_3_1_8__2_MassOfNitrogenAppliedToSoilsScope3(Q45, _xlfn.XLOOKUP($P111, $D$22:$D$26,$E$22:$E$26), _xlfn.XLOOKUP($P111,$D$31:$D$35,$E$31:$E$35),Q57, $F69)</f>
        <v>300.41451022968016</v>
      </c>
      <c r="R111" s="25" cm="1">
        <f t="array" aca="1" ref="R111" ca="1">MMS_Dairy_ManureAppliedToSoils_Equations.VEERG_4_3_1_8__2_MassOfNitrogenAppliedToSoilsScope3(R45, _xlfn.XLOOKUP($P111, $D$22:$D$26,$E$22:$E$26), _xlfn.XLOOKUP($P111,$D$31:$D$35,$E$31:$E$35),R57, $F69)</f>
        <v>137.21603276948386</v>
      </c>
      <c r="S111" s="25" cm="1">
        <f t="array" aca="1" ref="S111" ca="1">MMS_Dairy_ManureAppliedToSoils_Equations.VEERG_4_3_1_8__2_MassOfNitrogenAppliedToSoilsScope3(S45, _xlfn.XLOOKUP($P111, $D$22:$D$26,$E$22:$E$26), _xlfn.XLOOKUP($P111,$D$31:$D$35,$E$31:$E$35),S57, $F69)</f>
        <v>54.651694733913814</v>
      </c>
      <c r="T111" s="25" cm="1">
        <f t="array" aca="1" ref="T111" ca="1">MMS_Dairy_ManureAppliedToSoils_Equations.VEERG_4_3_1_8__2_MassOfNitrogenAppliedToSoilsScope3(T45, _xlfn.XLOOKUP($P111, $D$22:$D$26,$E$22:$E$26), _xlfn.XLOOKUP($P111,$D$31:$D$35,$E$31:$E$35),T57, $F69)</f>
        <v>172.48597994899006</v>
      </c>
      <c r="U111" s="25" cm="1">
        <f t="array" aca="1" ref="U111" ca="1">MMS_Dairy_ManureAppliedToSoils_Equations.VEERG_4_3_1_8__2_MassOfNitrogenAppliedToSoilsScope3(U45, _xlfn.XLOOKUP($P111, $D$22:$D$26,$E$22:$E$26), _xlfn.XLOOKUP($P111,$D$31:$D$35,$E$31:$E$35),U57, $F69)</f>
        <v>72.207688003940135</v>
      </c>
      <c r="V111" s="26"/>
    </row>
    <row r="112" spans="4:22" ht="20.100000000000001" customHeight="1" x14ac:dyDescent="0.25">
      <c r="D112" s="25" t="str">
        <f>INDEX(X_Table_Dairy_ProductionSystems_Method1,4,1)</f>
        <v>Feed pad</v>
      </c>
      <c r="E112" s="25" t="str">
        <f>INDEX(X_Table_Dairy_Stage1MMS_2_DrainsToPaddock,2,1)</f>
        <v>Drains to paddock</v>
      </c>
      <c r="F112" s="25" cm="1">
        <f t="array" aca="1" ref="F112" ca="1">MMS_Dairy_ManureAppliedToSoils_Equations.VEERG_4_3_1_8__2_MassOfNitrogenAppliedToSoilsScope3(F46, _xlfn.XLOOKUP($E112, $D$22:$D$26,$E$22:$E$26), _xlfn.XLOOKUP($E112,$D$31:$D$35,$E$31:$E$35),F58, $F70)</f>
        <v>258.42108406854209</v>
      </c>
      <c r="G112" s="25" cm="1">
        <f t="array" aca="1" ref="G112" ca="1">MMS_Dairy_ManureAppliedToSoils_Equations.VEERG_4_3_1_8__2_MassOfNitrogenAppliedToSoilsScope3(G46, _xlfn.XLOOKUP($E112, $D$22:$D$26,$E$22:$E$26), _xlfn.XLOOKUP($E112,$D$31:$D$35,$E$31:$E$35),G58, $F70)</f>
        <v>118.03529700600764</v>
      </c>
      <c r="H112" s="25" cm="1">
        <f t="array" aca="1" ref="H112" ca="1">MMS_Dairy_ManureAppliedToSoils_Equations.VEERG_4_3_1_8__2_MassOfNitrogenAppliedToSoilsScope3(H46, _xlfn.XLOOKUP($E112, $D$22:$D$26,$E$22:$E$26), _xlfn.XLOOKUP($E112,$D$31:$D$35,$E$31:$E$35),H58, $F70)</f>
        <v>47.012210523796831</v>
      </c>
      <c r="I112" s="25" cm="1">
        <f t="array" aca="1" ref="I112" ca="1">MMS_Dairy_ManureAppliedToSoils_Equations.VEERG_4_3_1_8__2_MassOfNitrogenAppliedToSoilsScope3(I46, _xlfn.XLOOKUP($E112, $D$22:$D$26,$E$22:$E$26), _xlfn.XLOOKUP($E112,$D$31:$D$35,$E$31:$E$35),I58, $F70)</f>
        <v>148.37503651526029</v>
      </c>
      <c r="J112" s="25" cm="1">
        <f t="array" aca="1" ref="J112" ca="1">MMS_Dairy_ManureAppliedToSoils_Equations.VEERG_4_3_1_8__2_MassOfNitrogenAppliedToSoilsScope3(J46, _xlfn.XLOOKUP($E112, $D$22:$D$26,$E$22:$E$26), _xlfn.XLOOKUP($E112,$D$31:$D$35,$E$31:$E$35),J58, $F70)</f>
        <v>62.114140218443133</v>
      </c>
      <c r="K112" s="26"/>
      <c r="O112" s="25" t="str">
        <f>INDEX(X_Table_Dairy_ProductionSystems_Method1,4,1)</f>
        <v>Feed pad</v>
      </c>
      <c r="P112" s="25" t="str">
        <f>INDEX(X_Table_Dairy_Stage1MMS_2_DrainsToPaddock,2,1)</f>
        <v>Drains to paddock</v>
      </c>
      <c r="Q112" s="25" cm="1">
        <f t="array" aca="1" ref="Q112" ca="1">MMS_Dairy_ManureAppliedToSoils_Equations.VEERG_4_3_1_8__2_MassOfNitrogenAppliedToSoilsScope3(Q46, _xlfn.XLOOKUP($P112, $D$22:$D$26,$E$22:$E$26), _xlfn.XLOOKUP($P112,$D$31:$D$35,$E$31:$E$35),Q58, $F70)</f>
        <v>258.42108406854209</v>
      </c>
      <c r="R112" s="25" cm="1">
        <f t="array" aca="1" ref="R112" ca="1">MMS_Dairy_ManureAppliedToSoils_Equations.VEERG_4_3_1_8__2_MassOfNitrogenAppliedToSoilsScope3(R46, _xlfn.XLOOKUP($P112, $D$22:$D$26,$E$22:$E$26), _xlfn.XLOOKUP($P112,$D$31:$D$35,$E$31:$E$35),R58, $F70)</f>
        <v>118.03529700600764</v>
      </c>
      <c r="S112" s="25" cm="1">
        <f t="array" aca="1" ref="S112" ca="1">MMS_Dairy_ManureAppliedToSoils_Equations.VEERG_4_3_1_8__2_MassOfNitrogenAppliedToSoilsScope3(S46, _xlfn.XLOOKUP($P112, $D$22:$D$26,$E$22:$E$26), _xlfn.XLOOKUP($P112,$D$31:$D$35,$E$31:$E$35),S58, $F70)</f>
        <v>47.012210523796831</v>
      </c>
      <c r="T112" s="25" cm="1">
        <f t="array" aca="1" ref="T112" ca="1">MMS_Dairy_ManureAppliedToSoils_Equations.VEERG_4_3_1_8__2_MassOfNitrogenAppliedToSoilsScope3(T46, _xlfn.XLOOKUP($P112, $D$22:$D$26,$E$22:$E$26), _xlfn.XLOOKUP($P112,$D$31:$D$35,$E$31:$E$35),T58, $F70)</f>
        <v>148.37503651526029</v>
      </c>
      <c r="U112" s="25" cm="1">
        <f t="array" aca="1" ref="U112" ca="1">MMS_Dairy_ManureAppliedToSoils_Equations.VEERG_4_3_1_8__2_MassOfNitrogenAppliedToSoilsScope3(U46, _xlfn.XLOOKUP($P112, $D$22:$D$26,$E$22:$E$26), _xlfn.XLOOKUP($P112,$D$31:$D$35,$E$31:$E$35),U58, $F70)</f>
        <v>62.114140218443133</v>
      </c>
      <c r="V112" s="26"/>
    </row>
    <row r="113" spans="3:23" ht="20.100000000000001" customHeight="1" x14ac:dyDescent="0.25">
      <c r="D113" s="25" t="str">
        <f>INDEX(X_Table_Dairy_ProductionSystems_Method1,4,1)</f>
        <v>Feed pad</v>
      </c>
      <c r="E113" s="25" t="s">
        <v>76</v>
      </c>
      <c r="F113" s="25" cm="1">
        <f t="array" aca="1" ref="F113" ca="1">MMS_Dairy_ManureAppliedToSoils_Equations.VEERG_4_3_1_8__2_MassOfNitrogenAppliedToSoilsScope3(F47, _xlfn.XLOOKUP($E113, $D$22:$D$26,$E$22:$E$26), _xlfn.XLOOKUP($E113,$D$31:$D$35,$E$31:$E$35),F59, $F71)</f>
        <v>381.57488194495664</v>
      </c>
      <c r="G113" s="25" cm="1">
        <f t="array" aca="1" ref="G113" ca="1">MMS_Dairy_ManureAppliedToSoils_Equations.VEERG_4_3_1_8__2_MassOfNitrogenAppliedToSoilsScope3(G47, _xlfn.XLOOKUP($E113, $D$22:$D$26,$E$22:$E$26), _xlfn.XLOOKUP($E113,$D$31:$D$35,$E$31:$E$35),G59, $F71)</f>
        <v>174.28649323543314</v>
      </c>
      <c r="H113" s="25" cm="1">
        <f t="array" aca="1" ref="H113" ca="1">MMS_Dairy_ManureAppliedToSoils_Equations.VEERG_4_3_1_8__2_MassOfNitrogenAppliedToSoilsScope3(H47, _xlfn.XLOOKUP($E113, $D$22:$D$26,$E$22:$E$26), _xlfn.XLOOKUP($E113,$D$31:$D$35,$E$31:$E$35),H59, $F71)</f>
        <v>69.416467101543759</v>
      </c>
      <c r="I113" s="25" cm="1">
        <f t="array" aca="1" ref="I113" ca="1">MMS_Dairy_ManureAppliedToSoils_Equations.VEERG_4_3_1_8__2_MassOfNitrogenAppliedToSoilsScope3(I47, _xlfn.XLOOKUP($E113, $D$22:$D$26,$E$22:$E$26), _xlfn.XLOOKUP($E113,$D$31:$D$35,$E$31:$E$35),I59, $F71)</f>
        <v>219.08501485456401</v>
      </c>
      <c r="J113" s="25" cm="1">
        <f t="array" aca="1" ref="J113" ca="1">MMS_Dairy_ManureAppliedToSoils_Equations.VEERG_4_3_1_8__2_MassOfNitrogenAppliedToSoilsScope3(J47, _xlfn.XLOOKUP($E113, $D$22:$D$26,$E$22:$E$26), _xlfn.XLOOKUP($E113,$D$31:$D$35,$E$31:$E$35),J59, $F71)</f>
        <v>91.715410166294944</v>
      </c>
      <c r="K113" s="26"/>
      <c r="O113" s="25" t="str">
        <f>INDEX(X_Table_Dairy_ProductionSystems_Method1,4,1)</f>
        <v>Feed pad</v>
      </c>
      <c r="P113" s="25" t="s">
        <v>76</v>
      </c>
      <c r="Q113" s="25" cm="1">
        <f t="array" aca="1" ref="Q113" ca="1">MMS_Dairy_ManureAppliedToSoils_Equations.VEERG_4_3_1_8__2_MassOfNitrogenAppliedToSoilsScope3(Q47, _xlfn.XLOOKUP($P113, $D$22:$D$26,$E$22:$E$26), _xlfn.XLOOKUP($P113,$D$31:$D$35,$E$31:$E$35),Q59, $F71)</f>
        <v>381.57488194495664</v>
      </c>
      <c r="R113" s="25" cm="1">
        <f t="array" aca="1" ref="R113" ca="1">MMS_Dairy_ManureAppliedToSoils_Equations.VEERG_4_3_1_8__2_MassOfNitrogenAppliedToSoilsScope3(R47, _xlfn.XLOOKUP($P113, $D$22:$D$26,$E$22:$E$26), _xlfn.XLOOKUP($P113,$D$31:$D$35,$E$31:$E$35),R59, $F71)</f>
        <v>174.28649323543314</v>
      </c>
      <c r="S113" s="25" cm="1">
        <f t="array" aca="1" ref="S113" ca="1">MMS_Dairy_ManureAppliedToSoils_Equations.VEERG_4_3_1_8__2_MassOfNitrogenAppliedToSoilsScope3(S47, _xlfn.XLOOKUP($P113, $D$22:$D$26,$E$22:$E$26), _xlfn.XLOOKUP($P113,$D$31:$D$35,$E$31:$E$35),S59, $F71)</f>
        <v>69.416467101543759</v>
      </c>
      <c r="T113" s="25" cm="1">
        <f t="array" aca="1" ref="T113" ca="1">MMS_Dairy_ManureAppliedToSoils_Equations.VEERG_4_3_1_8__2_MassOfNitrogenAppliedToSoilsScope3(T47, _xlfn.XLOOKUP($P113, $D$22:$D$26,$E$22:$E$26), _xlfn.XLOOKUP($P113,$D$31:$D$35,$E$31:$E$35),T59, $F71)</f>
        <v>219.08501485456401</v>
      </c>
      <c r="U113" s="25" cm="1">
        <f t="array" aca="1" ref="U113" ca="1">MMS_Dairy_ManureAppliedToSoils_Equations.VEERG_4_3_1_8__2_MassOfNitrogenAppliedToSoilsScope3(U47, _xlfn.XLOOKUP($P113, $D$22:$D$26,$E$22:$E$26), _xlfn.XLOOKUP($P113,$D$31:$D$35,$E$31:$E$35),U59, $F71)</f>
        <v>91.715410166294944</v>
      </c>
      <c r="V113" s="26"/>
    </row>
    <row r="114" spans="3:23" ht="20.100000000000001" customHeight="1" x14ac:dyDescent="0.25"/>
    <row r="115" spans="3:23" ht="20.100000000000001" customHeight="1" x14ac:dyDescent="0.25">
      <c r="D115" s="135" t="s">
        <v>454</v>
      </c>
      <c r="E115" s="136">
        <f ca="1">SUM(F106:J113)</f>
        <v>3864.1929695395502</v>
      </c>
      <c r="F115" s="137" t="str">
        <f>$E$11</f>
        <v>kg N</v>
      </c>
      <c r="O115" s="135" t="s">
        <v>454</v>
      </c>
      <c r="P115" s="136">
        <f ca="1">SUM(Q106:U113)</f>
        <v>3864.1929695395502</v>
      </c>
      <c r="Q115" s="137" t="str">
        <f>$E$11</f>
        <v>kg N</v>
      </c>
    </row>
    <row r="116" spans="3:23" ht="20.100000000000001" customHeight="1" x14ac:dyDescent="0.25"/>
    <row r="117" spans="3:23" ht="20.100000000000001" customHeight="1" x14ac:dyDescent="0.25"/>
    <row r="118" spans="3:23" ht="20.100000000000001" customHeight="1" x14ac:dyDescent="0.25">
      <c r="C118" s="101"/>
      <c r="D118" s="101"/>
      <c r="E118" s="101"/>
      <c r="F118" s="101"/>
      <c r="G118" s="101"/>
      <c r="H118" s="101"/>
      <c r="I118" s="101"/>
      <c r="J118" s="101"/>
      <c r="K118" s="101"/>
      <c r="L118" s="101"/>
      <c r="N118" s="101"/>
      <c r="O118" s="101"/>
      <c r="P118" s="101"/>
      <c r="Q118" s="101"/>
      <c r="R118" s="101"/>
      <c r="S118" s="101"/>
      <c r="T118" s="101"/>
      <c r="U118" s="101"/>
      <c r="V118" s="101"/>
      <c r="W118" s="101"/>
    </row>
    <row r="119" spans="3:23" ht="20.100000000000001" customHeight="1" x14ac:dyDescent="0.25">
      <c r="D119" s="145" t="str">
        <f>"Below are applications of " &amp; D6 &amp; " that are applied to the following contexts:"</f>
        <v>Below are applications of VEERG 2026: 4.3.1.8, Equation (1) that are applied to the following contexts:</v>
      </c>
      <c r="E119" s="53"/>
      <c r="F119" s="53"/>
      <c r="G119" s="53"/>
      <c r="H119" s="54"/>
    </row>
    <row r="120" spans="3:23" ht="20.100000000000001" customHeight="1" x14ac:dyDescent="0.25">
      <c r="D120" s="55" t="s">
        <v>455</v>
      </c>
      <c r="E120" s="56"/>
      <c r="F120" s="56"/>
      <c r="G120" s="56"/>
      <c r="H120" s="57"/>
    </row>
    <row r="121" spans="3:23" ht="20.100000000000001" customHeight="1" x14ac:dyDescent="0.25"/>
    <row r="122" spans="3:23" ht="20.100000000000001" customHeight="1" x14ac:dyDescent="0.25">
      <c r="D122" s="2" t="s">
        <v>456</v>
      </c>
    </row>
    <row r="123" spans="3:23" ht="20.100000000000001" customHeight="1" x14ac:dyDescent="0.25"/>
    <row r="124" spans="3:23" ht="20.100000000000001" customHeight="1" x14ac:dyDescent="0.25">
      <c r="D124" s="122" t="s">
        <v>457</v>
      </c>
    </row>
    <row r="125" spans="3:23" ht="20.100000000000001" customHeight="1" x14ac:dyDescent="0.25">
      <c r="D125" s="123" t="s">
        <v>458</v>
      </c>
    </row>
    <row r="126" spans="3:23" ht="20.100000000000001" customHeight="1" x14ac:dyDescent="0.25">
      <c r="D126" s="94" t="s">
        <v>168</v>
      </c>
      <c r="E126" s="94" t="s">
        <v>307</v>
      </c>
      <c r="F126" s="94" t="s">
        <v>459</v>
      </c>
    </row>
    <row r="127" spans="3:23" ht="20.100000000000001" customHeight="1" x14ac:dyDescent="0.25">
      <c r="D127" s="25" t="str">
        <f>INDEX(X_Table_Dairy_ProductionSystems_Method1,3,1)</f>
        <v>Milking shed</v>
      </c>
      <c r="E127" s="25" t="str">
        <f>INDEX(X_Table_Dairy_Stage1MMS_1_AnaerobicLagoon,2,1)</f>
        <v>Anaerobic lagoon</v>
      </c>
      <c r="F127" s="25">
        <f>INDEX(X_Table_Dairy_Stage1MMS_1_AnaerobicLagoon_Destinations,2,3)</f>
        <v>0.25</v>
      </c>
      <c r="G127" s="26" t="str">
        <f>G101</f>
        <v>fraction</v>
      </c>
    </row>
    <row r="128" spans="3:23" ht="20.100000000000001" customHeight="1" x14ac:dyDescent="0.25">
      <c r="D128" s="25" t="str">
        <f>INDEX(X_Table_Dairy_ProductionSystems_Method1,3,1)</f>
        <v>Milking shed</v>
      </c>
      <c r="E128" s="25" t="str">
        <f>INDEX(X_Table_Dairy_Stage1MMS_1_SumpAndDispersal,2,1)</f>
        <v>Sump and dispersal system</v>
      </c>
      <c r="F128" s="25">
        <f>INDEX(X_Table_Dairy_Stage1MMS_1_SumpAndDispersal_Destinations,2,3)</f>
        <v>0.25</v>
      </c>
      <c r="G128" s="26"/>
    </row>
    <row r="129" spans="4:22" ht="20.100000000000001" customHeight="1" x14ac:dyDescent="0.25">
      <c r="D129" s="25" t="str">
        <f>INDEX(X_Table_Dairy_ProductionSystems_Method1,3,1)</f>
        <v>Milking shed</v>
      </c>
      <c r="E129" s="25" t="str">
        <f>INDEX(X_Table_Dairy_Stage1MMS_1_DrainsToPaddock,2,1)</f>
        <v>Drains to paddock</v>
      </c>
      <c r="F129" s="25">
        <f>INDEX(X_Table_Dairy_Stage1MMS_1_DrainsToPaddock_Destinations,2,3)</f>
        <v>0.25</v>
      </c>
      <c r="G129" s="26"/>
    </row>
    <row r="130" spans="4:22" ht="20.100000000000001" customHeight="1" x14ac:dyDescent="0.25">
      <c r="D130" s="25" t="str">
        <f>INDEX(X_Table_Dairy_ProductionSystems_Method1,3,1)</f>
        <v>Milking shed</v>
      </c>
      <c r="E130" s="25" t="s">
        <v>76</v>
      </c>
      <c r="F130" s="25">
        <f>INDEX(X_Table_Dairy_Stage1MMS_1_SolidStorage_Destinations,2,3)</f>
        <v>0.25</v>
      </c>
      <c r="G130" s="26"/>
    </row>
    <row r="131" spans="4:22" ht="20.100000000000001" customHeight="1" x14ac:dyDescent="0.25">
      <c r="D131" s="25" t="str">
        <f>INDEX(X_Table_Dairy_ProductionSystems_Method1,4,1)</f>
        <v>Feed pad</v>
      </c>
      <c r="E131" s="25" t="str">
        <f>INDEX(X_Table_Dairy_Stage1MMS_2_AnaerobicLagoon,2,1)</f>
        <v>Anaerobic lagoon</v>
      </c>
      <c r="F131" s="25">
        <f>INDEX(X_Table_Dairy_Stage1MMS_2_AnaerobicLagoon_Destinations,2,3)</f>
        <v>0.25</v>
      </c>
      <c r="G131" s="26"/>
    </row>
    <row r="132" spans="4:22" ht="20.100000000000001" customHeight="1" x14ac:dyDescent="0.25">
      <c r="D132" s="25" t="str">
        <f>INDEX(X_Table_Dairy_ProductionSystems_Method1,4,1)</f>
        <v>Feed pad</v>
      </c>
      <c r="E132" s="25" t="str">
        <f>INDEX(X_Table_Dairy_Stage1MMS_2_SumpAndDispersal,2,1)</f>
        <v>Sump and dispersal system</v>
      </c>
      <c r="F132" s="25">
        <f>INDEX(X_Table_Dairy_Stage1MMS_2_SumpAndDispersal_Destinations,2,3)</f>
        <v>0.25</v>
      </c>
      <c r="G132" s="26"/>
    </row>
    <row r="133" spans="4:22" ht="20.100000000000001" customHeight="1" x14ac:dyDescent="0.25">
      <c r="D133" s="25" t="str">
        <f>INDEX(X_Table_Dairy_ProductionSystems_Method1,4,1)</f>
        <v>Feed pad</v>
      </c>
      <c r="E133" s="25" t="str">
        <f>INDEX(X_Table_Dairy_Stage1MMS_2_DrainsToPaddock,2,1)</f>
        <v>Drains to paddock</v>
      </c>
      <c r="F133" s="25">
        <f>INDEX(X_Table_Dairy_Stage1MMS_2_DrainsToPaddock_Destinations,2,3)</f>
        <v>0.25</v>
      </c>
      <c r="G133" s="26"/>
    </row>
    <row r="134" spans="4:22" ht="20.100000000000001" customHeight="1" x14ac:dyDescent="0.25">
      <c r="D134" s="25" t="str">
        <f>INDEX(X_Table_Dairy_ProductionSystems_Method1,4,1)</f>
        <v>Feed pad</v>
      </c>
      <c r="E134" s="25" t="s">
        <v>76</v>
      </c>
      <c r="F134" s="25">
        <f>INDEX(X_Table_Dairy_Stage1MMS_2_SolidStorage_Destinations,2,3)</f>
        <v>0.25</v>
      </c>
      <c r="G134" s="26"/>
    </row>
    <row r="135" spans="4:22" ht="20.100000000000001" customHeight="1" x14ac:dyDescent="0.25"/>
    <row r="136" spans="4:22" ht="20.100000000000001" customHeight="1" x14ac:dyDescent="0.25">
      <c r="D136" s="122" t="s">
        <v>460</v>
      </c>
      <c r="O136" s="122" t="s">
        <v>461</v>
      </c>
    </row>
    <row r="137" spans="4:22" ht="20.100000000000001" customHeight="1" x14ac:dyDescent="0.25">
      <c r="D137" s="123" t="s">
        <v>462</v>
      </c>
      <c r="O137" s="123" t="s">
        <v>463</v>
      </c>
    </row>
    <row r="138" spans="4:22" ht="20.100000000000001" customHeight="1" x14ac:dyDescent="0.25">
      <c r="D138" s="124" t="s">
        <v>168</v>
      </c>
      <c r="E138" s="124" t="s">
        <v>307</v>
      </c>
      <c r="F138" s="124" t="s">
        <v>213</v>
      </c>
      <c r="G138" s="124" t="s">
        <v>214</v>
      </c>
      <c r="H138" s="124" t="s">
        <v>215</v>
      </c>
      <c r="I138" s="124" t="s">
        <v>216</v>
      </c>
      <c r="J138" s="124" t="s">
        <v>217</v>
      </c>
      <c r="O138" s="124" t="s">
        <v>168</v>
      </c>
      <c r="P138" s="124" t="s">
        <v>307</v>
      </c>
      <c r="Q138" s="124" t="s">
        <v>213</v>
      </c>
      <c r="R138" s="124" t="s">
        <v>214</v>
      </c>
      <c r="S138" s="124" t="s">
        <v>215</v>
      </c>
      <c r="T138" s="124" t="s">
        <v>216</v>
      </c>
      <c r="U138" s="124" t="s">
        <v>217</v>
      </c>
    </row>
    <row r="139" spans="4:22" ht="20.100000000000001" customHeight="1" x14ac:dyDescent="0.25">
      <c r="D139" s="25" t="str">
        <f>INDEX(X_Table_Dairy_ProductionSystems_Method1,3,1)</f>
        <v>Milking shed</v>
      </c>
      <c r="E139" s="25" t="str">
        <f>INDEX(X_Table_Dairy_Stage1MMS_1_AnaerobicLagoon,2,1)</f>
        <v>Anaerobic lagoon</v>
      </c>
      <c r="F139" s="25" cm="1">
        <f t="array" ref="F139">MMS_Dairy_ManureAppliedToSoils_Equations.VEERG_4_3_1_8__1_MassOfNitrogenAppliedToSoilsScope1(F40,_xlfn.XLOOKUP($E139,$D$22:$D$26,$E$22:$E$26),_xlfn.XLOOKUP($E139,$D$31:$D$35,$E$31:$E$35),F52,$F127)</f>
        <v>64.877484237713347</v>
      </c>
      <c r="G139" s="25" cm="1">
        <f t="array" ref="G139">MMS_Dairy_ManureAppliedToSoils_Equations.VEERG_4_3_1_8__1_MassOfNitrogenAppliedToSoilsScope1(G40,_xlfn.XLOOKUP($E139,$D$22:$D$26,$E$22:$E$26),_xlfn.XLOOKUP($E139,$D$31:$D$35,$E$31:$E$35),G52,$F127)</f>
        <v>29.633159185145878</v>
      </c>
      <c r="H139" s="25" cm="1">
        <f t="array" ref="H139">MMS_Dairy_ManureAppliedToSoils_Equations.VEERG_4_3_1_8__1_MassOfNitrogenAppliedToSoilsScope1(H40,_xlfn.XLOOKUP($E139,$D$22:$D$26,$E$22:$E$26),_xlfn.XLOOKUP($E139,$D$31:$D$35,$E$31:$E$35),H52,$F127)</f>
        <v>11.802573920124557</v>
      </c>
      <c r="I139" s="25" cm="1">
        <f t="array" ref="I139">MMS_Dairy_ManureAppliedToSoils_Equations.VEERG_4_3_1_8__1_MassOfNitrogenAppliedToSoilsScope1(I40,_xlfn.XLOOKUP($E139,$D$22:$D$26,$E$22:$E$26),_xlfn.XLOOKUP($E139,$D$31:$D$35,$E$31:$E$35),I52,$F127)</f>
        <v>37.250053057728621</v>
      </c>
      <c r="J139" s="25" cm="1">
        <f t="array" ref="J139">MMS_Dairy_ManureAppliedToSoils_Equations.VEERG_4_3_1_8__1_MassOfNitrogenAppliedToSoilsScope1(J40,_xlfn.XLOOKUP($E139,$D$22:$D$26,$E$22:$E$26),_xlfn.XLOOKUP($E139,$D$31:$D$35,$E$31:$E$35),J52,$F127)</f>
        <v>15.593964275346504</v>
      </c>
      <c r="K139" s="26" t="str">
        <f t="shared" ref="K139:K146" si="4">$E$95</f>
        <v>kg N</v>
      </c>
      <c r="O139" s="25" t="str">
        <f>INDEX(X_Table_Dairy_ProductionSystems_Method1,3,1)</f>
        <v>Milking shed</v>
      </c>
      <c r="P139" s="25" t="str">
        <f>INDEX(X_Table_Dairy_Stage1MMS_1_AnaerobicLagoon,2,1)</f>
        <v>Anaerobic lagoon</v>
      </c>
      <c r="Q139" s="25" cm="1">
        <f t="array" ref="Q139">MMS_Dairy_ManureAppliedToSoils_Equations.VEERG_4_3_1_8__1_MassOfNitrogenAppliedToSoilsScope1(Q40,_xlfn.XLOOKUP($P139,$D$22:$D$26,$E$22:$E$26),_xlfn.XLOOKUP($P139,$D$31:$D$35,$E$31:$E$35),Q52,$F127)</f>
        <v>64.877484237713347</v>
      </c>
      <c r="R139" s="25" cm="1">
        <f t="array" ref="R139">MMS_Dairy_ManureAppliedToSoils_Equations.VEERG_4_3_1_8__1_MassOfNitrogenAppliedToSoilsScope1(R40,_xlfn.XLOOKUP($P139,$D$22:$D$26,$E$22:$E$26),_xlfn.XLOOKUP($P139,$D$31:$D$35,$E$31:$E$35),R52,$F127)</f>
        <v>29.633159185145878</v>
      </c>
      <c r="S139" s="25" cm="1">
        <f t="array" ref="S139">MMS_Dairy_ManureAppliedToSoils_Equations.VEERG_4_3_1_8__1_MassOfNitrogenAppliedToSoilsScope1(S40,_xlfn.XLOOKUP($P139,$D$22:$D$26,$E$22:$E$26),_xlfn.XLOOKUP($P139,$D$31:$D$35,$E$31:$E$35),S52,$F127)</f>
        <v>11.802573920124557</v>
      </c>
      <c r="T139" s="25" cm="1">
        <f t="array" ref="T139">MMS_Dairy_ManureAppliedToSoils_Equations.VEERG_4_3_1_8__1_MassOfNitrogenAppliedToSoilsScope1(T40,_xlfn.XLOOKUP($P139,$D$22:$D$26,$E$22:$E$26),_xlfn.XLOOKUP($P139,$D$31:$D$35,$E$31:$E$35),T52,$F127)</f>
        <v>37.250053057728621</v>
      </c>
      <c r="U139" s="25" cm="1">
        <f t="array" ref="U139">MMS_Dairy_ManureAppliedToSoils_Equations.VEERG_4_3_1_8__1_MassOfNitrogenAppliedToSoilsScope1(U40,_xlfn.XLOOKUP($P139,$D$22:$D$26,$E$22:$E$26),_xlfn.XLOOKUP($P139,$D$31:$D$35,$E$31:$E$35),U52,$F127)</f>
        <v>15.593964275346504</v>
      </c>
      <c r="V139" s="26" t="str">
        <f t="shared" ref="V139" si="5">$E$95</f>
        <v>kg N</v>
      </c>
    </row>
    <row r="140" spans="4:22" ht="20.100000000000001" customHeight="1" x14ac:dyDescent="0.25">
      <c r="D140" s="25" t="str">
        <f>INDEX(X_Table_Dairy_ProductionSystems_Method1,3,1)</f>
        <v>Milking shed</v>
      </c>
      <c r="E140" s="25" t="str">
        <f>INDEX(X_Table_Dairy_Stage1MMS_1_SumpAndDispersal,2,1)</f>
        <v>Sump and dispersal system</v>
      </c>
      <c r="F140" s="25" cm="1">
        <f t="array" ref="F140">MMS_Dairy_ManureAppliedToSoils_Equations.VEERG_4_3_1_8__1_MassOfNitrogenAppliedToSoilsScope1(F41,_xlfn.XLOOKUP($E140,$D$22:$D$26,$E$22:$E$26),_xlfn.XLOOKUP($E140,$D$31:$D$35,$E$31:$E$35),F53,$F128)</f>
        <v>92.824708217036019</v>
      </c>
      <c r="G140" s="25" cm="1">
        <f t="array" ref="G140">MMS_Dairy_ManureAppliedToSoils_Equations.VEERG_4_3_1_8__1_MassOfNitrogenAppliedToSoilsScope1(G41,_xlfn.XLOOKUP($E140,$D$22:$D$26,$E$22:$E$26),_xlfn.XLOOKUP($E140,$D$31:$D$35,$E$31:$E$35),G53,$F128)</f>
        <v>42.398212372593328</v>
      </c>
      <c r="H140" s="25" cm="1">
        <f t="array" ref="H140">MMS_Dairy_ManureAppliedToSoils_Equations.VEERG_4_3_1_8__1_MassOfNitrogenAppliedToSoilsScope1(H41,_xlfn.XLOOKUP($E140,$D$22:$D$26,$E$22:$E$26),_xlfn.XLOOKUP($E140,$D$31:$D$35,$E$31:$E$35),H53,$F128)</f>
        <v>16.886759608793596</v>
      </c>
      <c r="I140" s="25" cm="1">
        <f t="array" ref="I140">MMS_Dairy_ManureAppliedToSoils_Equations.VEERG_4_3_1_8__1_MassOfNitrogenAppliedToSoilsScope1(I41,_xlfn.XLOOKUP($E140,$D$22:$D$26,$E$22:$E$26),_xlfn.XLOOKUP($E140,$D$31:$D$35,$E$31:$E$35),I53,$F128)</f>
        <v>53.296229759519406</v>
      </c>
      <c r="J140" s="25" cm="1">
        <f t="array" ref="J140">MMS_Dairy_ManureAppliedToSoils_Equations.VEERG_4_3_1_8__1_MassOfNitrogenAppliedToSoilsScope1(J41,_xlfn.XLOOKUP($E140,$D$22:$D$26,$E$22:$E$26),_xlfn.XLOOKUP($E140,$D$31:$D$35,$E$31:$E$35),J53,$F128)</f>
        <v>22.311364270880382</v>
      </c>
      <c r="K140" s="26" t="str">
        <f t="shared" si="4"/>
        <v>kg N</v>
      </c>
      <c r="O140" s="25" t="str">
        <f>INDEX(X_Table_Dairy_ProductionSystems_Method1,3,1)</f>
        <v>Milking shed</v>
      </c>
      <c r="P140" s="25" t="str">
        <f>INDEX(X_Table_Dairy_Stage1MMS_1_SumpAndDispersal,2,1)</f>
        <v>Sump and dispersal system</v>
      </c>
      <c r="Q140" s="25" cm="1">
        <f t="array" ref="Q140">MMS_Dairy_ManureAppliedToSoils_Equations.VEERG_4_3_1_8__1_MassOfNitrogenAppliedToSoilsScope1(Q41,_xlfn.XLOOKUP($P140,$D$22:$D$26,$E$22:$E$26),_xlfn.XLOOKUP($P140,$D$31:$D$35,$E$31:$E$35),Q53,$F128)</f>
        <v>92.824708217036019</v>
      </c>
      <c r="R140" s="25" cm="1">
        <f t="array" ref="R140">MMS_Dairy_ManureAppliedToSoils_Equations.VEERG_4_3_1_8__1_MassOfNitrogenAppliedToSoilsScope1(R41,_xlfn.XLOOKUP($P140,$D$22:$D$26,$E$22:$E$26),_xlfn.XLOOKUP($P140,$D$31:$D$35,$E$31:$E$35),R53,$F128)</f>
        <v>42.398212372593328</v>
      </c>
      <c r="S140" s="25" cm="1">
        <f t="array" ref="S140">MMS_Dairy_ManureAppliedToSoils_Equations.VEERG_4_3_1_8__1_MassOfNitrogenAppliedToSoilsScope1(S41,_xlfn.XLOOKUP($P140,$D$22:$D$26,$E$22:$E$26),_xlfn.XLOOKUP($P140,$D$31:$D$35,$E$31:$E$35),S53,$F128)</f>
        <v>16.886759608793596</v>
      </c>
      <c r="T140" s="25" cm="1">
        <f t="array" ref="T140">MMS_Dairy_ManureAppliedToSoils_Equations.VEERG_4_3_1_8__1_MassOfNitrogenAppliedToSoilsScope1(T41,_xlfn.XLOOKUP($P140,$D$22:$D$26,$E$22:$E$26),_xlfn.XLOOKUP($P140,$D$31:$D$35,$E$31:$E$35),T53,$F128)</f>
        <v>53.296229759519406</v>
      </c>
      <c r="U140" s="25" cm="1">
        <f t="array" ref="U140">MMS_Dairy_ManureAppliedToSoils_Equations.VEERG_4_3_1_8__1_MassOfNitrogenAppliedToSoilsScope1(U41,_xlfn.XLOOKUP($P140,$D$22:$D$26,$E$22:$E$26),_xlfn.XLOOKUP($P140,$D$31:$D$35,$E$31:$E$35),U53,$F128)</f>
        <v>22.311364270880382</v>
      </c>
      <c r="V140" s="26"/>
    </row>
    <row r="141" spans="4:22" ht="20.100000000000001" customHeight="1" x14ac:dyDescent="0.25">
      <c r="D141" s="25" t="str">
        <f>INDEX(X_Table_Dairy_ProductionSystems_Method1,3,1)</f>
        <v>Milking shed</v>
      </c>
      <c r="E141" s="25" t="str">
        <f>INDEX(X_Table_Dairy_Stage1MMS_1_DrainsToPaddock,2,1)</f>
        <v>Drains to paddock</v>
      </c>
      <c r="F141" s="25" cm="1">
        <f t="array" ref="F141">MMS_Dairy_ManureAppliedToSoils_Equations.VEERG_4_3_1_8__1_MassOfNitrogenAppliedToSoilsScope1(F42,_xlfn.XLOOKUP($E141,$D$22:$D$26,$E$22:$E$26),_xlfn.XLOOKUP($E141,$D$31:$D$35,$E$31:$E$35),F54,$F129)</f>
        <v>79.849211369493361</v>
      </c>
      <c r="G141" s="25" cm="1">
        <f t="array" ref="G141">MMS_Dairy_ManureAppliedToSoils_Equations.VEERG_4_3_1_8__1_MassOfNitrogenAppliedToSoilsScope1(G42,_xlfn.XLOOKUP($E141,$D$22:$D$26,$E$22:$E$26),_xlfn.XLOOKUP($E141,$D$31:$D$35,$E$31:$E$35),G54,$F129)</f>
        <v>36.471580535564158</v>
      </c>
      <c r="H141" s="25" cm="1">
        <f t="array" ref="H141">MMS_Dairy_ManureAppliedToSoils_Equations.VEERG_4_3_1_8__1_MassOfNitrogenAppliedToSoilsScope1(H42,_xlfn.XLOOKUP($E141,$D$22:$D$26,$E$22:$E$26),_xlfn.XLOOKUP($E141,$D$31:$D$35,$E$31:$E$35),H54,$F129)</f>
        <v>14.526244824768686</v>
      </c>
      <c r="I141" s="25" cm="1">
        <f t="array" ref="I141">MMS_Dairy_ManureAppliedToSoils_Equations.VEERG_4_3_1_8__1_MassOfNitrogenAppliedToSoilsScope1(I42,_xlfn.XLOOKUP($E141,$D$22:$D$26,$E$22:$E$26),_xlfn.XLOOKUP($E141,$D$31:$D$35,$E$31:$E$35),I54,$F129)</f>
        <v>45.846219147973692</v>
      </c>
      <c r="J141" s="25" cm="1">
        <f t="array" ref="J141">MMS_Dairy_ManureAppliedToSoils_Equations.VEERG_4_3_1_8__1_MassOfNitrogenAppliedToSoilsScope1(J42,_xlfn.XLOOKUP($E141,$D$22:$D$26,$E$22:$E$26),_xlfn.XLOOKUP($E141,$D$31:$D$35,$E$31:$E$35),J54,$F129)</f>
        <v>19.192571415811084</v>
      </c>
      <c r="K141" s="26" t="str">
        <f t="shared" si="4"/>
        <v>kg N</v>
      </c>
      <c r="O141" s="25" t="str">
        <f>INDEX(X_Table_Dairy_ProductionSystems_Method1,3,1)</f>
        <v>Milking shed</v>
      </c>
      <c r="P141" s="25" t="str">
        <f>INDEX(X_Table_Dairy_Stage1MMS_1_DrainsToPaddock,2,1)</f>
        <v>Drains to paddock</v>
      </c>
      <c r="Q141" s="25" cm="1">
        <f t="array" ref="Q141">MMS_Dairy_ManureAppliedToSoils_Equations.VEERG_4_3_1_8__1_MassOfNitrogenAppliedToSoilsScope1(Q42,_xlfn.XLOOKUP($P141,$D$22:$D$26,$E$22:$E$26),_xlfn.XLOOKUP($P141,$D$31:$D$35,$E$31:$E$35),Q54,$F129)</f>
        <v>79.849211369493361</v>
      </c>
      <c r="R141" s="25" cm="1">
        <f t="array" ref="R141">MMS_Dairy_ManureAppliedToSoils_Equations.VEERG_4_3_1_8__1_MassOfNitrogenAppliedToSoilsScope1(R42,_xlfn.XLOOKUP($P141,$D$22:$D$26,$E$22:$E$26),_xlfn.XLOOKUP($P141,$D$31:$D$35,$E$31:$E$35),R54,$F129)</f>
        <v>36.471580535564158</v>
      </c>
      <c r="S141" s="25" cm="1">
        <f t="array" ref="S141">MMS_Dairy_ManureAppliedToSoils_Equations.VEERG_4_3_1_8__1_MassOfNitrogenAppliedToSoilsScope1(S42,_xlfn.XLOOKUP($P141,$D$22:$D$26,$E$22:$E$26),_xlfn.XLOOKUP($P141,$D$31:$D$35,$E$31:$E$35),S54,$F129)</f>
        <v>14.526244824768686</v>
      </c>
      <c r="T141" s="25" cm="1">
        <f t="array" ref="T141">MMS_Dairy_ManureAppliedToSoils_Equations.VEERG_4_3_1_8__1_MassOfNitrogenAppliedToSoilsScope1(T42,_xlfn.XLOOKUP($P141,$D$22:$D$26,$E$22:$E$26),_xlfn.XLOOKUP($P141,$D$31:$D$35,$E$31:$E$35),T54,$F129)</f>
        <v>45.846219147973692</v>
      </c>
      <c r="U141" s="25" cm="1">
        <f t="array" ref="U141">MMS_Dairy_ManureAppliedToSoils_Equations.VEERG_4_3_1_8__1_MassOfNitrogenAppliedToSoilsScope1(U42,_xlfn.XLOOKUP($P141,$D$22:$D$26,$E$22:$E$26),_xlfn.XLOOKUP($P141,$D$31:$D$35,$E$31:$E$35),U54,$F129)</f>
        <v>19.192571415811084</v>
      </c>
      <c r="V141" s="26"/>
    </row>
    <row r="142" spans="4:22" ht="20.100000000000001" customHeight="1" x14ac:dyDescent="0.25">
      <c r="D142" s="25" t="str">
        <f>INDEX(X_Table_Dairy_ProductionSystems_Method1,3,1)</f>
        <v>Milking shed</v>
      </c>
      <c r="E142" s="25" t="s">
        <v>76</v>
      </c>
      <c r="F142" s="25" cm="1">
        <f t="array" ref="F142">MMS_Dairy_ManureAppliedToSoils_Equations.VEERG_4_3_1_8__1_MassOfNitrogenAppliedToSoilsScope1(F43,_xlfn.XLOOKUP($E142,$D$22:$D$26,$E$22:$E$26),_xlfn.XLOOKUP($E142,$D$31:$D$35,$E$31:$E$35),F55,$F130)</f>
        <v>134.74554418602003</v>
      </c>
      <c r="G142" s="25" cm="1">
        <f t="array" ref="G142">MMS_Dairy_ManureAppliedToSoils_Equations.VEERG_4_3_1_8__1_MassOfNitrogenAppliedToSoilsScope1(G43,_xlfn.XLOOKUP($E142,$D$22:$D$26,$E$22:$E$26),_xlfn.XLOOKUP($E142,$D$31:$D$35,$E$31:$E$35),G55,$F130)</f>
        <v>61.545792153764516</v>
      </c>
      <c r="H142" s="25" cm="1">
        <f t="array" ref="H142">MMS_Dairy_ManureAppliedToSoils_Equations.VEERG_4_3_1_8__1_MassOfNitrogenAppliedToSoilsScope1(H43,_xlfn.XLOOKUP($E142,$D$22:$D$26,$E$22:$E$26),_xlfn.XLOOKUP($E142,$D$31:$D$35,$E$31:$E$35),H55,$F130)</f>
        <v>24.51303814179715</v>
      </c>
      <c r="I142" s="25" cm="1">
        <f t="array" ref="I142">MMS_Dairy_ManureAppliedToSoils_Equations.VEERG_4_3_1_8__1_MassOfNitrogenAppliedToSoilsScope1(I43,_xlfn.XLOOKUP($E142,$D$22:$D$26,$E$22:$E$26),_xlfn.XLOOKUP($E142,$D$31:$D$35,$E$31:$E$35),I55,$F130)</f>
        <v>77.365494812205597</v>
      </c>
      <c r="J142" s="25" cm="1">
        <f t="array" ref="J142">MMS_Dairy_ManureAppliedToSoils_Equations.VEERG_4_3_1_8__1_MassOfNitrogenAppliedToSoilsScope1(J43,_xlfn.XLOOKUP($E142,$D$22:$D$26,$E$22:$E$26),_xlfn.XLOOKUP($E142,$D$31:$D$35,$E$31:$E$35),J55,$F130)</f>
        <v>32.387464264181197</v>
      </c>
      <c r="K142" s="26" t="str">
        <f t="shared" si="4"/>
        <v>kg N</v>
      </c>
      <c r="O142" s="25" t="str">
        <f>INDEX(X_Table_Dairy_ProductionSystems_Method1,3,1)</f>
        <v>Milking shed</v>
      </c>
      <c r="P142" s="25" t="s">
        <v>76</v>
      </c>
      <c r="Q142" s="25" cm="1">
        <f t="array" ref="Q142">MMS_Dairy_ManureAppliedToSoils_Equations.VEERG_4_3_1_8__1_MassOfNitrogenAppliedToSoilsScope1(Q43,_xlfn.XLOOKUP($P142,$D$22:$D$26,$E$22:$E$26),_xlfn.XLOOKUP($P142,$D$31:$D$35,$E$31:$E$35),Q55,$F130)</f>
        <v>134.74554418602003</v>
      </c>
      <c r="R142" s="25" cm="1">
        <f t="array" ref="R142">MMS_Dairy_ManureAppliedToSoils_Equations.VEERG_4_3_1_8__1_MassOfNitrogenAppliedToSoilsScope1(R43,_xlfn.XLOOKUP($P142,$D$22:$D$26,$E$22:$E$26),_xlfn.XLOOKUP($P142,$D$31:$D$35,$E$31:$E$35),R55,$F130)</f>
        <v>61.545792153764516</v>
      </c>
      <c r="S142" s="25" cm="1">
        <f t="array" ref="S142">MMS_Dairy_ManureAppliedToSoils_Equations.VEERG_4_3_1_8__1_MassOfNitrogenAppliedToSoilsScope1(S43,_xlfn.XLOOKUP($P142,$D$22:$D$26,$E$22:$E$26),_xlfn.XLOOKUP($P142,$D$31:$D$35,$E$31:$E$35),S55,$F130)</f>
        <v>24.51303814179715</v>
      </c>
      <c r="T142" s="25" cm="1">
        <f t="array" ref="T142">MMS_Dairy_ManureAppliedToSoils_Equations.VEERG_4_3_1_8__1_MassOfNitrogenAppliedToSoilsScope1(T43,_xlfn.XLOOKUP($P142,$D$22:$D$26,$E$22:$E$26),_xlfn.XLOOKUP($P142,$D$31:$D$35,$E$31:$E$35),T55,$F130)</f>
        <v>77.365494812205597</v>
      </c>
      <c r="U142" s="25" cm="1">
        <f t="array" ref="U142">MMS_Dairy_ManureAppliedToSoils_Equations.VEERG_4_3_1_8__1_MassOfNitrogenAppliedToSoilsScope1(U43,_xlfn.XLOOKUP($P142,$D$22:$D$26,$E$22:$E$26),_xlfn.XLOOKUP($P142,$D$31:$D$35,$E$31:$E$35),U55,$F130)</f>
        <v>32.387464264181197</v>
      </c>
      <c r="V142" s="26"/>
    </row>
    <row r="143" spans="4:22" ht="20.100000000000001" customHeight="1" x14ac:dyDescent="0.25">
      <c r="D143" s="25" t="str">
        <f>INDEX(X_Table_Dairy_ProductionSystems_Method1,4,1)</f>
        <v>Feed pad</v>
      </c>
      <c r="E143" s="25" t="str">
        <f>INDEX(X_Table_Dairy_Stage1MMS_2_AnaerobicLagoon,2,1)</f>
        <v>Anaerobic lagoon</v>
      </c>
      <c r="F143" s="25" cm="1">
        <f t="array" ref="F143">MMS_Dairy_ManureAppliedToSoils_Equations.VEERG_4_3_1_8__1_MassOfNitrogenAppliedToSoilsScope1(F44,_xlfn.XLOOKUP($E143,$D$22:$D$26,$E$22:$E$26),_xlfn.XLOOKUP($E143,$D$31:$D$35,$E$31:$E$35),F56,$F131)</f>
        <v>262.45891350711304</v>
      </c>
      <c r="G143" s="25" cm="1">
        <f t="array" ref="G143">MMS_Dairy_ManureAppliedToSoils_Equations.VEERG_4_3_1_8__1_MassOfNitrogenAppliedToSoilsScope1(G44,_xlfn.XLOOKUP($E143,$D$22:$D$26,$E$22:$E$26),_xlfn.XLOOKUP($E143,$D$31:$D$35,$E$31:$E$35),G56,$F131)</f>
        <v>119.87959852172649</v>
      </c>
      <c r="H143" s="25" cm="1">
        <f t="array" ref="H143">MMS_Dairy_ManureAppliedToSoils_Equations.VEERG_4_3_1_8__1_MassOfNitrogenAppliedToSoilsScope1(H44,_xlfn.XLOOKUP($E143,$D$22:$D$26,$E$22:$E$26),_xlfn.XLOOKUP($E143,$D$31:$D$35,$E$31:$E$35),H56,$F131)</f>
        <v>47.746776313231159</v>
      </c>
      <c r="I143" s="25" cm="1">
        <f t="array" ref="I143">MMS_Dairy_ManureAppliedToSoils_Equations.VEERG_4_3_1_8__1_MassOfNitrogenAppliedToSoilsScope1(I44,_xlfn.XLOOKUP($E143,$D$22:$D$26,$E$22:$E$26),_xlfn.XLOOKUP($E143,$D$31:$D$35,$E$31:$E$35),I56,$F131)</f>
        <v>150.69339646081124</v>
      </c>
      <c r="J143" s="25" cm="1">
        <f t="array" ref="J143">MMS_Dairy_ManureAppliedToSoils_Equations.VEERG_4_3_1_8__1_MassOfNitrogenAppliedToSoilsScope1(J44,_xlfn.XLOOKUP($E143,$D$22:$D$26,$E$22:$E$26),_xlfn.XLOOKUP($E143,$D$31:$D$35,$E$31:$E$35),J56,$F131)</f>
        <v>63.084673659356305</v>
      </c>
      <c r="K143" s="26" t="str">
        <f t="shared" si="4"/>
        <v>kg N</v>
      </c>
      <c r="O143" s="25" t="str">
        <f>INDEX(X_Table_Dairy_ProductionSystems_Method1,4,1)</f>
        <v>Feed pad</v>
      </c>
      <c r="P143" s="25" t="str">
        <f>INDEX(X_Table_Dairy_Stage1MMS_2_AnaerobicLagoon,2,1)</f>
        <v>Anaerobic lagoon</v>
      </c>
      <c r="Q143" s="25" cm="1">
        <f t="array" ref="Q143">MMS_Dairy_ManureAppliedToSoils_Equations.VEERG_4_3_1_8__1_MassOfNitrogenAppliedToSoilsScope1(Q44,_xlfn.XLOOKUP($P143,$D$22:$D$26,$E$22:$E$26),_xlfn.XLOOKUP($P143,$D$31:$D$35,$E$31:$E$35),Q56,$F131)</f>
        <v>262.45891350711304</v>
      </c>
      <c r="R143" s="25" cm="1">
        <f t="array" ref="R143">MMS_Dairy_ManureAppliedToSoils_Equations.VEERG_4_3_1_8__1_MassOfNitrogenAppliedToSoilsScope1(R44,_xlfn.XLOOKUP($P143,$D$22:$D$26,$E$22:$E$26),_xlfn.XLOOKUP($P143,$D$31:$D$35,$E$31:$E$35),R56,$F131)</f>
        <v>119.87959852172649</v>
      </c>
      <c r="S143" s="25" cm="1">
        <f t="array" ref="S143">MMS_Dairy_ManureAppliedToSoils_Equations.VEERG_4_3_1_8__1_MassOfNitrogenAppliedToSoilsScope1(S44,_xlfn.XLOOKUP($P143,$D$22:$D$26,$E$22:$E$26),_xlfn.XLOOKUP($P143,$D$31:$D$35,$E$31:$E$35),S56,$F131)</f>
        <v>47.746776313231159</v>
      </c>
      <c r="T143" s="25" cm="1">
        <f t="array" ref="T143">MMS_Dairy_ManureAppliedToSoils_Equations.VEERG_4_3_1_8__1_MassOfNitrogenAppliedToSoilsScope1(T44,_xlfn.XLOOKUP($P143,$D$22:$D$26,$E$22:$E$26),_xlfn.XLOOKUP($P143,$D$31:$D$35,$E$31:$E$35),T56,$F131)</f>
        <v>150.69339646081124</v>
      </c>
      <c r="U143" s="25" cm="1">
        <f t="array" ref="U143">MMS_Dairy_ManureAppliedToSoils_Equations.VEERG_4_3_1_8__1_MassOfNitrogenAppliedToSoilsScope1(U44,_xlfn.XLOOKUP($P143,$D$22:$D$26,$E$22:$E$26),_xlfn.XLOOKUP($P143,$D$31:$D$35,$E$31:$E$35),U56,$F131)</f>
        <v>63.084673659356305</v>
      </c>
      <c r="V143" s="26"/>
    </row>
    <row r="144" spans="4:22" ht="20.100000000000001" customHeight="1" x14ac:dyDescent="0.25">
      <c r="D144" s="25" t="str">
        <f>INDEX(X_Table_Dairy_ProductionSystems_Method1,4,1)</f>
        <v>Feed pad</v>
      </c>
      <c r="E144" s="25" t="str">
        <f>INDEX(X_Table_Dairy_Stage1MMS_2_SumpAndDispersal,2,1)</f>
        <v>Sump and dispersal system</v>
      </c>
      <c r="F144" s="25" cm="1">
        <f t="array" ref="F144">MMS_Dairy_ManureAppliedToSoils_Equations.VEERG_4_3_1_8__1_MassOfNitrogenAppliedToSoilsScope1(F45,_xlfn.XLOOKUP($E144,$D$22:$D$26,$E$22:$E$26),_xlfn.XLOOKUP($E144,$D$31:$D$35,$E$31:$E$35),F57,$F132)</f>
        <v>300.41451022968016</v>
      </c>
      <c r="G144" s="25" cm="1">
        <f t="array" ref="G144">MMS_Dairy_ManureAppliedToSoils_Equations.VEERG_4_3_1_8__1_MassOfNitrogenAppliedToSoilsScope1(G45,_xlfn.XLOOKUP($E144,$D$22:$D$26,$E$22:$E$26),_xlfn.XLOOKUP($E144,$D$31:$D$35,$E$31:$E$35),G57,$F132)</f>
        <v>137.21603276948386</v>
      </c>
      <c r="H144" s="25" cm="1">
        <f t="array" ref="H144">MMS_Dairy_ManureAppliedToSoils_Equations.VEERG_4_3_1_8__1_MassOfNitrogenAppliedToSoilsScope1(H45,_xlfn.XLOOKUP($E144,$D$22:$D$26,$E$22:$E$26),_xlfn.XLOOKUP($E144,$D$31:$D$35,$E$31:$E$35),H57,$F132)</f>
        <v>54.651694733913814</v>
      </c>
      <c r="I144" s="25" cm="1">
        <f t="array" ref="I144">MMS_Dairy_ManureAppliedToSoils_Equations.VEERG_4_3_1_8__1_MassOfNitrogenAppliedToSoilsScope1(I45,_xlfn.XLOOKUP($E144,$D$22:$D$26,$E$22:$E$26),_xlfn.XLOOKUP($E144,$D$31:$D$35,$E$31:$E$35),I57,$F132)</f>
        <v>172.48597994899006</v>
      </c>
      <c r="J144" s="25" cm="1">
        <f t="array" ref="J144">MMS_Dairy_ManureAppliedToSoils_Equations.VEERG_4_3_1_8__1_MassOfNitrogenAppliedToSoilsScope1(J45,_xlfn.XLOOKUP($E144,$D$22:$D$26,$E$22:$E$26),_xlfn.XLOOKUP($E144,$D$31:$D$35,$E$31:$E$35),J57,$F132)</f>
        <v>72.207688003940135</v>
      </c>
      <c r="K144" s="26" t="str">
        <f t="shared" si="4"/>
        <v>kg N</v>
      </c>
      <c r="O144" s="25" t="str">
        <f>INDEX(X_Table_Dairy_ProductionSystems_Method1,4,1)</f>
        <v>Feed pad</v>
      </c>
      <c r="P144" s="25" t="str">
        <f>INDEX(X_Table_Dairy_Stage1MMS_2_SumpAndDispersal,2,1)</f>
        <v>Sump and dispersal system</v>
      </c>
      <c r="Q144" s="25" cm="1">
        <f t="array" ref="Q144">MMS_Dairy_ManureAppliedToSoils_Equations.VEERG_4_3_1_8__1_MassOfNitrogenAppliedToSoilsScope1(Q45,_xlfn.XLOOKUP($P144,$D$22:$D$26,$E$22:$E$26),_xlfn.XLOOKUP($P144,$D$31:$D$35,$E$31:$E$35),Q57,$F132)</f>
        <v>300.41451022968016</v>
      </c>
      <c r="R144" s="25" cm="1">
        <f t="array" ref="R144">MMS_Dairy_ManureAppliedToSoils_Equations.VEERG_4_3_1_8__1_MassOfNitrogenAppliedToSoilsScope1(R45,_xlfn.XLOOKUP($P144,$D$22:$D$26,$E$22:$E$26),_xlfn.XLOOKUP($P144,$D$31:$D$35,$E$31:$E$35),R57,$F132)</f>
        <v>137.21603276948386</v>
      </c>
      <c r="S144" s="25" cm="1">
        <f t="array" ref="S144">MMS_Dairy_ManureAppliedToSoils_Equations.VEERG_4_3_1_8__1_MassOfNitrogenAppliedToSoilsScope1(S45,_xlfn.XLOOKUP($P144,$D$22:$D$26,$E$22:$E$26),_xlfn.XLOOKUP($P144,$D$31:$D$35,$E$31:$E$35),S57,$F132)</f>
        <v>54.651694733913814</v>
      </c>
      <c r="T144" s="25" cm="1">
        <f t="array" ref="T144">MMS_Dairy_ManureAppliedToSoils_Equations.VEERG_4_3_1_8__1_MassOfNitrogenAppliedToSoilsScope1(T45,_xlfn.XLOOKUP($P144,$D$22:$D$26,$E$22:$E$26),_xlfn.XLOOKUP($P144,$D$31:$D$35,$E$31:$E$35),T57,$F132)</f>
        <v>172.48597994899006</v>
      </c>
      <c r="U144" s="25" cm="1">
        <f t="array" ref="U144">MMS_Dairy_ManureAppliedToSoils_Equations.VEERG_4_3_1_8__1_MassOfNitrogenAppliedToSoilsScope1(U45,_xlfn.XLOOKUP($P144,$D$22:$D$26,$E$22:$E$26),_xlfn.XLOOKUP($P144,$D$31:$D$35,$E$31:$E$35),U57,$F132)</f>
        <v>72.207688003940135</v>
      </c>
      <c r="V144" s="26"/>
    </row>
    <row r="145" spans="4:22" ht="20.100000000000001" customHeight="1" x14ac:dyDescent="0.25">
      <c r="D145" s="25" t="str">
        <f>INDEX(X_Table_Dairy_ProductionSystems_Method1,4,1)</f>
        <v>Feed pad</v>
      </c>
      <c r="E145" s="25" t="str">
        <f>INDEX(X_Table_Dairy_Stage1MMS_2_DrainsToPaddock,2,1)</f>
        <v>Drains to paddock</v>
      </c>
      <c r="F145" s="25" cm="1">
        <f t="array" ref="F145">MMS_Dairy_ManureAppliedToSoils_Equations.VEERG_4_3_1_8__1_MassOfNitrogenAppliedToSoilsScope1(F46,_xlfn.XLOOKUP($E145,$D$22:$D$26,$E$22:$E$26),_xlfn.XLOOKUP($E145,$D$31:$D$35,$E$31:$E$35),F58,$F133)</f>
        <v>258.42108406854209</v>
      </c>
      <c r="G145" s="25" cm="1">
        <f t="array" ref="G145">MMS_Dairy_ManureAppliedToSoils_Equations.VEERG_4_3_1_8__1_MassOfNitrogenAppliedToSoilsScope1(G46,_xlfn.XLOOKUP($E145,$D$22:$D$26,$E$22:$E$26),_xlfn.XLOOKUP($E145,$D$31:$D$35,$E$31:$E$35),G58,$F133)</f>
        <v>118.03529700600764</v>
      </c>
      <c r="H145" s="25" cm="1">
        <f t="array" ref="H145">MMS_Dairy_ManureAppliedToSoils_Equations.VEERG_4_3_1_8__1_MassOfNitrogenAppliedToSoilsScope1(H46,_xlfn.XLOOKUP($E145,$D$22:$D$26,$E$22:$E$26),_xlfn.XLOOKUP($E145,$D$31:$D$35,$E$31:$E$35),H58,$F133)</f>
        <v>47.012210523796831</v>
      </c>
      <c r="I145" s="25" cm="1">
        <f t="array" ref="I145">MMS_Dairy_ManureAppliedToSoils_Equations.VEERG_4_3_1_8__1_MassOfNitrogenAppliedToSoilsScope1(I46,_xlfn.XLOOKUP($E145,$D$22:$D$26,$E$22:$E$26),_xlfn.XLOOKUP($E145,$D$31:$D$35,$E$31:$E$35),I58,$F133)</f>
        <v>148.37503651526029</v>
      </c>
      <c r="J145" s="25" cm="1">
        <f t="array" ref="J145">MMS_Dairy_ManureAppliedToSoils_Equations.VEERG_4_3_1_8__1_MassOfNitrogenAppliedToSoilsScope1(J46,_xlfn.XLOOKUP($E145,$D$22:$D$26,$E$22:$E$26),_xlfn.XLOOKUP($E145,$D$31:$D$35,$E$31:$E$35),J58,$F133)</f>
        <v>62.114140218443133</v>
      </c>
      <c r="K145" s="26" t="str">
        <f t="shared" si="4"/>
        <v>kg N</v>
      </c>
      <c r="O145" s="25" t="str">
        <f>INDEX(X_Table_Dairy_ProductionSystems_Method1,4,1)</f>
        <v>Feed pad</v>
      </c>
      <c r="P145" s="25" t="str">
        <f>INDEX(X_Table_Dairy_Stage1MMS_2_DrainsToPaddock,2,1)</f>
        <v>Drains to paddock</v>
      </c>
      <c r="Q145" s="25" cm="1">
        <f t="array" ref="Q145">MMS_Dairy_ManureAppliedToSoils_Equations.VEERG_4_3_1_8__1_MassOfNitrogenAppliedToSoilsScope1(Q46,_xlfn.XLOOKUP($P145,$D$22:$D$26,$E$22:$E$26),_xlfn.XLOOKUP($P145,$D$31:$D$35,$E$31:$E$35),Q58,$F133)</f>
        <v>258.42108406854209</v>
      </c>
      <c r="R145" s="25" cm="1">
        <f t="array" ref="R145">MMS_Dairy_ManureAppliedToSoils_Equations.VEERG_4_3_1_8__1_MassOfNitrogenAppliedToSoilsScope1(R46,_xlfn.XLOOKUP($P145,$D$22:$D$26,$E$22:$E$26),_xlfn.XLOOKUP($P145,$D$31:$D$35,$E$31:$E$35),R58,$F133)</f>
        <v>118.03529700600764</v>
      </c>
      <c r="S145" s="25" cm="1">
        <f t="array" ref="S145">MMS_Dairy_ManureAppliedToSoils_Equations.VEERG_4_3_1_8__1_MassOfNitrogenAppliedToSoilsScope1(S46,_xlfn.XLOOKUP($P145,$D$22:$D$26,$E$22:$E$26),_xlfn.XLOOKUP($P145,$D$31:$D$35,$E$31:$E$35),S58,$F133)</f>
        <v>47.012210523796831</v>
      </c>
      <c r="T145" s="25" cm="1">
        <f t="array" ref="T145">MMS_Dairy_ManureAppliedToSoils_Equations.VEERG_4_3_1_8__1_MassOfNitrogenAppliedToSoilsScope1(T46,_xlfn.XLOOKUP($P145,$D$22:$D$26,$E$22:$E$26),_xlfn.XLOOKUP($P145,$D$31:$D$35,$E$31:$E$35),T58,$F133)</f>
        <v>148.37503651526029</v>
      </c>
      <c r="U145" s="25" cm="1">
        <f t="array" ref="U145">MMS_Dairy_ManureAppliedToSoils_Equations.VEERG_4_3_1_8__1_MassOfNitrogenAppliedToSoilsScope1(U46,_xlfn.XLOOKUP($P145,$D$22:$D$26,$E$22:$E$26),_xlfn.XLOOKUP($P145,$D$31:$D$35,$E$31:$E$35),U58,$F133)</f>
        <v>62.114140218443133</v>
      </c>
      <c r="V145" s="26"/>
    </row>
    <row r="146" spans="4:22" ht="20.100000000000001" customHeight="1" x14ac:dyDescent="0.25">
      <c r="D146" s="25" t="str">
        <f>INDEX(X_Table_Dairy_ProductionSystems_Method1,4,1)</f>
        <v>Feed pad</v>
      </c>
      <c r="E146" s="25" t="s">
        <v>76</v>
      </c>
      <c r="F146" s="25" cm="1">
        <f t="array" ref="F146">MMS_Dairy_ManureAppliedToSoils_Equations.VEERG_4_3_1_8__1_MassOfNitrogenAppliedToSoilsScope1(F47,_xlfn.XLOOKUP($E146,$D$22:$D$26,$E$22:$E$26),_xlfn.XLOOKUP($E146,$D$31:$D$35,$E$31:$E$35),F59,$F134)</f>
        <v>381.57488194495664</v>
      </c>
      <c r="G146" s="25" cm="1">
        <f t="array" ref="G146">MMS_Dairy_ManureAppliedToSoils_Equations.VEERG_4_3_1_8__1_MassOfNitrogenAppliedToSoilsScope1(G47,_xlfn.XLOOKUP($E146,$D$22:$D$26,$E$22:$E$26),_xlfn.XLOOKUP($E146,$D$31:$D$35,$E$31:$E$35),G59,$F134)</f>
        <v>174.28649323543314</v>
      </c>
      <c r="H146" s="25" cm="1">
        <f t="array" ref="H146">MMS_Dairy_ManureAppliedToSoils_Equations.VEERG_4_3_1_8__1_MassOfNitrogenAppliedToSoilsScope1(H47,_xlfn.XLOOKUP($E146,$D$22:$D$26,$E$22:$E$26),_xlfn.XLOOKUP($E146,$D$31:$D$35,$E$31:$E$35),H59,$F134)</f>
        <v>69.416467101543759</v>
      </c>
      <c r="I146" s="25" cm="1">
        <f t="array" ref="I146">MMS_Dairy_ManureAppliedToSoils_Equations.VEERG_4_3_1_8__1_MassOfNitrogenAppliedToSoilsScope1(I47,_xlfn.XLOOKUP($E146,$D$22:$D$26,$E$22:$E$26),_xlfn.XLOOKUP($E146,$D$31:$D$35,$E$31:$E$35),I59,$F134)</f>
        <v>219.08501485456401</v>
      </c>
      <c r="J146" s="25" cm="1">
        <f t="array" ref="J146">MMS_Dairy_ManureAppliedToSoils_Equations.VEERG_4_3_1_8__1_MassOfNitrogenAppliedToSoilsScope1(J47,_xlfn.XLOOKUP($E146,$D$22:$D$26,$E$22:$E$26),_xlfn.XLOOKUP($E146,$D$31:$D$35,$E$31:$E$35),J59,$F134)</f>
        <v>91.715410166294944</v>
      </c>
      <c r="K146" s="26" t="str">
        <f t="shared" si="4"/>
        <v>kg N</v>
      </c>
      <c r="O146" s="25" t="str">
        <f>INDEX(X_Table_Dairy_ProductionSystems_Method1,4,1)</f>
        <v>Feed pad</v>
      </c>
      <c r="P146" s="25" t="s">
        <v>76</v>
      </c>
      <c r="Q146" s="25" cm="1">
        <f t="array" ref="Q146">MMS_Dairy_ManureAppliedToSoils_Equations.VEERG_4_3_1_8__1_MassOfNitrogenAppliedToSoilsScope1(Q47,_xlfn.XLOOKUP($P146,$D$22:$D$26,$E$22:$E$26),_xlfn.XLOOKUP($P146,$D$31:$D$35,$E$31:$E$35),Q59,$F134)</f>
        <v>381.57488194495664</v>
      </c>
      <c r="R146" s="25" cm="1">
        <f t="array" ref="R146">MMS_Dairy_ManureAppliedToSoils_Equations.VEERG_4_3_1_8__1_MassOfNitrogenAppliedToSoilsScope1(R47,_xlfn.XLOOKUP($P146,$D$22:$D$26,$E$22:$E$26),_xlfn.XLOOKUP($P146,$D$31:$D$35,$E$31:$E$35),R59,$F134)</f>
        <v>174.28649323543314</v>
      </c>
      <c r="S146" s="25" cm="1">
        <f t="array" ref="S146">MMS_Dairy_ManureAppliedToSoils_Equations.VEERG_4_3_1_8__1_MassOfNitrogenAppliedToSoilsScope1(S47,_xlfn.XLOOKUP($P146,$D$22:$D$26,$E$22:$E$26),_xlfn.XLOOKUP($P146,$D$31:$D$35,$E$31:$E$35),S59,$F134)</f>
        <v>69.416467101543759</v>
      </c>
      <c r="T146" s="25" cm="1">
        <f t="array" ref="T146">MMS_Dairy_ManureAppliedToSoils_Equations.VEERG_4_3_1_8__1_MassOfNitrogenAppliedToSoilsScope1(T47,_xlfn.XLOOKUP($P146,$D$22:$D$26,$E$22:$E$26),_xlfn.XLOOKUP($P146,$D$31:$D$35,$E$31:$E$35),T59,$F134)</f>
        <v>219.08501485456401</v>
      </c>
      <c r="U146" s="25" cm="1">
        <f t="array" ref="U146">MMS_Dairy_ManureAppliedToSoils_Equations.VEERG_4_3_1_8__1_MassOfNitrogenAppliedToSoilsScope1(U47,_xlfn.XLOOKUP($P146,$D$22:$D$26,$E$22:$E$26),_xlfn.XLOOKUP($P146,$D$31:$D$35,$E$31:$E$35),U59,$F134)</f>
        <v>91.715410166294944</v>
      </c>
      <c r="V146" s="26"/>
    </row>
    <row r="147" spans="4:22" ht="20.100000000000001" customHeight="1" x14ac:dyDescent="0.25"/>
    <row r="148" spans="4:22" ht="20.100000000000001" customHeight="1" x14ac:dyDescent="0.25">
      <c r="D148" s="135" t="s">
        <v>464</v>
      </c>
      <c r="E148" s="136">
        <f>SUM(F139:J146)</f>
        <v>3864.1929695395502</v>
      </c>
      <c r="F148" s="137" t="str">
        <f>$E$95</f>
        <v>kg N</v>
      </c>
      <c r="O148" s="135" t="s">
        <v>464</v>
      </c>
      <c r="P148" s="136">
        <f>SUM(Q139:U146)</f>
        <v>3864.1929695395502</v>
      </c>
      <c r="Q148" s="137"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1E76D75D-8C3E-46BC-9962-412BE590B4D4}"/>
  </dataValidations>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C2AF1-24D5-4A27-980B-D36EC6AE5DA3}">
  <dimension ref="A1:W165"/>
  <sheetViews>
    <sheetView showGridLines="0" topLeftCell="B39"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96" customWidth="1"/>
    <col min="14" max="14" width="4.7109375" style="1" customWidth="1"/>
    <col min="15" max="22" width="30.7109375" style="1" customWidth="1"/>
    <col min="23" max="23" width="4.7109375" style="1" customWidth="1"/>
  </cols>
  <sheetData>
    <row r="1" spans="1:23" s="30" customFormat="1" ht="30" customHeight="1" x14ac:dyDescent="0.35">
      <c r="A1" s="16" t="e" vm="1">
        <v>#VALUE!</v>
      </c>
      <c r="C1" s="30" t="s">
        <v>179</v>
      </c>
      <c r="M1" s="96"/>
    </row>
    <row r="2" spans="1:23" s="3" customFormat="1" ht="20.100000000000001" customHeight="1" x14ac:dyDescent="0.25">
      <c r="A2"/>
      <c r="M2" s="96"/>
    </row>
    <row r="3" spans="1:23" ht="20.100000000000001" customHeight="1" x14ac:dyDescent="0.25">
      <c r="A3" s="5" t="str">
        <f>HYPERLINK("#'Home'!A1", "Home")</f>
        <v>Home</v>
      </c>
      <c r="C3" s="32"/>
      <c r="D3" s="32"/>
      <c r="E3" s="32"/>
      <c r="F3" s="32"/>
      <c r="G3" s="32"/>
      <c r="H3" s="32"/>
      <c r="I3" s="32"/>
      <c r="J3" s="32"/>
      <c r="K3" s="32"/>
      <c r="L3" s="32"/>
      <c r="N3" s="32"/>
      <c r="O3" s="32"/>
      <c r="P3" s="32"/>
      <c r="Q3" s="32"/>
      <c r="R3" s="32"/>
      <c r="S3" s="32"/>
      <c r="T3" s="32"/>
      <c r="U3" s="32"/>
      <c r="V3" s="32"/>
      <c r="W3" s="32"/>
    </row>
    <row r="4" spans="1:23" ht="20.100000000000001" customHeight="1" x14ac:dyDescent="0.25">
      <c r="A4" s="5" t="str">
        <f>HYPERLINK("#'Overview'!A1", "Overview")</f>
        <v>Overview</v>
      </c>
    </row>
    <row r="5" spans="1:23" ht="20.100000000000001" customHeight="1" x14ac:dyDescent="0.25">
      <c r="A5" s="5" t="str">
        <f>HYPERLINK("#'Results'!A1", "Results")</f>
        <v>Results</v>
      </c>
      <c r="D5" s="2" t="str" cm="1">
        <f t="array" ref="D5">MMS_Dairy_N2ODirect_Equations.VEERG_4_3_1_3__2_TotalNitrogenInEachMMS_Title()</f>
        <v>Total nitrogen in each MMS</v>
      </c>
    </row>
    <row r="6" spans="1:23" ht="20.100000000000001" customHeight="1" x14ac:dyDescent="0.25">
      <c r="D6" s="27" t="str" cm="1">
        <f t="array" ref="D6">MMS_Dairy_N2ODirect_Equations.VEERG_4_3_1_3__2_TotalNitrogenInEachMMS_Source()</f>
        <v>VEERG 2026: 4.3.1.3, Equation (2)</v>
      </c>
    </row>
    <row r="7" spans="1:23" ht="20.100000000000001" customHeight="1" x14ac:dyDescent="0.25">
      <c r="D7" s="118" t="s">
        <v>262</v>
      </c>
      <c r="E7" s="118" t="str" cm="1">
        <f t="array" aca="1" ref="E7" ca="1">Common_InputFunctions.Utility_DisplayFunctionName(F31)</f>
        <v>=MMS_Dairy_N2ODirect_Equations.VEERG_4_3_1_3__2_TotalNitrogenInEachMMS</v>
      </c>
    </row>
    <row r="8" spans="1:23" ht="20.100000000000001" customHeight="1" x14ac:dyDescent="0.25">
      <c r="A8" s="7" t="s">
        <v>0</v>
      </c>
    </row>
    <row r="9" spans="1:23" ht="20.100000000000001" customHeight="1" x14ac:dyDescent="0.25">
      <c r="A9" s="5" t="str">
        <f>HYPERLINK("#'Input - Enterprise'!A1", "Enterprise")</f>
        <v>Enterprise</v>
      </c>
      <c r="D9" s="2"/>
    </row>
    <row r="10" spans="1:23" ht="20.100000000000001" customHeight="1" x14ac:dyDescent="0.25">
      <c r="A10" s="5" t="str">
        <f>HYPERLINK("#'Input - Site'!A1", "Site")</f>
        <v>Site</v>
      </c>
      <c r="D10" s="87" t="s">
        <v>263</v>
      </c>
      <c r="E10" s="1" t="str" cm="1">
        <f t="array" ref="E10">MMS_Dairy_N2ODirect_Equations.VEERG_4_3_1_3__2_TotalNitrogenInEachMMS_Variable()</f>
        <v>MN_jm</v>
      </c>
    </row>
    <row r="11" spans="1:23" ht="20.100000000000001" customHeight="1" x14ac:dyDescent="0.25">
      <c r="A11" s="5" t="str">
        <f>HYPERLINK("#'Input - Dairy'!A1", "Dairy")</f>
        <v>Dairy</v>
      </c>
      <c r="D11" s="87" t="s">
        <v>122</v>
      </c>
      <c r="E11" s="15" t="str" cm="1">
        <f t="array" ref="E11">MMS_Dairy_N2ODirect_Equations.VEERG_4_3_1_3__2_TotalNitrogenInEachMMS_Unit()</f>
        <v>kg N</v>
      </c>
    </row>
    <row r="12" spans="1:23" ht="20.100000000000001" customHeight="1" x14ac:dyDescent="0.25">
      <c r="A12" s="5" t="str">
        <f>HYPERLINK("#'Input - Dairy (Enteric)'!A1", "Dairy (Enteric)")</f>
        <v>Dairy (Enteric)</v>
      </c>
    </row>
    <row r="13" spans="1:23" ht="20.100000000000001" customHeight="1" x14ac:dyDescent="0.25">
      <c r="A13" s="5" t="str">
        <f>HYPERLINK("#'Input - Livestock sales'!A1", "Livestock sales")</f>
        <v>Livestock sales</v>
      </c>
      <c r="D13" s="120" t="str" cm="1">
        <f t="array" ref="D13:E14">_xlfn.CHOOSECOLS(MMS_Dairy_N2ODirect_Equations.VEERG_4_3_1_3__2_TotalNitrogenInEachMMS_Arguments(),1,2)</f>
        <v>AE_j</v>
      </c>
      <c r="E13" s="125" t="str">
        <v>total nitrogen excreted by each dairy class</v>
      </c>
      <c r="F13" s="126"/>
      <c r="G13" s="120" t="str" cm="1">
        <f t="array" ref="G13:H14">_xlfn.CHOOSECOLS(MMS_Dairy_N2ODirect_Equations.VEERG_4_3_1_3__2_TotalNitrogenInEachMMS_Arguments(),3,4)</f>
        <v>kg N</v>
      </c>
      <c r="H13" s="128" t="str">
        <v>Calculated from 4.3.1.3 (3a) and (3b)</v>
      </c>
      <c r="I13" s="127" t="str" cm="1">
        <f t="array" aca="1" ref="I13" ca="1">HYPERLINK(Common_InputFunctions.Utility_SourceHyperlink($D$16),$D$16)</f>
        <v>M1_Table_AE_j</v>
      </c>
    </row>
    <row r="14" spans="1:23" ht="20.100000000000001" customHeight="1" x14ac:dyDescent="0.25">
      <c r="A14" s="5" t="str">
        <f>HYPERLINK("#'Input - Dairy cattle purchases'!A1", "Dairy cattle purchases")</f>
        <v>Dairy cattle purchases</v>
      </c>
      <c r="D14" s="120" t="str">
        <v>MMS_jm</v>
      </c>
      <c r="E14" s="125" t="str">
        <v>manure management system fraction for class j and system m</v>
      </c>
      <c r="F14" s="126"/>
      <c r="G14" s="120" t="str">
        <v>fraction</v>
      </c>
      <c r="H14" s="121" t="str">
        <v>Input</v>
      </c>
      <c r="I14" s="127" t="str" cm="1">
        <f t="array" aca="1" ref="I14" ca="1">HYPERLINK(Common_InputFunctions.Utility_SourceHyperlink($D$22),$D$22)</f>
        <v>M1_Table_MMS_j_m-14</v>
      </c>
    </row>
    <row r="15" spans="1:23" ht="20.100000000000001" customHeight="1" x14ac:dyDescent="0.25">
      <c r="A15" s="5" t="str">
        <f>HYPERLINK("#'Input - Pasture'!A1", "Pasture")</f>
        <v>Pasture</v>
      </c>
    </row>
    <row r="16" spans="1:23" ht="20.100000000000001" customHeight="1" x14ac:dyDescent="0.25">
      <c r="A16" s="5" t="str">
        <f>HYPERLINK("#'Input - Fert Prod System'!A1", "Fert Prod System")</f>
        <v>Fert Prod System</v>
      </c>
      <c r="D16" s="122" t="s">
        <v>395</v>
      </c>
      <c r="O16" s="122" t="s">
        <v>465</v>
      </c>
    </row>
    <row r="17" spans="1:22" ht="20.100000000000001" customHeight="1" x14ac:dyDescent="0.25">
      <c r="A17" s="5" t="str">
        <f>HYPERLINK("#'Input - Fertiliser'!A1", "Fertiliser")</f>
        <v>Fertiliser</v>
      </c>
      <c r="D17" s="123" t="s">
        <v>466</v>
      </c>
      <c r="O17" s="123" t="s">
        <v>467</v>
      </c>
    </row>
    <row r="18" spans="1:22" ht="20.100000000000001" customHeight="1" x14ac:dyDescent="0.25">
      <c r="A18" s="5" t="str">
        <f>HYPERLINK("#'Input - Fuel'!A1", "Fuel")</f>
        <v>Fuel</v>
      </c>
      <c r="D18" s="124" t="s">
        <v>213</v>
      </c>
      <c r="E18" s="124" t="s">
        <v>214</v>
      </c>
      <c r="F18" s="124" t="s">
        <v>215</v>
      </c>
      <c r="G18" s="124" t="s">
        <v>216</v>
      </c>
      <c r="H18" s="124" t="s">
        <v>217</v>
      </c>
      <c r="O18" s="124" t="s">
        <v>213</v>
      </c>
      <c r="P18" s="124" t="s">
        <v>214</v>
      </c>
      <c r="Q18" s="124" t="s">
        <v>215</v>
      </c>
      <c r="R18" s="124" t="s">
        <v>216</v>
      </c>
      <c r="S18" s="124" t="s">
        <v>217</v>
      </c>
    </row>
    <row r="19" spans="1:22" ht="20.100000000000001" customHeight="1" x14ac:dyDescent="0.25">
      <c r="A19" s="5" t="str">
        <f>HYPERLINK("#'Input - Electricity'!A1", "Electricity")</f>
        <v>Electricity</v>
      </c>
      <c r="D19" s="25">
        <f>INDEX(M1_Table_AE_j124,2,1)</f>
        <v>18147.548038521214</v>
      </c>
      <c r="E19" s="25">
        <f>INDEX(M1_Table_AE_j124,2,2)</f>
        <v>8288.9955762645804</v>
      </c>
      <c r="F19" s="25">
        <f>INDEX(M1_Table_AE_j_Consumer_1,2,3)</f>
        <v>3301.419278356519</v>
      </c>
      <c r="G19" s="25">
        <f>INDEX(M1_Table_AE_j124,2,4)</f>
        <v>10419.59526090311</v>
      </c>
      <c r="H19" s="25">
        <f>INDEX(M1_Table_AE_j_Consumer_1,2,5)</f>
        <v>4361.9480490479727</v>
      </c>
      <c r="I19" s="26" t="str">
        <f>$G$13</f>
        <v>kg N</v>
      </c>
      <c r="O19" s="25">
        <f>INDEX(M2_Table_AE_j124,2,1)</f>
        <v>18147.548038521214</v>
      </c>
      <c r="P19" s="25">
        <f>INDEX(M2_Table_AE_j124,2,2)</f>
        <v>8288.9955762645804</v>
      </c>
      <c r="Q19" s="25">
        <f>INDEX(M1_Table_AE_j,2,3)</f>
        <v>3301.419278356519</v>
      </c>
      <c r="R19" s="25">
        <f>INDEX(M2_Table_AE_j124,2,4)</f>
        <v>10419.59526090311</v>
      </c>
      <c r="S19" s="25">
        <f>INDEX(M1_Table_AE_j,2,5)</f>
        <v>4361.9480490479727</v>
      </c>
      <c r="T19" s="26" t="str">
        <f>$G$13</f>
        <v>kg N</v>
      </c>
    </row>
    <row r="20" spans="1:22" ht="20.100000000000001" customHeight="1" x14ac:dyDescent="0.25">
      <c r="A20" s="5" t="str">
        <f>HYPERLINK("#'Input - Farm Inputs'!A1", "Farm Inputs")</f>
        <v>Farm Inputs</v>
      </c>
    </row>
    <row r="21" spans="1:22" ht="20.100000000000001" customHeight="1" x14ac:dyDescent="0.25">
      <c r="A21" s="5" t="str">
        <f>HYPERLINK("#'Input - Freight'!A1", "Freight")</f>
        <v>Freight</v>
      </c>
    </row>
    <row r="22" spans="1:22" ht="20.100000000000001" customHeight="1" x14ac:dyDescent="0.25">
      <c r="A22" s="5" t="str">
        <f>HYPERLINK("#'Input - Manure sent off-site'!A1", "Manure sent off-site")</f>
        <v>Manure sent off-site</v>
      </c>
      <c r="D22" s="122" t="s">
        <v>468</v>
      </c>
      <c r="O22" s="122" t="s">
        <v>469</v>
      </c>
    </row>
    <row r="23" spans="1:22" ht="20.100000000000001" customHeight="1" x14ac:dyDescent="0.25">
      <c r="A23" s="5" t="str">
        <f>HYPERLINK("#'Input - Solid waste'!A1", "Solid waste")</f>
        <v>Solid waste</v>
      </c>
      <c r="D23" s="123" t="s">
        <v>470</v>
      </c>
      <c r="O23" s="123" t="s">
        <v>471</v>
      </c>
    </row>
    <row r="24" spans="1:22" ht="20.100000000000001" customHeight="1" x14ac:dyDescent="0.25">
      <c r="A24" s="5" t="str">
        <f>HYPERLINK("#'Input - Data quality'!A1", "Data quality")</f>
        <v>Data quality</v>
      </c>
      <c r="D24" s="94" t="s">
        <v>168</v>
      </c>
      <c r="E24" s="94" t="s">
        <v>307</v>
      </c>
      <c r="F24" s="94" t="s">
        <v>213</v>
      </c>
      <c r="G24" s="94" t="s">
        <v>214</v>
      </c>
      <c r="H24" s="94" t="s">
        <v>215</v>
      </c>
      <c r="I24" s="94" t="s">
        <v>216</v>
      </c>
      <c r="J24" s="94" t="s">
        <v>217</v>
      </c>
      <c r="O24" s="94" t="s">
        <v>168</v>
      </c>
      <c r="P24" s="94" t="s">
        <v>307</v>
      </c>
      <c r="Q24" s="94" t="s">
        <v>213</v>
      </c>
      <c r="R24" s="94" t="s">
        <v>214</v>
      </c>
      <c r="S24" s="94" t="s">
        <v>215</v>
      </c>
      <c r="T24" s="94" t="s">
        <v>216</v>
      </c>
      <c r="U24" s="94" t="s">
        <v>217</v>
      </c>
    </row>
    <row r="25" spans="1:22" ht="20.100000000000001" customHeight="1" x14ac:dyDescent="0.25">
      <c r="D25" s="25" t="str">
        <f>INDEX(X_Table_Dairy_ProductionSystems_Method1,2,1)</f>
        <v>Pasture</v>
      </c>
      <c r="E25" s="25" t="str">
        <f>'Constants - Common Livestock'!$E$27</f>
        <v>Pasture range and paddock</v>
      </c>
      <c r="F25" s="25">
        <f>INDEX(X_Table_Dairy_ProductionSystems_Method1,2,2)</f>
        <v>0.53400000000000003</v>
      </c>
      <c r="G25" s="25">
        <f>INDEX(X_Table_Dairy_ProductionSystems_Method1,2,3)</f>
        <v>0.53400000000000003</v>
      </c>
      <c r="H25" s="25">
        <f>INDEX(X_Table_Dairy_ProductionSystems_Method1,2,4)</f>
        <v>0.53400000000000003</v>
      </c>
      <c r="I25" s="25">
        <f>INDEX(X_Table_Dairy_ProductionSystems_Method1,2,5)</f>
        <v>0.53400000000000003</v>
      </c>
      <c r="J25" s="25">
        <f>INDEX(X_Table_Dairy_ProductionSystems_Method1,2,6)</f>
        <v>0.53400000000000003</v>
      </c>
      <c r="K25" s="26" t="str">
        <f>$G$14</f>
        <v>fraction</v>
      </c>
      <c r="O25" s="25" t="str">
        <f>INDEX(X_Table_Dairy_ProductionSystems_Method1,2,1)</f>
        <v>Pasture</v>
      </c>
      <c r="P25" s="25" t="str">
        <f>'Constants - Common Livestock'!$E$27</f>
        <v>Pasture range and paddock</v>
      </c>
      <c r="Q25" s="25">
        <f>INDEX(X_Table_Dairy_ProductionSystems_Method2,2,2)</f>
        <v>0.53400000000000003</v>
      </c>
      <c r="R25" s="25">
        <f>INDEX(X_Table_Dairy_ProductionSystems_Method2,2,3)</f>
        <v>0.53400000000000003</v>
      </c>
      <c r="S25" s="25">
        <f>INDEX(X_Table_Dairy_ProductionSystems_Method2,2,4)</f>
        <v>0.53400000000000003</v>
      </c>
      <c r="T25" s="25">
        <f>INDEX(X_Table_Dairy_ProductionSystems_Method2,2,5)</f>
        <v>0.53400000000000003</v>
      </c>
      <c r="U25" s="25">
        <f>INDEX(X_Table_Dairy_ProductionSystems_Method2,2,6)</f>
        <v>0.53400000000000003</v>
      </c>
      <c r="V25" s="26" t="str">
        <f>$G$14</f>
        <v>fraction</v>
      </c>
    </row>
    <row r="26" spans="1:22" ht="20.100000000000001" customHeight="1" x14ac:dyDescent="0.25"/>
    <row r="27" spans="1:22" ht="20.100000000000001" customHeight="1" x14ac:dyDescent="0.25">
      <c r="A27" s="6" t="s">
        <v>2</v>
      </c>
      <c r="Q27" s="141"/>
    </row>
    <row r="28" spans="1:22" ht="20.100000000000001" customHeight="1" x14ac:dyDescent="0.25">
      <c r="A28" s="5" t="str">
        <f>HYPERLINK("#'5.1.1.1-2 Inorganic fert N2O'!A1", "5.1.1.1-2 Inorganic fert N2O")</f>
        <v>5.1.1.1-2 Inorganic fert N2O</v>
      </c>
      <c r="D28" s="122" t="s">
        <v>472</v>
      </c>
      <c r="O28" s="122" t="s">
        <v>473</v>
      </c>
    </row>
    <row r="29" spans="1:22" ht="20.100000000000001" customHeight="1" x14ac:dyDescent="0.25">
      <c r="A29" s="5" t="str">
        <f>HYPERLINK("#'5.1.1.3-4 Inorganic fert CO2'!A1", "5.1.1.3-4 Inorganic fert CO2")</f>
        <v>5.1.1.3-4 Inorganic fert CO2</v>
      </c>
      <c r="D29" s="123" t="s">
        <v>474</v>
      </c>
      <c r="O29" s="123" t="s">
        <v>475</v>
      </c>
    </row>
    <row r="30" spans="1:22" ht="20.100000000000001" customHeight="1" x14ac:dyDescent="0.25">
      <c r="A30" s="5" t="str">
        <f>HYPERLINK("#'5.2.1.1-2 Organic Fert N2O'!A1", "5.2.1.1-2 Organic fert N2O")</f>
        <v>5.2.1.1-2 Organic fert N2O</v>
      </c>
      <c r="D30" s="124" t="s">
        <v>168</v>
      </c>
      <c r="E30" s="124" t="s">
        <v>307</v>
      </c>
      <c r="F30" s="124" t="s">
        <v>213</v>
      </c>
      <c r="G30" s="124" t="s">
        <v>214</v>
      </c>
      <c r="H30" s="124" t="s">
        <v>215</v>
      </c>
      <c r="I30" s="124" t="s">
        <v>216</v>
      </c>
      <c r="J30" s="124" t="s">
        <v>217</v>
      </c>
      <c r="O30" s="124" t="s">
        <v>168</v>
      </c>
      <c r="P30" s="124" t="s">
        <v>307</v>
      </c>
      <c r="Q30" s="124" t="s">
        <v>213</v>
      </c>
      <c r="R30" s="124" t="s">
        <v>214</v>
      </c>
      <c r="S30" s="124" t="s">
        <v>215</v>
      </c>
      <c r="T30" s="124" t="s">
        <v>216</v>
      </c>
      <c r="U30" s="124" t="s">
        <v>217</v>
      </c>
    </row>
    <row r="31" spans="1:22" ht="20.100000000000001" customHeight="1" x14ac:dyDescent="0.25">
      <c r="A31" s="5" t="str">
        <f>HYPERLINK("#'5.3.1.1-2 Lime CO2'!A1", "5.3.1.1-2 Lime CO2")</f>
        <v>5.3.1.1-2 Lime CO2</v>
      </c>
      <c r="D31" s="25" t="str">
        <f>INDEX(X_Table_Dairy_ProductionSystems_Method1,2,1)</f>
        <v>Pasture</v>
      </c>
      <c r="E31" s="25" t="str">
        <f>'Constants - Common Livestock'!$E$27</f>
        <v>Pasture range and paddock</v>
      </c>
      <c r="F31" s="25" cm="1">
        <f t="array" ref="F31">MMS_Dairy_N2ODirect_Equations.VEERG_4_3_1_3__2_TotalNitrogenInEachMMS(D19,F25)</f>
        <v>9690.7906525703293</v>
      </c>
      <c r="G31" s="25" cm="1">
        <f t="array" ref="G31">MMS_Dairy_N2ODirect_Equations.VEERG_4_3_1_3__2_TotalNitrogenInEachMMS(E19,G25)</f>
        <v>4426.3236377252861</v>
      </c>
      <c r="H31" s="25" cm="1">
        <f t="array" ref="H31">MMS_Dairy_N2ODirect_Equations.VEERG_4_3_1_3__2_TotalNitrogenInEachMMS(F19,H25)</f>
        <v>1762.9578946423812</v>
      </c>
      <c r="I31" s="25" cm="1">
        <f t="array" ref="I31">MMS_Dairy_N2ODirect_Equations.VEERG_4_3_1_3__2_TotalNitrogenInEachMMS(G19,I25)</f>
        <v>5564.0638693222609</v>
      </c>
      <c r="J31" s="25" cm="1">
        <f t="array" ref="J31">MMS_Dairy_N2ODirect_Equations.VEERG_4_3_1_3__2_TotalNitrogenInEachMMS(H19,J25)</f>
        <v>2329.2802581916176</v>
      </c>
      <c r="K31" s="26" t="str">
        <f>$E$11</f>
        <v>kg N</v>
      </c>
      <c r="O31" s="25" t="str">
        <f>INDEX(X_Table_Dairy_ProductionSystems_Method1,2,1)</f>
        <v>Pasture</v>
      </c>
      <c r="P31" s="25" t="str">
        <f>'Constants - Common Livestock'!$E$27</f>
        <v>Pasture range and paddock</v>
      </c>
      <c r="Q31" s="25" cm="1">
        <f t="array" ref="Q31">MMS_Dairy_N2ODirect_Equations.VEERG_4_3_1_3__2_TotalNitrogenInEachMMS(O19,Q25)</f>
        <v>9690.7906525703293</v>
      </c>
      <c r="R31" s="25" cm="1">
        <f t="array" ref="R31">MMS_Dairy_N2ODirect_Equations.VEERG_4_3_1_3__2_TotalNitrogenInEachMMS(P19,R25)</f>
        <v>4426.3236377252861</v>
      </c>
      <c r="S31" s="25" cm="1">
        <f t="array" ref="S31">MMS_Dairy_N2ODirect_Equations.VEERG_4_3_1_3__2_TotalNitrogenInEachMMS(Q19,S25)</f>
        <v>1762.9578946423812</v>
      </c>
      <c r="T31" s="25" cm="1">
        <f t="array" ref="T31">MMS_Dairy_N2ODirect_Equations.VEERG_4_3_1_3__2_TotalNitrogenInEachMMS(R19,T25)</f>
        <v>5564.0638693222609</v>
      </c>
      <c r="U31" s="25" cm="1">
        <f t="array" ref="U31">MMS_Dairy_N2ODirect_Equations.VEERG_4_3_1_3__2_TotalNitrogenInEachMMS(S19,U25)</f>
        <v>2329.2802581916176</v>
      </c>
      <c r="V31" s="26" t="str">
        <f>$E$11</f>
        <v>kg N</v>
      </c>
    </row>
    <row r="32" spans="1:22" ht="20.100000000000001" customHeight="1" x14ac:dyDescent="0.25">
      <c r="A32" s="5" t="str">
        <f>HYPERLINK("#'5.4.1.1-4 Atmos deposition'!A1", "5.4.1.1-4 Atmos. deposition")</f>
        <v>5.4.1.1-4 Atmos. deposition</v>
      </c>
    </row>
    <row r="33" spans="1:23" ht="20.100000000000001" customHeight="1" x14ac:dyDescent="0.25">
      <c r="A33" s="5" t="str">
        <f>HYPERLINK("#'5.5.1.1-2 Leaching and runoff'!A1", "5.5.1.1-2 Leaching &amp; runoff")</f>
        <v>5.5.1.1-2 Leaching &amp; runoff</v>
      </c>
    </row>
    <row r="34" spans="1:23" ht="20.100000000000001" customHeight="1" x14ac:dyDescent="0.25">
      <c r="A34" s="5" t="str">
        <f>HYPERLINK("#'6.2.1.1-2 Pasture residue N2O'!A1", "6.2.1.1-2 Pasture residue N2O")</f>
        <v>6.2.1.1-2 Pasture residue N2O</v>
      </c>
      <c r="C34" s="101"/>
      <c r="D34" s="101"/>
      <c r="E34" s="101"/>
      <c r="F34" s="101"/>
      <c r="G34" s="101"/>
      <c r="H34" s="101"/>
      <c r="I34" s="101"/>
      <c r="J34" s="101"/>
      <c r="K34" s="101"/>
      <c r="L34" s="101"/>
      <c r="N34" s="101"/>
      <c r="O34" s="101"/>
      <c r="P34" s="101"/>
      <c r="Q34" s="101"/>
      <c r="R34" s="101"/>
      <c r="S34" s="101"/>
      <c r="T34" s="101"/>
      <c r="U34" s="101"/>
      <c r="V34" s="101"/>
      <c r="W34" s="101"/>
    </row>
    <row r="35" spans="1:23" ht="20.100000000000001" customHeight="1" x14ac:dyDescent="0.25">
      <c r="A35" s="5" t="str">
        <f>HYPERLINK("#'6.3.1.1-2 Leach runoff pasture'!A1", "6.3.1.1-2 Leach &amp; runoff (pasture)")</f>
        <v>6.3.1.1-2 Leach &amp; runoff (pasture)</v>
      </c>
      <c r="D35" s="2" t="str" cm="1">
        <f t="array" ref="D35">MMS_Dairy_Soil_N2ODirect_Equations.VEERG_4_3_1_9__1_DirectNitrousOxideEmissionsOnPasture_Title()</f>
        <v>Direct nitrous oxide emissions on pasture</v>
      </c>
    </row>
    <row r="36" spans="1:23" ht="20.100000000000001" customHeight="1" x14ac:dyDescent="0.25">
      <c r="A36" s="5" t="str">
        <f>HYPERLINK("#'8.1.1.1-2 Transport fuel'!A1", "8.1.1.1-2 Transport fuel")</f>
        <v>8.1.1.1-2 Transport fuel</v>
      </c>
      <c r="D36" s="27" t="str" cm="1">
        <f t="array" ref="D36">MMS_Dairy_Soil_N2ODirect_Equations.VEERG_4_3_1_9__1_DirectNitrousOxideEmissionsOnPasture_Source()</f>
        <v>VEERG 2026: 4.3.1.9, Equation (1)</v>
      </c>
    </row>
    <row r="37" spans="1:23" ht="20.100000000000001" customHeight="1" x14ac:dyDescent="0.25">
      <c r="A37" s="5" t="str">
        <f>HYPERLINK("#'8.2.1.1-2 Stationary fuel'!A1", "8.2.1.1-2 Stationary fuel")</f>
        <v>8.2.1.1-2 Stationary fuel</v>
      </c>
      <c r="D37" s="118" t="s">
        <v>476</v>
      </c>
      <c r="E37" s="118" t="str" cm="1">
        <f t="array" aca="1" ref="E37" ca="1">Common_InputFunctions.Utility_DisplayFunctionName($F$51)</f>
        <v>=MMS_Dairy_Soil_N2ODirect_Equations.VEERG_4_3_1_9__1_DirectNitrousOxideEmissionsOnPasture</v>
      </c>
    </row>
    <row r="38" spans="1:23" ht="20.100000000000001" customHeight="1" x14ac:dyDescent="0.25">
      <c r="A38" s="5" t="str">
        <f>HYPERLINK("#'14.1.1-2 Purchased electricity'!A1", "14.1.1-2 Purchased electricity")</f>
        <v>14.1.1-2 Purchased electricity</v>
      </c>
    </row>
    <row r="39" spans="1:23" ht="20.100000000000001" customHeight="1" x14ac:dyDescent="0.25">
      <c r="A39" s="5" t="str">
        <f>HYPERLINK("#'15 Scope 3'!A1", "15 Scope 3")</f>
        <v>15 Scope 3</v>
      </c>
    </row>
    <row r="40" spans="1:23" ht="20.100000000000001" customHeight="1" x14ac:dyDescent="0.25">
      <c r="A40" s="5" t="str">
        <f>HYPERLINK("#'Calcs - Manure sent off-site'!A1", "Calcs - Manure sent off-site")</f>
        <v>Calcs - Manure sent off-site</v>
      </c>
      <c r="D40" s="87" t="s">
        <v>263</v>
      </c>
      <c r="E40" s="1" t="str" cm="1">
        <f t="array" ref="E40">MMS_Dairy_Soil_N2ODirect_Equations.VEERG_4_3_1_9__1_DirectNitrousOxideEmissionsOnPasture_Variable()</f>
        <v>E_N2Odir</v>
      </c>
    </row>
    <row r="41" spans="1:23" ht="20.100000000000001" customHeight="1" x14ac:dyDescent="0.25">
      <c r="A41" s="5" t="str">
        <f>HYPERLINK("#'4.3.1.1-2 Methane'!A1", "4.3.1.1-2 Methane")</f>
        <v>4.3.1.1-2 Methane</v>
      </c>
      <c r="D41" s="87" t="s">
        <v>122</v>
      </c>
      <c r="E41" s="15" t="str" cm="1">
        <f t="array" ref="E41">MMS_Dairy_Soil_N2ODirect_Equations.VEERG_4_3_1_9__1_DirectNitrousOxideEmissionsOnPasture_Unit()</f>
        <v>t N2O</v>
      </c>
    </row>
    <row r="42" spans="1:23" ht="20.100000000000001" customHeight="1" x14ac:dyDescent="0.25">
      <c r="A42" s="5" t="str">
        <f>HYPERLINK("#'4.3.1.3-4 Direct N20'!A1", "4.3.1.3-4 Direct N20")</f>
        <v>4.3.1.3-4 Direct N20</v>
      </c>
    </row>
    <row r="43" spans="1:23" ht="20.100000000000001" customHeight="1" x14ac:dyDescent="0.25">
      <c r="A43" s="5" t="str">
        <f>HYPERLINK("#'4.3.1.5 Atmos deposition'!A1", "4.3.1.5 Atmos deposition")</f>
        <v>4.3.1.5 Atmos deposition</v>
      </c>
      <c r="D43" s="120" t="str" cm="1">
        <f t="array" ref="D43:E46">_xlfn.CHOOSECOLS(MMS_Dairy_Soil_N2ODirect_Equations.VEERG_4_3_1_9__1_DirectNitrousOxideEmissionsOnPasture_Arguments(),1,2)</f>
        <v>MN_jm14</v>
      </c>
      <c r="E43" s="125" t="str">
        <v>mass of nitrogen excreted on pasture, range, and paddock for each dairy cattle class</v>
      </c>
      <c r="F43" s="133"/>
      <c r="G43" s="126"/>
      <c r="H43" s="120" t="str" cm="1">
        <f t="array" ref="H43:I46">_xlfn.CHOOSECOLS(MMS_Dairy_Soil_N2ODirect_Equations.VEERG_4_3_1_9__1_DirectNitrousOxideEmissionsOnPasture_Arguments(),3,4)</f>
        <v>kg N</v>
      </c>
      <c r="I43" s="128" t="str">
        <v>Calculated from 4.3.1.3 (2)</v>
      </c>
      <c r="J43" s="127" t="str" cm="1">
        <f t="array" aca="1" ref="J43" ca="1">HYPERLINK(Common_InputFunctions.Utility_SourceHyperlink($D$28),$D$28)</f>
        <v>M1_Table_MN_j_m-14</v>
      </c>
    </row>
    <row r="44" spans="1:23" ht="20.100000000000001" customHeight="1" x14ac:dyDescent="0.25">
      <c r="A44" s="5" t="str">
        <f>HYPERLINK("#'4.3.1.6-7 Leaching and runoff'!A1", "4.3.1.6-7 Leaching and runoff")</f>
        <v>4.3.1.6-7 Leaching and runoff</v>
      </c>
      <c r="D44" s="120" t="str">
        <v>EF_PRP</v>
      </c>
      <c r="E44" s="125" t="str">
        <v>emission factor for nitrous oxide emissions for urine and dung deposited on PRP</v>
      </c>
      <c r="F44" s="133"/>
      <c r="G44" s="126"/>
      <c r="H44" s="120" t="str">
        <v>kg N2O-N/kg N deposited</v>
      </c>
      <c r="I44" s="128" t="str">
        <v>Constant</v>
      </c>
      <c r="J44" s="120">
        <f>Common_InputFunctions.Utility_LookupValueInTable(J46, Table_SourceData_EFPastureRangeAndPaddock[Climate zone],Table_SourceData_EFPastureRangeAndPaddock[EFPRP])</f>
        <v>2E-3</v>
      </c>
    </row>
    <row r="45" spans="1:23" ht="20.100000000000001" customHeight="1" x14ac:dyDescent="0.25">
      <c r="A45" s="5" t="str">
        <f>HYPERLINK("#'4.3.1.8 Manure applied to soils'!A1", "4.3.1.8 Manure applied to soils")</f>
        <v>4.3.1.8 Manure applied to soils</v>
      </c>
      <c r="D45" s="120" t="str">
        <v>C_N2O</v>
      </c>
      <c r="E45" s="125" t="str">
        <v>factor to convert elemental mass of N2O to molecular mass</v>
      </c>
      <c r="F45" s="133"/>
      <c r="G45" s="126"/>
      <c r="H45" s="120" t="str">
        <v/>
      </c>
      <c r="I45" s="128" t="str">
        <v>Constant</v>
      </c>
      <c r="J45" s="120">
        <f>Common_InputFunctions.Utility_LookupValueInTableNumber("N2O",Table_GasToMolecularConversionFactor[Gas],Table_GasToMolecularConversionFactor[Conversion factor combined])</f>
        <v>1.5714285714285714</v>
      </c>
    </row>
    <row r="46" spans="1:23" ht="20.100000000000001" customHeight="1" x14ac:dyDescent="0.25">
      <c r="A46" s="119" t="str">
        <f>HYPERLINK("#'4.3.1.9 Soil direct N2O'!A1", "4.3.1.9 Soil direct N2O")</f>
        <v>4.3.1.9 Soil direct N2O</v>
      </c>
      <c r="D46" s="120" t="str">
        <v>z</v>
      </c>
      <c r="E46" s="125" t="str">
        <v>Wet or dry climate zone</v>
      </c>
      <c r="F46" s="133"/>
      <c r="G46" s="126"/>
      <c r="H46" s="120" t="str">
        <v/>
      </c>
      <c r="I46" s="121" t="str">
        <v>Input</v>
      </c>
      <c r="J46" s="120" t="str">
        <f>X_Cell_Site_WetOrDryClimateZone</f>
        <v>Dry climate zone</v>
      </c>
    </row>
    <row r="47" spans="1:23" ht="20.100000000000001" customHeight="1" x14ac:dyDescent="0.25">
      <c r="A47" s="5" t="str">
        <f>HYPERLINK("#'4.3.1.10-11 Soil Atmos Dep'!A1", "4.3.1.10-11 Soil Atmos Dep")</f>
        <v>4.3.1.10-11 Soil Atmos Dep</v>
      </c>
    </row>
    <row r="48" spans="1:23" ht="20.100000000000001" customHeight="1" x14ac:dyDescent="0.25">
      <c r="A48" s="5" t="str">
        <f>HYPERLINK("#'4.3.1.12-13 Soil leach runoff'!A1", "4.3.1.12-13 Soil leach runoff")</f>
        <v>4.3.1.12-13 Soil leach runoff</v>
      </c>
      <c r="D48" s="122" t="s">
        <v>407</v>
      </c>
      <c r="O48" s="122" t="s">
        <v>408</v>
      </c>
    </row>
    <row r="49" spans="1:22" ht="20.100000000000001" customHeight="1" x14ac:dyDescent="0.25">
      <c r="A49" s="5" t="str">
        <f>HYPERLINK("#'3.3.1.1-2 Enteric Methane'!A1", "3.3.1.1-2 Enteric Methane")</f>
        <v>3.3.1.1-2 Enteric Methane</v>
      </c>
      <c r="D49" s="123" t="s">
        <v>477</v>
      </c>
      <c r="O49" s="123" t="s">
        <v>478</v>
      </c>
    </row>
    <row r="50" spans="1:22" ht="20.100000000000001" customHeight="1" x14ac:dyDescent="0.25">
      <c r="A50" s="5" t="str">
        <f>HYPERLINK("#'10.1.1-2 Solid waste treatment'!A1", "10.1.1-2 Solid waste treatment")</f>
        <v>10.1.1-2 Solid waste treatment</v>
      </c>
      <c r="D50" s="124" t="s">
        <v>168</v>
      </c>
      <c r="E50" s="124" t="s">
        <v>307</v>
      </c>
      <c r="F50" s="124" t="s">
        <v>213</v>
      </c>
      <c r="G50" s="124" t="s">
        <v>214</v>
      </c>
      <c r="H50" s="124" t="s">
        <v>215</v>
      </c>
      <c r="I50" s="124" t="s">
        <v>216</v>
      </c>
      <c r="J50" s="124" t="s">
        <v>217</v>
      </c>
      <c r="O50" s="124" t="s">
        <v>168</v>
      </c>
      <c r="P50" s="124" t="s">
        <v>307</v>
      </c>
      <c r="Q50" s="124" t="s">
        <v>213</v>
      </c>
      <c r="R50" s="124" t="s">
        <v>214</v>
      </c>
      <c r="S50" s="124" t="s">
        <v>215</v>
      </c>
      <c r="T50" s="124" t="s">
        <v>216</v>
      </c>
      <c r="U50" s="124" t="s">
        <v>217</v>
      </c>
    </row>
    <row r="51" spans="1:22" ht="20.100000000000001" customHeight="1" x14ac:dyDescent="0.25">
      <c r="D51" s="25" t="str">
        <f>INDEX(X_Table_Dairy_ProductionSystems_Method1,2,1)</f>
        <v>Pasture</v>
      </c>
      <c r="E51" s="25" t="str">
        <f>'Constants - Common Livestock'!$E$27</f>
        <v>Pasture range and paddock</v>
      </c>
      <c r="F51" s="25" cm="1">
        <f t="array" ref="F51">MMS_Dairy_Soil_N2ODirect_Equations.VEERG_4_3_1_9__1_DirectNitrousOxideEmissionsOnPasture(F31,$J$44,$J$45)</f>
        <v>3.0456770622363894E-2</v>
      </c>
      <c r="G51" s="25" cm="1">
        <f t="array" ref="G51">MMS_Dairy_Soil_N2ODirect_Equations.VEERG_4_3_1_9__1_DirectNitrousOxideEmissionsOnPasture(G31,$J$44,$J$45)</f>
        <v>1.3911302861422326E-2</v>
      </c>
      <c r="H51" s="25" cm="1">
        <f t="array" ref="H51">MMS_Dairy_Soil_N2ODirect_Equations.VEERG_4_3_1_9__1_DirectNitrousOxideEmissionsOnPasture(H31,$J$44,$J$45)</f>
        <v>5.5407248117331984E-3</v>
      </c>
      <c r="I51" s="25" cm="1">
        <f t="array" ref="I51">MMS_Dairy_Soil_N2ODirect_Equations.VEERG_4_3_1_9__1_DirectNitrousOxideEmissionsOnPasture(I31,$J$44,$J$45)</f>
        <v>1.7487057875012819E-2</v>
      </c>
      <c r="J51" s="25" cm="1">
        <f t="array" ref="J51">MMS_Dairy_Soil_N2ODirect_Equations.VEERG_4_3_1_9__1_DirectNitrousOxideEmissionsOnPasture(J31,$J$44,$J$45)</f>
        <v>7.3205950971736563E-3</v>
      </c>
      <c r="K51" s="26" t="str">
        <f>$E$41</f>
        <v>t N2O</v>
      </c>
      <c r="O51" s="25" t="str">
        <f>INDEX(X_Table_Dairy_ProductionSystems_Method1,2,1)</f>
        <v>Pasture</v>
      </c>
      <c r="P51" s="25" t="str">
        <f>'Constants - Common Livestock'!$E$27</f>
        <v>Pasture range and paddock</v>
      </c>
      <c r="Q51" s="25" cm="1">
        <f t="array" ref="Q51">MMS_Dairy_Soil_N2ODirect_Equations.VEERG_4_3_1_9__1_DirectNitrousOxideEmissionsOnPasture(Q31,$J$44,$J$45)</f>
        <v>3.0456770622363894E-2</v>
      </c>
      <c r="R51" s="25" cm="1">
        <f t="array" ref="R51">MMS_Dairy_Soil_N2ODirect_Equations.VEERG_4_3_1_9__1_DirectNitrousOxideEmissionsOnPasture(R31,$J$44,$J$45)</f>
        <v>1.3911302861422326E-2</v>
      </c>
      <c r="S51" s="25" cm="1">
        <f t="array" ref="S51">MMS_Dairy_Soil_N2ODirect_Equations.VEERG_4_3_1_9__1_DirectNitrousOxideEmissionsOnPasture(S31,$J$44,$J$45)</f>
        <v>5.5407248117331984E-3</v>
      </c>
      <c r="T51" s="25" cm="1">
        <f t="array" ref="T51">MMS_Dairy_Soil_N2ODirect_Equations.VEERG_4_3_1_9__1_DirectNitrousOxideEmissionsOnPasture(T31,$J$44,$J$45)</f>
        <v>1.7487057875012819E-2</v>
      </c>
      <c r="U51" s="25" cm="1">
        <f t="array" ref="U51">MMS_Dairy_Soil_N2ODirect_Equations.VEERG_4_3_1_9__1_DirectNitrousOxideEmissionsOnPasture(U31,$J$44,$J$45)</f>
        <v>7.3205950971736563E-3</v>
      </c>
      <c r="V51" s="26" t="str">
        <f>$E$41</f>
        <v>t N2O</v>
      </c>
    </row>
    <row r="52" spans="1:22" ht="20.100000000000001" customHeight="1" x14ac:dyDescent="0.25"/>
    <row r="53" spans="1:22" ht="20.100000000000001" customHeight="1" x14ac:dyDescent="0.25">
      <c r="A53" s="100" t="s">
        <v>1</v>
      </c>
      <c r="D53" s="135" t="s">
        <v>411</v>
      </c>
      <c r="E53" s="136">
        <f>SUM(F51:J51)</f>
        <v>7.4716451267705888E-2</v>
      </c>
      <c r="F53" s="137" t="str">
        <f>$E$41</f>
        <v>t N2O</v>
      </c>
      <c r="O53" s="135" t="s">
        <v>411</v>
      </c>
      <c r="P53" s="136">
        <f>SUM(Q51:U51)</f>
        <v>7.4716451267705888E-2</v>
      </c>
      <c r="Q53" s="137" t="str">
        <f>$E$41</f>
        <v>t N2O</v>
      </c>
    </row>
    <row r="54" spans="1:22" ht="20.100000000000001" customHeight="1" x14ac:dyDescent="0.25">
      <c r="A54" s="5" t="str">
        <f>HYPERLINK("#'Constants - Dairy'!A1", "Constants - Dairy")</f>
        <v>Constants - Dairy</v>
      </c>
    </row>
    <row r="55" spans="1:22" ht="20.100000000000001" customHeight="1" x14ac:dyDescent="0.25">
      <c r="A55" s="5" t="str">
        <f>HYPERLINK("#'Constants - Ag Residue'!A1", "Constants - Ag residue")</f>
        <v>Constants - Ag residue</v>
      </c>
      <c r="D55" s="132" t="str" cm="1">
        <f t="array" ref="D55:E56">Common_Equations.Common_ConvertN2OToCO2e_Arguments()</f>
        <v>EN2O</v>
      </c>
      <c r="E55" s="138" t="str">
        <v>Nitrous oxide emissions (t N2O)</v>
      </c>
      <c r="F55" s="139"/>
      <c r="G55" s="25">
        <f>VEERG_4_3_1_9__1_DirectNitrousOxideEmissionsOnPasture_Result_Method1</f>
        <v>7.4716451267705888E-2</v>
      </c>
      <c r="O55" s="132" t="str" cm="1">
        <f t="array" ref="O55:P56">Common_Equations.Common_ConvertN2OToCO2e_Arguments()</f>
        <v>EN2O</v>
      </c>
      <c r="P55" s="138" t="str">
        <v>Nitrous oxide emissions (t N2O)</v>
      </c>
      <c r="Q55" s="139"/>
      <c r="R55" s="25">
        <f>VEERG_4_3_1_9__1_DirectNitrousOxideEmissionsOnPasture_Result_Method2</f>
        <v>7.4716451267705888E-2</v>
      </c>
    </row>
    <row r="56" spans="1:22" ht="20.100000000000001" customHeight="1" x14ac:dyDescent="0.25">
      <c r="A56" s="5" t="str">
        <f>HYPERLINK("#'Constants - Common Livestock'!A1", "Constants - Common Livestock")</f>
        <v>Constants - Common Livestock</v>
      </c>
      <c r="D56" s="132" t="str">
        <v>GWPN2O</v>
      </c>
      <c r="E56" s="138" t="str">
        <v>Global warming potential for nitrous oxide (t CO2-e / t N2O)</v>
      </c>
      <c r="F56" s="139"/>
      <c r="G56" s="25">
        <f>Common_InputFunctions.Utility_LookupValueInTableNumber("N2O",Table_GWPData[Gas],Table_GWPData[CO2-e factor])</f>
        <v>265</v>
      </c>
      <c r="O56" s="132" t="str">
        <v>GWPN2O</v>
      </c>
      <c r="P56" s="138" t="str">
        <v>Global warming potential for nitrous oxide (t CO2-e / t N2O)</v>
      </c>
      <c r="Q56" s="139"/>
      <c r="R56" s="25">
        <f>Common_InputFunctions.Utility_LookupValueInTableNumber("N2O",Table_GWPData[Gas],Table_GWPData[CO2-e factor])</f>
        <v>265</v>
      </c>
    </row>
    <row r="57" spans="1:22" ht="20.100000000000001" customHeight="1" x14ac:dyDescent="0.25">
      <c r="A57" s="5" t="str">
        <f>HYPERLINK("#'Constants - Electricity'!A1", "Constants - Electricity")</f>
        <v>Constants - Electricity</v>
      </c>
    </row>
    <row r="58" spans="1:22" ht="20.100000000000001" customHeight="1" x14ac:dyDescent="0.25">
      <c r="A58" s="5" t="str">
        <f>HYPERLINK("#'Constants - Fertiliser'!A1", "Constants - Fertiliser")</f>
        <v>Constants - Fertiliser</v>
      </c>
      <c r="D58" s="101" t="s">
        <v>412</v>
      </c>
      <c r="E58" s="101" cm="1">
        <f t="array" ref="E58">Common_Equations.Common_ConvertN2OToCO2e(G55,G56)</f>
        <v>19.799859585942059</v>
      </c>
      <c r="F58" s="140" t="str" cm="1">
        <f t="array" ref="F58">Common_Equations.Common_ConvertN2OToCO2e_Unit()</f>
        <v>t CO2e</v>
      </c>
      <c r="O58" s="101" t="s">
        <v>412</v>
      </c>
      <c r="P58" s="101" cm="1">
        <f t="array" ref="P58">Common_Equations.Common_ConvertN2OToCO2e(R55,R56)</f>
        <v>19.799859585942059</v>
      </c>
      <c r="Q58" s="140" t="str" cm="1">
        <f t="array" ref="Q58">Common_Equations.Common_ConvertN2OToCO2e_Unit()</f>
        <v>t CO2e</v>
      </c>
    </row>
    <row r="59" spans="1:22" ht="20.100000000000001" customHeight="1" x14ac:dyDescent="0.25">
      <c r="A59" s="5" t="str">
        <f>HYPERLINK("#'Constants - Fuel'!A1", "Constants - Fuel")</f>
        <v>Constants - Fuel</v>
      </c>
    </row>
    <row r="60" spans="1:22" ht="20.100000000000001" customHeight="1" x14ac:dyDescent="0.25">
      <c r="A60" s="5" t="str">
        <f>HYPERLINK("#'Constants - Scope 3'!A1", "Constants - Scope 3")</f>
        <v>Constants - Scope 3</v>
      </c>
    </row>
    <row r="61" spans="1:22" ht="20.100000000000001" customHeight="1" x14ac:dyDescent="0.25">
      <c r="A61" s="5" t="str">
        <f>HYPERLINK("#'Constants - Common'!A1", "Constants - Common")</f>
        <v>Constants - Common</v>
      </c>
    </row>
    <row r="62" spans="1:22" ht="20.100000000000001" customHeight="1" x14ac:dyDescent="0.25">
      <c r="A62" s="5" t="str">
        <f>HYPERLINK("#'Acknowledgements'!A1", "Acknowledgements")</f>
        <v>Acknowledgements</v>
      </c>
    </row>
    <row r="63" spans="1:22" ht="20.100000000000001" customHeight="1" x14ac:dyDescent="0.25">
      <c r="A63" s="5" t="str">
        <f>HYPERLINK("#'Constants - Solid Waste'!A1", "Constants - Solid Waste")</f>
        <v>Constants - Solid Waste</v>
      </c>
    </row>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5 E31 E34 P25 O34 P31 E51 P51" xr:uid="{460BC778-AB45-4EB2-AD5C-6013A645A988}"/>
  </dataValidation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628E4-E331-4F49-BF12-1FA574D18AAD}">
  <dimension ref="A1:W165"/>
  <sheetViews>
    <sheetView showGridLines="0" topLeftCell="A7"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30" customFormat="1" ht="30" customHeight="1" x14ac:dyDescent="0.35">
      <c r="A1" s="16" t="e" vm="1">
        <v>#VALUE!</v>
      </c>
      <c r="C1" s="30" t="s">
        <v>479</v>
      </c>
    </row>
    <row r="2" spans="1:23" s="3" customFormat="1" ht="20.100000000000001" customHeight="1" x14ac:dyDescent="0.25">
      <c r="A2"/>
    </row>
    <row r="3" spans="1:23" ht="20.100000000000001" customHeight="1" x14ac:dyDescent="0.25">
      <c r="A3" s="5" t="str">
        <f>HYPERLINK("#'Home'!A1", "Home")</f>
        <v>Home</v>
      </c>
      <c r="C3" s="32"/>
      <c r="D3" s="32"/>
      <c r="E3" s="32"/>
      <c r="F3" s="32"/>
      <c r="G3" s="32"/>
      <c r="H3" s="32"/>
      <c r="I3" s="32"/>
      <c r="J3" s="32"/>
      <c r="K3" s="32"/>
      <c r="L3" s="32"/>
      <c r="N3" s="32"/>
      <c r="O3" s="32"/>
      <c r="P3" s="32"/>
      <c r="Q3" s="32"/>
      <c r="R3" s="32"/>
      <c r="S3" s="32"/>
      <c r="T3" s="32"/>
      <c r="U3" s="32"/>
      <c r="V3" s="32"/>
      <c r="W3" s="32"/>
    </row>
    <row r="4" spans="1:23" ht="20.100000000000001" customHeight="1" x14ac:dyDescent="0.25">
      <c r="A4" s="5" t="str">
        <f>HYPERLINK("#'Overview'!A1", "Overview")</f>
        <v>Overview</v>
      </c>
    </row>
    <row r="5" spans="1:23" ht="20.100000000000001" customHeight="1" x14ac:dyDescent="0.25">
      <c r="A5" s="5" t="str">
        <f>HYPERLINK("#'Results'!A1", "Results")</f>
        <v>Results</v>
      </c>
      <c r="D5" s="2"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D6" s="27" t="str" cm="1">
        <f t="array" ref="D6">MMS_Dairy_Soil_AtmosphericDeposition_Equations.VEERG_4_3_1_10__2_MassOfNitrogenVolatilisedOnPasture_Source()</f>
        <v>VEERG 2026: 4.3.1.10, Equation (2)</v>
      </c>
    </row>
    <row r="7" spans="1:23" ht="20.100000000000001" customHeight="1" x14ac:dyDescent="0.25">
      <c r="D7" s="118" t="s">
        <v>262</v>
      </c>
      <c r="E7" s="118" t="str" cm="1">
        <f t="array" aca="1" ref="E7" ca="1">Common_InputFunctions.Utility_DisplayFunctionName(F24)</f>
        <v>=MMS_Dairy_Soil_AtmosphericDeposition_Equations.VEERG_4_3_1_10__2_MassOfNitrogenVolatilisedOnPasture</v>
      </c>
    </row>
    <row r="8" spans="1:23" ht="20.100000000000001" customHeight="1" x14ac:dyDescent="0.25">
      <c r="A8" s="7" t="s">
        <v>0</v>
      </c>
    </row>
    <row r="9" spans="1:23" ht="20.100000000000001" customHeight="1" x14ac:dyDescent="0.25">
      <c r="A9" s="5" t="str">
        <f>HYPERLINK("#'Input - Enterprise'!A1", "Enterprise")</f>
        <v>Enterprise</v>
      </c>
    </row>
    <row r="10" spans="1:23" ht="20.100000000000001" customHeight="1" x14ac:dyDescent="0.25">
      <c r="A10" s="5" t="str">
        <f>HYPERLINK("#'Input - Site'!A1", "Site")</f>
        <v>Site</v>
      </c>
      <c r="D10" s="87" t="s">
        <v>263</v>
      </c>
      <c r="E10" s="1" t="str" cm="1">
        <f t="array" ref="E10">MMS_Dairy_Soil_AtmosphericDeposition_Equations.VEERG_4_3_1_10__2_MassOfNitrogenVolatilisedOnPasture_Variable()</f>
        <v>M_vol_m14</v>
      </c>
    </row>
    <row r="11" spans="1:23" ht="20.100000000000001" customHeight="1" x14ac:dyDescent="0.25">
      <c r="A11" s="5" t="str">
        <f>HYPERLINK("#'Input - Dairy'!A1", "Dairy")</f>
        <v>Dairy</v>
      </c>
      <c r="D11" s="87" t="s">
        <v>122</v>
      </c>
      <c r="E11" s="15" t="str" cm="1">
        <f t="array" ref="E11">MMS_Dairy_Soil_AtmosphericDeposition_Equations.VEERG_4_3_1_10__2_MassOfNitrogenVolatilisedOnPasture_Unit()</f>
        <v>kg N</v>
      </c>
    </row>
    <row r="12" spans="1:23" ht="20.100000000000001" customHeight="1" x14ac:dyDescent="0.25">
      <c r="A12" s="5" t="str">
        <f>HYPERLINK("#'Input - Dairy (Enteric)'!A1", "Dairy (Enteric)")</f>
        <v>Dairy (Enteric)</v>
      </c>
    </row>
    <row r="13" spans="1:23" ht="20.100000000000001" customHeight="1" x14ac:dyDescent="0.25">
      <c r="A13" s="5" t="str">
        <f>HYPERLINK("#'Input - Livestock sales'!A1", "Livestock sales")</f>
        <v>Livestock sales</v>
      </c>
      <c r="D13" s="120" t="str" cm="1">
        <f t="array" ref="D13:E14">_xlfn.CHOOSECOLS(MMS_Dairy_Soil_AtmosphericDeposition_Equations.VEERG_4_3_1_10__2_MassOfNitrogenVolatilisedOnPasture_Arguments(),1,2)</f>
        <v>MN_jm14</v>
      </c>
      <c r="E13" s="120" t="str">
        <v>mass of nitrogen excreted on pasture, range and paddock for each dairy class</v>
      </c>
      <c r="F13" s="120"/>
      <c r="G13" s="120" t="str" cm="1">
        <f t="array" ref="G13:H14">_xlfn.CHOOSECOLS(MMS_Dairy_Soil_AtmosphericDeposition_Equations.VEERG_4_3_1_10__2_MassOfNitrogenVolatilisedOnPasture_Arguments(),3,4)</f>
        <v>kg N</v>
      </c>
      <c r="H13" s="128" t="str">
        <v>Calculated from 4.3.1.3 (2)</v>
      </c>
      <c r="I13" s="127" t="str" cm="1">
        <f t="array" aca="1" ref="I13" ca="1">HYPERLINK(Common_InputFunctions.Utility_SourceHyperlink($D$16),$D$16)</f>
        <v>M1_Table_MN_j_m-14</v>
      </c>
    </row>
    <row r="14" spans="1:23" ht="20.100000000000001" customHeight="1" x14ac:dyDescent="0.25">
      <c r="A14" s="5" t="str">
        <f>HYPERLINK("#'Input - Dairy cattle purchases'!A1", "Dairy cattle purchases")</f>
        <v>Dairy cattle purchases</v>
      </c>
      <c r="D14" s="120" t="str">
        <v>FracGASMsoil</v>
      </c>
      <c r="E14" s="120" t="str">
        <v>fraction of nitrogen volatilised from urine and faeces deposited on pasture</v>
      </c>
      <c r="F14" s="120"/>
      <c r="G14" s="120" t="str">
        <v>(kg NH3-N + NOx-N)/kg N)</v>
      </c>
      <c r="H14" s="128" t="str">
        <v>Constant</v>
      </c>
      <c r="I14" s="120">
        <f>SourceData_Dairy_FracGASMSoil_Data</f>
        <v>0.21</v>
      </c>
    </row>
    <row r="15" spans="1:23" ht="20.100000000000001" customHeight="1" x14ac:dyDescent="0.25">
      <c r="A15" s="5" t="str">
        <f>HYPERLINK("#'Input - Pasture'!A1", "Pasture")</f>
        <v>Pasture</v>
      </c>
    </row>
    <row r="16" spans="1:23" ht="20.100000000000001" customHeight="1" x14ac:dyDescent="0.25">
      <c r="A16" s="5" t="str">
        <f>HYPERLINK("#'Input - Fert Prod System'!A1", "Fert Prod System")</f>
        <v>Fert Prod System</v>
      </c>
      <c r="D16" s="122" t="s">
        <v>472</v>
      </c>
      <c r="M16" s="96"/>
      <c r="O16" s="122" t="s">
        <v>473</v>
      </c>
    </row>
    <row r="17" spans="1:23" ht="20.100000000000001" customHeight="1" x14ac:dyDescent="0.25">
      <c r="A17" s="5" t="str">
        <f>HYPERLINK("#'Input - Fertiliser'!A1", "Fertiliser")</f>
        <v>Fertiliser</v>
      </c>
      <c r="D17" s="123" t="s">
        <v>474</v>
      </c>
      <c r="M17" s="96"/>
      <c r="O17" s="123" t="s">
        <v>475</v>
      </c>
    </row>
    <row r="18" spans="1:23" ht="20.100000000000001" customHeight="1" x14ac:dyDescent="0.25">
      <c r="A18" s="5" t="str">
        <f>HYPERLINK("#'Input - Fuel'!A1", "Fuel")</f>
        <v>Fuel</v>
      </c>
      <c r="D18" s="124" t="s">
        <v>168</v>
      </c>
      <c r="E18" s="124" t="s">
        <v>307</v>
      </c>
      <c r="F18" s="124" t="s">
        <v>213</v>
      </c>
      <c r="G18" s="124" t="s">
        <v>214</v>
      </c>
      <c r="H18" s="124" t="s">
        <v>215</v>
      </c>
      <c r="I18" s="124" t="s">
        <v>216</v>
      </c>
      <c r="J18" s="124" t="s">
        <v>217</v>
      </c>
      <c r="M18" s="96"/>
      <c r="O18" s="124" t="s">
        <v>168</v>
      </c>
      <c r="P18" s="124" t="s">
        <v>307</v>
      </c>
      <c r="Q18" s="124" t="s">
        <v>213</v>
      </c>
      <c r="R18" s="124" t="s">
        <v>214</v>
      </c>
      <c r="S18" s="124" t="s">
        <v>215</v>
      </c>
      <c r="T18" s="124" t="s">
        <v>216</v>
      </c>
      <c r="U18" s="124" t="s">
        <v>217</v>
      </c>
    </row>
    <row r="19" spans="1:23" ht="20.100000000000001" customHeight="1" x14ac:dyDescent="0.25">
      <c r="A19" s="5" t="str">
        <f>HYPERLINK("#'Input - Electricity'!A1", "Electricity")</f>
        <v>Electricity</v>
      </c>
      <c r="D19" s="25" t="str">
        <f>INDEX(X_Table_Dairy_ProductionSystems_Method1,2,1)</f>
        <v>Pasture</v>
      </c>
      <c r="E19" s="25" t="str">
        <f>'Constants - Common Livestock'!$E$27</f>
        <v>Pasture range and paddock</v>
      </c>
      <c r="F19" s="25">
        <f>INDEX(M1_Table_MN_j_m14,2,3)</f>
        <v>9690.7906525703293</v>
      </c>
      <c r="G19" s="25">
        <f>INDEX(M1_Table_MN_j_m14,2,4)</f>
        <v>4426.3236377252861</v>
      </c>
      <c r="H19" s="25">
        <f>INDEX(M1_Table_MN_j_m14,2,5)</f>
        <v>1762.9578946423812</v>
      </c>
      <c r="I19" s="25">
        <f>INDEX(M1_Table_MN_j_m14,2,6)</f>
        <v>5564.0638693222609</v>
      </c>
      <c r="J19" s="25">
        <f>INDEX(M1_Table_MN_j_m14,2,7)</f>
        <v>2329.2802581916176</v>
      </c>
      <c r="K19" s="26" t="str">
        <f>$E$11</f>
        <v>kg N</v>
      </c>
      <c r="M19" s="96"/>
      <c r="O19" s="25" t="str">
        <f>INDEX(X_Table_Dairy_ProductionSystems_Method1,2,1)</f>
        <v>Pasture</v>
      </c>
      <c r="P19" s="25" t="str">
        <f>'Constants - Common Livestock'!$E$27</f>
        <v>Pasture range and paddock</v>
      </c>
      <c r="Q19" s="25">
        <f>INDEX(M2_Table_MN_j_m14,2,3)</f>
        <v>9690.7906525703293</v>
      </c>
      <c r="R19" s="25">
        <f>INDEX(M2_Table_MN_j_m14,2,4)</f>
        <v>4426.3236377252861</v>
      </c>
      <c r="S19" s="25">
        <f>INDEX(M2_Table_MN_j_m14,2,5)</f>
        <v>1762.9578946423812</v>
      </c>
      <c r="T19" s="25">
        <f>INDEX(M2_Table_MN_j_m14,2,6)</f>
        <v>5564.0638693222609</v>
      </c>
      <c r="U19" s="25">
        <f>INDEX(M2_Table_MN_j_m14,2,7)</f>
        <v>2329.2802581916176</v>
      </c>
      <c r="V19" s="26" t="str">
        <f>$E$11</f>
        <v>kg N</v>
      </c>
    </row>
    <row r="20" spans="1:23" ht="20.100000000000001" customHeight="1" x14ac:dyDescent="0.25">
      <c r="A20" s="5" t="str">
        <f>HYPERLINK("#'Input - Farm Inputs'!A1", "Farm Inputs")</f>
        <v>Farm Inputs</v>
      </c>
    </row>
    <row r="21" spans="1:23" ht="20.100000000000001" customHeight="1" x14ac:dyDescent="0.25">
      <c r="A21" s="5" t="str">
        <f>HYPERLINK("#'Input - Freight'!A1", "Freight")</f>
        <v>Freight</v>
      </c>
      <c r="D21" s="122" t="s">
        <v>480</v>
      </c>
      <c r="O21" s="122" t="s">
        <v>481</v>
      </c>
    </row>
    <row r="22" spans="1:23" ht="20.100000000000001" customHeight="1" x14ac:dyDescent="0.25">
      <c r="A22" s="5" t="str">
        <f>HYPERLINK("#'Input - Manure sent off-site'!A1", "Manure sent off-site")</f>
        <v>Manure sent off-site</v>
      </c>
      <c r="D22" s="123" t="s">
        <v>482</v>
      </c>
      <c r="O22" s="123" t="s">
        <v>483</v>
      </c>
    </row>
    <row r="23" spans="1:23" ht="20.100000000000001" customHeight="1" x14ac:dyDescent="0.25">
      <c r="A23" s="5" t="str">
        <f>HYPERLINK("#'Input - Solid waste'!A1", "Solid waste")</f>
        <v>Solid waste</v>
      </c>
      <c r="D23" s="124" t="s">
        <v>168</v>
      </c>
      <c r="E23" s="124" t="s">
        <v>307</v>
      </c>
      <c r="F23" s="124" t="s">
        <v>213</v>
      </c>
      <c r="G23" s="124" t="s">
        <v>214</v>
      </c>
      <c r="H23" s="124" t="s">
        <v>215</v>
      </c>
      <c r="I23" s="124" t="s">
        <v>216</v>
      </c>
      <c r="J23" s="124" t="s">
        <v>217</v>
      </c>
      <c r="O23" s="124" t="s">
        <v>168</v>
      </c>
      <c r="P23" s="124" t="s">
        <v>307</v>
      </c>
      <c r="Q23" s="124" t="s">
        <v>213</v>
      </c>
      <c r="R23" s="124" t="s">
        <v>214</v>
      </c>
      <c r="S23" s="124" t="s">
        <v>215</v>
      </c>
      <c r="T23" s="124" t="s">
        <v>216</v>
      </c>
      <c r="U23" s="124" t="s">
        <v>217</v>
      </c>
    </row>
    <row r="24" spans="1:23" ht="20.100000000000001" customHeight="1" x14ac:dyDescent="0.25">
      <c r="A24" s="5" t="str">
        <f>HYPERLINK("#'Input - Data quality'!A1", "Data quality")</f>
        <v>Data quality</v>
      </c>
      <c r="D24" s="25" t="str">
        <f>INDEX(X_Table_Dairy_ProductionSystems_Method1,2,1)</f>
        <v>Pasture</v>
      </c>
      <c r="E24" s="25" t="str">
        <f>'Constants - Common Livestock'!$E$27</f>
        <v>Pasture range and paddock</v>
      </c>
      <c r="F24" s="25" cm="1">
        <f t="array" ref="F24">MMS_Dairy_Soil_AtmosphericDeposition_Equations.VEERG_4_3_1_10__2_MassOfNitrogenVolatilisedOnPasture(F19,$I$14)</f>
        <v>2035.0660370397691</v>
      </c>
      <c r="G24" s="25" cm="1">
        <f t="array" ref="G24">MMS_Dairy_Soil_AtmosphericDeposition_Equations.VEERG_4_3_1_10__2_MassOfNitrogenVolatilisedOnPasture(G19,$I$14)</f>
        <v>929.52796392231005</v>
      </c>
      <c r="H24" s="25" cm="1">
        <f t="array" ref="H24">MMS_Dairy_Soil_AtmosphericDeposition_Equations.VEERG_4_3_1_10__2_MassOfNitrogenVolatilisedOnPasture(H19,$I$14)</f>
        <v>370.22115787490003</v>
      </c>
      <c r="I24" s="25" cm="1">
        <f t="array" ref="I24">MMS_Dairy_Soil_AtmosphericDeposition_Equations.VEERG_4_3_1_10__2_MassOfNitrogenVolatilisedOnPasture(I19,$I$14)</f>
        <v>1168.4534125576747</v>
      </c>
      <c r="J24" s="25" cm="1">
        <f t="array" ref="J24">MMS_Dairy_Soil_AtmosphericDeposition_Equations.VEERG_4_3_1_10__2_MassOfNitrogenVolatilisedOnPasture(J19,$I$14)</f>
        <v>489.14885422023968</v>
      </c>
      <c r="K24" s="26" t="str">
        <f>$E$11</f>
        <v>kg N</v>
      </c>
      <c r="O24" s="25" t="str">
        <f>INDEX(X_Table_Dairy_ProductionSystems_Method1,2,1)</f>
        <v>Pasture</v>
      </c>
      <c r="P24" s="25" t="str">
        <f>'Constants - Common Livestock'!$E$27</f>
        <v>Pasture range and paddock</v>
      </c>
      <c r="Q24" s="25" cm="1">
        <f t="array" ref="Q24">MMS_Dairy_Soil_AtmosphericDeposition_Equations.VEERG_4_3_1_10__2_MassOfNitrogenVolatilisedOnPasture(Q19,$I$14)</f>
        <v>2035.0660370397691</v>
      </c>
      <c r="R24" s="25" cm="1">
        <f t="array" ref="R24">MMS_Dairy_Soil_AtmosphericDeposition_Equations.VEERG_4_3_1_10__2_MassOfNitrogenVolatilisedOnPasture(R19,$I$14)</f>
        <v>929.52796392231005</v>
      </c>
      <c r="S24" s="25" cm="1">
        <f t="array" ref="S24">MMS_Dairy_Soil_AtmosphericDeposition_Equations.VEERG_4_3_1_10__2_MassOfNitrogenVolatilisedOnPasture(S19,$I$14)</f>
        <v>370.22115787490003</v>
      </c>
      <c r="T24" s="25" cm="1">
        <f t="array" ref="T24">MMS_Dairy_Soil_AtmosphericDeposition_Equations.VEERG_4_3_1_10__2_MassOfNitrogenVolatilisedOnPasture(T19,$I$14)</f>
        <v>1168.4534125576747</v>
      </c>
      <c r="U24" s="25" cm="1">
        <f t="array" ref="U24">MMS_Dairy_Soil_AtmosphericDeposition_Equations.VEERG_4_3_1_10__2_MassOfNitrogenVolatilisedOnPasture(U19,$I$14)</f>
        <v>489.14885422023968</v>
      </c>
      <c r="V24" s="26" t="str">
        <f>$E$11</f>
        <v>kg N</v>
      </c>
    </row>
    <row r="25" spans="1:23" ht="20.100000000000001" customHeight="1" x14ac:dyDescent="0.25"/>
    <row r="26" spans="1:23" ht="20.100000000000001" customHeight="1" x14ac:dyDescent="0.25">
      <c r="D26" s="142" t="s">
        <v>484</v>
      </c>
      <c r="E26" s="101">
        <f>SUM(F24:J24)</f>
        <v>4992.4174256148935</v>
      </c>
      <c r="F26" s="140" t="str">
        <f>$E$11</f>
        <v>kg N</v>
      </c>
      <c r="O26" s="142" t="s">
        <v>484</v>
      </c>
      <c r="P26" s="101">
        <f>SUM(Q24:U24)</f>
        <v>4992.4174256148935</v>
      </c>
      <c r="Q26" s="140" t="str">
        <f>$E$11</f>
        <v>kg N</v>
      </c>
    </row>
    <row r="27" spans="1:23" ht="20.100000000000001" customHeight="1" x14ac:dyDescent="0.25">
      <c r="A27" s="6" t="s">
        <v>2</v>
      </c>
    </row>
    <row r="28" spans="1:23" ht="20.100000000000001" customHeight="1" x14ac:dyDescent="0.25">
      <c r="A28" s="5" t="str">
        <f>HYPERLINK("#'5.1.1.1-2 Inorganic fert N2O'!A1", "5.1.1.1-2 Inorganic fert N2O")</f>
        <v>5.1.1.1-2 Inorganic fert N2O</v>
      </c>
    </row>
    <row r="29" spans="1:23" ht="20.100000000000001" customHeight="1" x14ac:dyDescent="0.25">
      <c r="A29" s="5" t="str">
        <f>HYPERLINK("#'5.1.1.3-4 Inorganic fert CO2'!A1", "5.1.1.3-4 Inorganic fert CO2")</f>
        <v>5.1.1.3-4 Inorganic fert CO2</v>
      </c>
      <c r="C29" s="101"/>
      <c r="D29" s="101"/>
      <c r="E29" s="101"/>
      <c r="F29" s="101"/>
      <c r="G29" s="101"/>
      <c r="H29" s="101"/>
      <c r="I29" s="101"/>
      <c r="J29" s="101"/>
      <c r="K29" s="101"/>
      <c r="L29" s="101"/>
      <c r="N29" s="101"/>
      <c r="O29" s="101"/>
      <c r="P29" s="101"/>
      <c r="Q29" s="101"/>
      <c r="R29" s="101"/>
      <c r="S29" s="101"/>
      <c r="T29" s="101"/>
      <c r="U29" s="101"/>
      <c r="V29" s="101"/>
      <c r="W29" s="101"/>
    </row>
    <row r="30" spans="1:23" ht="20.100000000000001" customHeight="1" x14ac:dyDescent="0.25">
      <c r="A30" s="5" t="str">
        <f>HYPERLINK("#'5.2.1.1-2 Organic Fert N2O'!A1", "5.2.1.1-2 Organic fert N2O")</f>
        <v>5.2.1.1-2 Organic fert N2O</v>
      </c>
      <c r="D30" s="2"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A31" s="5" t="str">
        <f>HYPERLINK("#'5.3.1.1-2 Lime CO2'!A1", "5.3.1.1-2 Lime CO2")</f>
        <v>5.3.1.1-2 Lime CO2</v>
      </c>
      <c r="D31" s="27" t="str" cm="1">
        <f t="array" ref="D31">MMS_Dairy_Soil_AtmosphericDeposition_Equations.VEERG_4_3_1_10__1_AtmosphericDepositionEmissionsFromUrineAndDungOnPasture_Source()</f>
        <v>VEERG 2026: 4.3.1.10, Equation (1)</v>
      </c>
    </row>
    <row r="32" spans="1:23" ht="20.100000000000001" customHeight="1" x14ac:dyDescent="0.25">
      <c r="A32" s="5" t="str">
        <f>HYPERLINK("#'5.4.1.1-4 Atmos deposition'!A1", "5.4.1.1-4 Atmos. deposition")</f>
        <v>5.4.1.1-4 Atmos. deposition</v>
      </c>
      <c r="D32" s="118" t="s">
        <v>262</v>
      </c>
      <c r="E32" s="118" t="str">
        <f ca="1">Common_InputFunctions.Utility_DisplayFunctionName(VEERG_4_3_1_10__1_AtmosphericDepositionEmissionsFromUrineAndDungOnPasture_Result_Method1)</f>
        <v>=MMS_Dairy_Soil_AtmosphericDeposition_Equations.VEERG_4_3_1_10__1_AtmosphericDepositionEmissionsFromUrineAndDungOnPasture</v>
      </c>
    </row>
    <row r="33" spans="1:19" ht="20.100000000000001" customHeight="1" x14ac:dyDescent="0.25">
      <c r="A33" s="5" t="str">
        <f>HYPERLINK("#'5.5.1.1-2 Leaching and runoff'!A1", "5.5.1.1-2 Leaching &amp; runoff")</f>
        <v>5.5.1.1-2 Leaching &amp; runoff</v>
      </c>
    </row>
    <row r="34" spans="1:19" ht="20.100000000000001" customHeight="1" x14ac:dyDescent="0.25">
      <c r="A34" s="5" t="str">
        <f>HYPERLINK("#'6.2.1.1-2 Pasture residue N2O'!A1", "6.2.1.1-2 Pasture residue N2O")</f>
        <v>6.2.1.1-2 Pasture residue N2O</v>
      </c>
    </row>
    <row r="35" spans="1:19" ht="20.100000000000001" customHeight="1" x14ac:dyDescent="0.25">
      <c r="A35" s="5" t="str">
        <f>HYPERLINK("#'6.3.1.1-2 Leach runoff pasture'!A1", "6.3.1.1-2 Leach &amp; runoff (pasture)")</f>
        <v>6.3.1.1-2 Leach &amp; runoff (pasture)</v>
      </c>
      <c r="D35" s="87" t="s">
        <v>263</v>
      </c>
      <c r="E35" s="1" t="str" cm="1">
        <f t="array" ref="E35">MMS_Dairy_Soil_AtmosphericDeposition_Equations.VEERG_4_3_1_10__1_AtmosphericDepositionEmissionsFromUrineAndDungOnPasture_Variable()</f>
        <v>E_N2Oad</v>
      </c>
    </row>
    <row r="36" spans="1:19" ht="20.100000000000001" customHeight="1" x14ac:dyDescent="0.25">
      <c r="A36" s="5" t="str">
        <f>HYPERLINK("#'8.1.1.1-2 Transport fuel'!A1", "8.1.1.1-2 Transport fuel")</f>
        <v>8.1.1.1-2 Transport fuel</v>
      </c>
      <c r="D36" s="87" t="s">
        <v>122</v>
      </c>
      <c r="E36" s="15" t="str" cm="1">
        <f t="array" ref="E36">MMS_Dairy_Soil_AtmosphericDeposition_Equations.VEERG_4_3_1_10__1_AtmosphericDepositionEmissionsFromUrineAndDungOnPasture_Unit()</f>
        <v>t N2O</v>
      </c>
    </row>
    <row r="37" spans="1:19" ht="20.100000000000001" customHeight="1" x14ac:dyDescent="0.25">
      <c r="A37" s="5" t="str">
        <f>HYPERLINK("#'8.2.1.1-2 Stationary fuel'!A1", "8.2.1.1-2 Stationary fuel")</f>
        <v>8.2.1.1-2 Stationary fuel</v>
      </c>
    </row>
    <row r="38" spans="1:19" ht="20.100000000000001" customHeight="1" x14ac:dyDescent="0.25">
      <c r="A38" s="5" t="str">
        <f>HYPERLINK("#'14.1.1-2 Purchased electricity'!A1", "14.1.1-2 Purchased electricity")</f>
        <v>14.1.1-2 Purchased electricity</v>
      </c>
      <c r="D38" s="120" t="str" cm="1">
        <f t="array" ref="D38:E43">_xlfn.CHOOSECOLS(MMS_Dairy_Soil_AtmosphericDeposition_Equations.VEERG_4_3_1_10__1_AtmosphericDepositionEmissionsFromUrineAndDungOnPasture_Arguments(),1,2)</f>
        <v>M_vol_m14</v>
      </c>
      <c r="E38" s="125" t="str">
        <v>mass of nitrogen volatilised from urine and faeces deposited on pasture</v>
      </c>
      <c r="F38" s="126"/>
      <c r="G38" s="120" t="str" cm="1">
        <f t="array" ref="G38:H43">_xlfn.CHOOSECOLS(MMS_Dairy_Soil_AtmosphericDeposition_Equations.VEERG_4_3_1_10__1_AtmosphericDepositionEmissionsFromUrineAndDungOnPasture_Arguments(),3,4)</f>
        <v>kg N</v>
      </c>
      <c r="H38" s="128" t="str">
        <v>Calculated from 4.3.1.10 (2)</v>
      </c>
      <c r="I38" s="120">
        <f>$E$26</f>
        <v>4992.4174256148935</v>
      </c>
      <c r="O38" s="132" t="str">
        <f>D38</f>
        <v>M_vol_m14</v>
      </c>
      <c r="P38" s="132" t="str">
        <f>E38</f>
        <v>mass of nitrogen volatilised from urine and faeces deposited on pasture</v>
      </c>
      <c r="Q38" s="138"/>
      <c r="R38" s="143"/>
      <c r="S38" s="132">
        <f>$P$26</f>
        <v>4992.4174256148935</v>
      </c>
    </row>
    <row r="39" spans="1:19" ht="20.100000000000001" customHeight="1" x14ac:dyDescent="0.25">
      <c r="A39" s="5" t="str">
        <f>HYPERLINK("#'15 Scope 3'!A1", "15 Scope 3")</f>
        <v>15 Scope 3</v>
      </c>
      <c r="D39" s="120" t="str">
        <v>EF_N2O</v>
      </c>
      <c r="E39" s="125" t="str">
        <v>nitrous oxide emission factor for atmospheric deposition</v>
      </c>
      <c r="F39" s="126"/>
      <c r="G39" s="120" t="str">
        <v>kg N2O-N/kg N</v>
      </c>
      <c r="H39" s="128" t="str">
        <v>Constant</v>
      </c>
      <c r="I39" s="120">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132"/>
      <c r="P39" s="138"/>
      <c r="Q39" s="146"/>
      <c r="R39" s="143"/>
      <c r="S39" s="132"/>
    </row>
    <row r="40" spans="1:19" ht="20.100000000000001" customHeight="1" x14ac:dyDescent="0.25">
      <c r="A40" s="5" t="str">
        <f>HYPERLINK("#'Calcs - Manure sent off-site'!A1", "Calcs - Manure sent off-site")</f>
        <v>Calcs - Manure sent off-site</v>
      </c>
      <c r="D40" s="120" t="str">
        <v>C_N2O</v>
      </c>
      <c r="E40" s="125" t="str">
        <v>factor to convert elemental mass of N2O to molecular mass</v>
      </c>
      <c r="F40" s="126"/>
      <c r="G40" s="120" t="str">
        <v/>
      </c>
      <c r="H40" s="128" t="str">
        <v>Constant</v>
      </c>
      <c r="I40" s="120">
        <f>Common_InputFunctions.Utility_LookupValueInTableNumber("N2O",Table_GasToMolecularConversionFactor[Gas],Table_GasToMolecularConversionFactor[Conversion factor combined])</f>
        <v>1.5714285714285714</v>
      </c>
      <c r="O40" s="132"/>
      <c r="P40" s="138"/>
      <c r="Q40" s="146"/>
      <c r="R40" s="143"/>
      <c r="S40" s="132"/>
    </row>
    <row r="41" spans="1:19" ht="20.100000000000001" customHeight="1" x14ac:dyDescent="0.25">
      <c r="A41" s="5" t="str">
        <f>HYPERLINK("#'4.3.1.1-2 Methane'!A1", "4.3.1.1-2 Methane")</f>
        <v>4.3.1.1-2 Methane</v>
      </c>
      <c r="D41" s="120" t="str">
        <v>j</v>
      </c>
      <c r="E41" s="125" t="str">
        <v>production system</v>
      </c>
      <c r="F41" s="126"/>
      <c r="G41" s="120" t="str">
        <v/>
      </c>
      <c r="H41" s="121" t="str">
        <v>Input</v>
      </c>
      <c r="I41" s="120" t="str">
        <f>X_Cell_Dairy_ManureAppliedProductionSystem</f>
        <v>Pasture</v>
      </c>
      <c r="O41" s="132"/>
      <c r="P41" s="138"/>
      <c r="Q41" s="146"/>
      <c r="R41" s="143"/>
      <c r="S41" s="132"/>
    </row>
    <row r="42" spans="1:19" ht="20.100000000000001" customHeight="1" x14ac:dyDescent="0.25">
      <c r="A42" s="5" t="str">
        <f>HYPERLINK("#'4.3.1.3-4 Direct N20'!A1", "4.3.1.3-4 Direct N20")</f>
        <v>4.3.1.3-4 Direct N20</v>
      </c>
      <c r="D42" s="120" t="str">
        <v>ir</v>
      </c>
      <c r="E42" s="125" t="str">
        <v>irrigation method</v>
      </c>
      <c r="F42" s="126"/>
      <c r="G42" s="120" t="str">
        <v/>
      </c>
      <c r="H42" s="121" t="str">
        <v>Input</v>
      </c>
      <c r="I42" s="120" t="str">
        <f>X_Cell_Dairy_ManureAppliedIrrigationMethod</f>
        <v>Sprinkler irrigation</v>
      </c>
      <c r="O42" s="132"/>
      <c r="P42" s="138"/>
      <c r="Q42" s="146"/>
      <c r="R42" s="143"/>
      <c r="S42" s="132"/>
    </row>
    <row r="43" spans="1:19" ht="20.100000000000001" customHeight="1" x14ac:dyDescent="0.25">
      <c r="A43" s="5" t="str">
        <f>HYPERLINK("#'4.3.1.5 Atmos deposition'!A1", "4.3.1.5 Atmos deposition")</f>
        <v>4.3.1.5 Atmos deposition</v>
      </c>
      <c r="D43" s="120" t="str">
        <v>r</v>
      </c>
      <c r="E43" s="125" t="str">
        <v>rainfall region</v>
      </c>
      <c r="F43" s="126"/>
      <c r="G43" s="120" t="str">
        <v/>
      </c>
      <c r="H43" s="121" t="str">
        <v>Input</v>
      </c>
      <c r="I43" s="120" t="str">
        <f>X_Cell_Site_RainfallZone</f>
        <v>High rainfall</v>
      </c>
      <c r="O43" s="132"/>
      <c r="P43" s="138"/>
      <c r="Q43" s="146"/>
      <c r="R43" s="143"/>
      <c r="S43" s="132"/>
    </row>
    <row r="44" spans="1:19" ht="20.100000000000001" customHeight="1" x14ac:dyDescent="0.25">
      <c r="A44" s="5" t="str">
        <f>HYPERLINK("#'4.3.1.6-7 Leaching and runoff'!A1", "4.3.1.6-7 Leaching and runoff")</f>
        <v>4.3.1.6-7 Leaching and runoff</v>
      </c>
    </row>
    <row r="45" spans="1:19" ht="20.100000000000001" customHeight="1" x14ac:dyDescent="0.25">
      <c r="A45" s="5" t="str">
        <f>HYPERLINK("#'4.3.1.8 Manure applied to soils'!A1", "4.3.1.8 Manure applied to soils")</f>
        <v>4.3.1.8 Manure applied to soils</v>
      </c>
      <c r="D45" s="135" t="s">
        <v>485</v>
      </c>
      <c r="E45" s="136" cm="1">
        <f t="array" ref="E45">MMS_Dairy_Soil_AtmosphericDeposition_Equations.VEERG_4_3_1_10__1_AtmosphericDepositionEmissionsFromUrineAndDungOnPasture($I$38,$I$39,$I$40)</f>
        <v>4.6286841560343794E-2</v>
      </c>
      <c r="F45" s="137" t="str">
        <f>$E$36</f>
        <v>t N2O</v>
      </c>
      <c r="O45" s="135" t="s">
        <v>485</v>
      </c>
      <c r="P45" s="136" cm="1">
        <f t="array" ref="P45">MMS_Dairy_Soil_AtmosphericDeposition_Equations.VEERG_4_3_1_10__1_AtmosphericDepositionEmissionsFromUrineAndDungOnPasture($S$38,$I$39,$I$40)</f>
        <v>4.6286841560343794E-2</v>
      </c>
      <c r="Q45" s="137" t="str">
        <f>$E$36</f>
        <v>t N2O</v>
      </c>
    </row>
    <row r="46" spans="1:19" ht="20.100000000000001" customHeight="1" x14ac:dyDescent="0.25">
      <c r="A46" s="5" t="str">
        <f>HYPERLINK("#'4.3.1.9 Soil direct N2O'!A1", "4.3.1.9 Soil direct N2O")</f>
        <v>4.3.1.9 Soil direct N2O</v>
      </c>
    </row>
    <row r="47" spans="1:19" ht="20.100000000000001" customHeight="1" x14ac:dyDescent="0.25">
      <c r="A47" s="119" t="str">
        <f>HYPERLINK("#'4.3.1.10-11 Soil Atmos Dep'!A1", "4.3.1.10-11 Soil Atmos Dep")</f>
        <v>4.3.1.10-11 Soil Atmos Dep</v>
      </c>
      <c r="D47" s="132" t="str" cm="1">
        <f t="array" ref="D47:E48">Common_Equations.Common_ConvertN2OToCO2e_Arguments()</f>
        <v>EN2O</v>
      </c>
      <c r="E47" s="138" t="str">
        <v>Nitrous oxide emissions (t N2O)</v>
      </c>
      <c r="F47" s="139"/>
      <c r="G47" s="25">
        <f>VEERG_4_3_1_10__1_AtmosphericDepositionEmissionsFromUrineAndDungOnPasture_Result_Method1</f>
        <v>4.6286841560343794E-2</v>
      </c>
      <c r="O47" s="132" t="str" cm="1">
        <f t="array" ref="O47:P48">Common_Equations.Common_ConvertN2OToCO2e_Arguments()</f>
        <v>EN2O</v>
      </c>
      <c r="P47" s="138" t="str">
        <v>Nitrous oxide emissions (t N2O)</v>
      </c>
      <c r="Q47" s="139"/>
      <c r="R47" s="25">
        <f>VEERG_4_3_1_10__1_AtmosphericDepositionEmissionsFromUrineAndDungOnPasture_Result_Method2</f>
        <v>4.6286841560343794E-2</v>
      </c>
    </row>
    <row r="48" spans="1:19" ht="20.100000000000001" customHeight="1" x14ac:dyDescent="0.25">
      <c r="A48" s="5" t="str">
        <f>HYPERLINK("#'4.3.1.12-13 Soil leach runoff'!A1", "4.3.1.12-13 Soil leach runoff")</f>
        <v>4.3.1.12-13 Soil leach runoff</v>
      </c>
      <c r="D48" s="132" t="str">
        <v>GWPN2O</v>
      </c>
      <c r="E48" s="138" t="str">
        <v>Global warming potential for nitrous oxide (t CO2-e / t N2O)</v>
      </c>
      <c r="F48" s="139"/>
      <c r="G48" s="25">
        <f>Common_InputFunctions.Utility_LookupValueInTableNumber("N2O",Table_GWPData[Gas],Table_GWPData[CO2-e factor])</f>
        <v>265</v>
      </c>
      <c r="O48" s="132" t="str">
        <v>GWPN2O</v>
      </c>
      <c r="P48" s="138" t="str">
        <v>Global warming potential for nitrous oxide (t CO2-e / t N2O)</v>
      </c>
      <c r="Q48" s="139"/>
      <c r="R48" s="25">
        <f>Common_InputFunctions.Utility_LookupValueInTableNumber("N2O",Table_GWPData[Gas],Table_GWPData[CO2-e factor])</f>
        <v>265</v>
      </c>
    </row>
    <row r="49" spans="1:17" ht="20.100000000000001" customHeight="1" x14ac:dyDescent="0.25">
      <c r="A49" s="5" t="str">
        <f>HYPERLINK("#'3.3.1.1-2 Enteric Methane'!A1", "3.3.1.1-2 Enteric Methane")</f>
        <v>3.3.1.1-2 Enteric Methane</v>
      </c>
    </row>
    <row r="50" spans="1:17" ht="20.100000000000001" customHeight="1" x14ac:dyDescent="0.25">
      <c r="A50" s="5" t="str">
        <f>HYPERLINK("#'10.1.1-2 Solid waste treatment'!A1", "10.1.1-2 Solid waste treatment")</f>
        <v>10.1.1-2 Solid waste treatment</v>
      </c>
      <c r="D50" s="101" t="s">
        <v>412</v>
      </c>
      <c r="E50" s="101" cm="1">
        <f t="array" ref="E50">Common_Equations.Common_ConvertN2OToCO2e(G47,G48)</f>
        <v>12.266013013491106</v>
      </c>
      <c r="F50" s="140" t="str" cm="1">
        <f t="array" ref="F50">Common_Equations.Common_ConvertN2OToCO2e_Unit()</f>
        <v>t CO2e</v>
      </c>
      <c r="O50" s="101" t="s">
        <v>412</v>
      </c>
      <c r="P50" s="101" cm="1">
        <f t="array" ref="P50">Common_Equations.Common_ConvertN2OToCO2e(R47,R48)</f>
        <v>12.266013013491106</v>
      </c>
      <c r="Q50" s="140"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c r="A53" s="100" t="s">
        <v>1</v>
      </c>
    </row>
    <row r="54" spans="1:17" ht="20.100000000000001" customHeight="1" x14ac:dyDescent="0.25">
      <c r="A54" s="5" t="str">
        <f>HYPERLINK("#'Constants - Dairy'!A1", "Constants - Dairy")</f>
        <v>Constants - Dairy</v>
      </c>
    </row>
    <row r="55" spans="1:17" ht="20.100000000000001" customHeight="1" x14ac:dyDescent="0.25">
      <c r="A55" s="5" t="str">
        <f>HYPERLINK("#'Constants - Ag Residue'!A1", "Constants - Ag residue")</f>
        <v>Constants - Ag residue</v>
      </c>
    </row>
    <row r="56" spans="1:17" ht="20.100000000000001" customHeight="1" x14ac:dyDescent="0.25">
      <c r="A56" s="5" t="str">
        <f>HYPERLINK("#'Constants - Common Livestock'!A1", "Constants - Common Livestock")</f>
        <v>Constants - Common Livestock</v>
      </c>
    </row>
    <row r="57" spans="1:17" ht="20.100000000000001" customHeight="1" x14ac:dyDescent="0.25">
      <c r="A57" s="5" t="str">
        <f>HYPERLINK("#'Constants - Electricity'!A1", "Constants - Electricity")</f>
        <v>Constants - Electricity</v>
      </c>
    </row>
    <row r="58" spans="1:17" ht="20.100000000000001" customHeight="1" x14ac:dyDescent="0.25">
      <c r="A58" s="5" t="str">
        <f>HYPERLINK("#'Constants - Fertiliser'!A1", "Constants - Fertiliser")</f>
        <v>Constants - Fertiliser</v>
      </c>
    </row>
    <row r="59" spans="1:17" ht="20.100000000000001" customHeight="1" x14ac:dyDescent="0.25">
      <c r="A59" s="5" t="str">
        <f>HYPERLINK("#'Constants - Fuel'!A1", "Constants - Fuel")</f>
        <v>Constants - Fuel</v>
      </c>
    </row>
    <row r="60" spans="1:17" ht="20.100000000000001" customHeight="1" x14ac:dyDescent="0.25">
      <c r="A60" s="5" t="str">
        <f>HYPERLINK("#'Constants - Scope 3'!A1", "Constants - Scope 3")</f>
        <v>Constants - Scope 3</v>
      </c>
    </row>
    <row r="61" spans="1:17" ht="20.100000000000001" customHeight="1" x14ac:dyDescent="0.25">
      <c r="A61" s="5" t="str">
        <f>HYPERLINK("#'Constants - Common'!A1", "Constants - Common")</f>
        <v>Constants - Common</v>
      </c>
    </row>
    <row r="62" spans="1:17" ht="20.100000000000001" customHeight="1" x14ac:dyDescent="0.25">
      <c r="A62" s="5" t="str">
        <f>HYPERLINK("#'Acknowledgements'!A1", "Acknowledgements")</f>
        <v>Acknowledgements</v>
      </c>
    </row>
    <row r="63" spans="1:17" ht="20.100000000000001" customHeight="1" x14ac:dyDescent="0.25">
      <c r="A63" s="5" t="str">
        <f>HYPERLINK("#'Constants - Solid Waste'!A1", "Constants - Solid Waste")</f>
        <v>Constants - Solid Waste</v>
      </c>
    </row>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P19 E24 P24" xr:uid="{30D426AC-6239-4C5E-942E-A176428BAA6F}"/>
  </dataValidations>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12C24-C190-4F46-B281-C65CBCC939B3}">
  <dimension ref="A1:W165"/>
  <sheetViews>
    <sheetView showGridLines="0"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30" customFormat="1" ht="30" customHeight="1" x14ac:dyDescent="0.35">
      <c r="A1" s="16" t="e" vm="1">
        <v>#VALUE!</v>
      </c>
      <c r="C1" s="30" t="s">
        <v>486</v>
      </c>
    </row>
    <row r="2" spans="1:23" s="3" customFormat="1" ht="20.100000000000001" customHeight="1" x14ac:dyDescent="0.25">
      <c r="A2"/>
    </row>
    <row r="3" spans="1:23" ht="20.100000000000001" customHeight="1" x14ac:dyDescent="0.25">
      <c r="A3" s="5" t="str">
        <f>HYPERLINK("#'Home'!A1", "Home")</f>
        <v>Home</v>
      </c>
      <c r="C3" s="32"/>
      <c r="D3" s="32"/>
      <c r="E3" s="32"/>
      <c r="F3" s="32"/>
      <c r="G3" s="32"/>
      <c r="H3" s="32"/>
      <c r="I3" s="32"/>
      <c r="J3" s="32"/>
      <c r="K3" s="32"/>
      <c r="L3" s="32"/>
      <c r="N3" s="32"/>
      <c r="O3" s="32"/>
      <c r="P3" s="32"/>
      <c r="Q3" s="32"/>
      <c r="R3" s="32"/>
      <c r="S3" s="32"/>
      <c r="T3" s="32"/>
      <c r="U3" s="32"/>
      <c r="V3" s="32"/>
      <c r="W3" s="32"/>
    </row>
    <row r="4" spans="1:23" ht="20.100000000000001" customHeight="1" x14ac:dyDescent="0.25">
      <c r="A4" s="5" t="str">
        <f>HYPERLINK("#'Overview'!A1", "Overview")</f>
        <v>Overview</v>
      </c>
    </row>
    <row r="5" spans="1:23" ht="20.100000000000001" customHeight="1" x14ac:dyDescent="0.25">
      <c r="A5" s="5" t="str">
        <f>HYPERLINK("#'Results'!A1", "Results")</f>
        <v>Results</v>
      </c>
      <c r="D5" s="2"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D6" s="27" t="str" cm="1">
        <f t="array" ref="D6">MMS_Dairy_Soil_LeachingAndRunoff.VEERG_4_3_1_12__2_MassOfNitrogenLostToLeachingAndRunoffOnPasture_Source()</f>
        <v>VEERG 2026: 4.3.1.12, Equation (2)</v>
      </c>
    </row>
    <row r="7" spans="1:23" ht="20.100000000000001" customHeight="1" x14ac:dyDescent="0.25">
      <c r="D7" s="118" t="s">
        <v>262</v>
      </c>
      <c r="E7" s="118" t="str" cm="1">
        <f t="array" aca="1" ref="E7" ca="1">Common_InputFunctions.Utility_DisplayFunctionName($F$28)</f>
        <v>=MMS_Dairy_Soil_LeachingAndRunoff.VEERG_4_3_1_12__2_MassOfNitrogenLostToLeachingAndRunoffOnPasture</v>
      </c>
    </row>
    <row r="8" spans="1:23" ht="20.100000000000001" customHeight="1" x14ac:dyDescent="0.25">
      <c r="A8" s="7" t="s">
        <v>0</v>
      </c>
      <c r="E8" s="1" t="s">
        <v>487</v>
      </c>
    </row>
    <row r="9" spans="1:23" ht="20.100000000000001" customHeight="1" x14ac:dyDescent="0.25">
      <c r="A9" s="5" t="str">
        <f>HYPERLINK("#'Input - Enterprise'!A1", "Enterprise")</f>
        <v>Enterprise</v>
      </c>
    </row>
    <row r="10" spans="1:23" ht="20.100000000000001" customHeight="1" x14ac:dyDescent="0.25">
      <c r="A10" s="5" t="str">
        <f>HYPERLINK("#'Input - Site'!A1", "Site")</f>
        <v>Site</v>
      </c>
      <c r="D10" s="87" t="s">
        <v>263</v>
      </c>
      <c r="E10" s="1" t="str" cm="1">
        <f t="array" ref="E10">MMS_Dairy_Soil_LeachingAndRunoff.VEERG_4_3_1_12__2_MassOfNitrogenLostToLeachingAndRunoffOnPasture_Variable()</f>
        <v>M_leach_m14</v>
      </c>
    </row>
    <row r="11" spans="1:23" ht="20.100000000000001" customHeight="1" x14ac:dyDescent="0.25">
      <c r="A11" s="5" t="str">
        <f>HYPERLINK("#'Input - Dairy'!A1", "Dairy")</f>
        <v>Dairy</v>
      </c>
      <c r="D11" s="87" t="s">
        <v>122</v>
      </c>
      <c r="E11" s="15" t="str" cm="1">
        <f t="array" ref="E11">MMS_Dairy_Soil_LeachingAndRunoff.VEERG_4_3_1_12__2_MassOfNitrogenLostToLeachingAndRunoffOnPasture_Unit()</f>
        <v>kg N</v>
      </c>
    </row>
    <row r="12" spans="1:23" ht="20.100000000000001" customHeight="1" x14ac:dyDescent="0.25">
      <c r="A12" s="5" t="str">
        <f>HYPERLINK("#'Input - Dairy (Enteric)'!A1", "Dairy (Enteric)")</f>
        <v>Dairy (Enteric)</v>
      </c>
    </row>
    <row r="13" spans="1:23" ht="20.100000000000001" customHeight="1" x14ac:dyDescent="0.25">
      <c r="A13" s="5" t="str">
        <f>HYPERLINK("#'Input - Livestock sales'!A1", "Livestock sales")</f>
        <v>Livestock sales</v>
      </c>
      <c r="D13" s="120" t="str" cm="1">
        <f t="array" ref="D13:E18">_xlfn.CHOOSECOLS(MMS_Dairy_Soil_LeachingAndRunoff.VEERG_4_3_1_12__2_MassOfNitrogenLostToLeachingAndRunoffOnPasture_Arguments(),1,2)</f>
        <v>MN_jm14</v>
      </c>
      <c r="E13" s="125" t="str">
        <v>mass of nitrogen excreted on pasture, range and paddock for each dairy class</v>
      </c>
      <c r="F13" s="126"/>
      <c r="G13" s="120" t="str" cm="1">
        <f t="array" ref="G13:H18">_xlfn.CHOOSECOLS(MMS_Dairy_Soil_LeachingAndRunoff.VEERG_4_3_1_12__2_MassOfNitrogenLostToLeachingAndRunoffOnPasture_Arguments(),3,4)</f>
        <v>kg N</v>
      </c>
      <c r="H13" s="128" t="str">
        <v>Calculated from 4.3.1.3 (2)</v>
      </c>
      <c r="I13" s="127" t="str" cm="1">
        <f t="array" aca="1" ref="I13" ca="1">HYPERLINK(Common_InputFunctions.Utility_SourceHyperlink($D$20),$D$20)</f>
        <v>M1_Table_MN_j_m-14</v>
      </c>
    </row>
    <row r="14" spans="1:23" ht="20.100000000000001" customHeight="1" x14ac:dyDescent="0.25">
      <c r="A14" s="5" t="str">
        <f>HYPERLINK("#'Input - Dairy cattle purchases'!A1", "Dairy cattle purchases")</f>
        <v>Dairy cattle purchases</v>
      </c>
      <c r="D14" s="120" t="str">
        <v>FracWet</v>
      </c>
      <c r="E14" s="125" t="str">
        <v>fraction of N available for leaching and runoff</v>
      </c>
      <c r="F14" s="126"/>
      <c r="G14" s="120" t="str">
        <v/>
      </c>
      <c r="H14" s="128" t="str">
        <v>Constant</v>
      </c>
      <c r="I14" s="120">
        <f>Common_InputFunctions.CommonCropping_GetFracWET(I16,I18,Table_SourceData_FracWET[Is in leaching zone],Table_SourceData_FracWET[FracWET],Table_SourceData_FracWETIrrigation[Irrigation type i],Table_SourceData_FracWETIrrigation[FracWET])</f>
        <v>1</v>
      </c>
    </row>
    <row r="15" spans="1:23" ht="20.100000000000001" customHeight="1" x14ac:dyDescent="0.25">
      <c r="A15" s="5" t="str">
        <f>HYPERLINK("#'Input - Pasture'!A1", "Pasture")</f>
        <v>Pasture</v>
      </c>
      <c r="D15" s="120" t="str">
        <v>FracLEACH</v>
      </c>
      <c r="E15" s="125" t="str">
        <v>fraction of N lost through leaching and runoff</v>
      </c>
      <c r="F15" s="126"/>
      <c r="G15" s="120" t="str">
        <v/>
      </c>
      <c r="H15" s="128" t="str">
        <v>Constant</v>
      </c>
      <c r="I15" s="120">
        <f>SourceData_Dairy_FractionOfNitrogenLostThroughLeachingAndRunoff_Data</f>
        <v>0.24</v>
      </c>
    </row>
    <row r="16" spans="1:23" ht="20.100000000000001" customHeight="1" x14ac:dyDescent="0.25">
      <c r="A16" s="5" t="str">
        <f>HYPERLINK("#'Input - Fert Prod System'!A1", "Fert Prod System")</f>
        <v>Fert Prod System</v>
      </c>
      <c r="D16" s="120" t="str">
        <v>z</v>
      </c>
      <c r="E16" s="125" t="str">
        <v>location in leaching zone</v>
      </c>
      <c r="F16" s="126"/>
      <c r="G16" s="120" t="str">
        <v/>
      </c>
      <c r="H16" s="121" t="str">
        <v>Input</v>
      </c>
      <c r="I16" s="120" t="str">
        <f>X_Cell_Site_LeachingZone</f>
        <v>NO - Not in leaching zone</v>
      </c>
    </row>
    <row r="17" spans="1:22" ht="20.100000000000001" customHeight="1" x14ac:dyDescent="0.25">
      <c r="A17" s="5" t="str">
        <f>HYPERLINK("#'Input - Fertiliser'!A1", "Fertiliser")</f>
        <v>Fertiliser</v>
      </c>
      <c r="D17" s="120" t="str">
        <v>j</v>
      </c>
      <c r="E17" s="125" t="str">
        <v>production system</v>
      </c>
      <c r="F17" s="126"/>
      <c r="G17" s="120" t="str">
        <v/>
      </c>
      <c r="H17" s="121" t="str">
        <v>Input</v>
      </c>
      <c r="I17" s="120" t="str">
        <f>X_Cell_Dairy_ManureAppliedProductionSystem</f>
        <v>Pasture</v>
      </c>
    </row>
    <row r="18" spans="1:22" ht="20.100000000000001" customHeight="1" x14ac:dyDescent="0.25">
      <c r="A18" s="5" t="str">
        <f>HYPERLINK("#'Input - Fuel'!A1", "Fuel")</f>
        <v>Fuel</v>
      </c>
      <c r="D18" s="120" t="str">
        <v>ir</v>
      </c>
      <c r="E18" s="125" t="str">
        <v>irrigation method</v>
      </c>
      <c r="F18" s="126"/>
      <c r="G18" s="120" t="str">
        <v/>
      </c>
      <c r="H18" s="121" t="str">
        <v>Input</v>
      </c>
      <c r="I18" s="120" t="str">
        <f>X_Cell_Dairy_ManureAppliedIrrigationMethod</f>
        <v>Sprinkler irrigation</v>
      </c>
    </row>
    <row r="19" spans="1:22" ht="20.100000000000001" customHeight="1" x14ac:dyDescent="0.25">
      <c r="A19" s="5" t="str">
        <f>HYPERLINK("#'Input - Electricity'!A1", "Electricity")</f>
        <v>Electricity</v>
      </c>
    </row>
    <row r="20" spans="1:22" ht="20.100000000000001" customHeight="1" x14ac:dyDescent="0.25">
      <c r="A20" s="5" t="str">
        <f>HYPERLINK("#'Input - Farm Inputs'!A1", "Farm Inputs")</f>
        <v>Farm Inputs</v>
      </c>
      <c r="D20" s="122" t="s">
        <v>472</v>
      </c>
      <c r="M20" s="96"/>
      <c r="O20" s="122" t="s">
        <v>473</v>
      </c>
    </row>
    <row r="21" spans="1:22" ht="20.100000000000001" customHeight="1" x14ac:dyDescent="0.25">
      <c r="A21" s="5" t="str">
        <f>HYPERLINK("#'Input - Freight'!A1", "Freight")</f>
        <v>Freight</v>
      </c>
      <c r="D21" s="123" t="s">
        <v>474</v>
      </c>
      <c r="M21" s="96"/>
      <c r="O21" s="123" t="s">
        <v>475</v>
      </c>
    </row>
    <row r="22" spans="1:22" ht="20.100000000000001" customHeight="1" x14ac:dyDescent="0.25">
      <c r="A22" s="5" t="str">
        <f>HYPERLINK("#'Input - Manure sent off-site'!A1", "Manure sent off-site")</f>
        <v>Manure sent off-site</v>
      </c>
      <c r="D22" s="124" t="s">
        <v>168</v>
      </c>
      <c r="E22" s="124" t="s">
        <v>307</v>
      </c>
      <c r="F22" s="124" t="s">
        <v>213</v>
      </c>
      <c r="G22" s="124" t="s">
        <v>214</v>
      </c>
      <c r="H22" s="124" t="s">
        <v>215</v>
      </c>
      <c r="I22" s="124" t="s">
        <v>216</v>
      </c>
      <c r="J22" s="124" t="s">
        <v>217</v>
      </c>
      <c r="M22" s="96"/>
      <c r="O22" s="124" t="s">
        <v>168</v>
      </c>
      <c r="P22" s="124" t="s">
        <v>307</v>
      </c>
      <c r="Q22" s="124" t="s">
        <v>213</v>
      </c>
      <c r="R22" s="124" t="s">
        <v>214</v>
      </c>
      <c r="S22" s="124" t="s">
        <v>215</v>
      </c>
      <c r="T22" s="124" t="s">
        <v>216</v>
      </c>
      <c r="U22" s="124" t="s">
        <v>217</v>
      </c>
    </row>
    <row r="23" spans="1:22" ht="20.100000000000001" customHeight="1" x14ac:dyDescent="0.25">
      <c r="A23" s="5" t="str">
        <f>HYPERLINK("#'Input - Solid waste'!A1", "Solid waste")</f>
        <v>Solid waste</v>
      </c>
      <c r="D23" s="25" t="str">
        <f>INDEX(X_Table_Dairy_ProductionSystems_Method1,2,1)</f>
        <v>Pasture</v>
      </c>
      <c r="E23" s="25" t="str">
        <f>'Constants - Common Livestock'!$E$27</f>
        <v>Pasture range and paddock</v>
      </c>
      <c r="F23" s="25">
        <f>INDEX(M1_Table_MN_j_m14,2,3)</f>
        <v>9690.7906525703293</v>
      </c>
      <c r="G23" s="25">
        <f>INDEX(M1_Table_MN_j_m14,2,4)</f>
        <v>4426.3236377252861</v>
      </c>
      <c r="H23" s="25">
        <f>INDEX(M1_Table_MN_j_m14,2,5)</f>
        <v>1762.9578946423812</v>
      </c>
      <c r="I23" s="25">
        <f>INDEX(M1_Table_MN_j_m14,2,6)</f>
        <v>5564.0638693222609</v>
      </c>
      <c r="J23" s="25">
        <f>INDEX(M1_Table_MN_j_m14,2,7)</f>
        <v>2329.2802581916176</v>
      </c>
      <c r="K23" s="26" t="str">
        <f>$E$11</f>
        <v>kg N</v>
      </c>
      <c r="M23" s="96"/>
      <c r="O23" s="25" t="str">
        <f>INDEX(X_Table_Dairy_ProductionSystems_Method1,2,1)</f>
        <v>Pasture</v>
      </c>
      <c r="P23" s="25" t="str">
        <f>'Constants - Common Livestock'!$E$27</f>
        <v>Pasture range and paddock</v>
      </c>
      <c r="Q23" s="25">
        <f>INDEX(M2_Table_MN_j_m14,2,3)</f>
        <v>9690.7906525703293</v>
      </c>
      <c r="R23" s="25">
        <f>INDEX(M2_Table_MN_j_m14,2,4)</f>
        <v>4426.3236377252861</v>
      </c>
      <c r="S23" s="25">
        <f>INDEX(M2_Table_MN_j_m14,2,5)</f>
        <v>1762.9578946423812</v>
      </c>
      <c r="T23" s="25">
        <f>INDEX(M2_Table_MN_j_m14,2,6)</f>
        <v>5564.0638693222609</v>
      </c>
      <c r="U23" s="25">
        <f>INDEX(M2_Table_MN_j_m14,2,7)</f>
        <v>2329.2802581916176</v>
      </c>
      <c r="V23" s="26" t="str">
        <f>$E$11</f>
        <v>kg N</v>
      </c>
    </row>
    <row r="24" spans="1:22" ht="20.100000000000001" customHeight="1" x14ac:dyDescent="0.25">
      <c r="A24" s="5" t="str">
        <f>HYPERLINK("#'Input - Data quality'!A1", "Data quality")</f>
        <v>Data quality</v>
      </c>
    </row>
    <row r="25" spans="1:22" ht="20.100000000000001" customHeight="1" x14ac:dyDescent="0.25">
      <c r="D25" s="122" t="s">
        <v>488</v>
      </c>
      <c r="O25" s="122" t="s">
        <v>489</v>
      </c>
    </row>
    <row r="26" spans="1:22" ht="20.100000000000001" customHeight="1" x14ac:dyDescent="0.25">
      <c r="D26" s="123" t="s">
        <v>490</v>
      </c>
      <c r="O26" s="123" t="s">
        <v>491</v>
      </c>
    </row>
    <row r="27" spans="1:22" ht="20.100000000000001" customHeight="1" x14ac:dyDescent="0.25">
      <c r="A27" s="6" t="s">
        <v>2</v>
      </c>
      <c r="D27" s="124" t="s">
        <v>168</v>
      </c>
      <c r="E27" s="124" t="s">
        <v>307</v>
      </c>
      <c r="F27" s="124" t="s">
        <v>213</v>
      </c>
      <c r="G27" s="124" t="s">
        <v>214</v>
      </c>
      <c r="H27" s="124" t="s">
        <v>215</v>
      </c>
      <c r="I27" s="124" t="s">
        <v>216</v>
      </c>
      <c r="J27" s="124" t="s">
        <v>217</v>
      </c>
      <c r="O27" s="124" t="s">
        <v>168</v>
      </c>
      <c r="P27" s="124" t="s">
        <v>307</v>
      </c>
      <c r="Q27" s="124" t="s">
        <v>213</v>
      </c>
      <c r="R27" s="124" t="s">
        <v>214</v>
      </c>
      <c r="S27" s="124" t="s">
        <v>215</v>
      </c>
      <c r="T27" s="124" t="s">
        <v>216</v>
      </c>
      <c r="U27" s="124" t="s">
        <v>217</v>
      </c>
    </row>
    <row r="28" spans="1:22" ht="20.100000000000001" customHeight="1" x14ac:dyDescent="0.25">
      <c r="A28" s="5" t="str">
        <f>HYPERLINK("#'5.1.1.1-2 Inorganic fert N2O'!A1", "5.1.1.1-2 Inorganic fert N2O")</f>
        <v>5.1.1.1-2 Inorganic fert N2O</v>
      </c>
      <c r="D28" s="25" t="str">
        <f>INDEX(X_Table_Dairy_ProductionSystems_Method1,2,1)</f>
        <v>Pasture</v>
      </c>
      <c r="E28" s="25" t="str">
        <f>'Constants - Common Livestock'!$E$27</f>
        <v>Pasture range and paddock</v>
      </c>
      <c r="F28" s="25" cm="1">
        <f t="array" ref="F28">MMS_Dairy_Soil_LeachingAndRunoff.VEERG_4_3_1_12__2_MassOfNitrogenLostToLeachingAndRunoffOnPasture(F23,$I$14,$I$15)</f>
        <v>2325.789756616879</v>
      </c>
      <c r="G28" s="25" cm="1">
        <f t="array" ref="G28">MMS_Dairy_Soil_LeachingAndRunoff.VEERG_4_3_1_12__2_MassOfNitrogenLostToLeachingAndRunoffOnPasture(G23,$I$14,$I$15)</f>
        <v>1062.3176730540686</v>
      </c>
      <c r="H28" s="25" cm="1">
        <f t="array" ref="H28">MMS_Dairy_Soil_LeachingAndRunoff.VEERG_4_3_1_12__2_MassOfNitrogenLostToLeachingAndRunoffOnPasture(H23,$I$14,$I$15)</f>
        <v>423.1098947141715</v>
      </c>
      <c r="I28" s="25" cm="1">
        <f t="array" ref="I28">MMS_Dairy_Soil_LeachingAndRunoff.VEERG_4_3_1_12__2_MassOfNitrogenLostToLeachingAndRunoffOnPasture(I23,$I$14,$I$15)</f>
        <v>1335.3753286373426</v>
      </c>
      <c r="J28" s="25" cm="1">
        <f t="array" ref="J28">MMS_Dairy_Soil_LeachingAndRunoff.VEERG_4_3_1_12__2_MassOfNitrogenLostToLeachingAndRunoffOnPasture(J23,$I$14,$I$15)</f>
        <v>559.02726196598815</v>
      </c>
      <c r="K28" s="26" t="str">
        <f>$E$11</f>
        <v>kg N</v>
      </c>
      <c r="O28" s="25" t="str">
        <f>INDEX(X_Table_Dairy_ProductionSystems_Method1,2,1)</f>
        <v>Pasture</v>
      </c>
      <c r="P28" s="25" t="str">
        <f>'Constants - Common Livestock'!$E$27</f>
        <v>Pasture range and paddock</v>
      </c>
      <c r="Q28" s="25" cm="1">
        <f t="array" ref="Q28">MMS_Dairy_Soil_LeachingAndRunoff.VEERG_4_3_1_12__2_MassOfNitrogenLostToLeachingAndRunoffOnPasture(Q23,$I$14,$I$15)</f>
        <v>2325.789756616879</v>
      </c>
      <c r="R28" s="25" cm="1">
        <f t="array" ref="R28">MMS_Dairy_Soil_LeachingAndRunoff.VEERG_4_3_1_12__2_MassOfNitrogenLostToLeachingAndRunoffOnPasture(R23,$I$14,$I$15)</f>
        <v>1062.3176730540686</v>
      </c>
      <c r="S28" s="25" cm="1">
        <f t="array" ref="S28">MMS_Dairy_Soil_LeachingAndRunoff.VEERG_4_3_1_12__2_MassOfNitrogenLostToLeachingAndRunoffOnPasture(S23,$I$14,$I$15)</f>
        <v>423.1098947141715</v>
      </c>
      <c r="T28" s="25" cm="1">
        <f t="array" ref="T28">MMS_Dairy_Soil_LeachingAndRunoff.VEERG_4_3_1_12__2_MassOfNitrogenLostToLeachingAndRunoffOnPasture(T23,$I$14,$I$15)</f>
        <v>1335.3753286373426</v>
      </c>
      <c r="U28" s="25" cm="1">
        <f t="array" ref="U28">MMS_Dairy_Soil_LeachingAndRunoff.VEERG_4_3_1_12__2_MassOfNitrogenLostToLeachingAndRunoffOnPasture(U23,$I$14,$I$15)</f>
        <v>559.02726196598815</v>
      </c>
      <c r="V28" s="26" t="str">
        <f>$E$11</f>
        <v>kg N</v>
      </c>
    </row>
    <row r="29" spans="1:22" ht="20.100000000000001" customHeight="1" x14ac:dyDescent="0.25">
      <c r="A29" s="5" t="str">
        <f>HYPERLINK("#'5.1.1.3-4 Inorganic fert CO2'!A1", "5.1.1.3-4 Inorganic fert CO2")</f>
        <v>5.1.1.3-4 Inorganic fert CO2</v>
      </c>
    </row>
    <row r="30" spans="1:22" ht="20.100000000000001" customHeight="1" x14ac:dyDescent="0.25">
      <c r="A30" s="5" t="str">
        <f>HYPERLINK("#'5.2.1.1-2 Organic Fert N2O'!A1", "5.2.1.1-2 Organic fert N2O")</f>
        <v>5.2.1.1-2 Organic fert N2O</v>
      </c>
      <c r="D30" s="142" t="s">
        <v>492</v>
      </c>
      <c r="E30" s="101">
        <f>SUM(F28:J28)</f>
        <v>5705.6199149884496</v>
      </c>
      <c r="F30" s="140" t="str">
        <f>$E$11</f>
        <v>kg N</v>
      </c>
      <c r="O30" s="142" t="s">
        <v>492</v>
      </c>
      <c r="P30" s="101">
        <f>SUM(Q28:U28)</f>
        <v>5705.6199149884496</v>
      </c>
      <c r="Q30" s="140" t="str">
        <f>$E$11</f>
        <v>kg N</v>
      </c>
    </row>
    <row r="31" spans="1:22" ht="20.100000000000001" customHeight="1" x14ac:dyDescent="0.25">
      <c r="A31" s="5" t="str">
        <f>HYPERLINK("#'5.3.1.1-2 Lime CO2'!A1", "5.3.1.1-2 Lime CO2")</f>
        <v>5.3.1.1-2 Lime CO2</v>
      </c>
    </row>
    <row r="32" spans="1:22" ht="20.100000000000001" customHeight="1" x14ac:dyDescent="0.25">
      <c r="A32" s="5" t="str">
        <f>HYPERLINK("#'5.4.1.1-4 Atmos deposition'!A1", "5.4.1.1-4 Atmos. deposition")</f>
        <v>5.4.1.1-4 Atmos. deposition</v>
      </c>
    </row>
    <row r="33" spans="1:23" ht="20.100000000000001" customHeight="1" x14ac:dyDescent="0.25">
      <c r="A33" s="5" t="str">
        <f>HYPERLINK("#'5.5.1.1-2 Leaching and runoff'!A1", "5.5.1.1-2 Leaching &amp; runoff")</f>
        <v>5.5.1.1-2 Leaching &amp; runoff</v>
      </c>
    </row>
    <row r="34" spans="1:23" ht="20.100000000000001" customHeight="1" x14ac:dyDescent="0.25">
      <c r="A34" s="5" t="str">
        <f>HYPERLINK("#'6.2.1.1-2 Pasture residue N2O'!A1", "6.2.1.1-2 Pasture residue N2O")</f>
        <v>6.2.1.1-2 Pasture residue N2O</v>
      </c>
      <c r="C34" s="101"/>
      <c r="D34" s="101"/>
      <c r="E34" s="101"/>
      <c r="F34" s="101"/>
      <c r="G34" s="101"/>
      <c r="H34" s="101"/>
      <c r="I34" s="101"/>
      <c r="J34" s="101"/>
      <c r="K34" s="101"/>
      <c r="L34" s="101"/>
      <c r="N34" s="101"/>
      <c r="O34" s="101"/>
      <c r="P34" s="101"/>
      <c r="Q34" s="101"/>
      <c r="R34" s="101"/>
      <c r="S34" s="101"/>
      <c r="T34" s="101"/>
      <c r="U34" s="101"/>
      <c r="V34" s="101"/>
      <c r="W34" s="101"/>
    </row>
    <row r="35" spans="1:23" ht="20.100000000000001" customHeight="1" x14ac:dyDescent="0.25">
      <c r="A35" s="5" t="str">
        <f>HYPERLINK("#'6.3.1.1-2 Leach runoff pasture'!A1", "6.3.1.1-2 Leach &amp; runoff (pasture)")</f>
        <v>6.3.1.1-2 Leach &amp; runoff (pasture)</v>
      </c>
      <c r="D35" s="2" t="str" cm="1">
        <f t="array" ref="D35">MMS_Dairy_Soil_LeachingAndRunoff.VEERG_4_3_1_12__1_LeachingAndRunoffEmissionsFromUrineAndDungOnPasture_Title()</f>
        <v>Leaching and runoff emissions from urine and dung deposited on pasture</v>
      </c>
    </row>
    <row r="36" spans="1:23" ht="20.100000000000001" customHeight="1" x14ac:dyDescent="0.25">
      <c r="A36" s="5" t="str">
        <f>HYPERLINK("#'8.1.1.1-2 Transport fuel'!A1", "8.1.1.1-2 Transport fuel")</f>
        <v>8.1.1.1-2 Transport fuel</v>
      </c>
      <c r="D36" s="27" t="str" cm="1">
        <f t="array" ref="D36">MMS_Dairy_Soil_LeachingAndRunoff.VEERG_4_3_1_12__1_LeachingAndRunoffEmissionsFromUrineAndDungOnPasture_Source()</f>
        <v>VEERG 2026: 4.3.1.12, Equation (1)</v>
      </c>
    </row>
    <row r="37" spans="1:23" ht="20.100000000000001" customHeight="1" x14ac:dyDescent="0.25">
      <c r="A37" s="5" t="str">
        <f>HYPERLINK("#'8.2.1.1-2 Stationary fuel'!A1", "8.2.1.1-2 Stationary fuel")</f>
        <v>8.2.1.1-2 Stationary fuel</v>
      </c>
      <c r="D37" s="118" t="s">
        <v>262</v>
      </c>
      <c r="E37" s="118" t="str">
        <f ca="1">Common_InputFunctions.Utility_DisplayFunctionName(VEERG_4_3_1_12__1_LeachingAndRunoffEmissionsFromUrineAndDungOnPasture_Result_Method1)</f>
        <v>=MMS_Dairy_Soil_LeachingAndRunoff.VEERG_4_3_1_12__1_LeachingAndRunoffEmissionsFromUrineAndDungOnPasture</v>
      </c>
    </row>
    <row r="38" spans="1:23" ht="20.100000000000001" customHeight="1" x14ac:dyDescent="0.25">
      <c r="A38" s="5" t="str">
        <f>HYPERLINK("#'14.1.1-2 Purchased electricity'!A1", "14.1.1-2 Purchased electricity")</f>
        <v>14.1.1-2 Purchased electricity</v>
      </c>
    </row>
    <row r="39" spans="1:23" ht="20.100000000000001" customHeight="1" x14ac:dyDescent="0.25">
      <c r="A39" s="5" t="str">
        <f>HYPERLINK("#'15 Scope 3'!A1", "15 Scope 3")</f>
        <v>15 Scope 3</v>
      </c>
    </row>
    <row r="40" spans="1:23" ht="20.100000000000001" customHeight="1" x14ac:dyDescent="0.25">
      <c r="A40" s="5" t="str">
        <f>HYPERLINK("#'Calcs - Manure sent off-site'!A1", "Calcs - Manure sent off-site")</f>
        <v>Calcs - Manure sent off-site</v>
      </c>
      <c r="D40" s="87" t="s">
        <v>263</v>
      </c>
      <c r="E40" s="1" t="str" cm="1">
        <f t="array" ref="E40">MMS_Dairy_Soil_LeachingAndRunoff.VEERG_4_3_1_12__1_LeachingAndRunoffEmissionsFromUrineAndDungOnPasture_Variable()</f>
        <v>E_N2Oleach</v>
      </c>
    </row>
    <row r="41" spans="1:23" ht="20.100000000000001" customHeight="1" x14ac:dyDescent="0.25">
      <c r="A41" s="5" t="str">
        <f>HYPERLINK("#'4.3.1.1-2 Methane'!A1", "4.3.1.1-2 Methane")</f>
        <v>4.3.1.1-2 Methane</v>
      </c>
      <c r="D41" s="87" t="s">
        <v>122</v>
      </c>
      <c r="E41" s="15" t="str" cm="1">
        <f t="array" ref="E41">MMS_Dairy_Soil_LeachingAndRunoff.VEERG_4_3_1_12__1_LeachingAndRunoffEmissionsFromUrineAndDungOnPasture_Unit()</f>
        <v>t N2O</v>
      </c>
    </row>
    <row r="42" spans="1:23" ht="20.100000000000001" customHeight="1" x14ac:dyDescent="0.25">
      <c r="A42" s="5" t="str">
        <f>HYPERLINK("#'4.3.1.3-4 Direct N20'!A1", "4.3.1.3-4 Direct N20")</f>
        <v>4.3.1.3-4 Direct N20</v>
      </c>
    </row>
    <row r="43" spans="1:23" ht="20.100000000000001" customHeight="1" x14ac:dyDescent="0.25">
      <c r="A43" s="5" t="str">
        <f>HYPERLINK("#'4.3.1.5 Atmos deposition'!A1", "4.3.1.5 Atmos deposition")</f>
        <v>4.3.1.5 Atmos deposition</v>
      </c>
      <c r="D43" s="120" t="str" cm="1">
        <f t="array" ref="D43:E45">_xlfn.CHOOSECOLS(MMS_Dairy_Soil_LeachingAndRunoff.VEERG_4_3_1_12__1_LeachingAndRunoffEmissionsFromUrineAndDungOnPasture_Arguments(),1,2)</f>
        <v>M_leach_m14</v>
      </c>
      <c r="E43" s="120" t="str">
        <v>mass of nitrogen lost to leaching and runoff from urine and faeces deposited on pasture</v>
      </c>
      <c r="F43" s="125"/>
      <c r="G43" s="126"/>
      <c r="H43" s="120" t="str" cm="1">
        <f t="array" ref="H43:I45">_xlfn.CHOOSECOLS(MMS_Dairy_Soil_LeachingAndRunoff.VEERG_4_3_1_12__1_LeachingAndRunoffEmissionsFromUrineAndDungOnPasture_Arguments(),3,4)</f>
        <v>kg N</v>
      </c>
      <c r="I43" s="128" t="str">
        <v>Calculated from 4.3.1.12 (2)</v>
      </c>
      <c r="J43" s="120">
        <f>$E$30</f>
        <v>5705.6199149884496</v>
      </c>
      <c r="O43" s="120" t="str" cm="1">
        <f t="array" ref="O43:P45">_xlfn.CHOOSECOLS(MMS_Dairy_Soil_LeachingAndRunoff.VEERG_4_3_1_12__1_LeachingAndRunoffEmissionsFromUrineAndDungOnPasture_Arguments(),1,2)</f>
        <v>M_leach_m14</v>
      </c>
      <c r="P43" s="120" t="str">
        <v>mass of nitrogen lost to leaching and runoff from urine and faeces deposited on pasture</v>
      </c>
      <c r="Q43" s="125"/>
      <c r="R43" s="126"/>
      <c r="S43" s="120" t="str" cm="1">
        <f t="array" ref="S43:T45">_xlfn.CHOOSECOLS(MMS_Dairy_Soil_LeachingAndRunoff.VEERG_4_3_1_12__1_LeachingAndRunoffEmissionsFromUrineAndDungOnPasture_Arguments(),3,4)</f>
        <v>kg N</v>
      </c>
      <c r="T43" s="128" t="str">
        <v>Calculated from 4.3.1.12 (2)</v>
      </c>
      <c r="U43" s="132">
        <f>$P$30</f>
        <v>5705.6199149884496</v>
      </c>
    </row>
    <row r="44" spans="1:23" ht="20.100000000000001" customHeight="1" x14ac:dyDescent="0.25">
      <c r="A44" s="5" t="str">
        <f>HYPERLINK("#'4.3.1.6-7 Leaching and runoff'!A1", "4.3.1.6-7 Leaching and runoff")</f>
        <v>4.3.1.6-7 Leaching and runoff</v>
      </c>
      <c r="D44" s="120" t="str">
        <v>EF_leach</v>
      </c>
      <c r="E44" s="120" t="str">
        <v>nitrous oxide emission factor for leaching and runoff</v>
      </c>
      <c r="F44" s="125"/>
      <c r="G44" s="126"/>
      <c r="H44" s="120" t="str">
        <v>kg N2O-N/kg N</v>
      </c>
      <c r="I44" s="128" t="str">
        <v>Constant</v>
      </c>
      <c r="J44" s="120">
        <f>SourceData_Dairy_EmissionFactorForLeachingAndRunoff_Data</f>
        <v>1.0999999999999999E-2</v>
      </c>
      <c r="O44" s="120" t="str">
        <v>EF_leach</v>
      </c>
      <c r="P44" s="120" t="str">
        <v>nitrous oxide emission factor for leaching and runoff</v>
      </c>
      <c r="Q44" s="125"/>
      <c r="R44" s="126"/>
      <c r="S44" s="120" t="str">
        <v>kg N2O-N/kg N</v>
      </c>
      <c r="T44" s="128" t="str">
        <v>Constant</v>
      </c>
      <c r="U44" s="132"/>
    </row>
    <row r="45" spans="1:23" ht="20.100000000000001" customHeight="1" x14ac:dyDescent="0.25">
      <c r="A45" s="5" t="str">
        <f>HYPERLINK("#'4.3.1.8 Manure applied to soils'!A1", "4.3.1.8 Manure applied to soils")</f>
        <v>4.3.1.8 Manure applied to soils</v>
      </c>
      <c r="D45" s="120" t="str">
        <v>C_N2O</v>
      </c>
      <c r="E45" s="120" t="str">
        <v>factor to convert elemental mass of N2O to molecular mass</v>
      </c>
      <c r="F45" s="125"/>
      <c r="G45" s="126"/>
      <c r="H45" s="120" t="str">
        <v/>
      </c>
      <c r="I45" s="128" t="str">
        <v>Constant</v>
      </c>
      <c r="J45" s="120">
        <f>Common_InputFunctions.Utility_LookupValueInTableNumber("N2O",Table_GasToMolecularConversionFactor[Gas],Table_GasToMolecularConversionFactor[Conversion factor combined])</f>
        <v>1.5714285714285714</v>
      </c>
      <c r="O45" s="120" t="str">
        <v>C_N2O</v>
      </c>
      <c r="P45" s="120" t="str">
        <v>factor to convert elemental mass of N2O to molecular mass</v>
      </c>
      <c r="Q45" s="125"/>
      <c r="R45" s="126"/>
      <c r="S45" s="120" t="str">
        <v/>
      </c>
      <c r="T45" s="128" t="str">
        <v>Constant</v>
      </c>
      <c r="U45" s="132"/>
    </row>
    <row r="46" spans="1:23" ht="20.100000000000001" customHeight="1" x14ac:dyDescent="0.25">
      <c r="A46" s="5" t="str">
        <f>HYPERLINK("#'4.3.1.9 Soil direct N2O'!A1", "4.3.1.9 Soil direct N2O")</f>
        <v>4.3.1.9 Soil direct N2O</v>
      </c>
    </row>
    <row r="47" spans="1:23" ht="20.100000000000001" customHeight="1" x14ac:dyDescent="0.25">
      <c r="A47" s="5" t="str">
        <f>HYPERLINK("#'4.3.1.10-11 Soil Atmos Dep'!A1", "4.3.1.10-11 Soil Atmos Dep")</f>
        <v>4.3.1.10-11 Soil Atmos Dep</v>
      </c>
      <c r="D47" s="135" t="s">
        <v>493</v>
      </c>
      <c r="E47" s="136" cm="1">
        <f t="array" ref="E47">MMS_Dairy_Soil_LeachingAndRunoff.VEERG_4_3_1_12__1_LeachingAndRunoffEmissionsFromUrineAndDungOnPasture($J$43,$J$44,$J$45)</f>
        <v>9.8625715673371778E-2</v>
      </c>
      <c r="F47" s="137" t="str">
        <f>$E$41</f>
        <v>t N2O</v>
      </c>
      <c r="O47" s="135" t="s">
        <v>493</v>
      </c>
      <c r="P47" s="136" cm="1">
        <f t="array" ref="P47">MMS_Dairy_Soil_LeachingAndRunoff.VEERG_4_3_1_12__1_LeachingAndRunoffEmissionsFromUrineAndDungOnPasture($U$43,$J$44,$J$45)</f>
        <v>9.8625715673371778E-2</v>
      </c>
      <c r="Q47" s="137" t="str">
        <f>$E$41</f>
        <v>t N2O</v>
      </c>
    </row>
    <row r="48" spans="1:23" ht="20.100000000000001" customHeight="1" x14ac:dyDescent="0.25">
      <c r="A48" s="119" t="str">
        <f>HYPERLINK("#'4.3.1.12-13 Soil leach runoff'!A1", "4.3.1.12-13 Soil leach runoff")</f>
        <v>4.3.1.12-13 Soil leach runoff</v>
      </c>
    </row>
    <row r="49" spans="1:18" ht="20.100000000000001" customHeight="1" x14ac:dyDescent="0.25">
      <c r="A49" s="5" t="str">
        <f>HYPERLINK("#'3.3.1.1-2 Enteric Methane'!A1", "3.3.1.1-2 Enteric Methane")</f>
        <v>3.3.1.1-2 Enteric Methane</v>
      </c>
      <c r="D49" s="132" t="str" cm="1">
        <f t="array" ref="D49:E50">Common_Equations.Common_ConvertN2OToCO2e_Arguments()</f>
        <v>EN2O</v>
      </c>
      <c r="E49" s="138" t="str">
        <v>Nitrous oxide emissions (t N2O)</v>
      </c>
      <c r="F49" s="139"/>
      <c r="G49" s="25">
        <f>VEERG_4_3_1_12__1_LeachingAndRunoffEmissionsFromUrineAndDungOnPasture_Result_Method1</f>
        <v>9.8625715673371778E-2</v>
      </c>
      <c r="O49" s="132" t="str" cm="1">
        <f t="array" ref="O49:P50">Common_Equations.Common_ConvertN2OToCO2e_Arguments()</f>
        <v>EN2O</v>
      </c>
      <c r="P49" s="138" t="str">
        <v>Nitrous oxide emissions (t N2O)</v>
      </c>
      <c r="Q49" s="139"/>
      <c r="R49" s="25">
        <f>VEERG_4_3_1_12__1_LeachingAndRunoffEmissionsFromUrineAndDungOnPasture_Result_Method2</f>
        <v>9.8625715673371778E-2</v>
      </c>
    </row>
    <row r="50" spans="1:18" ht="20.100000000000001" customHeight="1" x14ac:dyDescent="0.25">
      <c r="A50" s="5" t="str">
        <f>HYPERLINK("#'10.1.1-2 Solid waste treatment'!A1", "10.1.1-2 Solid waste treatment")</f>
        <v>10.1.1-2 Solid waste treatment</v>
      </c>
      <c r="D50" s="132" t="str">
        <v>GWPN2O</v>
      </c>
      <c r="E50" s="138" t="str">
        <v>Global warming potential for nitrous oxide (t CO2-e / t N2O)</v>
      </c>
      <c r="F50" s="139"/>
      <c r="G50" s="25">
        <f>Common_InputFunctions.Utility_LookupValueInTableNumber("N2O",Table_GWPData[Gas],Table_GWPData[CO2-e factor])</f>
        <v>265</v>
      </c>
      <c r="O50" s="132" t="str">
        <v>GWPN2O</v>
      </c>
      <c r="P50" s="138" t="str">
        <v>Global warming potential for nitrous oxide (t CO2-e / t N2O)</v>
      </c>
      <c r="Q50" s="139"/>
      <c r="R50" s="25">
        <f>Common_InputFunctions.Utility_LookupValueInTableNumber("N2O",Table_GWPData[Gas],Table_GWPData[CO2-e factor])</f>
        <v>265</v>
      </c>
    </row>
    <row r="51" spans="1:18" ht="20.100000000000001" customHeight="1" x14ac:dyDescent="0.25"/>
    <row r="52" spans="1:18" ht="20.100000000000001" customHeight="1" x14ac:dyDescent="0.25">
      <c r="D52" s="101" t="s">
        <v>412</v>
      </c>
      <c r="E52" s="101" cm="1">
        <f t="array" ref="E52">Common_Equations.Common_ConvertN2OToCO2e(G49,G50)</f>
        <v>26.135814653443521</v>
      </c>
      <c r="F52" s="140" t="str" cm="1">
        <f t="array" ref="F52">Common_Equations.Common_ConvertN2OToCO2e_Unit()</f>
        <v>t CO2e</v>
      </c>
      <c r="O52" s="101" t="s">
        <v>412</v>
      </c>
      <c r="P52" s="101" cm="1">
        <f t="array" ref="P52">Common_Equations.Common_ConvertN2OToCO2e(R49,R50)</f>
        <v>26.135814653443521</v>
      </c>
      <c r="Q52" s="140" t="str" cm="1">
        <f t="array" ref="Q52">Common_Equations.Common_ConvertN2OToCO2e_Unit()</f>
        <v>t CO2e</v>
      </c>
    </row>
    <row r="53" spans="1:18" ht="20.100000000000001" customHeight="1" x14ac:dyDescent="0.25">
      <c r="A53" s="100" t="s">
        <v>1</v>
      </c>
    </row>
    <row r="54" spans="1:18" ht="20.100000000000001" customHeight="1" x14ac:dyDescent="0.25">
      <c r="A54" s="5" t="str">
        <f>HYPERLINK("#'Constants - Dairy'!A1", "Constants - Dairy")</f>
        <v>Constants - Dairy</v>
      </c>
    </row>
    <row r="55" spans="1:18" ht="20.100000000000001" customHeight="1" x14ac:dyDescent="0.25">
      <c r="A55" s="5" t="str">
        <f>HYPERLINK("#'Constants - Ag Residue'!A1", "Constants - Ag residue")</f>
        <v>Constants - Ag residue</v>
      </c>
    </row>
    <row r="56" spans="1:18" ht="20.100000000000001" customHeight="1" x14ac:dyDescent="0.25">
      <c r="A56" s="5" t="str">
        <f>HYPERLINK("#'Constants - Common Livestock'!A1", "Constants - Common Livestock")</f>
        <v>Constants - Common Livestock</v>
      </c>
    </row>
    <row r="57" spans="1:18" ht="20.100000000000001" customHeight="1" x14ac:dyDescent="0.25">
      <c r="A57" s="5" t="str">
        <f>HYPERLINK("#'Constants - Electricity'!A1", "Constants - Electricity")</f>
        <v>Constants - Electricity</v>
      </c>
    </row>
    <row r="58" spans="1:18" ht="20.100000000000001" customHeight="1" x14ac:dyDescent="0.25">
      <c r="A58" s="5" t="str">
        <f>HYPERLINK("#'Constants - Fertiliser'!A1", "Constants - Fertiliser")</f>
        <v>Constants - Fertiliser</v>
      </c>
    </row>
    <row r="59" spans="1:18" ht="20.100000000000001" customHeight="1" x14ac:dyDescent="0.25">
      <c r="A59" s="5" t="str">
        <f>HYPERLINK("#'Constants - Fuel'!A1", "Constants - Fuel")</f>
        <v>Constants - Fuel</v>
      </c>
    </row>
    <row r="60" spans="1:18" ht="20.100000000000001" customHeight="1" x14ac:dyDescent="0.25">
      <c r="A60" s="5" t="str">
        <f>HYPERLINK("#'Constants - Scope 3'!A1", "Constants - Scope 3")</f>
        <v>Constants - Scope 3</v>
      </c>
    </row>
    <row r="61" spans="1:18" ht="20.100000000000001" customHeight="1" x14ac:dyDescent="0.25">
      <c r="A61" s="5" t="str">
        <f>HYPERLINK("#'Constants - Common'!A1", "Constants - Common")</f>
        <v>Constants - Common</v>
      </c>
    </row>
    <row r="62" spans="1:18" ht="20.100000000000001" customHeight="1" x14ac:dyDescent="0.25">
      <c r="A62" s="5" t="str">
        <f>HYPERLINK("#'Acknowledgements'!A1", "Acknowledgements")</f>
        <v>Acknowledgements</v>
      </c>
    </row>
    <row r="63" spans="1:18" ht="20.100000000000001" customHeight="1" x14ac:dyDescent="0.25">
      <c r="A63" s="5" t="str">
        <f>HYPERLINK("#'Constants - Solid Waste'!A1", "Constants - Solid Waste")</f>
        <v>Constants - Solid Waste</v>
      </c>
    </row>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P23 E28 P28" xr:uid="{8A979A29-6269-4D0A-85F8-B0F7A82DF7D8}"/>
  </dataValidations>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457B2-4672-4FC6-BEC3-18CD867C2190}">
  <dimension ref="A1:S275"/>
  <sheetViews>
    <sheetView showGridLines="0"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30" customFormat="1" ht="30" customHeight="1" x14ac:dyDescent="0.35">
      <c r="A1" s="16" t="e" vm="1">
        <v>#VALUE!</v>
      </c>
      <c r="C1" s="30" t="s">
        <v>533</v>
      </c>
      <c r="K1"/>
    </row>
    <row r="2" spans="1:19" s="3" customFormat="1" ht="20.100000000000001" customHeight="1" x14ac:dyDescent="0.25">
      <c r="A2"/>
      <c r="K2"/>
    </row>
    <row r="3" spans="1:19" ht="20.100000000000001" customHeight="1" x14ac:dyDescent="0.25">
      <c r="A3" s="5" t="str">
        <f>HYPERLINK("#'Home'!A1", "Home")</f>
        <v>Home</v>
      </c>
      <c r="C3" s="32"/>
      <c r="D3" s="32" t="s">
        <v>136</v>
      </c>
      <c r="E3" s="32"/>
      <c r="F3" s="32"/>
      <c r="G3" s="32"/>
      <c r="H3" s="32"/>
      <c r="I3" s="32"/>
      <c r="J3" s="32"/>
      <c r="L3" s="32"/>
      <c r="M3" s="32" t="s">
        <v>137</v>
      </c>
      <c r="N3" s="32"/>
      <c r="O3" s="32"/>
      <c r="P3" s="32"/>
      <c r="Q3" s="32"/>
      <c r="R3" s="32"/>
      <c r="S3" s="32"/>
    </row>
    <row r="4" spans="1:19" ht="20.100000000000001" customHeight="1" x14ac:dyDescent="0.25">
      <c r="A4" s="5" t="str">
        <f>HYPERLINK("#'Overview'!A1", "Overview")</f>
        <v>Overview</v>
      </c>
    </row>
    <row r="5" spans="1:19" ht="20.100000000000001" customHeight="1" x14ac:dyDescent="0.25">
      <c r="A5" s="5" t="str">
        <f>HYPERLINK("#'Results'!A1", "Results")</f>
        <v>Results</v>
      </c>
      <c r="D5" s="2" t="str" cm="1">
        <f t="array" ref="D5">EntericMethane_Dairy_Equations.VEERG_3_3_1_1__6_MetabolisabilityOfDiet_Title()</f>
        <v>Metabolisability of diet</v>
      </c>
    </row>
    <row r="6" spans="1:19" ht="20.100000000000001" customHeight="1" x14ac:dyDescent="0.25">
      <c r="D6" s="35"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D7" s="27" t="str" cm="1">
        <f t="array" ref="D7">EntericMethane_Dairy_Equations.VEERG_3_3_1_1__6_MetabolisabilityOfDiet_Source()</f>
        <v>VEERG 2026: 3.3.1.1, Equation (6)</v>
      </c>
    </row>
    <row r="8" spans="1:19" ht="20.100000000000001" customHeight="1" x14ac:dyDescent="0.25">
      <c r="A8" s="7" t="s">
        <v>0</v>
      </c>
      <c r="D8" s="118" t="s">
        <v>262</v>
      </c>
      <c r="E8" s="118" t="str" cm="1">
        <f t="array" aca="1" ref="E8" ca="1">Common_InputFunctions.Utility_DisplayFunctionName(D24)</f>
        <v>=EntericMethane_Dairy_Equations.VEERG_3_3_1_1__6_MetabolisabilityOfDietVariation</v>
      </c>
    </row>
    <row r="9" spans="1:19" ht="20.100000000000001" customHeight="1" x14ac:dyDescent="0.25">
      <c r="A9" s="5" t="str">
        <f>HYPERLINK("#'Input - Enterprise'!A1", "Enterprise")</f>
        <v>Enterprise</v>
      </c>
    </row>
    <row r="10" spans="1:19" ht="20.100000000000001" customHeight="1" x14ac:dyDescent="0.25">
      <c r="A10" s="5" t="str">
        <f>HYPERLINK("#'Input - Site'!A1", "Site")</f>
        <v>Site</v>
      </c>
    </row>
    <row r="11" spans="1:19" ht="20.100000000000001" customHeight="1" x14ac:dyDescent="0.25">
      <c r="A11" s="5" t="str">
        <f>HYPERLINK("#'Input - Dairy'!A1", "Dairy")</f>
        <v>Dairy</v>
      </c>
      <c r="D11" s="87" t="s">
        <v>263</v>
      </c>
      <c r="E11" s="1" t="str" cm="1">
        <f t="array" ref="E11">EntericMethane_Dairy_Equations.VEERG_3_3_1_1__6_MetabolisabilityOfDiet_Variable()</f>
        <v>qm_j</v>
      </c>
    </row>
    <row r="12" spans="1:19" ht="20.100000000000001" customHeight="1" x14ac:dyDescent="0.25">
      <c r="A12" s="5" t="str">
        <f>HYPERLINK("#'Input - Dairy (Enteric)'!A1", "Dairy (Enteric)")</f>
        <v>Dairy (Enteric)</v>
      </c>
      <c r="D12" s="87" t="s">
        <v>122</v>
      </c>
      <c r="E12" s="15" t="str" cm="1">
        <f t="array" ref="E12">EntericMethane_Dairy_Equations.VEERG_3_3_1_1__6_MetabolisabilityOfDiet_Unit()</f>
        <v>fraction</v>
      </c>
    </row>
    <row r="13" spans="1:19" ht="20.100000000000001" customHeight="1" x14ac:dyDescent="0.25">
      <c r="A13" s="5" t="str">
        <f>HYPERLINK("#'Input - Livestock sales'!A1", "Livestock sales")</f>
        <v>Livestock sales</v>
      </c>
    </row>
    <row r="14" spans="1:19" ht="20.100000000000001" customHeight="1" x14ac:dyDescent="0.25">
      <c r="A14" s="5" t="str">
        <f>HYPERLINK("#'Input - Dairy cattle purchases'!A1", "Dairy cattle purchases")</f>
        <v>Dairy cattle purchases</v>
      </c>
      <c r="D14" s="120" t="str" cm="1">
        <f t="array" ref="D14:E14">_xlfn.CHOOSECOLS(EntericMethane_Dairy_Equations.VEERG_3_3_1_1__6_MetabolisabilityOfDiet_Arguments(), 1,2)</f>
        <v>DMD_j</v>
      </c>
      <c r="E14" s="120" t="str">
        <v>dry matter digestibility expressed as a fraction</v>
      </c>
      <c r="F14" s="120"/>
      <c r="G14" s="120" t="str" cm="1">
        <f t="array" ref="G14:H14">_xlfn.CHOOSECOLS(EntericMethane_Dairy_Equations.VEERG_3_3_1_1__6_MetabolisabilityOfDiet_Arguments(), 3,4)</f>
        <v>fraction</v>
      </c>
      <c r="H14" s="121" t="str">
        <v>Input</v>
      </c>
      <c r="I14" s="120" t="str">
        <f>"See " &amp; D16</f>
        <v>See M1_Table_DMD_j</v>
      </c>
    </row>
    <row r="15" spans="1:19" ht="20.100000000000001" customHeight="1" x14ac:dyDescent="0.25">
      <c r="A15" s="5" t="str">
        <f>HYPERLINK("#'Input - Pasture'!A1", "Pasture")</f>
        <v>Pasture</v>
      </c>
    </row>
    <row r="16" spans="1:19" ht="20.100000000000001" customHeight="1" x14ac:dyDescent="0.25">
      <c r="A16" s="5" t="str">
        <f>HYPERLINK("#'Input - Fert Prod System'!A1", "Fert Prod System")</f>
        <v>Fert Prod System</v>
      </c>
      <c r="D16" s="122" t="s">
        <v>264</v>
      </c>
      <c r="M16" s="122" t="s">
        <v>265</v>
      </c>
    </row>
    <row r="17" spans="1:19" ht="20.100000000000001" customHeight="1" x14ac:dyDescent="0.25">
      <c r="A17" s="5" t="str">
        <f>HYPERLINK("#'Input - Fertiliser'!A1", "Fertiliser")</f>
        <v>Fertiliser</v>
      </c>
      <c r="D17" s="123" t="s">
        <v>266</v>
      </c>
      <c r="M17" s="123" t="s">
        <v>267</v>
      </c>
    </row>
    <row r="18" spans="1:19" ht="20.100000000000001" customHeight="1" x14ac:dyDescent="0.25">
      <c r="A18" s="5" t="str">
        <f>HYPERLINK("#'Input - Fuel'!A1", "Fuel")</f>
        <v>Fuel</v>
      </c>
      <c r="D18" s="94" t="s">
        <v>213</v>
      </c>
      <c r="E18" s="94" t="s">
        <v>214</v>
      </c>
      <c r="F18" s="94" t="s">
        <v>215</v>
      </c>
      <c r="G18" s="94" t="s">
        <v>216</v>
      </c>
      <c r="H18" s="94" t="s">
        <v>217</v>
      </c>
      <c r="M18" s="94" t="s">
        <v>213</v>
      </c>
      <c r="N18" s="94" t="s">
        <v>214</v>
      </c>
      <c r="O18" s="94" t="s">
        <v>215</v>
      </c>
      <c r="P18" s="94" t="s">
        <v>216</v>
      </c>
      <c r="Q18" s="94" t="s">
        <v>217</v>
      </c>
    </row>
    <row r="19" spans="1:19" ht="20.100000000000001" customHeight="1" x14ac:dyDescent="0.25">
      <c r="A19" s="5" t="str">
        <f>HYPERLINK("#'Input - Electricity'!A1", "Electricity")</f>
        <v>Electricity</v>
      </c>
      <c r="D19" s="25">
        <f>INDEX(X_Table_Dairy_Diet_Method1,2,2)</f>
        <v>0.75</v>
      </c>
      <c r="E19" s="25">
        <f>INDEX(X_Table_Dairy_Diet_Method1,2,3)</f>
        <v>0.75</v>
      </c>
      <c r="F19" s="25">
        <f>INDEX(X_Table_Dairy_Diet_Method1,2,4)</f>
        <v>0.75</v>
      </c>
      <c r="G19" s="25">
        <f>INDEX(X_Table_Dairy_Diet_Method1,2,5)</f>
        <v>0.75</v>
      </c>
      <c r="H19" s="25">
        <f>INDEX(X_Table_Dairy_Diet_Method1,2,6)</f>
        <v>0.75</v>
      </c>
      <c r="I19" s="26" t="s">
        <v>268</v>
      </c>
      <c r="M19" s="25">
        <f>INDEX(X_Table_Dairy_Diet_Method2,2,2)</f>
        <v>0.75</v>
      </c>
      <c r="N19" s="25">
        <f>INDEX(X_Table_Dairy_Diet_Method2,2,3)</f>
        <v>0.75</v>
      </c>
      <c r="O19" s="25">
        <f>INDEX(X_Table_Dairy_Diet_Method2,2,4)</f>
        <v>0.75</v>
      </c>
      <c r="P19" s="25">
        <f>INDEX(X_Table_Dairy_Diet_Method2,2,5)</f>
        <v>0.75</v>
      </c>
      <c r="Q19" s="25">
        <f>INDEX(X_Table_Dairy_Diet_Method2,2,6)</f>
        <v>0.75</v>
      </c>
      <c r="R19" s="26" t="s">
        <v>268</v>
      </c>
    </row>
    <row r="20" spans="1:19" ht="20.100000000000001" customHeight="1" x14ac:dyDescent="0.25">
      <c r="A20" s="5" t="str">
        <f>HYPERLINK("#'Input - Farm Inputs'!A1", "Farm Inputs")</f>
        <v>Farm Inputs</v>
      </c>
    </row>
    <row r="21" spans="1:19" ht="20.100000000000001" customHeight="1" x14ac:dyDescent="0.25">
      <c r="A21" s="5" t="str">
        <f>HYPERLINK("#'Input - Freight'!A1", "Freight")</f>
        <v>Freight</v>
      </c>
      <c r="D21" s="122" t="s">
        <v>269</v>
      </c>
      <c r="M21" s="122" t="s">
        <v>270</v>
      </c>
    </row>
    <row r="22" spans="1:19" ht="20.100000000000001" customHeight="1" x14ac:dyDescent="0.25">
      <c r="A22" s="5" t="str">
        <f>HYPERLINK("#'Input - Manure sent off-site'!A1", "Manure sent off-site")</f>
        <v>Manure sent off-site</v>
      </c>
      <c r="D22" s="123" t="s">
        <v>271</v>
      </c>
      <c r="M22" s="123" t="s">
        <v>272</v>
      </c>
    </row>
    <row r="23" spans="1:19" ht="20.100000000000001" customHeight="1" x14ac:dyDescent="0.25">
      <c r="A23" s="5" t="str">
        <f>HYPERLINK("#'Input - Solid waste'!A1", "Solid waste")</f>
        <v>Solid waste</v>
      </c>
      <c r="D23" s="124" t="s">
        <v>213</v>
      </c>
      <c r="E23" s="124" t="s">
        <v>214</v>
      </c>
      <c r="F23" s="124" t="s">
        <v>215</v>
      </c>
      <c r="G23" s="124" t="s">
        <v>216</v>
      </c>
      <c r="H23" s="124" t="s">
        <v>217</v>
      </c>
      <c r="M23" s="124" t="s">
        <v>213</v>
      </c>
      <c r="N23" s="124" t="s">
        <v>214</v>
      </c>
      <c r="O23" s="124" t="s">
        <v>215</v>
      </c>
      <c r="P23" s="124" t="s">
        <v>216</v>
      </c>
      <c r="Q23" s="124" t="s">
        <v>217</v>
      </c>
    </row>
    <row r="24" spans="1:19" ht="20.100000000000001" customHeight="1" x14ac:dyDescent="0.25">
      <c r="A24" s="5" t="str">
        <f>HYPERLINK("#'Input - Data quality'!A1", "Data quality")</f>
        <v>Data quality</v>
      </c>
      <c r="D24" s="25" cm="1">
        <f t="array" ref="D24">EntericMethane_Dairy_Equations.VEERG_3_3_1_1__6_MetabolisabilityOfDietVariation(D19)</f>
        <v>0.5948500000000001</v>
      </c>
      <c r="E24" s="25" cm="1">
        <f t="array" ref="E24">EntericMethane_Dairy_Equations.VEERG_3_3_1_1__6_MetabolisabilityOfDietVariation(E19)</f>
        <v>0.5948500000000001</v>
      </c>
      <c r="F24" s="25" cm="1">
        <f t="array" ref="F24">EntericMethane_Dairy_Equations.VEERG_3_3_1_1__6_MetabolisabilityOfDietVariation(F19)</f>
        <v>0.5948500000000001</v>
      </c>
      <c r="G24" s="25" cm="1">
        <f t="array" ref="G24">EntericMethane_Dairy_Equations.VEERG_3_3_1_1__6_MetabolisabilityOfDietVariation(G19)</f>
        <v>0.5948500000000001</v>
      </c>
      <c r="H24" s="25" cm="1">
        <f t="array" ref="H24">EntericMethane_Dairy_Equations.VEERG_3_3_1_1__6_MetabolisabilityOfDietVariation(H19)</f>
        <v>0.5948500000000001</v>
      </c>
      <c r="I24" s="26" t="str">
        <f>$E$12</f>
        <v>fraction</v>
      </c>
      <c r="M24" s="25" cm="1">
        <f t="array" ref="M24">EntericMethane_Dairy_Equations.VEERG_3_3_1_1__6_MetabolisabilityOfDietVariation(M19)</f>
        <v>0.5948500000000001</v>
      </c>
      <c r="N24" s="25" cm="1">
        <f t="array" ref="N24">EntericMethane_Dairy_Equations.VEERG_3_3_1_1__6_MetabolisabilityOfDietVariation(N19)</f>
        <v>0.5948500000000001</v>
      </c>
      <c r="O24" s="25" cm="1">
        <f t="array" ref="O24">EntericMethane_Dairy_Equations.VEERG_3_3_1_1__6_MetabolisabilityOfDietVariation(O19)</f>
        <v>0.5948500000000001</v>
      </c>
      <c r="P24" s="25" cm="1">
        <f t="array" ref="P24">EntericMethane_Dairy_Equations.VEERG_3_3_1_1__6_MetabolisabilityOfDietVariation(P19)</f>
        <v>0.5948500000000001</v>
      </c>
      <c r="Q24" s="25" cm="1">
        <f t="array" ref="Q24">EntericMethane_Dairy_Equations.VEERG_3_3_1_1__6_MetabolisabilityOfDietVariation(Q19)</f>
        <v>0.5948500000000001</v>
      </c>
      <c r="R24" s="26" t="str">
        <f>$E$12</f>
        <v>fraction</v>
      </c>
    </row>
    <row r="25" spans="1:19" ht="20.100000000000001" customHeight="1" x14ac:dyDescent="0.25"/>
    <row r="26" spans="1:19" ht="20.100000000000001" customHeight="1" x14ac:dyDescent="0.25"/>
    <row r="27" spans="1:19" ht="20.100000000000001" customHeight="1" x14ac:dyDescent="0.25">
      <c r="A27" s="6" t="s">
        <v>2</v>
      </c>
      <c r="C27" s="101"/>
      <c r="D27" s="101"/>
      <c r="E27" s="101"/>
      <c r="F27" s="101"/>
      <c r="G27" s="101"/>
      <c r="H27" s="101"/>
      <c r="I27" s="101"/>
      <c r="J27" s="101"/>
      <c r="L27" s="101"/>
      <c r="M27" s="101"/>
      <c r="N27" s="101"/>
      <c r="O27" s="101"/>
      <c r="P27" s="101"/>
      <c r="Q27" s="101"/>
      <c r="R27" s="101"/>
      <c r="S27" s="101"/>
    </row>
    <row r="28" spans="1:19" ht="20.100000000000001" customHeight="1" x14ac:dyDescent="0.25">
      <c r="A28" s="5" t="str">
        <f>HYPERLINK("#'5.1.1.1-2 Inorganic fert N2O'!A1", "5.1.1.1-2 Inorganic fert N2O")</f>
        <v>5.1.1.1-2 Inorganic fert N2O</v>
      </c>
      <c r="D28" s="2" t="str" cm="1">
        <f t="array" ref="D28">EntericMethane_Dairy_Equations.VEERG_3_3_1_1__5_MilkProductionFromMilkSolids_Title()</f>
        <v>Milk production converted from milk solids</v>
      </c>
    </row>
    <row r="29" spans="1:19" ht="20.100000000000001" customHeight="1" x14ac:dyDescent="0.25">
      <c r="A29" s="5" t="str">
        <f>HYPERLINK("#'5.1.1.3-4 Inorganic fert CO2'!A1", "5.1.1.3-4 Inorganic fert CO2")</f>
        <v>5.1.1.3-4 Inorganic fert CO2</v>
      </c>
      <c r="D29" s="27" t="str" cm="1">
        <f t="array" ref="D29">EntericMethane_Dairy_Equations.VEERG_3_3_1_1__5_MilkProductionFromMilkSolids_Source()</f>
        <v>VEERG 2026: 3.3.1.1, Equation (5)</v>
      </c>
    </row>
    <row r="30" spans="1:19" ht="20.100000000000001" customHeight="1" x14ac:dyDescent="0.25">
      <c r="A30" s="5" t="str">
        <f>HYPERLINK("#'5.2.1.1-2 Organic Fert N2O'!A1", "5.2.1.1-2 Organic fert N2O")</f>
        <v>5.2.1.1-2 Organic fert N2O</v>
      </c>
      <c r="D30" s="3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A31" s="5" t="str">
        <f>HYPERLINK("#'5.3.1.1-2 Lime CO2'!A1", "5.3.1.1-2 Lime CO2")</f>
        <v>5.3.1.1-2 Lime CO2</v>
      </c>
      <c r="D31" s="118" t="s">
        <v>262</v>
      </c>
      <c r="E31" s="118" t="str" cm="1">
        <f t="array" aca="1" ref="E31" ca="1">Common_InputFunctions.Utility_DisplayFunctionName(D50)</f>
        <v>=EntericMethane_Dairy_Equations.VEERG_3_3_1_1__5_MilkProductionFromMilkSolids</v>
      </c>
    </row>
    <row r="32" spans="1:19" ht="20.100000000000001" customHeight="1" x14ac:dyDescent="0.25">
      <c r="A32" s="5" t="str">
        <f>HYPERLINK("#'5.4.1.1-4 Atmos deposition'!A1", "5.4.1.1-4 Atmos. deposition")</f>
        <v>5.4.1.1-4 Atmos. deposition</v>
      </c>
    </row>
    <row r="33" spans="1:18" ht="20.100000000000001" customHeight="1" x14ac:dyDescent="0.25">
      <c r="A33" s="5" t="str">
        <f>HYPERLINK("#'5.5.1.1-2 Leaching and runoff'!A1", "5.5.1.1-2 Leaching &amp; runoff")</f>
        <v>5.5.1.1-2 Leaching &amp; runoff</v>
      </c>
    </row>
    <row r="34" spans="1:18" ht="20.100000000000001" customHeight="1" x14ac:dyDescent="0.25">
      <c r="A34" s="5" t="str">
        <f>HYPERLINK("#'6.2.1.1-2 Pasture residue N2O'!A1", "6.2.1.1-2 Pasture residue N2O")</f>
        <v>6.2.1.1-2 Pasture residue N2O</v>
      </c>
      <c r="D34" s="87" t="s">
        <v>263</v>
      </c>
      <c r="E34" s="1" t="str" cm="1">
        <f t="array" ref="E34">EntericMethane_Dairy_Equations.VEERG_3_3_1_1__5_MilkProductionFromMilkSolids_Variable()</f>
        <v>MP_j</v>
      </c>
    </row>
    <row r="35" spans="1:18" ht="20.100000000000001" customHeight="1" x14ac:dyDescent="0.25">
      <c r="A35" s="5" t="str">
        <f>HYPERLINK("#'6.3.1.1-2 Leach runoff pasture'!A1", "6.3.1.1-2 Leach &amp; runoff (pasture)")</f>
        <v>6.3.1.1-2 Leach &amp; runoff (pasture)</v>
      </c>
      <c r="D35" s="87" t="s">
        <v>122</v>
      </c>
      <c r="E35" s="15" t="str" cm="1">
        <f t="array" ref="E35">EntericMethane_Dairy_Equations.VEERG_3_3_1_1__5_MilkProductionFromMilkSolids_Unit()</f>
        <v>L/head/day</v>
      </c>
    </row>
    <row r="36" spans="1:18" ht="20.100000000000001" customHeight="1" x14ac:dyDescent="0.25">
      <c r="A36" s="5" t="str">
        <f>HYPERLINK("#'8.1.1.1-2 Transport fuel'!A1", "8.1.1.1-2 Transport fuel")</f>
        <v>8.1.1.1-2 Transport fuel</v>
      </c>
    </row>
    <row r="37" spans="1:18" ht="20.100000000000001" customHeight="1" x14ac:dyDescent="0.25">
      <c r="A37" s="5" t="str">
        <f>HYPERLINK("#'8.2.1.1-2 Stationary fuel'!A1", "8.2.1.1-2 Stationary fuel")</f>
        <v>8.2.1.1-2 Stationary fuel</v>
      </c>
      <c r="D37" s="120" t="str" cm="1">
        <f t="array" ref="D37:E40">_xlfn.CHOOSECOLS(EntericMethane_Dairy_Equations.VEERG_3_3_1_1__5_MilkProductionFromMilkSolids_Arguments(),1,2)</f>
        <v>MPU</v>
      </c>
      <c r="E37" s="125" t="str">
        <v>input milk production unit</v>
      </c>
      <c r="F37" s="126"/>
      <c r="G37" s="120" t="str" cm="1">
        <f t="array" ref="G37:H40">_xlfn.CHOOSECOLS(EntericMethane_Dairy_Equations.VEERG_3_3_1_1__5_MilkProductionFromMilkSolids_Arguments(),3,4)</f>
        <v/>
      </c>
      <c r="H37" s="121" t="str">
        <v>Input</v>
      </c>
      <c r="I37" s="120" t="str">
        <f>X_Cell_Dairy_MilkProductionUnit</f>
        <v>Litres of milk</v>
      </c>
      <c r="M37" s="120" t="str" cm="1">
        <f t="array" ref="M37:N40">_xlfn.CHOOSECOLS(EntericMethane_Dairy_Equations.VEERG_3_3_1_1__5_MilkProductionFromMilkSolids_Arguments_Method2(),1,2)</f>
        <v>MPU</v>
      </c>
      <c r="N37" s="125" t="str">
        <v>milk production unit</v>
      </c>
      <c r="O37" s="126"/>
      <c r="P37" s="120" t="str" cm="1">
        <f t="array" ref="P37:Q40">_xlfn.CHOOSECOLS(EntericMethane_Dairy_Equations.VEERG_3_3_1_1__5_MilkProductionFromMilkSolids_Arguments_Method2(),3,4)</f>
        <v/>
      </c>
      <c r="Q37" s="121" t="str">
        <v>Input</v>
      </c>
      <c r="R37" s="120"/>
    </row>
    <row r="38" spans="1:18" ht="20.100000000000001" customHeight="1" x14ac:dyDescent="0.25">
      <c r="A38" s="5" t="str">
        <f>HYPERLINK("#'14.1.1-2 Purchased electricity'!A1", "14.1.1-2 Purchased electricity")</f>
        <v>14.1.1-2 Purchased electricity</v>
      </c>
      <c r="D38" s="120" t="str">
        <v>MS_j</v>
      </c>
      <c r="E38" s="125" t="str">
        <v>daily production of milk solids</v>
      </c>
      <c r="F38" s="126"/>
      <c r="G38" s="120" t="str">
        <v>kg MS/head/day</v>
      </c>
      <c r="H38" s="121" t="str">
        <v>Input</v>
      </c>
      <c r="I38" s="127" t="str" cm="1">
        <f t="array" aca="1" ref="I38" ca="1">HYPERLINK(Common_InputFunctions.Utility_SourceHyperlink($D$42),$D$42)</f>
        <v>M1_Table_MS_j</v>
      </c>
      <c r="M38" s="120" t="str">
        <v>MS_j</v>
      </c>
      <c r="N38" s="125" t="str">
        <v>daily production of milk solids</v>
      </c>
      <c r="O38" s="126"/>
      <c r="P38" s="120" t="str">
        <v>kg MS/head/day</v>
      </c>
      <c r="Q38" s="121" t="str">
        <v>Input</v>
      </c>
      <c r="R38" s="127"/>
    </row>
    <row r="39" spans="1:18" ht="20.100000000000001" customHeight="1" x14ac:dyDescent="0.25">
      <c r="A39" s="5" t="str">
        <f>HYPERLINK("#'15 Scope 3'!A1", "15 Scope 3")</f>
        <v>15 Scope 3</v>
      </c>
      <c r="D39" s="120" t="str">
        <v>FC_j</v>
      </c>
      <c r="E39" s="125" t="str">
        <v>fat content in fat and protein corrected milk</v>
      </c>
      <c r="F39" s="126"/>
      <c r="G39" s="120" t="str">
        <v>per cent</v>
      </c>
      <c r="H39" s="121" t="str">
        <v>Input</v>
      </c>
      <c r="I39" s="120">
        <f>INDEX(X_Table_Dairy_MilkSolidAttributes,2,2)*100</f>
        <v>4</v>
      </c>
      <c r="M39" s="120" t="str">
        <v>FC_j</v>
      </c>
      <c r="N39" s="125" t="str">
        <v>fat content in fat and protein corrected milk</v>
      </c>
      <c r="O39" s="126"/>
      <c r="P39" s="120" t="str">
        <v>per cent</v>
      </c>
      <c r="Q39" s="121" t="str">
        <v>Input</v>
      </c>
      <c r="R39" s="120">
        <f>INDEX(X_Table_Dairy_MilkSolidAttributes,2,3)*100</f>
        <v>4</v>
      </c>
    </row>
    <row r="40" spans="1:18" ht="20.100000000000001" customHeight="1" x14ac:dyDescent="0.25">
      <c r="A40" s="5" t="str">
        <f>HYPERLINK("#'Calcs - Manure sent off-site'!A1", "Calcs - Manure sent off-site")</f>
        <v>Calcs - Manure sent off-site</v>
      </c>
      <c r="D40" s="120" t="str">
        <v>PC_j</v>
      </c>
      <c r="E40" s="120" t="str">
        <v>protein content in fat and protein corrected milk</v>
      </c>
      <c r="F40" s="120"/>
      <c r="G40" s="120" t="str">
        <v>per cent</v>
      </c>
      <c r="H40" s="121" t="str">
        <v>Input</v>
      </c>
      <c r="I40" s="120">
        <f>INDEX(X_Table_Dairy_MilkSolidAttributes,3,2)*100</f>
        <v>3.3000000000000003</v>
      </c>
      <c r="M40" s="120" t="str">
        <v>PC_j</v>
      </c>
      <c r="N40" s="120" t="str">
        <v>protein content in fat and protein corrected milk</v>
      </c>
      <c r="O40" s="120"/>
      <c r="P40" s="120" t="str">
        <v>per cent</v>
      </c>
      <c r="Q40" s="121" t="str">
        <v>Input</v>
      </c>
      <c r="R40" s="120">
        <f>INDEX(X_Table_Dairy_MilkSolidAttributes,3,3)*100</f>
        <v>3.3000000000000003</v>
      </c>
    </row>
    <row r="41" spans="1:18" ht="20.100000000000001" customHeight="1" x14ac:dyDescent="0.25">
      <c r="A41" s="5" t="str">
        <f>HYPERLINK("#'4.3.1.1-2 Methane'!A1", "4.3.1.1-2 Methane")</f>
        <v>4.3.1.1-2 Methane</v>
      </c>
    </row>
    <row r="42" spans="1:18" ht="20.100000000000001" customHeight="1" x14ac:dyDescent="0.25">
      <c r="A42" s="5" t="str">
        <f>HYPERLINK("#'4.3.1.3-4 Direct N20'!A1", "4.3.1.3-4 Direct N20")</f>
        <v>4.3.1.3-4 Direct N20</v>
      </c>
      <c r="D42" s="122" t="s">
        <v>273</v>
      </c>
    </row>
    <row r="43" spans="1:18" ht="20.100000000000001" customHeight="1" x14ac:dyDescent="0.25">
      <c r="A43" s="5" t="str">
        <f>HYPERLINK("#'4.3.1.5 Atmos deposition'!A1", "4.3.1.5 Atmos deposition")</f>
        <v>4.3.1.5 Atmos deposition</v>
      </c>
      <c r="D43" s="123" t="s">
        <v>274</v>
      </c>
    </row>
    <row r="44" spans="1:18" ht="20.100000000000001" customHeight="1" x14ac:dyDescent="0.25">
      <c r="A44" s="5" t="str">
        <f>HYPERLINK("#'4.3.1.6-7 Leaching and runoff'!A1", "4.3.1.6-7 Leaching and runoff")</f>
        <v>4.3.1.6-7 Leaching and runoff</v>
      </c>
      <c r="D44" s="94" t="s">
        <v>213</v>
      </c>
      <c r="E44" s="94" t="s">
        <v>214</v>
      </c>
      <c r="F44" s="94" t="s">
        <v>215</v>
      </c>
      <c r="G44" s="94" t="s">
        <v>216</v>
      </c>
      <c r="H44" s="94" t="s">
        <v>217</v>
      </c>
    </row>
    <row r="45" spans="1:18" ht="20.100000000000001" customHeight="1" x14ac:dyDescent="0.25">
      <c r="A45" s="5" t="str">
        <f>HYPERLINK("#'4.3.1.8 Manure applied to soils'!A1", "4.3.1.8 Manure applied to soils")</f>
        <v>4.3.1.8 Manure applied to soils</v>
      </c>
      <c r="D45" s="25">
        <f>IF($I$37="Milk solids", X_Cell_Dairy_MilkProductionAmount, 0)</f>
        <v>0</v>
      </c>
      <c r="E45" s="25">
        <v>0</v>
      </c>
      <c r="F45" s="25">
        <v>0</v>
      </c>
      <c r="G45" s="25">
        <v>0</v>
      </c>
      <c r="H45" s="25">
        <v>0</v>
      </c>
      <c r="I45" s="26" t="s">
        <v>279</v>
      </c>
    </row>
    <row r="46" spans="1:18" ht="20.100000000000001" customHeight="1" x14ac:dyDescent="0.25">
      <c r="A46" s="5" t="str">
        <f>HYPERLINK("#'4.3.1.9 Soil direct N2O'!A1", "4.3.1.9 Soil direct N2O")</f>
        <v>4.3.1.9 Soil direct N2O</v>
      </c>
    </row>
    <row r="47" spans="1:18" ht="20.100000000000001" customHeight="1" x14ac:dyDescent="0.25">
      <c r="A47" s="5" t="str">
        <f>HYPERLINK("#'4.3.1.10-11 Soil Atmos Dep'!A1", "4.3.1.10-11 Soil Atmos Dep")</f>
        <v>4.3.1.10-11 Soil Atmos Dep</v>
      </c>
      <c r="D47" s="122" t="s">
        <v>275</v>
      </c>
      <c r="M47" s="122" t="s">
        <v>276</v>
      </c>
    </row>
    <row r="48" spans="1:18" ht="20.100000000000001" customHeight="1" x14ac:dyDescent="0.25">
      <c r="A48" s="5" t="str">
        <f>HYPERLINK("#'4.3.1.12-13 Soil leach runoff'!A1", "4.3.1.12-13 Soil leach runoff")</f>
        <v>4.3.1.12-13 Soil leach runoff</v>
      </c>
      <c r="D48" s="123" t="s">
        <v>277</v>
      </c>
      <c r="M48" s="123" t="s">
        <v>278</v>
      </c>
    </row>
    <row r="49" spans="1:19" ht="20.100000000000001" customHeight="1" x14ac:dyDescent="0.25">
      <c r="A49" s="119" t="str">
        <f>HYPERLINK("#'3.3.1.1-2 Enteric Methane'!A1", "3.3.1.1-2 Enteric Methane")</f>
        <v>3.3.1.1-2 Enteric Methane</v>
      </c>
      <c r="D49" s="124" t="s">
        <v>213</v>
      </c>
      <c r="E49" s="124" t="s">
        <v>214</v>
      </c>
      <c r="F49" s="124" t="s">
        <v>215</v>
      </c>
      <c r="G49" s="124" t="s">
        <v>216</v>
      </c>
      <c r="H49" s="124" t="s">
        <v>217</v>
      </c>
      <c r="M49" s="124" t="s">
        <v>213</v>
      </c>
      <c r="N49" s="124" t="s">
        <v>214</v>
      </c>
      <c r="O49" s="124" t="s">
        <v>215</v>
      </c>
      <c r="P49" s="124" t="s">
        <v>216</v>
      </c>
      <c r="Q49" s="124" t="s">
        <v>217</v>
      </c>
    </row>
    <row r="50" spans="1:19" ht="20.100000000000001" customHeight="1" x14ac:dyDescent="0.25">
      <c r="A50" s="5" t="str">
        <f>HYPERLINK("#'10.1.1-2 Solid waste treatment'!A1", "10.1.1-2 Solid waste treatment")</f>
        <v>10.1.1-2 Solid waste treatment</v>
      </c>
      <c r="D50" s="25" cm="1">
        <f t="array" ref="D50">EntericMethane_Dairy_Equations.VEERG_3_3_1_1__5_MilkProductionFromMilkSolids(D45,I39,I40)</f>
        <v>0</v>
      </c>
      <c r="E50" s="25">
        <v>0</v>
      </c>
      <c r="F50" s="25">
        <v>0</v>
      </c>
      <c r="G50" s="25">
        <v>0</v>
      </c>
      <c r="H50" s="25">
        <v>0</v>
      </c>
      <c r="I50" s="26" t="s">
        <v>279</v>
      </c>
      <c r="M50" s="25" cm="1">
        <f t="array" ref="M50">EntericMethane_Dairy_Equations.VEERG_3_3_1_1__5_MilkProductionFromMilkSolids(D45,R39,R40)</f>
        <v>0</v>
      </c>
      <c r="N50" s="25">
        <v>0</v>
      </c>
      <c r="O50" s="25">
        <v>0</v>
      </c>
      <c r="P50" s="25">
        <v>0</v>
      </c>
      <c r="Q50" s="25">
        <v>0</v>
      </c>
      <c r="R50" s="26" t="s">
        <v>279</v>
      </c>
    </row>
    <row r="51" spans="1:19" ht="20.100000000000001" customHeight="1" x14ac:dyDescent="0.25"/>
    <row r="52" spans="1:19" ht="20.100000000000001" customHeight="1" x14ac:dyDescent="0.25"/>
    <row r="53" spans="1:19" ht="20.100000000000001" customHeight="1" x14ac:dyDescent="0.25">
      <c r="A53" s="100" t="s">
        <v>1</v>
      </c>
      <c r="C53" s="101"/>
      <c r="D53" s="101"/>
      <c r="E53" s="101"/>
      <c r="F53" s="101"/>
      <c r="G53" s="101"/>
      <c r="H53" s="101"/>
      <c r="I53" s="101"/>
      <c r="J53" s="101"/>
      <c r="L53" s="101"/>
      <c r="M53" s="101"/>
      <c r="N53" s="101"/>
      <c r="O53" s="101"/>
      <c r="P53" s="101"/>
      <c r="Q53" s="101"/>
      <c r="R53" s="101"/>
      <c r="S53" s="101"/>
    </row>
    <row r="54" spans="1:19" ht="20.100000000000001" customHeight="1" x14ac:dyDescent="0.25">
      <c r="A54" s="5" t="str">
        <f>HYPERLINK("#'Constants - Dairy'!A1", "Constants - Dairy")</f>
        <v>Constants - Dairy</v>
      </c>
      <c r="D54" s="2" t="str" cm="1">
        <f t="array" ref="D54">EntericMethane_Dairy_Equations.VEERG_3_3_1_1__4_AdditionalIntakeForMilkProduction_Title()</f>
        <v>Additional intake required for milk production</v>
      </c>
    </row>
    <row r="55" spans="1:19" ht="20.100000000000001" customHeight="1" x14ac:dyDescent="0.25">
      <c r="A55" s="5" t="str">
        <f>HYPERLINK("#'Constants - Ag Residue'!A1", "Constants - Ag residue")</f>
        <v>Constants - Ag residue</v>
      </c>
      <c r="D55" s="27" t="str" cm="1">
        <f t="array" ref="D55">EntericMethane_Dairy_Equations.VEERG_3_3_1_1__4_AdditionalIntakeForMilkProduction_Source()</f>
        <v>VEERG 2026: 3.3.1.1, Equation (4)</v>
      </c>
    </row>
    <row r="56" spans="1:19" ht="20.100000000000001" customHeight="1" x14ac:dyDescent="0.25">
      <c r="A56" s="5" t="str">
        <f>HYPERLINK("#'Constants - Common Livestock'!A1", "Constants - Common Livestock")</f>
        <v>Constants - Common Livestock</v>
      </c>
      <c r="D56" s="35" t="str" cm="1">
        <f t="array" ref="D56">EntericMethane_Dairy_Equations.VEERG_3_3_1_1__4_AdditionalIntakeForMilkProduction_Variation()</f>
        <v>VARATION ON SOURCE: Added milk production unit variable to allow for use of either milk solids or litres of milk.</v>
      </c>
    </row>
    <row r="57" spans="1:19" ht="20.100000000000001" customHeight="1" x14ac:dyDescent="0.25">
      <c r="A57" s="5" t="str">
        <f>HYPERLINK("#'Constants - Electricity'!A1", "Constants - Electricity")</f>
        <v>Constants - Electricity</v>
      </c>
      <c r="D57" s="118" t="s">
        <v>262</v>
      </c>
      <c r="E57" s="118" t="str" cm="1">
        <f t="array" aca="1" ref="E57" ca="1">Common_InputFunctions.Utility_DisplayFunctionName(D80)</f>
        <v>=EntericMethane_Dairy_Equations.VEERG_3_3_1_1__4_AdditionalIntakeForMilkProduction</v>
      </c>
    </row>
    <row r="58" spans="1:19" ht="20.100000000000001" customHeight="1" x14ac:dyDescent="0.25">
      <c r="A58" s="5" t="str">
        <f>HYPERLINK("#'Constants - Fertiliser'!A1", "Constants - Fertiliser")</f>
        <v>Constants - Fertiliser</v>
      </c>
      <c r="D58" s="2"/>
    </row>
    <row r="59" spans="1:19" ht="20.100000000000001" customHeight="1" x14ac:dyDescent="0.25">
      <c r="A59" s="5" t="str">
        <f>HYPERLINK("#'Constants - Fuel'!A1", "Constants - Fuel")</f>
        <v>Constants - Fuel</v>
      </c>
    </row>
    <row r="60" spans="1:19" ht="20.100000000000001" customHeight="1" x14ac:dyDescent="0.25">
      <c r="A60" s="5" t="str">
        <f>HYPERLINK("#'Constants - Scope 3'!A1", "Constants - Scope 3")</f>
        <v>Constants - Scope 3</v>
      </c>
    </row>
    <row r="61" spans="1:19" ht="20.100000000000001" customHeight="1" x14ac:dyDescent="0.25">
      <c r="A61" s="5" t="str">
        <f>HYPERLINK("#'Constants - Common'!A1", "Constants - Common")</f>
        <v>Constants - Common</v>
      </c>
      <c r="D61" s="87" t="s">
        <v>263</v>
      </c>
      <c r="E61" s="1" t="str" cm="1">
        <f t="array" ref="E61">EntericMethane_Dairy_Equations.VEERG_3_3_1_1__4_AdditionalIntakeForMilkProduction_Variable()</f>
        <v>MI_j</v>
      </c>
    </row>
    <row r="62" spans="1:19" ht="20.100000000000001" customHeight="1" x14ac:dyDescent="0.25">
      <c r="A62" s="5" t="str">
        <f>HYPERLINK("#'Acknowledgements'!A1", "Acknowledgements")</f>
        <v>Acknowledgements</v>
      </c>
      <c r="D62" s="87" t="s">
        <v>122</v>
      </c>
      <c r="E62" s="15" t="str" cm="1">
        <f t="array" ref="E62">EntericMethane_Dairy_Equations.VEERG_3_3_1_1__4_AdditionalIntakeForMilkProduction_Unit()</f>
        <v>kg DM/head/day</v>
      </c>
    </row>
    <row r="63" spans="1:19" ht="20.100000000000001" customHeight="1" x14ac:dyDescent="0.25">
      <c r="A63" s="5" t="str">
        <f>HYPERLINK("#'Constants - Solid Waste'!A1", "Constants - Solid Waste")</f>
        <v>Constants - Solid Waste</v>
      </c>
    </row>
    <row r="64" spans="1:19" ht="20.100000000000001" customHeight="1" x14ac:dyDescent="0.25">
      <c r="D64" s="120" t="str" cm="1">
        <f t="array" ref="D64:E70">_xlfn.CHOOSECOLS(EntericMethane_Dairy_Equations.VEERG_3_3_1_1__4_AdditionalIntakeForMilkProduction_Arguments(), 1,2)</f>
        <v>MPU</v>
      </c>
      <c r="E64" s="125" t="str">
        <v>input milk production unit</v>
      </c>
      <c r="F64" s="126"/>
      <c r="G64" s="120" t="str" cm="1">
        <f t="array" ref="G64:H70">_xlfn.CHOOSECOLS(EntericMethane_Dairy_Equations.VEERG_3_3_1_1__4_AdditionalIntakeForMilkProduction_Arguments(), 3,4)</f>
        <v/>
      </c>
      <c r="H64" s="121" t="str">
        <v>Input</v>
      </c>
      <c r="I64" s="120" t="str">
        <f>X_Cell_Dairy_MilkProductionUnit</f>
        <v>Litres of milk</v>
      </c>
    </row>
    <row r="65" spans="4:18" ht="20.100000000000001" customHeight="1" x14ac:dyDescent="0.25">
      <c r="D65" s="120" t="str">
        <v>MP_j</v>
      </c>
      <c r="E65" s="125" t="str">
        <v>milk production (if input as litres of milk)</v>
      </c>
      <c r="F65" s="126"/>
      <c r="G65" s="120" t="str">
        <v>L/head/day</v>
      </c>
      <c r="H65" s="121" t="str">
        <v>Input</v>
      </c>
      <c r="I65" s="127" t="str" cm="1">
        <f t="array" aca="1" ref="I65" ca="1">HYPERLINK(Common_InputFunctions.Utility_SourceHyperlink($D$72), $D$72)</f>
        <v>Table_MP_j</v>
      </c>
    </row>
    <row r="66" spans="4:18" ht="20.100000000000001" customHeight="1" x14ac:dyDescent="0.25">
      <c r="D66" s="120" t="str">
        <v>MP_j</v>
      </c>
      <c r="E66" s="125" t="str">
        <v>milk production (if input as milk solids)</v>
      </c>
      <c r="F66" s="126"/>
      <c r="G66" s="120" t="str">
        <v>L/head/day</v>
      </c>
      <c r="H66" s="128" t="str">
        <v>Calculated from 3.3.1.1 (5)</v>
      </c>
      <c r="I66" s="127" t="str" cm="1">
        <f t="array" aca="1" ref="I66" ca="1">HYPERLINK(Common_InputFunctions.Utility_SourceHyperlink($D$47),$D$47)</f>
        <v>M1_Table_MP_j_from_solids</v>
      </c>
    </row>
    <row r="67" spans="4:18" ht="20.100000000000001" customHeight="1" x14ac:dyDescent="0.25">
      <c r="D67" s="120" t="str">
        <v>NE</v>
      </c>
      <c r="E67" s="125" t="str">
        <v>net energy</v>
      </c>
      <c r="F67" s="126"/>
      <c r="G67" s="120" t="str">
        <v>MJ net energy/kg milk</v>
      </c>
      <c r="H67" s="128" t="str">
        <v>Constant</v>
      </c>
      <c r="I67" s="120">
        <f>SourceData_Dairy_NetEnergy_Data</f>
        <v>3.0539999999999998</v>
      </c>
    </row>
    <row r="68" spans="4:18" ht="20.100000000000001" customHeight="1" x14ac:dyDescent="0.25">
      <c r="D68" s="120" t="str">
        <v>GEC</v>
      </c>
      <c r="E68" s="125" t="str">
        <v>gross energy content</v>
      </c>
      <c r="F68" s="126"/>
      <c r="G68" s="120" t="str">
        <v>MJ/kgDM</v>
      </c>
      <c r="H68" s="128" t="str">
        <v>Constant</v>
      </c>
      <c r="I68" s="120">
        <f>SourceData_Dairy_GrossEnergyContent_Data</f>
        <v>18.399999999999999</v>
      </c>
    </row>
    <row r="69" spans="4:18" ht="20.100000000000001" customHeight="1" x14ac:dyDescent="0.25">
      <c r="D69" s="120" t="str">
        <v>k</v>
      </c>
      <c r="E69" s="125" t="str">
        <v>efficiency of metabolizable energy use for milk production</v>
      </c>
      <c r="F69" s="126"/>
      <c r="G69" s="120" t="str">
        <v>fraction</v>
      </c>
      <c r="H69" s="128" t="str">
        <v>Constant</v>
      </c>
      <c r="I69" s="120">
        <f>SourceData_Dairy_EfficiencyOfUseOfMetabolizableEnergy_Data</f>
        <v>0.6</v>
      </c>
    </row>
    <row r="70" spans="4:18" ht="20.100000000000001" customHeight="1" x14ac:dyDescent="0.25">
      <c r="D70" s="120" t="str">
        <v>qm_j</v>
      </c>
      <c r="E70" s="125" t="str">
        <v>metabolisability of the diet</v>
      </c>
      <c r="F70" s="126"/>
      <c r="G70" s="120" t="str">
        <v>fraction</v>
      </c>
      <c r="H70" s="128" t="str">
        <v>Calculated from 3.3.1.1 (6)</v>
      </c>
      <c r="I70" s="127" t="str" cm="1">
        <f t="array" aca="1" ref="I70" ca="1">HYPERLINK(Common_InputFunctions.Utility_SourceHyperlink($D$21), $D$21)</f>
        <v>M1_Table_qm_j</v>
      </c>
    </row>
    <row r="71" spans="4:18" ht="20.100000000000001" customHeight="1" x14ac:dyDescent="0.25"/>
    <row r="72" spans="4:18" ht="20.100000000000001" customHeight="1" x14ac:dyDescent="0.25">
      <c r="D72" s="122" t="s">
        <v>280</v>
      </c>
    </row>
    <row r="73" spans="4:18" ht="20.100000000000001" customHeight="1" x14ac:dyDescent="0.25">
      <c r="D73" s="123" t="s">
        <v>231</v>
      </c>
    </row>
    <row r="74" spans="4:18" ht="20.100000000000001" customHeight="1" x14ac:dyDescent="0.25">
      <c r="D74" s="94" t="s">
        <v>213</v>
      </c>
      <c r="E74" s="94" t="s">
        <v>214</v>
      </c>
      <c r="F74" s="94" t="s">
        <v>215</v>
      </c>
      <c r="G74" s="94" t="s">
        <v>216</v>
      </c>
      <c r="H74" s="94" t="s">
        <v>217</v>
      </c>
    </row>
    <row r="75" spans="4:18" ht="20.100000000000001" customHeight="1" x14ac:dyDescent="0.25">
      <c r="D75" s="25">
        <f>IF(I64="Milk solids", 0, X_Cell_Dairy_MilkProductionAmount)</f>
        <v>20</v>
      </c>
      <c r="E75" s="25">
        <v>0</v>
      </c>
      <c r="F75" s="25">
        <v>0</v>
      </c>
      <c r="G75" s="25">
        <v>0</v>
      </c>
      <c r="H75" s="25">
        <v>0</v>
      </c>
      <c r="I75" s="26" t="s">
        <v>279</v>
      </c>
    </row>
    <row r="76" spans="4:18" ht="20.100000000000001" customHeight="1" x14ac:dyDescent="0.25"/>
    <row r="77" spans="4:18" ht="20.100000000000001" customHeight="1" x14ac:dyDescent="0.25">
      <c r="D77" s="122" t="s">
        <v>281</v>
      </c>
      <c r="M77" s="122" t="s">
        <v>282</v>
      </c>
    </row>
    <row r="78" spans="4:18" ht="20.100000000000001" customHeight="1" x14ac:dyDescent="0.25">
      <c r="D78" s="123" t="s">
        <v>283</v>
      </c>
      <c r="M78" s="123" t="s">
        <v>284</v>
      </c>
    </row>
    <row r="79" spans="4:18" ht="20.100000000000001" customHeight="1" x14ac:dyDescent="0.25">
      <c r="D79" s="124" t="s">
        <v>213</v>
      </c>
      <c r="E79" s="124" t="s">
        <v>214</v>
      </c>
      <c r="F79" s="124" t="s">
        <v>215</v>
      </c>
      <c r="G79" s="124" t="s">
        <v>216</v>
      </c>
      <c r="H79" s="124" t="s">
        <v>217</v>
      </c>
      <c r="M79" s="124" t="s">
        <v>213</v>
      </c>
      <c r="N79" s="124" t="s">
        <v>214</v>
      </c>
      <c r="O79" s="124" t="s">
        <v>215</v>
      </c>
      <c r="P79" s="124" t="s">
        <v>216</v>
      </c>
      <c r="Q79" s="124" t="s">
        <v>217</v>
      </c>
    </row>
    <row r="80" spans="4:18" ht="20.100000000000001" customHeight="1" x14ac:dyDescent="0.25">
      <c r="D80" s="25" cm="1">
        <f t="array" ref="D80">EntericMethane_Dairy_Equations.VEERG_3_3_1_1__4_AdditionalIntakeForMilkProduction(IF(I64="Milk solids", D50, D75),$I$67,$I$68,$I$69,D24)</f>
        <v>9.5798721636071917</v>
      </c>
      <c r="E80" s="25" cm="1">
        <f t="array" ref="E80">EntericMethane_Dairy_Equations.VEERG_3_3_1_1__4_AdditionalIntakeForMilkProduction(E75, $I$67,$I$68,$I$69,E24)</f>
        <v>0</v>
      </c>
      <c r="F80" s="25" cm="1">
        <f t="array" ref="F80">EntericMethane_Dairy_Equations.VEERG_3_3_1_1__4_AdditionalIntakeForMilkProduction(F75, $I$67,$I$68,$I$69,F24)</f>
        <v>0</v>
      </c>
      <c r="G80" s="25" cm="1">
        <f t="array" ref="G80">EntericMethane_Dairy_Equations.VEERG_3_3_1_1__4_AdditionalIntakeForMilkProduction(G75, $I$67,$I$68,$I$69,G24)</f>
        <v>0</v>
      </c>
      <c r="H80" s="25" cm="1">
        <f t="array" ref="H80">EntericMethane_Dairy_Equations.VEERG_3_3_1_1__4_AdditionalIntakeForMilkProduction(H75, $I$67,$I$68,$I$69,H24)</f>
        <v>0</v>
      </c>
      <c r="I80" s="26" t="str">
        <f>$E$62</f>
        <v>kg DM/head/day</v>
      </c>
      <c r="M80" s="25" cm="1">
        <f t="array" ref="M80">EntericMethane_Dairy_Equations.VEERG_3_3_1_1__4_AdditionalIntakeForMilkProduction(IF(I64="Milk solids", M50, D75),$I$67,$I$68,$I$69,D24)</f>
        <v>9.5798721636071917</v>
      </c>
      <c r="N80" s="25" cm="1">
        <f t="array" ref="N80">EntericMethane_Dairy_Equations.VEERG_3_3_1_1__4_AdditionalIntakeForMilkProduction(E75, $I$67,$I$68,$I$69,N24)</f>
        <v>0</v>
      </c>
      <c r="O80" s="25" cm="1">
        <f t="array" ref="O80">EntericMethane_Dairy_Equations.VEERG_3_3_1_1__4_AdditionalIntakeForMilkProduction(F75, $I$67,$I$68,$I$69,O24)</f>
        <v>0</v>
      </c>
      <c r="P80" s="25" cm="1">
        <f t="array" ref="P80">EntericMethane_Dairy_Equations.VEERG_3_3_1_1__4_AdditionalIntakeForMilkProduction(G75, $I$67,$I$68,$I$69,P24)</f>
        <v>0</v>
      </c>
      <c r="Q80" s="25" cm="1">
        <f t="array" ref="Q80">EntericMethane_Dairy_Equations.VEERG_3_3_1_1__4_AdditionalIntakeForMilkProduction(H75, $I$67,$I$68,$I$69,Q24)</f>
        <v>0</v>
      </c>
      <c r="R80" s="26" t="str">
        <f>$E$62</f>
        <v>kg DM/head/day</v>
      </c>
    </row>
    <row r="81" spans="3:19" ht="20.100000000000001" customHeight="1" x14ac:dyDescent="0.25"/>
    <row r="82" spans="3:19" ht="20.100000000000001" customHeight="1" x14ac:dyDescent="0.25"/>
    <row r="83" spans="3:19" ht="20.100000000000001" customHeight="1" x14ac:dyDescent="0.25">
      <c r="C83" s="101"/>
      <c r="D83" s="101"/>
      <c r="E83" s="101"/>
      <c r="F83" s="101"/>
      <c r="G83" s="101"/>
      <c r="H83" s="101"/>
      <c r="I83" s="101"/>
      <c r="J83" s="101"/>
      <c r="L83" s="101"/>
      <c r="M83" s="101"/>
      <c r="N83" s="101"/>
      <c r="O83" s="101"/>
      <c r="P83" s="101"/>
      <c r="Q83" s="101"/>
      <c r="R83" s="101"/>
      <c r="S83" s="101"/>
    </row>
    <row r="84" spans="3:19" ht="20.100000000000001" customHeight="1" x14ac:dyDescent="0.25">
      <c r="D84" s="2" t="str" cm="1">
        <f t="array" ref="D84">EntericMethane_Dairy_Equations.VEERG_3_3_1_1__3_DryMatterFeedIntake_Title()</f>
        <v>Feed intake</v>
      </c>
    </row>
    <row r="85" spans="3:19" ht="20.100000000000001" customHeight="1" x14ac:dyDescent="0.25">
      <c r="D85" s="27" t="str" cm="1">
        <f t="array" ref="D85">EntericMethane_Dairy_Equations.VEERG_3_3_1_1__3_DryMatterFeedIntake_Source()</f>
        <v>VEERG 2026: 3.3.1.1, Equation (3)</v>
      </c>
    </row>
    <row r="86" spans="3:19" ht="20.100000000000001" customHeight="1" x14ac:dyDescent="0.25">
      <c r="D86" s="118" t="s">
        <v>262</v>
      </c>
      <c r="E86" s="118"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87" t="s">
        <v>263</v>
      </c>
      <c r="E89" s="1" t="str" cm="1">
        <f t="array" ref="E89">EntericMethane_Dairy_Equations.VEERG_3_3_1_1__3_DryMatterFeedIntake_Variable()</f>
        <v>I_j</v>
      </c>
    </row>
    <row r="90" spans="3:19" ht="20.100000000000001" customHeight="1" x14ac:dyDescent="0.25">
      <c r="D90" s="87" t="s">
        <v>122</v>
      </c>
      <c r="E90" s="15" t="str" cm="1">
        <f t="array" ref="E90">EntericMethane_Dairy_Equations.VEERG_3_3_1_1__3_DryMatterFeedIntake_Unit()</f>
        <v>kg DM/head/day</v>
      </c>
    </row>
    <row r="91" spans="3:19" ht="20.100000000000001" customHeight="1" x14ac:dyDescent="0.25"/>
    <row r="92" spans="3:19" ht="20.100000000000001" customHeight="1" x14ac:dyDescent="0.25">
      <c r="D92" s="120" t="str" cm="1">
        <f t="array" ref="D92:E95">_xlfn.CHOOSECOLS(EntericMethane_Dairy_Equations.VEERG_3_3_1_1__3_DryMatterFeedIntake_Arguments(),1,2)</f>
        <v>W_j</v>
      </c>
      <c r="E92" s="125" t="str">
        <v>liveweight</v>
      </c>
      <c r="F92" s="126"/>
      <c r="G92" s="120" t="str" cm="1">
        <f t="array" ref="G92:H95">_xlfn.CHOOSECOLS(EntericMethane_Dairy_Equations.VEERG_3_3_1_1__3_DryMatterFeedIntake_Arguments(),3,4)</f>
        <v>kg</v>
      </c>
      <c r="H92" s="121" t="str">
        <v>Input</v>
      </c>
      <c r="I92" s="127" t="str" cm="1">
        <f t="array" aca="1" ref="I92" ca="1">HYPERLINK(Common_InputFunctions.Utility_SourceHyperlink($D$97), $D$97)</f>
        <v>M1_Table_W_j</v>
      </c>
    </row>
    <row r="93" spans="3:19" ht="20.100000000000001" customHeight="1" x14ac:dyDescent="0.25">
      <c r="D93" s="120" t="str">
        <v>LWG_j</v>
      </c>
      <c r="E93" s="125" t="str">
        <v>liveweight gain</v>
      </c>
      <c r="F93" s="126"/>
      <c r="G93" s="120" t="str">
        <v>kg/head/day</v>
      </c>
      <c r="H93" s="121" t="str">
        <v>Input</v>
      </c>
      <c r="I93" s="127" t="str" cm="1">
        <f t="array" aca="1" ref="I93" ca="1">HYPERLINK(Common_InputFunctions.Utility_SourceHyperlink($D$102), $D$102)</f>
        <v>M1_Table_LWG_j</v>
      </c>
    </row>
    <row r="94" spans="3:19" ht="20.100000000000001" customHeight="1" x14ac:dyDescent="0.25">
      <c r="D94" s="120" t="str">
        <v>MR_j</v>
      </c>
      <c r="E94" s="125" t="str">
        <v>increase in metabolic rate when producing milk</v>
      </c>
      <c r="F94" s="126"/>
      <c r="G94" s="120" t="str">
        <v>fraction</v>
      </c>
      <c r="H94" s="128" t="str">
        <v>Constant</v>
      </c>
      <c r="I94" s="127" t="str" cm="1">
        <f t="array" aca="1" ref="I94" ca="1">HYPERLINK(Common_InputFunctions.Utility_SourceHyperlink($D$107), $D$107)</f>
        <v>Table_MR_j</v>
      </c>
    </row>
    <row r="95" spans="3:19" ht="20.100000000000001" customHeight="1" x14ac:dyDescent="0.25">
      <c r="D95" s="120" t="str">
        <v>MI_j</v>
      </c>
      <c r="E95" s="125" t="str">
        <v>additional intake required for milk production</v>
      </c>
      <c r="F95" s="126"/>
      <c r="G95" s="120" t="str">
        <v>kg DM/head/day</v>
      </c>
      <c r="H95" s="128" t="str">
        <v>Calculated from 3.3.1.1 (4)</v>
      </c>
      <c r="I95" s="127" t="str" cm="1">
        <f t="array" aca="1" ref="I95" ca="1">HYPERLINK(Common_InputFunctions.Utility_SourceHyperlink($D$77), $D$77)</f>
        <v>M1_Table_MI_j</v>
      </c>
    </row>
    <row r="96" spans="3:19" ht="20.100000000000001" customHeight="1" x14ac:dyDescent="0.25"/>
    <row r="97" spans="4:18" ht="20.100000000000001" customHeight="1" x14ac:dyDescent="0.25">
      <c r="D97" s="122" t="s">
        <v>285</v>
      </c>
      <c r="M97" s="122" t="s">
        <v>286</v>
      </c>
    </row>
    <row r="98" spans="4:18" ht="20.100000000000001" customHeight="1" x14ac:dyDescent="0.25">
      <c r="D98" s="123" t="s">
        <v>287</v>
      </c>
      <c r="M98" s="123" t="s">
        <v>288</v>
      </c>
    </row>
    <row r="99" spans="4:18" ht="20.100000000000001" customHeight="1" x14ac:dyDescent="0.25">
      <c r="D99" s="94" t="s">
        <v>213</v>
      </c>
      <c r="E99" s="94" t="s">
        <v>214</v>
      </c>
      <c r="F99" s="94" t="s">
        <v>215</v>
      </c>
      <c r="G99" s="94" t="s">
        <v>216</v>
      </c>
      <c r="H99" s="94" t="s">
        <v>217</v>
      </c>
      <c r="M99" s="94" t="s">
        <v>213</v>
      </c>
      <c r="N99" s="94" t="s">
        <v>214</v>
      </c>
      <c r="O99" s="94" t="s">
        <v>215</v>
      </c>
      <c r="P99" s="94" t="s">
        <v>216</v>
      </c>
      <c r="Q99" s="94" t="s">
        <v>217</v>
      </c>
    </row>
    <row r="100" spans="4:18" ht="20.100000000000001" customHeight="1" x14ac:dyDescent="0.25">
      <c r="D100" s="25">
        <f>'Input - Dairy (Enteric)'!$E$14</f>
        <v>550</v>
      </c>
      <c r="E100" s="25">
        <f>'Input - Dairy (Enteric)'!$F$14</f>
        <v>380</v>
      </c>
      <c r="F100" s="25">
        <f>'Input - Dairy (Enteric)'!$G$14</f>
        <v>155</v>
      </c>
      <c r="G100" s="25">
        <f>'Input - Dairy (Enteric)'!$H$14</f>
        <v>600</v>
      </c>
      <c r="H100" s="25">
        <f>'Input - Dairy (Enteric)'!$I$14</f>
        <v>225</v>
      </c>
      <c r="I100" s="26" t="s">
        <v>222</v>
      </c>
      <c r="M100" s="25">
        <f>'Input - Dairy (Enteric)'!$E$18</f>
        <v>550</v>
      </c>
      <c r="N100" s="25">
        <f>'Input - Dairy (Enteric)'!$F$18</f>
        <v>380</v>
      </c>
      <c r="O100" s="25">
        <f>'Input - Dairy (Enteric)'!$G$18</f>
        <v>155</v>
      </c>
      <c r="P100" s="25">
        <f>'Input - Dairy (Enteric)'!$H$18</f>
        <v>600</v>
      </c>
      <c r="Q100" s="25">
        <f>'Input - Dairy (Enteric)'!$I$18</f>
        <v>225</v>
      </c>
      <c r="R100" s="26" t="s">
        <v>222</v>
      </c>
    </row>
    <row r="101" spans="4:18" ht="20.100000000000001" customHeight="1" x14ac:dyDescent="0.25"/>
    <row r="102" spans="4:18" ht="20.100000000000001" customHeight="1" x14ac:dyDescent="0.25">
      <c r="D102" s="122" t="s">
        <v>289</v>
      </c>
      <c r="M102" s="122" t="s">
        <v>290</v>
      </c>
    </row>
    <row r="103" spans="4:18" ht="20.100000000000001" customHeight="1" x14ac:dyDescent="0.25">
      <c r="D103" s="123" t="s">
        <v>291</v>
      </c>
      <c r="M103" s="123" t="s">
        <v>292</v>
      </c>
    </row>
    <row r="104" spans="4:18" ht="20.100000000000001" customHeight="1" x14ac:dyDescent="0.25">
      <c r="D104" s="94" t="s">
        <v>213</v>
      </c>
      <c r="E104" s="94" t="s">
        <v>214</v>
      </c>
      <c r="F104" s="94" t="s">
        <v>215</v>
      </c>
      <c r="G104" s="94" t="s">
        <v>216</v>
      </c>
      <c r="H104" s="94" t="s">
        <v>217</v>
      </c>
      <c r="M104" s="94" t="s">
        <v>213</v>
      </c>
      <c r="N104" s="94" t="s">
        <v>214</v>
      </c>
      <c r="O104" s="94" t="s">
        <v>215</v>
      </c>
      <c r="P104" s="94" t="s">
        <v>216</v>
      </c>
      <c r="Q104" s="94" t="s">
        <v>217</v>
      </c>
    </row>
    <row r="105" spans="4:18" ht="20.100000000000001" customHeight="1" x14ac:dyDescent="0.25">
      <c r="D105" s="25">
        <f>'Input - Dairy (Enteric)'!$E$15</f>
        <v>1.6E-2</v>
      </c>
      <c r="E105" s="25">
        <f>'Input - Dairy (Enteric)'!$F$15</f>
        <v>0.6</v>
      </c>
      <c r="F105" s="25">
        <f>'Input - Dairy (Enteric)'!$G$15</f>
        <v>0.56999999999999995</v>
      </c>
      <c r="G105" s="25">
        <f>'Input - Dairy (Enteric)'!$H$15</f>
        <v>0.1</v>
      </c>
      <c r="H105" s="25">
        <f>'Input - Dairy (Enteric)'!$I$15</f>
        <v>0.8</v>
      </c>
      <c r="I105" s="26" t="s">
        <v>224</v>
      </c>
      <c r="M105" s="25">
        <f>'Input - Dairy (Enteric)'!$E$19</f>
        <v>1.6E-2</v>
      </c>
      <c r="N105" s="25">
        <f>'Input - Dairy (Enteric)'!$F$19</f>
        <v>0.6</v>
      </c>
      <c r="O105" s="25">
        <f>'Input - Dairy (Enteric)'!$G$19</f>
        <v>0.56999999999999995</v>
      </c>
      <c r="P105" s="25">
        <f>'Input - Dairy (Enteric)'!$H$19</f>
        <v>0.1</v>
      </c>
      <c r="Q105" s="25">
        <f>'Input - Dairy (Enteric)'!$I$19</f>
        <v>0.8</v>
      </c>
      <c r="R105" s="26" t="s">
        <v>224</v>
      </c>
    </row>
    <row r="106" spans="4:18" ht="20.100000000000001" customHeight="1" x14ac:dyDescent="0.25"/>
    <row r="107" spans="4:18" ht="20.100000000000001" customHeight="1" x14ac:dyDescent="0.25">
      <c r="D107" s="122" t="s">
        <v>293</v>
      </c>
    </row>
    <row r="108" spans="4:18" ht="20.100000000000001" customHeight="1" x14ac:dyDescent="0.25">
      <c r="D108" s="123" t="s">
        <v>294</v>
      </c>
    </row>
    <row r="109" spans="4:18" ht="20.100000000000001" customHeight="1" x14ac:dyDescent="0.25">
      <c r="D109" s="124" t="s">
        <v>213</v>
      </c>
      <c r="E109" s="124" t="s">
        <v>214</v>
      </c>
      <c r="F109" s="124" t="s">
        <v>215</v>
      </c>
      <c r="G109" s="124" t="s">
        <v>216</v>
      </c>
      <c r="H109" s="124" t="s">
        <v>217</v>
      </c>
    </row>
    <row r="110" spans="4:18" ht="20.100000000000001" customHeight="1" x14ac:dyDescent="0.25">
      <c r="D110" s="25">
        <f>'Constants - Dairy'!$E$108</f>
        <v>1.1000000000000001</v>
      </c>
      <c r="E110" s="25">
        <f>'Constants - Dairy'!$E$109</f>
        <v>1</v>
      </c>
      <c r="F110" s="25">
        <f>'Constants - Dairy'!$E$109</f>
        <v>1</v>
      </c>
      <c r="G110" s="25">
        <f>'Constants - Dairy'!$E$109</f>
        <v>1</v>
      </c>
      <c r="H110" s="25">
        <f>'Constants - Dairy'!$E$109</f>
        <v>1</v>
      </c>
      <c r="I110" s="26" t="s">
        <v>229</v>
      </c>
    </row>
    <row r="111" spans="4:18" ht="20.100000000000001" customHeight="1" x14ac:dyDescent="0.25"/>
    <row r="112" spans="4:18" ht="20.100000000000001" customHeight="1" x14ac:dyDescent="0.25">
      <c r="D112" s="122" t="s">
        <v>295</v>
      </c>
      <c r="M112" s="122" t="s">
        <v>296</v>
      </c>
    </row>
    <row r="113" spans="3:19" ht="20.100000000000001" customHeight="1" x14ac:dyDescent="0.25">
      <c r="D113" s="123" t="s">
        <v>297</v>
      </c>
      <c r="M113" s="123" t="s">
        <v>298</v>
      </c>
    </row>
    <row r="114" spans="3:19" ht="20.100000000000001" customHeight="1" x14ac:dyDescent="0.25">
      <c r="D114" s="124" t="s">
        <v>213</v>
      </c>
      <c r="E114" s="124" t="s">
        <v>214</v>
      </c>
      <c r="F114" s="124" t="s">
        <v>215</v>
      </c>
      <c r="G114" s="124" t="s">
        <v>216</v>
      </c>
      <c r="H114" s="124" t="s">
        <v>217</v>
      </c>
      <c r="M114" s="124" t="s">
        <v>213</v>
      </c>
      <c r="N114" s="124" t="s">
        <v>214</v>
      </c>
      <c r="O114" s="124" t="s">
        <v>215</v>
      </c>
      <c r="P114" s="124" t="s">
        <v>216</v>
      </c>
      <c r="Q114" s="124" t="s">
        <v>217</v>
      </c>
    </row>
    <row r="115" spans="3:19" ht="20.100000000000001" customHeight="1" x14ac:dyDescent="0.25">
      <c r="D115" s="25" cm="1">
        <f t="array" ref="D115">EntericMethane_Dairy_Equations.VEERG_3_3_1_1__3_DryMatterFeedIntake(D100,D105,D110,D80)</f>
        <v>18.834317684367193</v>
      </c>
      <c r="E115" s="25" cm="1">
        <f t="array" ref="E115">EntericMethane_Dairy_Equations.VEERG_3_3_1_1__3_DryMatterFeedIntake(E100,E105,E110,E80)</f>
        <v>7.4188685375999972</v>
      </c>
      <c r="F115" s="25" cm="1">
        <f t="array" ref="F115">EntericMethane_Dairy_Equations.VEERG_3_3_1_1__3_DryMatterFeedIntake(F100,F105,F110,F80)</f>
        <v>4.0231734662249998</v>
      </c>
      <c r="G115" s="25" cm="1">
        <f t="array" ref="G115">EntericMethane_Dairy_Equations.VEERG_3_3_1_1__3_DryMatterFeedIntake(G100,G105,G110,G80)</f>
        <v>9.0270202499999979</v>
      </c>
      <c r="H115" s="25" cm="1">
        <f t="array" ref="H115">EntericMethane_Dairy_Equations.VEERG_3_3_1_1__3_DryMatterFeedIntake(H100,H105,H110,H80)</f>
        <v>5.4143472656250013</v>
      </c>
      <c r="I115" s="26" t="str">
        <f>$E$90</f>
        <v>kg DM/head/day</v>
      </c>
      <c r="M115" s="25" cm="1">
        <f t="array" ref="M115">EntericMethane_Dairy_Equations.VEERG_3_3_1_1__3_DryMatterFeedIntake(M100,M105,D110,M80)</f>
        <v>18.834317684367193</v>
      </c>
      <c r="N115" s="25" cm="1">
        <f t="array" ref="N115">EntericMethane_Dairy_Equations.VEERG_3_3_1_1__3_DryMatterFeedIntake(N100,N105,E110,N80)</f>
        <v>7.4188685375999972</v>
      </c>
      <c r="O115" s="25" cm="1">
        <f t="array" ref="O115">EntericMethane_Dairy_Equations.VEERG_3_3_1_1__3_DryMatterFeedIntake(O100,O105,F110,O80)</f>
        <v>4.0231734662249998</v>
      </c>
      <c r="P115" s="25" cm="1">
        <f t="array" ref="P115">EntericMethane_Dairy_Equations.VEERG_3_3_1_1__3_DryMatterFeedIntake(P100,P105,G110,P80)</f>
        <v>9.0270202499999979</v>
      </c>
      <c r="Q115" s="25" cm="1">
        <f t="array" ref="Q115">EntericMethane_Dairy_Equations.VEERG_3_3_1_1__3_DryMatterFeedIntake(Q100,Q105,H110,Q80)</f>
        <v>5.4143472656250013</v>
      </c>
      <c r="R115" s="26" t="str">
        <f>$E$90</f>
        <v>kg DM/head/day</v>
      </c>
    </row>
    <row r="116" spans="3:19" ht="20.100000000000001" customHeight="1" x14ac:dyDescent="0.25"/>
    <row r="117" spans="3:19" ht="20.100000000000001" customHeight="1" x14ac:dyDescent="0.25"/>
    <row r="118" spans="3:19" ht="20.100000000000001" customHeight="1" x14ac:dyDescent="0.25">
      <c r="C118" s="101"/>
      <c r="D118" s="101"/>
      <c r="E118" s="101"/>
      <c r="F118" s="101"/>
      <c r="G118" s="101"/>
      <c r="H118" s="101"/>
      <c r="I118" s="101"/>
      <c r="J118" s="101"/>
      <c r="L118" s="101"/>
      <c r="M118" s="101"/>
      <c r="N118" s="101"/>
      <c r="O118" s="101"/>
      <c r="P118" s="101"/>
      <c r="Q118" s="101"/>
      <c r="R118" s="101"/>
      <c r="S118" s="101"/>
    </row>
    <row r="119" spans="3:19" ht="20.100000000000001" customHeight="1" x14ac:dyDescent="0.25">
      <c r="D119" s="90" t="str" cm="1">
        <f t="array" ref="D119">EntericMethane_Dairy_Equations.VEERG_3_3_1_1__2_DailyEntericMethaneProduction_Title()</f>
        <v>Daily production of enteric methane</v>
      </c>
    </row>
    <row r="120" spans="3:19" ht="20.100000000000001" customHeight="1" x14ac:dyDescent="0.25">
      <c r="D120" s="27" t="str" cm="1">
        <f t="array" ref="D120">EntericMethane_Dairy_Equations.VEERG_3_3_1_1__2_DailyEntericMethaneProduction_Source()</f>
        <v>VEERG 2026: 3.3.1.1, Equation (2)</v>
      </c>
    </row>
    <row r="121" spans="3:19" ht="20.100000000000001" customHeight="1" x14ac:dyDescent="0.25">
      <c r="D121" s="118" t="s">
        <v>262</v>
      </c>
      <c r="E121" s="118"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87" t="s">
        <v>263</v>
      </c>
      <c r="E124" s="1" t="str" cm="1">
        <f t="array" ref="E124">EntericMethane_Dairy_Equations.VEERG_3_3_1_1__2_DailyEntericMethaneProduction_Variable()</f>
        <v>M_j</v>
      </c>
    </row>
    <row r="125" spans="3:19" ht="20.100000000000001" customHeight="1" x14ac:dyDescent="0.25">
      <c r="D125" s="87" t="s">
        <v>122</v>
      </c>
      <c r="E125" s="15"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20" t="str" cm="1">
        <f t="array" ref="D127:G127">EntericMethane_Dairy_Equations.VEERG_3_3_1_1__2_DailyEntericMethaneProduction_Arguments()</f>
        <v>I_j</v>
      </c>
      <c r="E127" s="120" t="str">
        <v>dry matter feed intake</v>
      </c>
      <c r="F127" s="120" t="str">
        <v>kg DM/head/day</v>
      </c>
      <c r="G127" s="128" t="str">
        <v>Calculated from 3.3.1.1 (3)</v>
      </c>
      <c r="H127" s="127" t="str" cm="1">
        <f t="array" aca="1" ref="H127" ca="1">HYPERLINK(Common_InputFunctions.Utility_SourceHyperlink($D$112),$D$112)</f>
        <v>M1_Table_I_j</v>
      </c>
    </row>
    <row r="128" spans="3:19" ht="20.100000000000001" customHeight="1" x14ac:dyDescent="0.25"/>
    <row r="129" spans="3:19" ht="20.100000000000001" customHeight="1" x14ac:dyDescent="0.25">
      <c r="D129" s="122" t="s">
        <v>534</v>
      </c>
      <c r="M129" s="122" t="s">
        <v>535</v>
      </c>
    </row>
    <row r="130" spans="3:19" ht="20.100000000000001" customHeight="1" x14ac:dyDescent="0.25">
      <c r="D130" s="123" t="s">
        <v>536</v>
      </c>
      <c r="M130" s="123" t="s">
        <v>537</v>
      </c>
    </row>
    <row r="131" spans="3:19" ht="20.100000000000001" customHeight="1" x14ac:dyDescent="0.25">
      <c r="D131" s="124" t="s">
        <v>213</v>
      </c>
      <c r="E131" s="124" t="s">
        <v>214</v>
      </c>
      <c r="F131" s="124" t="s">
        <v>215</v>
      </c>
      <c r="G131" s="124" t="s">
        <v>216</v>
      </c>
      <c r="H131" s="124" t="s">
        <v>217</v>
      </c>
      <c r="M131" s="124" t="s">
        <v>213</v>
      </c>
      <c r="N131" s="124" t="s">
        <v>214</v>
      </c>
      <c r="O131" s="124" t="s">
        <v>215</v>
      </c>
      <c r="P131" s="124" t="s">
        <v>216</v>
      </c>
      <c r="Q131" s="124" t="s">
        <v>217</v>
      </c>
    </row>
    <row r="132" spans="3:19" ht="20.100000000000001" customHeight="1" x14ac:dyDescent="0.25">
      <c r="D132" s="25" cm="1">
        <f t="array" ref="D132">EntericMethane_Dairy_Equations.VEERG_3_3_1_1__2_DailyEntericMethaneProduction(D115)</f>
        <v>0.38987037606640085</v>
      </c>
      <c r="E132" s="25" cm="1">
        <f t="array" ref="E132">EntericMethane_Dairy_Equations.VEERG_3_3_1_1__2_DailyEntericMethaneProduction(E115)</f>
        <v>0.15357057872831995</v>
      </c>
      <c r="F132" s="25" cm="1">
        <f t="array" ref="F132">EntericMethane_Dairy_Equations.VEERG_3_3_1_1__2_DailyEntericMethaneProduction(F115)</f>
        <v>8.3279690750857505E-2</v>
      </c>
      <c r="G132" s="25" cm="1">
        <f t="array" ref="G132">EntericMethane_Dairy_Equations.VEERG_3_3_1_1__2_DailyEntericMethaneProduction(G115)</f>
        <v>0.18685931917499995</v>
      </c>
      <c r="H132" s="25" cm="1">
        <f t="array" ref="H132">EntericMethane_Dairy_Equations.VEERG_3_3_1_1__2_DailyEntericMethaneProduction(H115)</f>
        <v>0.11207698839843752</v>
      </c>
      <c r="I132" s="26" t="str">
        <f>$E$125</f>
        <v>kg CH4/head/day</v>
      </c>
      <c r="M132" s="25" cm="1">
        <f t="array" ref="M132">EntericMethane_Dairy_Equations.VEERG_3_3_1_1__2_DailyEntericMethaneProduction(M115)</f>
        <v>0.38987037606640085</v>
      </c>
      <c r="N132" s="25" cm="1">
        <f t="array" ref="N132">EntericMethane_Dairy_Equations.VEERG_3_3_1_1__2_DailyEntericMethaneProduction(N115)</f>
        <v>0.15357057872831995</v>
      </c>
      <c r="O132" s="25" cm="1">
        <f t="array" ref="O132">EntericMethane_Dairy_Equations.VEERG_3_3_1_1__2_DailyEntericMethaneProduction(O115)</f>
        <v>8.3279690750857505E-2</v>
      </c>
      <c r="P132" s="25" cm="1">
        <f t="array" ref="P132">EntericMethane_Dairy_Equations.VEERG_3_3_1_1__2_DailyEntericMethaneProduction(P115)</f>
        <v>0.18685931917499995</v>
      </c>
      <c r="Q132" s="25" cm="1">
        <f t="array" ref="Q132">EntericMethane_Dairy_Equations.VEERG_3_3_1_1__2_DailyEntericMethaneProduction(Q115)</f>
        <v>0.11207698839843752</v>
      </c>
      <c r="R132" s="26" t="str">
        <f>$E$125</f>
        <v>kg CH4/head/day</v>
      </c>
    </row>
    <row r="133" spans="3:19" ht="20.100000000000001" customHeight="1" x14ac:dyDescent="0.25"/>
    <row r="134" spans="3:19" ht="20.100000000000001" customHeight="1" x14ac:dyDescent="0.25"/>
    <row r="135" spans="3:19" ht="20.100000000000001" customHeight="1" x14ac:dyDescent="0.25">
      <c r="C135" s="101"/>
      <c r="D135" s="101"/>
      <c r="E135" s="101"/>
      <c r="F135" s="101"/>
      <c r="G135" s="101"/>
      <c r="H135" s="101"/>
      <c r="I135" s="101"/>
      <c r="J135" s="101"/>
      <c r="L135" s="101"/>
      <c r="M135" s="101"/>
      <c r="N135" s="101"/>
      <c r="O135" s="101"/>
      <c r="P135" s="101"/>
      <c r="Q135" s="101"/>
      <c r="R135" s="101"/>
      <c r="S135" s="101"/>
    </row>
    <row r="136" spans="3:19" ht="20.100000000000001" customHeight="1" x14ac:dyDescent="0.25">
      <c r="D136" s="90"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27" t="str" cm="1">
        <f t="array" ref="D137">EntericMethane_Dairy_Equations.VEERG_3_3_1_1__1_TotalAnnualMethaneFromEntericFermentation_Source()</f>
        <v>VEERG 2026: 3.3.1.1, Equation (1)</v>
      </c>
    </row>
    <row r="138" spans="3:19" ht="20.100000000000001" customHeight="1" x14ac:dyDescent="0.25">
      <c r="D138" s="35"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18" t="s">
        <v>262</v>
      </c>
      <c r="E139" s="118"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4:9" ht="20.100000000000001" customHeight="1" x14ac:dyDescent="0.25">
      <c r="D145" s="87" t="s">
        <v>263</v>
      </c>
      <c r="E145" s="1" t="str" cm="1">
        <f t="array" ref="E145">EntericMethane_Dairy_Equations.VEERG_3_3_1_1__1_TotalAnnualMethaneFromEntericFermentation_Variable()</f>
        <v>E_enteric</v>
      </c>
    </row>
    <row r="146" spans="4:9" ht="20.100000000000001" customHeight="1" x14ac:dyDescent="0.25">
      <c r="D146" s="87" t="s">
        <v>122</v>
      </c>
      <c r="E146" s="15" t="str" cm="1">
        <f t="array" ref="E146">EntericMethane_Dairy_Equations.VEERG_3_3_1_1__1_TotalAnnualMethaneFromEntericFermentation_Unit()</f>
        <v>t CH4</v>
      </c>
    </row>
    <row r="147" spans="4:9" ht="20.100000000000001" customHeight="1" x14ac:dyDescent="0.25"/>
    <row r="148" spans="4:9" ht="20.100000000000001" customHeight="1" x14ac:dyDescent="0.25">
      <c r="D148" s="120" t="str" cm="1">
        <f t="array" ref="D148:E155">_xlfn.CHOOSECOLS(EntericMethane_Dairy_Equations.VEERG_3_3_1_1__1_TotalAnnualMethaneFromEntericFermentation_Arguments(),1,2)</f>
        <v>N_j124</v>
      </c>
      <c r="E148" s="125" t="str">
        <v>number of dairy cattle in classes j=1,2,4</v>
      </c>
      <c r="F148" s="126"/>
      <c r="G148" s="120" t="str" cm="1">
        <f t="array" ref="G148:H155">_xlfn.CHOOSECOLS(EntericMethane_Dairy_Equations.VEERG_3_3_1_1__1_TotalAnnualMethaneFromEntericFermentation_Arguments(),3,4)</f>
        <v>head</v>
      </c>
      <c r="H148" s="121" t="str">
        <v>Input</v>
      </c>
      <c r="I148" s="127" t="str" cm="1">
        <f t="array" aca="1" ref="I148" ca="1">HYPERLINK(Common_InputFunctions.Utility_SourceHyperlink($D$157),$D$157)</f>
        <v>Table_N_j</v>
      </c>
    </row>
    <row r="149" spans="4:9" ht="20.100000000000001" customHeight="1" x14ac:dyDescent="0.25">
      <c r="D149" s="120" t="str">
        <v>M_j124</v>
      </c>
      <c r="E149" s="125" t="str">
        <v>daily enteric methane production for classes j=1,2,4</v>
      </c>
      <c r="F149" s="126"/>
      <c r="G149" s="120" t="str">
        <v>kg CH4/head/day</v>
      </c>
      <c r="H149" s="128" t="str">
        <v>Calculated from 3.3.1.1 (2)</v>
      </c>
      <c r="I149" s="127" t="str" cm="1">
        <f t="array" aca="1" ref="I149" ca="1">HYPERLINK(Common_InputFunctions.Utility_SourceHyperlink($D$129),$D$129)</f>
        <v>M1_Table_M_j</v>
      </c>
    </row>
    <row r="150" spans="4:9" ht="20.100000000000001" customHeight="1" x14ac:dyDescent="0.25">
      <c r="D150" s="120" t="str">
        <v>D_j124</v>
      </c>
      <c r="E150" s="125" t="str">
        <v>duration of stay on the farm for classes j=1,2,4</v>
      </c>
      <c r="F150" s="126"/>
      <c r="G150" s="120" t="str">
        <v>days</v>
      </c>
      <c r="H150" s="121" t="str">
        <v>Input</v>
      </c>
      <c r="I150" s="127" t="str" cm="1">
        <f t="array" aca="1" ref="I150" ca="1">HYPERLINK(Common_InputFunctions.Utility_SourceHyperlink($D$162),$D$162)</f>
        <v>M1_Table_D_j</v>
      </c>
    </row>
    <row r="151" spans="4:9" ht="20.100000000000001" customHeight="1" x14ac:dyDescent="0.25">
      <c r="D151" s="120" t="str">
        <v>N_j35</v>
      </c>
      <c r="E151" s="125" t="str">
        <v>number of dairy cattle in classes j=3,5</v>
      </c>
      <c r="F151" s="126"/>
      <c r="G151" s="120" t="str">
        <v>head</v>
      </c>
      <c r="H151" s="121" t="str">
        <v>Input</v>
      </c>
      <c r="I151" s="127" t="str" cm="1">
        <f t="array" aca="1" ref="I151" ca="1">HYPERLINK(Common_InputFunctions.Utility_SourceHyperlink($D$157),$D$157)</f>
        <v>Table_N_j</v>
      </c>
    </row>
    <row r="152" spans="4:9" ht="20.100000000000001" customHeight="1" x14ac:dyDescent="0.25">
      <c r="D152" s="120" t="str">
        <v>M_j35</v>
      </c>
      <c r="E152" s="125" t="str">
        <v>daily enteric methane production for weaned classes j=3,5</v>
      </c>
      <c r="F152" s="126"/>
      <c r="G152" s="120" t="str">
        <v>kg CH4/head/day</v>
      </c>
      <c r="H152" s="128" t="str">
        <v>Calculated from 3.3.1.1 (2)</v>
      </c>
      <c r="I152" s="127" t="str" cm="1">
        <f t="array" aca="1" ref="I152" ca="1">HYPERLINK(Common_InputFunctions.Utility_SourceHyperlink($D$129),$D$129)</f>
        <v>M1_Table_M_j</v>
      </c>
    </row>
    <row r="153" spans="4:9" ht="20.100000000000001" customHeight="1" x14ac:dyDescent="0.25">
      <c r="D153" s="120" t="str">
        <v>D_j35</v>
      </c>
      <c r="E153" s="125" t="str">
        <v>duration of stay on the farm for weaned classes j=3,5</v>
      </c>
      <c r="F153" s="126"/>
      <c r="G153" s="120" t="str">
        <v>days</v>
      </c>
      <c r="H153" s="121" t="str">
        <v>Input</v>
      </c>
      <c r="I153" s="127" t="str" cm="1">
        <f t="array" aca="1" ref="I153" ca="1">HYPERLINK(Common_InputFunctions.Utility_SourceHyperlink($D$162),$D$162)</f>
        <v>M1_Table_D_j</v>
      </c>
    </row>
    <row r="154" spans="4:9" ht="20.100000000000001" customHeight="1" x14ac:dyDescent="0.25">
      <c r="D154" s="120" t="str">
        <v>DPW_j35</v>
      </c>
      <c r="E154" s="125" t="str">
        <v>duration of stay on the farm for pre-weaned heifer and bull calves</v>
      </c>
      <c r="F154" s="126"/>
      <c r="G154" s="120" t="str">
        <v>days</v>
      </c>
      <c r="H154" s="121" t="str">
        <v>Input</v>
      </c>
      <c r="I154" s="127" t="str" cm="1">
        <f t="array" aca="1" ref="I154" ca="1">HYPERLINK(Common_InputFunctions.Utility_SourceHyperlink($D$167),$D$167)</f>
        <v>M1_Table_DPW_j-3-5</v>
      </c>
    </row>
    <row r="155" spans="4:9" ht="20.100000000000001" customHeight="1" x14ac:dyDescent="0.25">
      <c r="D155" s="120" t="str">
        <v>MPW_ENTERIC_j35</v>
      </c>
      <c r="E155" s="120" t="str">
        <v>daily methane production for pre-weaned heifer and bull calves</v>
      </c>
      <c r="F155" s="120"/>
      <c r="G155" s="120" t="str">
        <v>kg CH4/head/day</v>
      </c>
      <c r="H155" s="128" t="str">
        <v>Constant</v>
      </c>
      <c r="I155" s="127" t="str" cm="1">
        <f t="array" aca="1" ref="I155" ca="1">HYPERLINK(Common_InputFunctions.Utility_SourceHyperlink($D$172),$D$172)</f>
        <v>M1_Table_MPW_j-3-5</v>
      </c>
    </row>
    <row r="156" spans="4:9" ht="20.100000000000001" customHeight="1" x14ac:dyDescent="0.25"/>
    <row r="157" spans="4:9" ht="20.100000000000001" customHeight="1" x14ac:dyDescent="0.25">
      <c r="D157" s="122" t="s">
        <v>336</v>
      </c>
    </row>
    <row r="158" spans="4:9" ht="20.100000000000001" customHeight="1" x14ac:dyDescent="0.25">
      <c r="D158" s="123" t="s">
        <v>538</v>
      </c>
    </row>
    <row r="159" spans="4:9" ht="20.100000000000001" customHeight="1" x14ac:dyDescent="0.25">
      <c r="D159" s="94" t="s">
        <v>213</v>
      </c>
      <c r="E159" s="94" t="s">
        <v>214</v>
      </c>
      <c r="F159" s="94" t="s">
        <v>215</v>
      </c>
      <c r="G159" s="94" t="s">
        <v>216</v>
      </c>
      <c r="H159" s="94" t="s">
        <v>217</v>
      </c>
    </row>
    <row r="160" spans="4:9" ht="20.100000000000001" customHeight="1" x14ac:dyDescent="0.25">
      <c r="D160" s="134">
        <f>'Input - Dairy (Enteric)'!E10</f>
        <v>100</v>
      </c>
      <c r="E160" s="134">
        <f>'Input - Dairy (Enteric)'!F10</f>
        <v>100</v>
      </c>
      <c r="F160" s="134">
        <f>'Input - Dairy (Enteric)'!G10</f>
        <v>100</v>
      </c>
      <c r="G160" s="134">
        <f>'Input - Dairy (Enteric)'!H10</f>
        <v>100</v>
      </c>
      <c r="H160" s="134">
        <f>'Input - Dairy (Enteric)'!I10</f>
        <v>100</v>
      </c>
      <c r="I160" s="15" t="str">
        <f>$G$148</f>
        <v>head</v>
      </c>
    </row>
    <row r="161" spans="4:18" ht="20.100000000000001" customHeight="1" x14ac:dyDescent="0.25"/>
    <row r="162" spans="4:18" ht="20.100000000000001" customHeight="1" x14ac:dyDescent="0.25">
      <c r="D162" s="122" t="s">
        <v>339</v>
      </c>
      <c r="M162" s="122" t="s">
        <v>340</v>
      </c>
    </row>
    <row r="163" spans="4:18" ht="20.100000000000001" customHeight="1" x14ac:dyDescent="0.25">
      <c r="D163" s="123" t="s">
        <v>539</v>
      </c>
      <c r="M163" s="123" t="s">
        <v>540</v>
      </c>
    </row>
    <row r="164" spans="4:18" ht="20.100000000000001" customHeight="1" x14ac:dyDescent="0.25">
      <c r="D164" s="94" t="s">
        <v>213</v>
      </c>
      <c r="E164" s="94" t="s">
        <v>214</v>
      </c>
      <c r="F164" s="94" t="s">
        <v>215</v>
      </c>
      <c r="G164" s="94" t="s">
        <v>216</v>
      </c>
      <c r="H164" s="94" t="s">
        <v>217</v>
      </c>
      <c r="M164" s="94" t="s">
        <v>213</v>
      </c>
      <c r="N164" s="94" t="s">
        <v>214</v>
      </c>
      <c r="O164" s="94" t="s">
        <v>215</v>
      </c>
      <c r="P164" s="94" t="s">
        <v>216</v>
      </c>
      <c r="Q164" s="94" t="s">
        <v>217</v>
      </c>
    </row>
    <row r="165" spans="4:18" ht="20.100000000000001" customHeight="1" x14ac:dyDescent="0.25">
      <c r="D165" s="25">
        <f>'Input - Dairy (Enteric)'!E24</f>
        <v>365</v>
      </c>
      <c r="E165" s="25">
        <f>'Input - Dairy (Enteric)'!F24</f>
        <v>365</v>
      </c>
      <c r="F165" s="25">
        <f>'Input - Dairy (Enteric)'!G24</f>
        <v>281</v>
      </c>
      <c r="G165" s="25">
        <f>'Input - Dairy (Enteric)'!H24</f>
        <v>365</v>
      </c>
      <c r="H165" s="25">
        <f>'Input - Dairy (Enteric)'!I24</f>
        <v>281</v>
      </c>
      <c r="I165" s="15" t="str">
        <f>$G$150</f>
        <v>days</v>
      </c>
      <c r="M165" s="25">
        <f>'Input - Dairy (Enteric)'!E28</f>
        <v>365</v>
      </c>
      <c r="N165" s="25">
        <f>'Input - Dairy (Enteric)'!F28</f>
        <v>365</v>
      </c>
      <c r="O165" s="25">
        <f>'Input - Dairy (Enteric)'!G28</f>
        <v>281</v>
      </c>
      <c r="P165" s="25">
        <f>'Input - Dairy (Enteric)'!H28</f>
        <v>365</v>
      </c>
      <c r="Q165" s="25">
        <f>'Input - Dairy (Enteric)'!I28</f>
        <v>281</v>
      </c>
      <c r="R165" s="15" t="str">
        <f>$G$150</f>
        <v>days</v>
      </c>
    </row>
    <row r="166" spans="4:18" ht="20.100000000000001" customHeight="1" x14ac:dyDescent="0.25"/>
    <row r="167" spans="4:18" ht="20.100000000000001" customHeight="1" x14ac:dyDescent="0.25">
      <c r="D167" s="122" t="s">
        <v>541</v>
      </c>
      <c r="M167" s="122" t="s">
        <v>542</v>
      </c>
    </row>
    <row r="168" spans="4:18" ht="20.100000000000001" customHeight="1" x14ac:dyDescent="0.25">
      <c r="D168" s="123" t="s">
        <v>543</v>
      </c>
      <c r="M168" s="123" t="s">
        <v>544</v>
      </c>
    </row>
    <row r="169" spans="4:18" ht="20.100000000000001" customHeight="1" x14ac:dyDescent="0.25">
      <c r="D169" s="94" t="s">
        <v>213</v>
      </c>
      <c r="E169" s="94" t="s">
        <v>214</v>
      </c>
      <c r="F169" s="94" t="s">
        <v>215</v>
      </c>
      <c r="G169" s="94" t="s">
        <v>216</v>
      </c>
      <c r="H169" s="94" t="s">
        <v>217</v>
      </c>
      <c r="M169" s="94" t="s">
        <v>213</v>
      </c>
      <c r="N169" s="94" t="s">
        <v>214</v>
      </c>
      <c r="O169" s="94" t="s">
        <v>215</v>
      </c>
      <c r="P169" s="94" t="s">
        <v>216</v>
      </c>
      <c r="Q169" s="94" t="s">
        <v>217</v>
      </c>
    </row>
    <row r="170" spans="4:18" ht="20.100000000000001" customHeight="1" x14ac:dyDescent="0.25">
      <c r="D170" s="25">
        <f>'Input - Dairy (Enteric)'!E25</f>
        <v>0</v>
      </c>
      <c r="E170" s="25">
        <f>'Input - Dairy (Enteric)'!F29</f>
        <v>0</v>
      </c>
      <c r="F170" s="25">
        <f>'Input - Dairy (Enteric)'!G29</f>
        <v>84</v>
      </c>
      <c r="G170" s="25">
        <f>'Input - Dairy (Enteric)'!H29</f>
        <v>0</v>
      </c>
      <c r="H170" s="25">
        <f>'Input - Dairy (Enteric)'!I29</f>
        <v>84</v>
      </c>
      <c r="I170" s="15" t="str">
        <f>$G$150</f>
        <v>days</v>
      </c>
      <c r="M170" s="25">
        <f>'Input - Dairy (Enteric)'!E29</f>
        <v>0</v>
      </c>
      <c r="N170" s="25">
        <f>'Input - Dairy (Enteric)'!F29</f>
        <v>0</v>
      </c>
      <c r="O170" s="25">
        <f>'Input - Dairy (Enteric)'!G29</f>
        <v>84</v>
      </c>
      <c r="P170" s="25">
        <f>'Input - Dairy (Enteric)'!H29</f>
        <v>0</v>
      </c>
      <c r="Q170" s="25">
        <f>'Input - Dairy (Enteric)'!I29</f>
        <v>84</v>
      </c>
      <c r="R170" s="15" t="str">
        <f>$G$150</f>
        <v>days</v>
      </c>
    </row>
    <row r="171" spans="4:18" ht="20.100000000000001" customHeight="1" x14ac:dyDescent="0.25"/>
    <row r="172" spans="4:18" ht="20.100000000000001" customHeight="1" x14ac:dyDescent="0.25">
      <c r="D172" s="122" t="s">
        <v>545</v>
      </c>
    </row>
    <row r="173" spans="4:18" ht="20.100000000000001" customHeight="1" x14ac:dyDescent="0.25">
      <c r="D173" s="123" t="s">
        <v>543</v>
      </c>
    </row>
    <row r="174" spans="4:18" ht="20.100000000000001" customHeight="1" x14ac:dyDescent="0.25">
      <c r="D174" s="124" t="s">
        <v>215</v>
      </c>
      <c r="E174" s="124" t="s">
        <v>217</v>
      </c>
    </row>
    <row r="175" spans="4:18" ht="20.100000000000001" customHeight="1" x14ac:dyDescent="0.25">
      <c r="D175" s="25">
        <f>'Constants - Dairy'!$E$99</f>
        <v>1.7600000000000001E-2</v>
      </c>
      <c r="E175" s="25">
        <f>'Constants - Dairy'!$E$100</f>
        <v>2.0400000000000001E-2</v>
      </c>
      <c r="F175" s="15" t="str">
        <f>G155</f>
        <v>kg CH4/head/day</v>
      </c>
    </row>
    <row r="176" spans="4:18" ht="20.100000000000001" customHeight="1" x14ac:dyDescent="0.25"/>
    <row r="177" spans="1:18" ht="20.100000000000001" customHeight="1" x14ac:dyDescent="0.25">
      <c r="D177" s="122" t="s">
        <v>546</v>
      </c>
      <c r="M177" s="122" t="s">
        <v>546</v>
      </c>
    </row>
    <row r="178" spans="1:18" ht="20.100000000000001" customHeight="1" x14ac:dyDescent="0.25">
      <c r="A178" s="129" t="str">
        <f>HYPERLINK("#A1", "▲ Back to top")</f>
        <v>▲ Back to top</v>
      </c>
      <c r="D178" s="123" t="s">
        <v>547</v>
      </c>
      <c r="M178" s="123" t="s">
        <v>547</v>
      </c>
    </row>
    <row r="179" spans="1:18" ht="20.100000000000001" customHeight="1" x14ac:dyDescent="0.25">
      <c r="D179" s="124" t="s">
        <v>213</v>
      </c>
      <c r="E179" s="124" t="s">
        <v>214</v>
      </c>
      <c r="F179" s="124" t="s">
        <v>215</v>
      </c>
      <c r="G179" s="124" t="s">
        <v>216</v>
      </c>
      <c r="H179" s="124" t="s">
        <v>217</v>
      </c>
      <c r="M179" s="124" t="s">
        <v>213</v>
      </c>
      <c r="N179" s="124" t="s">
        <v>214</v>
      </c>
      <c r="O179" s="124" t="s">
        <v>215</v>
      </c>
      <c r="P179" s="124" t="s">
        <v>216</v>
      </c>
      <c r="Q179" s="124" t="s">
        <v>217</v>
      </c>
    </row>
    <row r="180" spans="1:18" ht="20.100000000000001" customHeight="1" x14ac:dyDescent="0.25">
      <c r="D180" s="25" cm="1">
        <f t="array" ref="D180">EntericMethane_Dairy_Equations.VEERG_3_3_1_1__1_TotalAnnualMethaneFromEntericFermentationVariation(D160,D132,D165,0,0,0,0,0)</f>
        <v>14.230268726423633</v>
      </c>
      <c r="E180" s="25" cm="1">
        <f t="array" ref="E180">EntericMethane_Dairy_Equations.VEERG_3_3_1_1__1_TotalAnnualMethaneFromEntericFermentationVariation(E160,E132,E165,0,0,0,0,0)</f>
        <v>5.6053261235836782</v>
      </c>
      <c r="F180" s="25" cm="1">
        <f t="array" ref="F180">EntericMethane_Dairy_Equations.VEERG_3_3_1_1__1_TotalAnnualMethaneFromEntericFermentationVariation(0,0,0,F160,F132,F165,F170,$D$175)</f>
        <v>2.487999310099096</v>
      </c>
      <c r="G180" s="25" cm="1">
        <f t="array" ref="G180">EntericMethane_Dairy_Equations.VEERG_3_3_1_1__1_TotalAnnualMethaneFromEntericFermentationVariation(G160,G132,G165,0,0,0,0,0)</f>
        <v>6.8203651498874986</v>
      </c>
      <c r="H180" s="25" cm="1">
        <f t="array" ref="H180">EntericMethane_Dairy_Equations.VEERG_3_3_1_1__1_TotalAnnualMethaneFromEntericFermentationVariation(0,0,0,H160,H132,H165,H170,$E$175)</f>
        <v>3.3207233739960946</v>
      </c>
      <c r="I180" s="15" t="str">
        <f>$E$146</f>
        <v>t CH4</v>
      </c>
      <c r="M180" s="25" cm="1">
        <f t="array" ref="M180">EntericMethane_Dairy_Equations.VEERG_3_3_1_1__1_TotalAnnualMethaneFromEntericFermentationVariation(D160,M132,M165,0,0,0,0,0)</f>
        <v>14.230268726423633</v>
      </c>
      <c r="N180" s="25" cm="1">
        <f t="array" ref="N180">EntericMethane_Dairy_Equations.VEERG_3_3_1_1__1_TotalAnnualMethaneFromEntericFermentationVariation(E160,N132,N165,0,0,0,0,0)</f>
        <v>5.6053261235836782</v>
      </c>
      <c r="O180" s="25" cm="1">
        <f t="array" ref="O180">EntericMethane_Dairy_Equations.VEERG_3_3_1_1__1_TotalAnnualMethaneFromEntericFermentationVariation(0,0,0,F160,O132,O165,O170,$D$175)</f>
        <v>2.487999310099096</v>
      </c>
      <c r="P180" s="25" cm="1">
        <f t="array" ref="P180">EntericMethane_Dairy_Equations.VEERG_3_3_1_1__1_TotalAnnualMethaneFromEntericFermentationVariation(G160,P132,P165,0,0,0,0,0)</f>
        <v>6.8203651498874986</v>
      </c>
      <c r="Q180" s="25" cm="1">
        <f t="array" ref="Q180">EntericMethane_Dairy_Equations.VEERG_3_3_1_1__1_TotalAnnualMethaneFromEntericFermentationVariation(0,0,0,H160,Q132,Q165,Q170,$E$175)</f>
        <v>3.3207233739960946</v>
      </c>
      <c r="R180" s="15" t="str">
        <f>$E$146</f>
        <v>t CH4</v>
      </c>
    </row>
    <row r="181" spans="1:18" ht="20.100000000000001" customHeight="1" x14ac:dyDescent="0.25"/>
    <row r="182" spans="1:18" ht="20.100000000000001" customHeight="1" x14ac:dyDescent="0.25">
      <c r="D182" s="135" t="s">
        <v>548</v>
      </c>
      <c r="E182" s="136">
        <f>SUM(D180:H180)</f>
        <v>32.464682683989999</v>
      </c>
      <c r="F182" s="137" t="str">
        <f>$E$146</f>
        <v>t CH4</v>
      </c>
      <c r="M182" s="135" t="s">
        <v>548</v>
      </c>
      <c r="N182" s="136">
        <f>SUM(M180:Q180)</f>
        <v>32.464682683989999</v>
      </c>
      <c r="O182" s="137" t="str">
        <f>$E$146</f>
        <v>t CH4</v>
      </c>
    </row>
    <row r="183" spans="1:18" ht="20.100000000000001" customHeight="1" x14ac:dyDescent="0.25"/>
    <row r="184" spans="1:18" ht="20.100000000000001" customHeight="1" x14ac:dyDescent="0.25">
      <c r="D184" s="132" t="str" cm="1">
        <f t="array" ref="D184:E185">Common_Equations.Common_ConvertCH4ToCO2e_Arguments()</f>
        <v>ECH4</v>
      </c>
      <c r="E184" s="138" t="str">
        <v>Methane emissions (t CH4)</v>
      </c>
      <c r="F184" s="139"/>
      <c r="G184" s="25">
        <f>VEERG_3_3_1_1__1_TotalAnnualMethaneFromEntericFermentationVariation_Result_Method1</f>
        <v>32.464682683989999</v>
      </c>
      <c r="M184" s="132" t="str" cm="1">
        <f t="array" ref="M184:N185">Common_Equations.Common_ConvertCH4ToCO2e_Arguments()</f>
        <v>ECH4</v>
      </c>
      <c r="N184" s="138" t="str">
        <v>Methane emissions (t CH4)</v>
      </c>
      <c r="O184" s="139"/>
      <c r="P184" s="25">
        <f>VEERG_3_3_1_1__1_TotalAnnualMethaneFromEntericFermentationVariation_Result_Method2</f>
        <v>32.464682683989999</v>
      </c>
    </row>
    <row r="185" spans="1:18" ht="20.100000000000001" customHeight="1" x14ac:dyDescent="0.25">
      <c r="D185" s="132" t="str">
        <v>GWPCH4</v>
      </c>
      <c r="E185" s="138" t="str">
        <v>Global warming potential for methane (t CO2-e / t CH4)</v>
      </c>
      <c r="F185" s="139"/>
      <c r="G185" s="25">
        <f>Common_InputFunctions.Utility_LookupValueInTableNumber("CH4",Table_GWPData[Gas],Table_GWPData[CO2-e factor])</f>
        <v>28</v>
      </c>
      <c r="M185" s="132" t="str">
        <v>GWPCH4</v>
      </c>
      <c r="N185" s="138" t="str">
        <v>Global warming potential for methane (t CO2-e / t CH4)</v>
      </c>
      <c r="O185" s="139"/>
      <c r="P185" s="25">
        <f>Common_InputFunctions.Utility_LookupValueInTableNumber("CH4",Table_GWPData[Gas],Table_GWPData[CO2-e factor])</f>
        <v>28</v>
      </c>
    </row>
    <row r="186" spans="1:18" ht="20.100000000000001" customHeight="1" x14ac:dyDescent="0.25"/>
    <row r="187" spans="1:18" ht="20.100000000000001" customHeight="1" x14ac:dyDescent="0.25">
      <c r="D187" s="101" t="s">
        <v>412</v>
      </c>
      <c r="E187" s="101" cm="1">
        <f t="array" ref="E187">Common_Equations.Common_ConvertN2OToCO2e(G184,G185)</f>
        <v>909.01111515171999</v>
      </c>
      <c r="F187" s="140" t="str" cm="1">
        <f t="array" ref="F187">Common_Equations.Common_ConvertN2OToCO2e_Unit()</f>
        <v>t CO2e</v>
      </c>
      <c r="M187" s="101" t="s">
        <v>412</v>
      </c>
      <c r="N187" s="101" cm="1">
        <f t="array" ref="N187">Common_Equations.Common_ConvertN2OToCO2e(P184,P185)</f>
        <v>909.01111515171999</v>
      </c>
      <c r="O187" s="140"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9"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9" t="str">
        <f>HYPERLINK("#A1", "▲ Back to top")</f>
        <v>▲ Back to top</v>
      </c>
    </row>
  </sheetData>
  <dataValidations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44285C26-51E4-4CC0-9F1C-492C39A616BD}"/>
  </dataValidations>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F4925-41F8-4F36-BF0A-F354609E5837}">
  <sheetPr>
    <tabColor rgb="FF008000"/>
  </sheetPr>
  <dimension ref="A1:L342"/>
  <sheetViews>
    <sheetView showGridLines="0" topLeftCell="A174"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30" customFormat="1" ht="30" customHeight="1" x14ac:dyDescent="0.35">
      <c r="A1" s="16" t="e" vm="1">
        <v>#VALUE!</v>
      </c>
      <c r="C1" s="30" t="s">
        <v>914</v>
      </c>
    </row>
    <row r="2" spans="1:12" s="3" customFormat="1" ht="20.100000000000001" customHeight="1" x14ac:dyDescent="0.25">
      <c r="A2"/>
    </row>
    <row r="3" spans="1:12" ht="20.100000000000001" customHeight="1" x14ac:dyDescent="0.25">
      <c r="A3" s="5" t="str">
        <f>HYPERLINK("#'Home'!A1", "Home")</f>
        <v>Home</v>
      </c>
      <c r="C3" s="32"/>
      <c r="D3" s="32" t="s">
        <v>136</v>
      </c>
      <c r="E3" s="32"/>
      <c r="F3" s="32"/>
      <c r="G3" s="32"/>
      <c r="H3" s="32"/>
      <c r="I3" s="32"/>
      <c r="J3" s="32"/>
      <c r="K3" s="32"/>
      <c r="L3" s="32"/>
    </row>
    <row r="4" spans="1:12" ht="20.100000000000001" customHeight="1" x14ac:dyDescent="0.25">
      <c r="A4" s="5" t="str">
        <f>HYPERLINK("#'Overview'!A1", "Overview")</f>
        <v>Overview</v>
      </c>
    </row>
    <row r="5" spans="1:12" ht="20.100000000000001" customHeight="1" x14ac:dyDescent="0.25">
      <c r="A5" s="5" t="str">
        <f>HYPERLINK("#'Results'!A1", "Results")</f>
        <v>Results</v>
      </c>
      <c r="D5" s="2" t="str" cm="1">
        <f t="array" ref="D5">WasteSolid_Equations.VEERG_10_1_1_1__2_MassOfWasteFromVolume_Title()</f>
        <v>Mass of waste from waste volume</v>
      </c>
    </row>
    <row r="6" spans="1:12" ht="20.100000000000001" customHeight="1" x14ac:dyDescent="0.25">
      <c r="D6" s="27" t="str" cm="1">
        <f t="array" ref="D6">WasteSolid_Equations.VEERG_10_1_1_1__2_MassOfWasteFromVolume_Source()</f>
        <v>VEERG 2026: 10.1.1.1, Equation (2)</v>
      </c>
    </row>
    <row r="7" spans="1:12" ht="20.100000000000001" customHeight="1" x14ac:dyDescent="0.25">
      <c r="D7" s="118" t="s">
        <v>262</v>
      </c>
      <c r="E7" s="118" t="str" cm="1">
        <f t="array" aca="1" ref="E7" ca="1">Common_InputFunctions.Utility_DisplayFunctionName(I21)</f>
        <v>=WasteSolid_Equations.VEERG_10_1_1_1__2_MassOfWasteFromVolume</v>
      </c>
    </row>
    <row r="8" spans="1:12" ht="20.100000000000001" customHeight="1" x14ac:dyDescent="0.25">
      <c r="A8" s="7" t="s">
        <v>0</v>
      </c>
    </row>
    <row r="9" spans="1:12" ht="20.100000000000001" customHeight="1" x14ac:dyDescent="0.25">
      <c r="A9" s="5" t="str">
        <f>HYPERLINK("#'Input - Enterprise'!A1", "Enterprise")</f>
        <v>Enterprise</v>
      </c>
    </row>
    <row r="10" spans="1:12" ht="20.100000000000001" customHeight="1" x14ac:dyDescent="0.25">
      <c r="A10" s="5" t="str">
        <f>HYPERLINK("#'Input - Site'!A1", "Site")</f>
        <v>Site</v>
      </c>
      <c r="D10" s="87" t="s">
        <v>263</v>
      </c>
      <c r="E10" s="1" t="str" cm="1">
        <f t="array" ref="E10">WasteSolid_Equations.VEERG_10_1_1_1__2_MassOfWasteFromVolume_Variable()</f>
        <v>Q_wt</v>
      </c>
    </row>
    <row r="11" spans="1:12" ht="20.100000000000001" customHeight="1" x14ac:dyDescent="0.25">
      <c r="A11" s="5" t="str">
        <f>HYPERLINK("#'Input - Dairy'!A1", "Dairy")</f>
        <v>Dairy</v>
      </c>
      <c r="D11" s="87" t="s">
        <v>122</v>
      </c>
      <c r="E11" s="15" t="str" cm="1">
        <f t="array" ref="E11">WasteSolid_Equations.VEERG_10_1_1_1__2_MassOfWasteFromVolume_Unit()</f>
        <v>t</v>
      </c>
    </row>
    <row r="12" spans="1:12" ht="20.100000000000001" customHeight="1" x14ac:dyDescent="0.25">
      <c r="A12" s="5" t="str">
        <f>HYPERLINK("#'Input - Dairy (Enteric)'!A1", "Dairy (Enteric)")</f>
        <v>Dairy (Enteric)</v>
      </c>
    </row>
    <row r="13" spans="1:12" ht="20.100000000000001" customHeight="1" x14ac:dyDescent="0.25">
      <c r="A13" s="5" t="str">
        <f>HYPERLINK("#'Input - Livestock sales'!A1", "Livestock sales")</f>
        <v>Livestock sales</v>
      </c>
      <c r="D13" s="120" t="str" cm="1">
        <f t="array" ref="D13:E16">_xlfn.CHOOSECOLS(WasteSolid_Equations.VEERG_10_1_1_1__2_MassOfWasteFromVolume_Arguments(),1,2)</f>
        <v>V_wt</v>
      </c>
      <c r="E13" s="125" t="str">
        <v>volume of solid waste type w being sent to treatment facility t</v>
      </c>
      <c r="F13" s="126"/>
      <c r="G13" s="120" t="str" cm="1">
        <f t="array" ref="G13:H16">_xlfn.CHOOSECOLS(WasteSolid_Equations.VEERG_10_1_1_1__2_MassOfWasteFromVolume_Arguments(),3,4)</f>
        <v>m3</v>
      </c>
      <c r="H13" s="121" t="str">
        <v>Input</v>
      </c>
      <c r="I13" s="127" t="str" cm="1">
        <f t="array" aca="1" ref="I13" ca="1">HYPERLINK(Common_InputFunctions.Utility_SourceHyperlink($D$18),$D$18)</f>
        <v>Table_V_w_t_onsite</v>
      </c>
      <c r="J13" s="127" t="str" cm="1">
        <f t="array" aca="1" ref="J13" ca="1">HYPERLINK(Common_InputFunctions.Utility_SourceHyperlink($D$56),$D$56)</f>
        <v>Table_V_w_t_offsite</v>
      </c>
    </row>
    <row r="14" spans="1:12" ht="20.100000000000001" customHeight="1" x14ac:dyDescent="0.25">
      <c r="A14" s="5" t="str">
        <f>HYPERLINK("#'Input - Dairy cattle purchases'!A1", "Dairy cattle purchases")</f>
        <v>Dairy cattle purchases</v>
      </c>
      <c r="D14" s="120" t="str">
        <v>VTM_w</v>
      </c>
      <c r="E14" s="125" t="str">
        <v>conversion factor of volume to mass for waste type w</v>
      </c>
      <c r="F14" s="126"/>
      <c r="G14" s="120" t="str">
        <v>t/m3</v>
      </c>
      <c r="H14" s="128" t="str">
        <v>Constant</v>
      </c>
      <c r="I14" s="127" t="str" cm="1">
        <f t="array" aca="1" ref="I14" ca="1">HYPERLINK(Common_InputFunctions.Utility_SourceHyperlink($D$18),$D$18)</f>
        <v>Table_V_w_t_onsite</v>
      </c>
      <c r="J14" s="127" t="str" cm="1">
        <f t="array" aca="1" ref="J14" ca="1">HYPERLINK(Common_InputFunctions.Utility_SourceHyperlink($D$56),$D$56)</f>
        <v>Table_V_w_t_offsite</v>
      </c>
    </row>
    <row r="15" spans="1:12" ht="20.100000000000001" customHeight="1" x14ac:dyDescent="0.25">
      <c r="A15" s="5" t="str">
        <f>HYPERLINK("#'Input - Pasture'!A1", "Pasture")</f>
        <v>Pasture</v>
      </c>
      <c r="D15" s="120" t="str">
        <v>w</v>
      </c>
      <c r="E15" s="125" t="str">
        <v>waste type</v>
      </c>
      <c r="F15" s="126"/>
      <c r="G15" s="120" t="str">
        <v/>
      </c>
      <c r="H15" s="121" t="str">
        <v>Input</v>
      </c>
      <c r="I15" s="127" t="str" cm="1">
        <f t="array" aca="1" ref="I15" ca="1">HYPERLINK(Common_InputFunctions.Utility_SourceHyperlink($D$18),$D$18)</f>
        <v>Table_V_w_t_onsite</v>
      </c>
      <c r="J15" s="127" t="str" cm="1">
        <f t="array" aca="1" ref="J15" ca="1">HYPERLINK(Common_InputFunctions.Utility_SourceHyperlink($D$56),$D$56)</f>
        <v>Table_V_w_t_offsite</v>
      </c>
    </row>
    <row r="16" spans="1:12" ht="20.100000000000001" customHeight="1" x14ac:dyDescent="0.25">
      <c r="A16" s="5" t="str">
        <f>HYPERLINK("#'Input - Fert Prod System'!A1", "Fert Prod System")</f>
        <v>Fert Prod System</v>
      </c>
      <c r="D16" s="120" t="str">
        <v>t</v>
      </c>
      <c r="E16" s="125" t="str">
        <v>treatment facility</v>
      </c>
      <c r="F16" s="126"/>
      <c r="G16" s="120" t="str">
        <v/>
      </c>
      <c r="H16" s="121" t="str">
        <v>Input</v>
      </c>
      <c r="I16" s="127" t="str" cm="1">
        <f t="array" aca="1" ref="I16" ca="1">HYPERLINK(Common_InputFunctions.Utility_SourceHyperlink($D$18),$D$18)</f>
        <v>Table_V_w_t_onsite</v>
      </c>
      <c r="J16" s="127" t="str" cm="1">
        <f t="array" aca="1" ref="J16" ca="1">HYPERLINK(Common_InputFunctions.Utility_SourceHyperlink($D$56),$D$56)</f>
        <v>Table_V_w_t_offsite</v>
      </c>
    </row>
    <row r="17" spans="1:9" ht="20.100000000000001" customHeight="1" x14ac:dyDescent="0.25">
      <c r="A17" s="5" t="str">
        <f>HYPERLINK("#'Input - Fertiliser'!A1", "Fertiliser")</f>
        <v>Fertiliser</v>
      </c>
    </row>
    <row r="18" spans="1:9" ht="20.100000000000001" customHeight="1" x14ac:dyDescent="0.25">
      <c r="A18" s="5" t="str">
        <f>HYPERLINK("#'Input - Fuel'!A1", "Fuel")</f>
        <v>Fuel</v>
      </c>
      <c r="D18" s="122" t="s">
        <v>915</v>
      </c>
    </row>
    <row r="19" spans="1:9" ht="20.100000000000001" customHeight="1" x14ac:dyDescent="0.25">
      <c r="A19" s="5" t="str">
        <f>HYPERLINK("#'Input - Electricity'!A1", "Electricity")</f>
        <v>Electricity</v>
      </c>
      <c r="D19" s="123" t="s">
        <v>916</v>
      </c>
    </row>
    <row r="20" spans="1:9" ht="20.100000000000001" customHeight="1" x14ac:dyDescent="0.25">
      <c r="A20" s="5" t="str">
        <f>HYPERLINK("#'Input - Farm Inputs'!A1", "Farm Inputs")</f>
        <v>Farm Inputs</v>
      </c>
      <c r="D20" s="94" t="s">
        <v>917</v>
      </c>
      <c r="E20" s="94" t="s">
        <v>918</v>
      </c>
      <c r="F20" s="94"/>
      <c r="G20" s="94" t="s">
        <v>919</v>
      </c>
      <c r="H20" s="124" t="s">
        <v>920</v>
      </c>
      <c r="I20" s="124" t="s">
        <v>921</v>
      </c>
    </row>
    <row r="21" spans="1:9" ht="20.100000000000001" customHeight="1" x14ac:dyDescent="0.25">
      <c r="A21" s="5" t="str">
        <f>HYPERLINK("#'Input - Freight'!A1", "Freight")</f>
        <v>Freight</v>
      </c>
      <c r="D21" s="120" t="str" cm="1">
        <f t="array" ref="D21:D54">Table_SourceData_WasteSolid_WasteTreatmentEFs[Treatment type t]</f>
        <v>Landfill</v>
      </c>
      <c r="E21" s="125" t="str" cm="1">
        <f t="array" ref="E21:E54">Table_SourceData_WasteSolid_WasteTreatmentEFs[Waste type w]</f>
        <v>Food waste (including animal carcasses, spoiled animal feed or crop)</v>
      </c>
      <c r="F21" s="186"/>
      <c r="G21" s="2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25" cm="1">
        <f t="array" ref="H21">Common_InputFunctions.Utility_LookupValueInTableNumber(E21,Table_SourceData_WasteSolid_VolumeToMassConversion[Waste type w],Table_SourceData_WasteSolid_VolumeToMassConversion[VTMw])</f>
        <v>0.5</v>
      </c>
      <c r="I21" s="25" cm="1">
        <f t="array" ref="I21">WasteSolid_Equations.VEERG_10_1_1_1__2_MassOfWasteFromVolume(G21,H21)</f>
        <v>25</v>
      </c>
    </row>
    <row r="22" spans="1:9" ht="20.100000000000001" customHeight="1" x14ac:dyDescent="0.25">
      <c r="A22" s="5" t="str">
        <f>HYPERLINK("#'Input - Manure sent off-site'!A1", "Manure sent off-site")</f>
        <v>Manure sent off-site</v>
      </c>
      <c r="D22" s="120" t="str">
        <v>Landfill</v>
      </c>
      <c r="E22" s="125" t="str">
        <v>Paper and cardboard</v>
      </c>
      <c r="F22" s="186"/>
      <c r="G22" s="2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25" cm="1">
        <f t="array" ref="H22">Common_InputFunctions.Utility_LookupValueInTableNumber(E22,Table_SourceData_WasteSolid_VolumeToMassConversion[Waste type w],Table_SourceData_WasteSolid_VolumeToMassConversion[VTMw])</f>
        <v>0.09</v>
      </c>
      <c r="I22" s="25" cm="1">
        <f t="array" ref="I22">WasteSolid_Equations.VEERG_10_1_1_1__2_MassOfWasteFromVolume(G22,H22)</f>
        <v>4.5</v>
      </c>
    </row>
    <row r="23" spans="1:9" ht="20.100000000000001" customHeight="1" x14ac:dyDescent="0.25">
      <c r="A23" s="5" t="str">
        <f>HYPERLINK("#'Input - Solid waste'!A1", "Solid waste")</f>
        <v>Solid waste</v>
      </c>
      <c r="D23" s="120" t="str">
        <v>Landfill</v>
      </c>
      <c r="E23" s="125" t="str">
        <v>Green waste (including crop residues or prunings)</v>
      </c>
      <c r="F23" s="186"/>
      <c r="G23" s="2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25" cm="1">
        <f t="array" ref="H23">Common_InputFunctions.Utility_LookupValueInTableNumber(E23,Table_SourceData_WasteSolid_VolumeToMassConversion[Waste type w],Table_SourceData_WasteSolid_VolumeToMassConversion[VTMw])</f>
        <v>0.24</v>
      </c>
      <c r="I23" s="25" cm="1">
        <f t="array" ref="I23">WasteSolid_Equations.VEERG_10_1_1_1__2_MassOfWasteFromVolume(G23,H23)</f>
        <v>12</v>
      </c>
    </row>
    <row r="24" spans="1:9" ht="20.100000000000001" customHeight="1" x14ac:dyDescent="0.25">
      <c r="A24" s="5" t="str">
        <f>HYPERLINK("#'Input - Data quality'!A1", "Data quality")</f>
        <v>Data quality</v>
      </c>
      <c r="D24" s="120" t="str">
        <v>Landfill</v>
      </c>
      <c r="E24" s="125" t="str">
        <v>Wood</v>
      </c>
      <c r="F24" s="186"/>
      <c r="G24" s="2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25" cm="1">
        <f t="array" ref="H24">Common_InputFunctions.Utility_LookupValueInTableNumber(E24,Table_SourceData_WasteSolid_VolumeToMassConversion[Waste type w],Table_SourceData_WasteSolid_VolumeToMassConversion[VTMw])</f>
        <v>0.15</v>
      </c>
      <c r="I24" s="25" cm="1">
        <f t="array" ref="I24">WasteSolid_Equations.VEERG_10_1_1_1__2_MassOfWasteFromVolume(G24,H24)</f>
        <v>0</v>
      </c>
    </row>
    <row r="25" spans="1:9" ht="20.100000000000001" customHeight="1" x14ac:dyDescent="0.25">
      <c r="D25" s="120" t="str">
        <v>Landfill</v>
      </c>
      <c r="E25" s="125" t="str">
        <v>Textiles</v>
      </c>
      <c r="F25" s="186"/>
      <c r="G25" s="2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25" cm="1">
        <f t="array" ref="H25">Common_InputFunctions.Utility_LookupValueInTableNumber(E25,Table_SourceData_WasteSolid_VolumeToMassConversion[Waste type w],Table_SourceData_WasteSolid_VolumeToMassConversion[VTMw])</f>
        <v>0.14000000000000001</v>
      </c>
      <c r="I25" s="25" cm="1">
        <f t="array" ref="I25">WasteSolid_Equations.VEERG_10_1_1_1__2_MassOfWasteFromVolume(G25,H25)</f>
        <v>0</v>
      </c>
    </row>
    <row r="26" spans="1:9" ht="20.100000000000001" customHeight="1" x14ac:dyDescent="0.25">
      <c r="D26" s="120" t="str">
        <v>Landfill</v>
      </c>
      <c r="E26" s="125" t="str">
        <v>Sludge</v>
      </c>
      <c r="F26" s="186"/>
      <c r="G26" s="2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25" cm="1">
        <f t="array" ref="H26">Common_InputFunctions.Utility_LookupValueInTableNumber(E26,Table_SourceData_WasteSolid_VolumeToMassConversion[Waste type w],Table_SourceData_WasteSolid_VolumeToMassConversion[VTMw])</f>
        <v>0.72</v>
      </c>
      <c r="I26" s="25" cm="1">
        <f t="array" ref="I26">WasteSolid_Equations.VEERG_10_1_1_1__2_MassOfWasteFromVolume(G26,H26)</f>
        <v>0</v>
      </c>
    </row>
    <row r="27" spans="1:9" ht="20.100000000000001" customHeight="1" x14ac:dyDescent="0.25">
      <c r="A27" s="6" t="s">
        <v>2</v>
      </c>
      <c r="D27" s="120" t="str">
        <v>Landfill</v>
      </c>
      <c r="E27" s="125" t="str">
        <v>Rubber and leather</v>
      </c>
      <c r="F27" s="186"/>
      <c r="G27" s="2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25" cm="1">
        <f t="array" ref="H27">Common_InputFunctions.Utility_LookupValueInTableNumber(E27,Table_SourceData_WasteSolid_VolumeToMassConversion[Waste type w],Table_SourceData_WasteSolid_VolumeToMassConversion[VTMw])</f>
        <v>0.14000000000000001</v>
      </c>
      <c r="I27" s="25" cm="1">
        <f t="array" ref="I27">WasteSolid_Equations.VEERG_10_1_1_1__2_MassOfWasteFromVolume(G27,H27)</f>
        <v>0</v>
      </c>
    </row>
    <row r="28" spans="1:9" ht="20.100000000000001" customHeight="1" x14ac:dyDescent="0.25">
      <c r="A28" s="5" t="str">
        <f>HYPERLINK("#'5.1.1.1-2 Inorganic fert N2O'!A1", "5.1.1.1-2 Inorganic fert N2O")</f>
        <v>5.1.1.1-2 Inorganic fert N2O</v>
      </c>
      <c r="D28" s="120" t="str">
        <v>Landfill</v>
      </c>
      <c r="E28" s="125" t="str">
        <v>Inert waste (including concrete, metal, plastic or glass)</v>
      </c>
      <c r="F28" s="186"/>
      <c r="G28" s="2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25" cm="1">
        <f t="array" ref="H28">Common_InputFunctions.Utility_LookupValueInTableNumber(E28,Table_SourceData_WasteSolid_VolumeToMassConversion[Waste type w],Table_SourceData_WasteSolid_VolumeToMassConversion[VTMw])</f>
        <v>0.42</v>
      </c>
      <c r="I28" s="25" cm="1">
        <f t="array" ref="I28">WasteSolid_Equations.VEERG_10_1_1_1__2_MassOfWasteFromVolume(G28,H28)</f>
        <v>0</v>
      </c>
    </row>
    <row r="29" spans="1:9" ht="20.100000000000001" customHeight="1" x14ac:dyDescent="0.25">
      <c r="A29" s="5" t="str">
        <f>HYPERLINK("#'5.1.1.3-4 Inorganic fert CO2'!A1", "5.1.1.3-4 Inorganic fert CO2")</f>
        <v>5.1.1.3-4 Inorganic fert CO2</v>
      </c>
      <c r="D29" s="120" t="str">
        <v>Landfill</v>
      </c>
      <c r="E29" s="125" t="str">
        <v>Municipal solid waste</v>
      </c>
      <c r="F29" s="186"/>
      <c r="G29" s="2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25" cm="1">
        <f t="array" ref="H29">Common_InputFunctions.Utility_LookupValueInTableNumber(E29,Table_SourceData_WasteSolid_VolumeToMassConversion[Waste type w],Table_SourceData_WasteSolid_VolumeToMassConversion[VTMw])</f>
        <v>0.36</v>
      </c>
      <c r="I29" s="25" cm="1">
        <f t="array" ref="I29">WasteSolid_Equations.VEERG_10_1_1_1__2_MassOfWasteFromVolume(G29,H29)</f>
        <v>0</v>
      </c>
    </row>
    <row r="30" spans="1:9" ht="20.100000000000001" customHeight="1" x14ac:dyDescent="0.25">
      <c r="A30" s="5" t="str">
        <f>HYPERLINK("#'5.2.1.1-2 Organic Fert N2O'!A1", "5.2.1.1-2 Organic fert N2O")</f>
        <v>5.2.1.1-2 Organic fert N2O</v>
      </c>
      <c r="D30" s="120" t="str">
        <v>Landfill</v>
      </c>
      <c r="E30" s="125" t="str">
        <v>Commercial and industrial waste</v>
      </c>
      <c r="F30" s="186"/>
      <c r="G30" s="2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25" cm="1">
        <f t="array" ref="H30">Common_InputFunctions.Utility_LookupValueInTableNumber(E30,Table_SourceData_WasteSolid_VolumeToMassConversion[Waste type w],Table_SourceData_WasteSolid_VolumeToMassConversion[VTMw])</f>
        <v>0.33</v>
      </c>
      <c r="I30" s="25" cm="1">
        <f t="array" ref="I30">WasteSolid_Equations.VEERG_10_1_1_1__2_MassOfWasteFromVolume(G30,H30)</f>
        <v>0</v>
      </c>
    </row>
    <row r="31" spans="1:9" ht="20.100000000000001" customHeight="1" x14ac:dyDescent="0.25">
      <c r="A31" s="5" t="str">
        <f>HYPERLINK("#'5.3.1.1-2 Lime CO2'!A1", "5.3.1.1-2 Lime CO2")</f>
        <v>5.3.1.1-2 Lime CO2</v>
      </c>
      <c r="D31" s="120" t="str">
        <v>Landfill</v>
      </c>
      <c r="E31" s="125" t="str">
        <v>Construction and demolition waste</v>
      </c>
      <c r="F31" s="186"/>
      <c r="G31" s="2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25" cm="1">
        <f t="array" ref="H31">Common_InputFunctions.Utility_LookupValueInTableNumber(E31,Table_SourceData_WasteSolid_VolumeToMassConversion[Waste type w],Table_SourceData_WasteSolid_VolumeToMassConversion[VTMw])</f>
        <v>0.39</v>
      </c>
      <c r="I31" s="25" cm="1">
        <f t="array" ref="I31">WasteSolid_Equations.VEERG_10_1_1_1__2_MassOfWasteFromVolume(G31,H31)</f>
        <v>0</v>
      </c>
    </row>
    <row r="32" spans="1:9" ht="20.100000000000001" customHeight="1" x14ac:dyDescent="0.25">
      <c r="A32" s="5" t="str">
        <f>HYPERLINK("#'5.4.1.1-4 Atmos deposition'!A1", "5.4.1.1-4 Atmos. deposition")</f>
        <v>5.4.1.1-4 Atmos. deposition</v>
      </c>
      <c r="D32" s="120" t="str">
        <v>Incineration</v>
      </c>
      <c r="E32" s="125" t="str">
        <v>Food waste, green waste, wood, sludge</v>
      </c>
      <c r="F32" s="186"/>
      <c r="G32" s="25" t="s">
        <v>643</v>
      </c>
      <c r="H32" s="25" t="s">
        <v>643</v>
      </c>
      <c r="I32" s="25" t="s">
        <v>643</v>
      </c>
    </row>
    <row r="33" spans="1:9" ht="20.100000000000001" customHeight="1" x14ac:dyDescent="0.25">
      <c r="A33" s="5" t="str">
        <f>HYPERLINK("#'5.5.1.1-2 Leaching and runoff'!A1", "5.5.1.1-2 Leaching &amp; runoff")</f>
        <v>5.5.1.1-2 Leaching &amp; runoff</v>
      </c>
      <c r="D33" s="120" t="str">
        <v>Incineration</v>
      </c>
      <c r="E33" s="125" t="str">
        <v>Food waste (including animal carcasses, spoiled animal feed or crop)</v>
      </c>
      <c r="F33" s="186"/>
      <c r="G33" s="2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25" cm="1">
        <f t="array" ref="H33">Common_InputFunctions.Utility_LookupValueInTableNumber(E33,Table_SourceData_WasteSolid_VolumeToMassConversion[Waste type w],Table_SourceData_WasteSolid_VolumeToMassConversion[VTMw])</f>
        <v>0.5</v>
      </c>
      <c r="I33" s="25" cm="1">
        <f t="array" ref="I33">WasteSolid_Equations.VEERG_10_1_1_1__2_MassOfWasteFromVolume(G33,H33)</f>
        <v>0</v>
      </c>
    </row>
    <row r="34" spans="1:9" ht="20.100000000000001" customHeight="1" x14ac:dyDescent="0.25">
      <c r="A34" s="5" t="str">
        <f>HYPERLINK("#'6.2.1.1-2 Pasture residue N2O'!A1", "6.2.1.1-2 Pasture residue N2O")</f>
        <v>6.2.1.1-2 Pasture residue N2O</v>
      </c>
      <c r="D34" s="120" t="str">
        <v>Incineration</v>
      </c>
      <c r="E34" s="125" t="str">
        <v>Green waste (including crop residues or prunings)</v>
      </c>
      <c r="F34" s="186"/>
      <c r="G34" s="2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25" cm="1">
        <f t="array" ref="H34">Common_InputFunctions.Utility_LookupValueInTableNumber(E34,Table_SourceData_WasteSolid_VolumeToMassConversion[Waste type w],Table_SourceData_WasteSolid_VolumeToMassConversion[VTMw])</f>
        <v>0.24</v>
      </c>
      <c r="I34" s="25" cm="1">
        <f t="array" ref="I34">WasteSolid_Equations.VEERG_10_1_1_1__2_MassOfWasteFromVolume(G34,H34)</f>
        <v>24</v>
      </c>
    </row>
    <row r="35" spans="1:9" ht="20.100000000000001" customHeight="1" x14ac:dyDescent="0.25">
      <c r="A35" s="5" t="str">
        <f>HYPERLINK("#'6.3.1.1-2 Leach runoff pasture'!A1", "6.3.1.1-2 Leach &amp; runoff (pasture)")</f>
        <v>6.3.1.1-2 Leach &amp; runoff (pasture)</v>
      </c>
      <c r="D35" s="120" t="str">
        <v>Incineration</v>
      </c>
      <c r="E35" s="125" t="str">
        <v>Wood</v>
      </c>
      <c r="F35" s="186"/>
      <c r="G35" s="2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25" cm="1">
        <f t="array" ref="H35">Common_InputFunctions.Utility_LookupValueInTableNumber(E35,Table_SourceData_WasteSolid_VolumeToMassConversion[Waste type w],Table_SourceData_WasteSolid_VolumeToMassConversion[VTMw])</f>
        <v>0.15</v>
      </c>
      <c r="I35" s="25" cm="1">
        <f t="array" ref="I35">WasteSolid_Equations.VEERG_10_1_1_1__2_MassOfWasteFromVolume(G35,H35)</f>
        <v>0</v>
      </c>
    </row>
    <row r="36" spans="1:9" ht="20.100000000000001" customHeight="1" x14ac:dyDescent="0.25">
      <c r="A36" s="5" t="str">
        <f>HYPERLINK("#'8.1.1.1-2 Transport fuel'!A1", "8.1.1.1-2 Transport fuel")</f>
        <v>8.1.1.1-2 Transport fuel</v>
      </c>
      <c r="D36" s="120" t="str">
        <v>Incineration</v>
      </c>
      <c r="E36" s="125" t="str">
        <v>Sludge</v>
      </c>
      <c r="F36" s="186"/>
      <c r="G36" s="2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25" cm="1">
        <f t="array" ref="H36">Common_InputFunctions.Utility_LookupValueInTableNumber(E36,Table_SourceData_WasteSolid_VolumeToMassConversion[Waste type w],Table_SourceData_WasteSolid_VolumeToMassConversion[VTMw])</f>
        <v>0.72</v>
      </c>
      <c r="I36" s="25" cm="1">
        <f t="array" ref="I36">WasteSolid_Equations.VEERG_10_1_1_1__2_MassOfWasteFromVolume(G36,H36)</f>
        <v>0</v>
      </c>
    </row>
    <row r="37" spans="1:9" ht="20.100000000000001" customHeight="1" x14ac:dyDescent="0.25">
      <c r="A37" s="5" t="str">
        <f>HYPERLINK("#'8.2.1.1-2 Stationary fuel'!A1", "8.2.1.1-2 Stationary fuel")</f>
        <v>8.2.1.1-2 Stationary fuel</v>
      </c>
      <c r="D37" s="120" t="str">
        <v>Incineration</v>
      </c>
      <c r="E37" s="125" t="str">
        <v>Paper and cardboard</v>
      </c>
      <c r="F37" s="186"/>
      <c r="G37" s="2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25" cm="1">
        <f t="array" ref="H37">Common_InputFunctions.Utility_LookupValueInTableNumber(E37,Table_SourceData_WasteSolid_VolumeToMassConversion[Waste type w],Table_SourceData_WasteSolid_VolumeToMassConversion[VTMw])</f>
        <v>0.09</v>
      </c>
      <c r="I37" s="25" cm="1">
        <f t="array" ref="I37">WasteSolid_Equations.VEERG_10_1_1_1__2_MassOfWasteFromVolume(G37,H37)</f>
        <v>4.5</v>
      </c>
    </row>
    <row r="38" spans="1:9" ht="20.100000000000001" customHeight="1" x14ac:dyDescent="0.25">
      <c r="A38" s="5" t="str">
        <f>HYPERLINK("#'14.1.1-2 Purchased electricity'!A1", "14.1.1-2 Purchased electricity")</f>
        <v>14.1.1-2 Purchased electricity</v>
      </c>
      <c r="D38" s="120" t="str">
        <v>Incineration</v>
      </c>
      <c r="E38" s="125" t="str">
        <v>Textiles</v>
      </c>
      <c r="F38" s="186"/>
      <c r="G38" s="2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25" cm="1">
        <f t="array" ref="H38">Common_InputFunctions.Utility_LookupValueInTableNumber(E38,Table_SourceData_WasteSolid_VolumeToMassConversion[Waste type w],Table_SourceData_WasteSolid_VolumeToMassConversion[VTMw])</f>
        <v>0.14000000000000001</v>
      </c>
      <c r="I38" s="25" cm="1">
        <f t="array" ref="I38">WasteSolid_Equations.VEERG_10_1_1_1__2_MassOfWasteFromVolume(G38,H38)</f>
        <v>0</v>
      </c>
    </row>
    <row r="39" spans="1:9" ht="20.100000000000001" customHeight="1" x14ac:dyDescent="0.25">
      <c r="A39" s="5" t="str">
        <f>HYPERLINK("#'15 Scope 3'!A1", "15 Scope 3")</f>
        <v>15 Scope 3</v>
      </c>
      <c r="D39" s="120" t="str">
        <v>Incineration</v>
      </c>
      <c r="E39" s="125" t="str">
        <v>Rubber and leather</v>
      </c>
      <c r="F39" s="186"/>
      <c r="G39" s="2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25" cm="1">
        <f t="array" ref="H39">Common_InputFunctions.Utility_LookupValueInTableNumber(E39,Table_SourceData_WasteSolid_VolumeToMassConversion[Waste type w],Table_SourceData_WasteSolid_VolumeToMassConversion[VTMw])</f>
        <v>0.14000000000000001</v>
      </c>
      <c r="I39" s="25" cm="1">
        <f t="array" ref="I39">WasteSolid_Equations.VEERG_10_1_1_1__2_MassOfWasteFromVolume(G39,H39)</f>
        <v>0</v>
      </c>
    </row>
    <row r="40" spans="1:9" ht="20.100000000000001" customHeight="1" x14ac:dyDescent="0.25">
      <c r="A40" s="5" t="str">
        <f>HYPERLINK("#'Calcs - Manure sent off-site'!A1", "Calcs - Manure sent off-site")</f>
        <v>Calcs - Manure sent off-site</v>
      </c>
      <c r="D40" s="120" t="str">
        <v>Incineration</v>
      </c>
      <c r="E40" s="120" t="str">
        <v>Inert waste (including concrete, metal, plastic or glass)</v>
      </c>
      <c r="F40" s="120"/>
      <c r="G40" s="2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25" cm="1">
        <f t="array" ref="H40">Common_InputFunctions.Utility_LookupValueInTableNumber(E40,Table_SourceData_WasteSolid_VolumeToMassConversion[Waste type w],Table_SourceData_WasteSolid_VolumeToMassConversion[VTMw])</f>
        <v>0.42</v>
      </c>
      <c r="I40" s="25" cm="1">
        <f t="array" ref="I40">WasteSolid_Equations.VEERG_10_1_1_1__2_MassOfWasteFromVolume(G40,H40)</f>
        <v>0</v>
      </c>
    </row>
    <row r="41" spans="1:9" ht="20.100000000000001" customHeight="1" x14ac:dyDescent="0.25">
      <c r="A41" s="5" t="str">
        <f>HYPERLINK("#'4.3.1.1-2 Methane'!A1", "4.3.1.1-2 Methane")</f>
        <v>4.3.1.1-2 Methane</v>
      </c>
      <c r="D41" s="120" t="str">
        <v>Incineration</v>
      </c>
      <c r="E41" s="125" t="str">
        <v>Municipal solid waste</v>
      </c>
      <c r="F41" s="126"/>
      <c r="G41" s="2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25" cm="1">
        <f t="array" ref="H41">Common_InputFunctions.Utility_LookupValueInTableNumber(E41,Table_SourceData_WasteSolid_VolumeToMassConversion[Waste type w],Table_SourceData_WasteSolid_VolumeToMassConversion[VTMw])</f>
        <v>0.36</v>
      </c>
      <c r="I41" s="25" cm="1">
        <f t="array" ref="I41">WasteSolid_Equations.VEERG_10_1_1_1__2_MassOfWasteFromVolume(G41,H41)</f>
        <v>0</v>
      </c>
    </row>
    <row r="42" spans="1:9" ht="20.100000000000001" customHeight="1" x14ac:dyDescent="0.25">
      <c r="A42" s="5" t="str">
        <f>HYPERLINK("#'4.3.1.3-4 Direct N20'!A1", "4.3.1.3-4 Direct N20")</f>
        <v>4.3.1.3-4 Direct N20</v>
      </c>
      <c r="D42" s="120" t="str">
        <v>Incineration</v>
      </c>
      <c r="E42" s="125" t="str">
        <v>Commercial and industrial waste</v>
      </c>
      <c r="F42" s="126"/>
      <c r="G42" s="2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25" cm="1">
        <f t="array" ref="H42">Common_InputFunctions.Utility_LookupValueInTableNumber(E42,Table_SourceData_WasteSolid_VolumeToMassConversion[Waste type w],Table_SourceData_WasteSolid_VolumeToMassConversion[VTMw])</f>
        <v>0.33</v>
      </c>
      <c r="I42" s="25" cm="1">
        <f t="array" ref="I42">WasteSolid_Equations.VEERG_10_1_1_1__2_MassOfWasteFromVolume(G42,H42)</f>
        <v>0</v>
      </c>
    </row>
    <row r="43" spans="1:9" ht="20.100000000000001" customHeight="1" x14ac:dyDescent="0.25">
      <c r="A43" s="5" t="str">
        <f>HYPERLINK("#'4.3.1.5 Atmos deposition'!A1", "4.3.1.5 Atmos deposition")</f>
        <v>4.3.1.5 Atmos deposition</v>
      </c>
      <c r="D43" s="120" t="str">
        <v>Composting</v>
      </c>
      <c r="E43" s="125" t="str">
        <v>All organic waste</v>
      </c>
      <c r="F43" s="126"/>
      <c r="G43" s="25" t="s">
        <v>643</v>
      </c>
      <c r="H43" s="25" t="s">
        <v>643</v>
      </c>
      <c r="I43" s="25" t="s">
        <v>643</v>
      </c>
    </row>
    <row r="44" spans="1:9" ht="20.100000000000001" customHeight="1" x14ac:dyDescent="0.25">
      <c r="A44" s="5" t="str">
        <f>HYPERLINK("#'4.3.1.6-7 Leaching and runoff'!A1", "4.3.1.6-7 Leaching and runoff")</f>
        <v>4.3.1.6-7 Leaching and runoff</v>
      </c>
      <c r="D44" s="120" t="str">
        <v>Composting</v>
      </c>
      <c r="E44" s="125" t="str">
        <v>Food waste (including animal carcasses, spoiled animal feed or crop)</v>
      </c>
      <c r="F44" s="126"/>
      <c r="G44" s="2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25" cm="1">
        <f t="array" ref="H44">Common_InputFunctions.Utility_LookupValueInTableNumber(E44,Table_SourceData_WasteSolid_VolumeToMassConversion[Waste type w],Table_SourceData_WasteSolid_VolumeToMassConversion[VTMw])</f>
        <v>0.5</v>
      </c>
      <c r="I44" s="25" cm="1">
        <f t="array" ref="I44">WasteSolid_Equations.VEERG_10_1_1_1__2_MassOfWasteFromVolume(G44,H44)</f>
        <v>25</v>
      </c>
    </row>
    <row r="45" spans="1:9" ht="20.100000000000001" customHeight="1" x14ac:dyDescent="0.25">
      <c r="A45" s="5" t="str">
        <f>HYPERLINK("#'4.3.1.8 Manure applied to soils'!A1", "4.3.1.8 Manure applied to soils")</f>
        <v>4.3.1.8 Manure applied to soils</v>
      </c>
      <c r="D45" s="120" t="str">
        <v>Composting</v>
      </c>
      <c r="E45" s="125" t="str">
        <v>Green waste (including crop residues or prunings)</v>
      </c>
      <c r="F45" s="126"/>
      <c r="G45" s="2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25" cm="1">
        <f t="array" ref="H45">Common_InputFunctions.Utility_LookupValueInTableNumber(E45,Table_SourceData_WasteSolid_VolumeToMassConversion[Waste type w],Table_SourceData_WasteSolid_VolumeToMassConversion[VTMw])</f>
        <v>0.24</v>
      </c>
      <c r="I45" s="25" cm="1">
        <f t="array" ref="I45">WasteSolid_Equations.VEERG_10_1_1_1__2_MassOfWasteFromVolume(G45,H45)</f>
        <v>0</v>
      </c>
    </row>
    <row r="46" spans="1:9" ht="20.100000000000001" customHeight="1" x14ac:dyDescent="0.25">
      <c r="A46" s="5" t="str">
        <f>HYPERLINK("#'4.3.1.9 Soil direct N2O'!A1", "4.3.1.9 Soil direct N2O")</f>
        <v>4.3.1.9 Soil direct N2O</v>
      </c>
      <c r="D46" s="120" t="str">
        <v>Composting</v>
      </c>
      <c r="E46" s="125" t="str">
        <v>Wood</v>
      </c>
      <c r="F46" s="126"/>
      <c r="G46" s="2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25" cm="1">
        <f t="array" ref="H46">Common_InputFunctions.Utility_LookupValueInTableNumber(E46,Table_SourceData_WasteSolid_VolumeToMassConversion[Waste type w],Table_SourceData_WasteSolid_VolumeToMassConversion[VTMw])</f>
        <v>0.15</v>
      </c>
      <c r="I46" s="25" cm="1">
        <f t="array" ref="I46">WasteSolid_Equations.VEERG_10_1_1_1__2_MassOfWasteFromVolume(G46,H46)</f>
        <v>0</v>
      </c>
    </row>
    <row r="47" spans="1:9" ht="20.100000000000001" customHeight="1" x14ac:dyDescent="0.25">
      <c r="A47" s="5" t="str">
        <f>HYPERLINK("#'4.3.1.10-11 Soil Atmos Dep'!A1", "4.3.1.10-11 Soil Atmos Dep")</f>
        <v>4.3.1.10-11 Soil Atmos Dep</v>
      </c>
      <c r="D47" s="120" t="str">
        <v>Composting</v>
      </c>
      <c r="E47" s="125" t="str">
        <v>Sludge</v>
      </c>
      <c r="F47" s="126"/>
      <c r="G47" s="2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25" cm="1">
        <f t="array" ref="H47">Common_InputFunctions.Utility_LookupValueInTableNumber(E47,Table_SourceData_WasteSolid_VolumeToMassConversion[Waste type w],Table_SourceData_WasteSolid_VolumeToMassConversion[VTMw])</f>
        <v>0.72</v>
      </c>
      <c r="I47" s="25" cm="1">
        <f t="array" ref="I47">WasteSolid_Equations.VEERG_10_1_1_1__2_MassOfWasteFromVolume(G47,H47)</f>
        <v>0</v>
      </c>
    </row>
    <row r="48" spans="1:9" ht="20.100000000000001" customHeight="1" x14ac:dyDescent="0.25">
      <c r="A48" s="5" t="str">
        <f>HYPERLINK("#'4.3.1.12-13 Soil leach runoff'!A1", "4.3.1.12-13 Soil leach runoff")</f>
        <v>4.3.1.12-13 Soil leach runoff</v>
      </c>
      <c r="D48" s="120" t="str">
        <v>Composting</v>
      </c>
      <c r="E48" s="125" t="str">
        <v>Paper and cardboard</v>
      </c>
      <c r="F48" s="126"/>
      <c r="G48" s="2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25" cm="1">
        <f t="array" ref="H48">Common_InputFunctions.Utility_LookupValueInTableNumber(E48,Table_SourceData_WasteSolid_VolumeToMassConversion[Waste type w],Table_SourceData_WasteSolid_VolumeToMassConversion[VTMw])</f>
        <v>0.09</v>
      </c>
      <c r="I48" s="25" cm="1">
        <f t="array" ref="I48">WasteSolid_Equations.VEERG_10_1_1_1__2_MassOfWasteFromVolume(G48,H48)</f>
        <v>4.5</v>
      </c>
    </row>
    <row r="49" spans="1:9" ht="20.100000000000001" customHeight="1" x14ac:dyDescent="0.25">
      <c r="A49" s="5" t="str">
        <f>HYPERLINK("#'3.3.1.1-2 Enteric Methane'!A1", "3.3.1.1-2 Enteric Methane")</f>
        <v>3.3.1.1-2 Enteric Methane</v>
      </c>
      <c r="D49" s="120" t="str">
        <v>Anaerobic digestion</v>
      </c>
      <c r="E49" s="125" t="str">
        <v>All organic waste</v>
      </c>
      <c r="F49" s="126"/>
      <c r="G49" s="25" t="s">
        <v>643</v>
      </c>
      <c r="H49" s="25" t="s">
        <v>643</v>
      </c>
      <c r="I49" s="25" t="s">
        <v>643</v>
      </c>
    </row>
    <row r="50" spans="1:9" ht="20.100000000000001" customHeight="1" x14ac:dyDescent="0.25">
      <c r="A50" s="119" t="str">
        <f>HYPERLINK("#'10.1.1-2 Solid waste treatment'!A1", "10.1.1-2 Solid waste treatment")</f>
        <v>10.1.1-2 Solid waste treatment</v>
      </c>
      <c r="D50" s="120" t="str">
        <v>Anaerobic digestion</v>
      </c>
      <c r="E50" s="125" t="str">
        <v>Food waste (including animal carcasses, spoiled animal feed or crop)</v>
      </c>
      <c r="F50" s="126"/>
      <c r="G50" s="2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25" cm="1">
        <f t="array" ref="H50">Common_InputFunctions.Utility_LookupValueInTableNumber(E50,Table_SourceData_WasteSolid_VolumeToMassConversion[Waste type w],Table_SourceData_WasteSolid_VolumeToMassConversion[VTMw])</f>
        <v>0.5</v>
      </c>
      <c r="I50" s="25" cm="1">
        <f t="array" ref="I50">WasteSolid_Equations.VEERG_10_1_1_1__2_MassOfWasteFromVolume(G50,H50)</f>
        <v>0</v>
      </c>
    </row>
    <row r="51" spans="1:9" ht="20.100000000000001" customHeight="1" x14ac:dyDescent="0.25">
      <c r="D51" s="120" t="str">
        <v>Anaerobic digestion</v>
      </c>
      <c r="E51" s="125" t="str">
        <v>Green waste (including crop residues or prunings)</v>
      </c>
      <c r="F51" s="126"/>
      <c r="G51" s="2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25" cm="1">
        <f t="array" ref="H51">Common_InputFunctions.Utility_LookupValueInTableNumber(E51,Table_SourceData_WasteSolid_VolumeToMassConversion[Waste type w],Table_SourceData_WasteSolid_VolumeToMassConversion[VTMw])</f>
        <v>0.24</v>
      </c>
      <c r="I51" s="25" cm="1">
        <f t="array" ref="I51">WasteSolid_Equations.VEERG_10_1_1_1__2_MassOfWasteFromVolume(G51,H51)</f>
        <v>0</v>
      </c>
    </row>
    <row r="52" spans="1:9" ht="20.100000000000001" customHeight="1" x14ac:dyDescent="0.25">
      <c r="D52" s="120" t="str">
        <v>Anaerobic digestion</v>
      </c>
      <c r="E52" s="125" t="str">
        <v>Wood</v>
      </c>
      <c r="F52" s="126"/>
      <c r="G52" s="2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25" cm="1">
        <f t="array" ref="H52">Common_InputFunctions.Utility_LookupValueInTableNumber(E52,Table_SourceData_WasteSolid_VolumeToMassConversion[Waste type w],Table_SourceData_WasteSolid_VolumeToMassConversion[VTMw])</f>
        <v>0.15</v>
      </c>
      <c r="I52" s="25" cm="1">
        <f t="array" ref="I52">WasteSolid_Equations.VEERG_10_1_1_1__2_MassOfWasteFromVolume(G52,H52)</f>
        <v>0</v>
      </c>
    </row>
    <row r="53" spans="1:9" ht="20.100000000000001" customHeight="1" x14ac:dyDescent="0.25">
      <c r="A53" s="100" t="s">
        <v>1</v>
      </c>
      <c r="D53" s="120" t="str">
        <v>Anaerobic digestion</v>
      </c>
      <c r="E53" s="125" t="str">
        <v>Sludge</v>
      </c>
      <c r="F53" s="126"/>
      <c r="G53" s="2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25" cm="1">
        <f t="array" ref="H53">Common_InputFunctions.Utility_LookupValueInTableNumber(E53,Table_SourceData_WasteSolid_VolumeToMassConversion[Waste type w],Table_SourceData_WasteSolid_VolumeToMassConversion[VTMw])</f>
        <v>0.72</v>
      </c>
      <c r="I53" s="25" cm="1">
        <f t="array" ref="I53">WasteSolid_Equations.VEERG_10_1_1_1__2_MassOfWasteFromVolume(G53,H53)</f>
        <v>0</v>
      </c>
    </row>
    <row r="54" spans="1:9" ht="20.100000000000001" customHeight="1" x14ac:dyDescent="0.25">
      <c r="A54" s="5" t="str">
        <f>HYPERLINK("#'Constants - Dairy'!A1", "Constants - Dairy")</f>
        <v>Constants - Dairy</v>
      </c>
      <c r="D54" s="120" t="str">
        <v>Anaerobic digestion</v>
      </c>
      <c r="E54" s="125" t="str">
        <v>Paper and cardboard</v>
      </c>
      <c r="F54" s="126"/>
      <c r="G54" s="2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25" cm="1">
        <f t="array" ref="H54">Common_InputFunctions.Utility_LookupValueInTableNumber(E54,Table_SourceData_WasteSolid_VolumeToMassConversion[Waste type w],Table_SourceData_WasteSolid_VolumeToMassConversion[VTMw])</f>
        <v>0.09</v>
      </c>
      <c r="I54" s="25" cm="1">
        <f t="array" ref="I54">WasteSolid_Equations.VEERG_10_1_1_1__2_MassOfWasteFromVolume(G54,H54)</f>
        <v>0</v>
      </c>
    </row>
    <row r="55" spans="1:9" ht="20.100000000000001" customHeight="1" x14ac:dyDescent="0.25">
      <c r="A55" s="5" t="str">
        <f>HYPERLINK("#'Constants - Ag Residue'!A1", "Constants - Ag residue")</f>
        <v>Constants - Ag residue</v>
      </c>
    </row>
    <row r="56" spans="1:9" ht="20.100000000000001" customHeight="1" x14ac:dyDescent="0.25">
      <c r="A56" s="5" t="str">
        <f>HYPERLINK("#'Constants - Common Livestock'!A1", "Constants - Common Livestock")</f>
        <v>Constants - Common Livestock</v>
      </c>
      <c r="D56" s="122" t="s">
        <v>922</v>
      </c>
    </row>
    <row r="57" spans="1:9" ht="20.100000000000001" customHeight="1" x14ac:dyDescent="0.25">
      <c r="A57" s="5" t="str">
        <f>HYPERLINK("#'Constants - Electricity'!A1", "Constants - Electricity")</f>
        <v>Constants - Electricity</v>
      </c>
      <c r="D57" s="123" t="s">
        <v>923</v>
      </c>
    </row>
    <row r="58" spans="1:9" ht="20.100000000000001" customHeight="1" x14ac:dyDescent="0.25">
      <c r="A58" s="5" t="str">
        <f>HYPERLINK("#'Constants - Fertiliser'!A1", "Constants - Fertiliser")</f>
        <v>Constants - Fertiliser</v>
      </c>
      <c r="D58" s="94" t="s">
        <v>917</v>
      </c>
      <c r="E58" s="94" t="s">
        <v>918</v>
      </c>
      <c r="F58" s="94"/>
      <c r="G58" s="94" t="s">
        <v>919</v>
      </c>
      <c r="H58" s="124" t="s">
        <v>920</v>
      </c>
      <c r="I58" s="124" t="s">
        <v>921</v>
      </c>
    </row>
    <row r="59" spans="1:9" ht="20.100000000000001" customHeight="1" x14ac:dyDescent="0.25">
      <c r="A59" s="5" t="str">
        <f>HYPERLINK("#'Constants - Fuel'!A1", "Constants - Fuel")</f>
        <v>Constants - Fuel</v>
      </c>
      <c r="D59" s="120" t="str" cm="1">
        <f t="array" ref="D59:D92">Table_SourceData_WasteSolid_WasteTreatmentEFs[Treatment type t]</f>
        <v>Landfill</v>
      </c>
      <c r="E59" s="125" t="str" cm="1">
        <f t="array" ref="E59:E92">Table_SourceData_WasteSolid_WasteTreatmentEFs[Waste type w]</f>
        <v>Food waste (including animal carcasses, spoiled animal feed or crop)</v>
      </c>
      <c r="F59" s="186"/>
      <c r="G59" s="2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25" cm="1">
        <f t="array" ref="H59">Common_InputFunctions.Utility_LookupValueInTableNumber(E59,Table_SourceData_WasteSolid_VolumeToMassConversion[Waste type w],Table_SourceData_WasteSolid_VolumeToMassConversion[VTMw])</f>
        <v>0.5</v>
      </c>
      <c r="I59" s="25" cm="1">
        <f t="array" ref="I59">WasteSolid_Equations.VEERG_10_1_1_1__2_MassOfWasteFromVolume(G59,H59)</f>
        <v>25</v>
      </c>
    </row>
    <row r="60" spans="1:9" ht="20.100000000000001" customHeight="1" x14ac:dyDescent="0.25">
      <c r="A60" s="5" t="str">
        <f>HYPERLINK("#'Constants - Scope 3'!A1", "Constants - Scope 3")</f>
        <v>Constants - Scope 3</v>
      </c>
      <c r="D60" s="120" t="str">
        <v>Landfill</v>
      </c>
      <c r="E60" s="125" t="str">
        <v>Paper and cardboard</v>
      </c>
      <c r="F60" s="186"/>
      <c r="G60" s="2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25" cm="1">
        <f t="array" ref="H60">Common_InputFunctions.Utility_LookupValueInTableNumber(E60,Table_SourceData_WasteSolid_VolumeToMassConversion[Waste type w],Table_SourceData_WasteSolid_VolumeToMassConversion[VTMw])</f>
        <v>0.09</v>
      </c>
      <c r="I60" s="25" cm="1">
        <f t="array" ref="I60">WasteSolid_Equations.VEERG_10_1_1_1__2_MassOfWasteFromVolume(G60,H60)</f>
        <v>4.5</v>
      </c>
    </row>
    <row r="61" spans="1:9" ht="20.100000000000001" customHeight="1" x14ac:dyDescent="0.25">
      <c r="A61" s="5" t="str">
        <f>HYPERLINK("#'Constants - Common'!A1", "Constants - Common")</f>
        <v>Constants - Common</v>
      </c>
      <c r="D61" s="120" t="str">
        <v>Landfill</v>
      </c>
      <c r="E61" s="125" t="str">
        <v>Green waste (including crop residues or prunings)</v>
      </c>
      <c r="F61" s="186"/>
      <c r="G61" s="2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25" cm="1">
        <f t="array" ref="H61">Common_InputFunctions.Utility_LookupValueInTableNumber(E61,Table_SourceData_WasteSolid_VolumeToMassConversion[Waste type w],Table_SourceData_WasteSolid_VolumeToMassConversion[VTMw])</f>
        <v>0.24</v>
      </c>
      <c r="I61" s="25" cm="1">
        <f t="array" ref="I61">WasteSolid_Equations.VEERG_10_1_1_1__2_MassOfWasteFromVolume(G61,H61)</f>
        <v>12</v>
      </c>
    </row>
    <row r="62" spans="1:9" ht="20.100000000000001" customHeight="1" x14ac:dyDescent="0.25">
      <c r="A62" s="5" t="str">
        <f>HYPERLINK("#'Acknowledgements'!A1", "Acknowledgements")</f>
        <v>Acknowledgements</v>
      </c>
      <c r="D62" s="120" t="str">
        <v>Landfill</v>
      </c>
      <c r="E62" s="125" t="str">
        <v>Wood</v>
      </c>
      <c r="F62" s="186"/>
      <c r="G62" s="2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25" cm="1">
        <f t="array" ref="H62">Common_InputFunctions.Utility_LookupValueInTableNumber(E62,Table_SourceData_WasteSolid_VolumeToMassConversion[Waste type w],Table_SourceData_WasteSolid_VolumeToMassConversion[VTMw])</f>
        <v>0.15</v>
      </c>
      <c r="I62" s="25" cm="1">
        <f t="array" ref="I62">WasteSolid_Equations.VEERG_10_1_1_1__2_MassOfWasteFromVolume(G62,H62)</f>
        <v>0</v>
      </c>
    </row>
    <row r="63" spans="1:9" ht="20.100000000000001" customHeight="1" x14ac:dyDescent="0.25">
      <c r="A63" s="5" t="str">
        <f>HYPERLINK("#'Constants - Solid Waste'!A1", "Constants - Solid Waste")</f>
        <v>Constants - Solid Waste</v>
      </c>
      <c r="D63" s="120" t="str">
        <v>Landfill</v>
      </c>
      <c r="E63" s="125" t="str">
        <v>Textiles</v>
      </c>
      <c r="F63" s="186"/>
      <c r="G63" s="2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25" cm="1">
        <f t="array" ref="H63">Common_InputFunctions.Utility_LookupValueInTableNumber(E63,Table_SourceData_WasteSolid_VolumeToMassConversion[Waste type w],Table_SourceData_WasteSolid_VolumeToMassConversion[VTMw])</f>
        <v>0.14000000000000001</v>
      </c>
      <c r="I63" s="25" cm="1">
        <f t="array" ref="I63">WasteSolid_Equations.VEERG_10_1_1_1__2_MassOfWasteFromVolume(G63,H63)</f>
        <v>0</v>
      </c>
    </row>
    <row r="64" spans="1:9" ht="20.100000000000001" customHeight="1" x14ac:dyDescent="0.25">
      <c r="D64" s="120" t="str">
        <v>Landfill</v>
      </c>
      <c r="E64" s="125" t="str">
        <v>Sludge</v>
      </c>
      <c r="F64" s="186"/>
      <c r="G64" s="2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25" cm="1">
        <f t="array" ref="H64">Common_InputFunctions.Utility_LookupValueInTableNumber(E64,Table_SourceData_WasteSolid_VolumeToMassConversion[Waste type w],Table_SourceData_WasteSolid_VolumeToMassConversion[VTMw])</f>
        <v>0.72</v>
      </c>
      <c r="I64" s="25" cm="1">
        <f t="array" ref="I64">WasteSolid_Equations.VEERG_10_1_1_1__2_MassOfWasteFromVolume(G64,H64)</f>
        <v>0</v>
      </c>
    </row>
    <row r="65" spans="4:9" ht="20.100000000000001" customHeight="1" x14ac:dyDescent="0.25">
      <c r="D65" s="120" t="str">
        <v>Landfill</v>
      </c>
      <c r="E65" s="125" t="str">
        <v>Rubber and leather</v>
      </c>
      <c r="F65" s="186"/>
      <c r="G65" s="2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25" cm="1">
        <f t="array" ref="H65">Common_InputFunctions.Utility_LookupValueInTableNumber(E65,Table_SourceData_WasteSolid_VolumeToMassConversion[Waste type w],Table_SourceData_WasteSolid_VolumeToMassConversion[VTMw])</f>
        <v>0.14000000000000001</v>
      </c>
      <c r="I65" s="25" cm="1">
        <f t="array" ref="I65">WasteSolid_Equations.VEERG_10_1_1_1__2_MassOfWasteFromVolume(G65,H65)</f>
        <v>0</v>
      </c>
    </row>
    <row r="66" spans="4:9" ht="20.100000000000001" customHeight="1" x14ac:dyDescent="0.25">
      <c r="D66" s="120" t="str">
        <v>Landfill</v>
      </c>
      <c r="E66" s="125" t="str">
        <v>Inert waste (including concrete, metal, plastic or glass)</v>
      </c>
      <c r="F66" s="186"/>
      <c r="G66" s="2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25" cm="1">
        <f t="array" ref="H66">Common_InputFunctions.Utility_LookupValueInTableNumber(E66,Table_SourceData_WasteSolid_VolumeToMassConversion[Waste type w],Table_SourceData_WasteSolid_VolumeToMassConversion[VTMw])</f>
        <v>0.42</v>
      </c>
      <c r="I66" s="25" cm="1">
        <f t="array" ref="I66">WasteSolid_Equations.VEERG_10_1_1_1__2_MassOfWasteFromVolume(G66,H66)</f>
        <v>0</v>
      </c>
    </row>
    <row r="67" spans="4:9" ht="20.100000000000001" customHeight="1" x14ac:dyDescent="0.25">
      <c r="D67" s="120" t="str">
        <v>Landfill</v>
      </c>
      <c r="E67" s="125" t="str">
        <v>Municipal solid waste</v>
      </c>
      <c r="F67" s="186"/>
      <c r="G67" s="2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25" cm="1">
        <f t="array" ref="H67">Common_InputFunctions.Utility_LookupValueInTableNumber(E67,Table_SourceData_WasteSolid_VolumeToMassConversion[Waste type w],Table_SourceData_WasteSolid_VolumeToMassConversion[VTMw])</f>
        <v>0.36</v>
      </c>
      <c r="I67" s="25" cm="1">
        <f t="array" ref="I67">WasteSolid_Equations.VEERG_10_1_1_1__2_MassOfWasteFromVolume(G67,H67)</f>
        <v>0</v>
      </c>
    </row>
    <row r="68" spans="4:9" ht="20.100000000000001" customHeight="1" x14ac:dyDescent="0.25">
      <c r="D68" s="120" t="str">
        <v>Landfill</v>
      </c>
      <c r="E68" s="125" t="str">
        <v>Commercial and industrial waste</v>
      </c>
      <c r="F68" s="186"/>
      <c r="G68" s="2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25" cm="1">
        <f t="array" ref="H68">Common_InputFunctions.Utility_LookupValueInTableNumber(E68,Table_SourceData_WasteSolid_VolumeToMassConversion[Waste type w],Table_SourceData_WasteSolid_VolumeToMassConversion[VTMw])</f>
        <v>0.33</v>
      </c>
      <c r="I68" s="25" cm="1">
        <f t="array" ref="I68">WasteSolid_Equations.VEERG_10_1_1_1__2_MassOfWasteFromVolume(G68,H68)</f>
        <v>0</v>
      </c>
    </row>
    <row r="69" spans="4:9" ht="20.100000000000001" customHeight="1" x14ac:dyDescent="0.25">
      <c r="D69" s="120" t="str">
        <v>Landfill</v>
      </c>
      <c r="E69" s="125" t="str">
        <v>Construction and demolition waste</v>
      </c>
      <c r="F69" s="186"/>
      <c r="G69" s="2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25" cm="1">
        <f t="array" ref="H69">Common_InputFunctions.Utility_LookupValueInTableNumber(E69,Table_SourceData_WasteSolid_VolumeToMassConversion[Waste type w],Table_SourceData_WasteSolid_VolumeToMassConversion[VTMw])</f>
        <v>0.39</v>
      </c>
      <c r="I69" s="25" cm="1">
        <f t="array" ref="I69">WasteSolid_Equations.VEERG_10_1_1_1__2_MassOfWasteFromVolume(G69,H69)</f>
        <v>0</v>
      </c>
    </row>
    <row r="70" spans="4:9" ht="20.100000000000001" customHeight="1" x14ac:dyDescent="0.25">
      <c r="D70" s="120" t="str">
        <v>Incineration</v>
      </c>
      <c r="E70" s="125" t="str">
        <v>Food waste, green waste, wood, sludge</v>
      </c>
      <c r="F70" s="186"/>
      <c r="G70" s="25" t="s">
        <v>643</v>
      </c>
      <c r="H70" s="25" t="s">
        <v>643</v>
      </c>
      <c r="I70" s="25" t="s">
        <v>643</v>
      </c>
    </row>
    <row r="71" spans="4:9" ht="20.100000000000001" customHeight="1" x14ac:dyDescent="0.25">
      <c r="D71" s="120" t="str">
        <v>Incineration</v>
      </c>
      <c r="E71" s="125" t="str">
        <v>Food waste (including animal carcasses, spoiled animal feed or crop)</v>
      </c>
      <c r="F71" s="186"/>
      <c r="G71" s="2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25" cm="1">
        <f t="array" ref="H71">Common_InputFunctions.Utility_LookupValueInTableNumber(E71,Table_SourceData_WasteSolid_VolumeToMassConversion[Waste type w],Table_SourceData_WasteSolid_VolumeToMassConversion[VTMw])</f>
        <v>0.5</v>
      </c>
      <c r="I71" s="25" cm="1">
        <f t="array" ref="I71">WasteSolid_Equations.VEERG_10_1_1_1__2_MassOfWasteFromVolume(G71,H71)</f>
        <v>0</v>
      </c>
    </row>
    <row r="72" spans="4:9" ht="20.100000000000001" customHeight="1" x14ac:dyDescent="0.25">
      <c r="D72" s="120" t="str">
        <v>Incineration</v>
      </c>
      <c r="E72" s="125" t="str">
        <v>Green waste (including crop residues or prunings)</v>
      </c>
      <c r="F72" s="186"/>
      <c r="G72" s="2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25" cm="1">
        <f t="array" ref="H72">Common_InputFunctions.Utility_LookupValueInTableNumber(E72,Table_SourceData_WasteSolid_VolumeToMassConversion[Waste type w],Table_SourceData_WasteSolid_VolumeToMassConversion[VTMw])</f>
        <v>0.24</v>
      </c>
      <c r="I72" s="25" cm="1">
        <f t="array" ref="I72">WasteSolid_Equations.VEERG_10_1_1_1__2_MassOfWasteFromVolume(G72,H72)</f>
        <v>12</v>
      </c>
    </row>
    <row r="73" spans="4:9" ht="20.100000000000001" customHeight="1" x14ac:dyDescent="0.25">
      <c r="D73" s="120" t="str">
        <v>Incineration</v>
      </c>
      <c r="E73" s="125" t="str">
        <v>Wood</v>
      </c>
      <c r="F73" s="186"/>
      <c r="G73" s="2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25" cm="1">
        <f t="array" ref="H73">Common_InputFunctions.Utility_LookupValueInTableNumber(E73,Table_SourceData_WasteSolid_VolumeToMassConversion[Waste type w],Table_SourceData_WasteSolid_VolumeToMassConversion[VTMw])</f>
        <v>0.15</v>
      </c>
      <c r="I73" s="25" cm="1">
        <f t="array" ref="I73">WasteSolid_Equations.VEERG_10_1_1_1__2_MassOfWasteFromVolume(G73,H73)</f>
        <v>0</v>
      </c>
    </row>
    <row r="74" spans="4:9" ht="20.100000000000001" customHeight="1" x14ac:dyDescent="0.25">
      <c r="D74" s="120" t="str">
        <v>Incineration</v>
      </c>
      <c r="E74" s="125" t="str">
        <v>Sludge</v>
      </c>
      <c r="F74" s="186"/>
      <c r="G74" s="2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25" cm="1">
        <f t="array" ref="H74">Common_InputFunctions.Utility_LookupValueInTableNumber(E74,Table_SourceData_WasteSolid_VolumeToMassConversion[Waste type w],Table_SourceData_WasteSolid_VolumeToMassConversion[VTMw])</f>
        <v>0.72</v>
      </c>
      <c r="I74" s="25" cm="1">
        <f t="array" ref="I74">WasteSolid_Equations.VEERG_10_1_1_1__2_MassOfWasteFromVolume(G74,H74)</f>
        <v>0</v>
      </c>
    </row>
    <row r="75" spans="4:9" ht="20.100000000000001" customHeight="1" x14ac:dyDescent="0.25">
      <c r="D75" s="120" t="str">
        <v>Incineration</v>
      </c>
      <c r="E75" s="125" t="str">
        <v>Paper and cardboard</v>
      </c>
      <c r="F75" s="186"/>
      <c r="G75" s="2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25" cm="1">
        <f t="array" ref="H75">Common_InputFunctions.Utility_LookupValueInTableNumber(E75,Table_SourceData_WasteSolid_VolumeToMassConversion[Waste type w],Table_SourceData_WasteSolid_VolumeToMassConversion[VTMw])</f>
        <v>0.09</v>
      </c>
      <c r="I75" s="25" cm="1">
        <f t="array" ref="I75">WasteSolid_Equations.VEERG_10_1_1_1__2_MassOfWasteFromVolume(G75,H75)</f>
        <v>0</v>
      </c>
    </row>
    <row r="76" spans="4:9" ht="20.100000000000001" customHeight="1" x14ac:dyDescent="0.25">
      <c r="D76" s="120" t="str">
        <v>Incineration</v>
      </c>
      <c r="E76" s="125" t="str">
        <v>Textiles</v>
      </c>
      <c r="F76" s="186"/>
      <c r="G76" s="2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25" cm="1">
        <f t="array" ref="H76">Common_InputFunctions.Utility_LookupValueInTableNumber(E76,Table_SourceData_WasteSolid_VolumeToMassConversion[Waste type w],Table_SourceData_WasteSolid_VolumeToMassConversion[VTMw])</f>
        <v>0.14000000000000001</v>
      </c>
      <c r="I76" s="25" cm="1">
        <f t="array" ref="I76">WasteSolid_Equations.VEERG_10_1_1_1__2_MassOfWasteFromVolume(G76,H76)</f>
        <v>0</v>
      </c>
    </row>
    <row r="77" spans="4:9" ht="20.100000000000001" customHeight="1" x14ac:dyDescent="0.25">
      <c r="D77" s="120" t="str">
        <v>Incineration</v>
      </c>
      <c r="E77" s="125" t="str">
        <v>Rubber and leather</v>
      </c>
      <c r="F77" s="186"/>
      <c r="G77" s="2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25" cm="1">
        <f t="array" ref="H77">Common_InputFunctions.Utility_LookupValueInTableNumber(E77,Table_SourceData_WasteSolid_VolumeToMassConversion[Waste type w],Table_SourceData_WasteSolid_VolumeToMassConversion[VTMw])</f>
        <v>0.14000000000000001</v>
      </c>
      <c r="I77" s="25" cm="1">
        <f t="array" ref="I77">WasteSolid_Equations.VEERG_10_1_1_1__2_MassOfWasteFromVolume(G77,H77)</f>
        <v>0</v>
      </c>
    </row>
    <row r="78" spans="4:9" ht="20.100000000000001" customHeight="1" x14ac:dyDescent="0.25">
      <c r="D78" s="120" t="str">
        <v>Incineration</v>
      </c>
      <c r="E78" s="125" t="str">
        <v>Inert waste (including concrete, metal, plastic or glass)</v>
      </c>
      <c r="F78" s="186"/>
      <c r="G78" s="2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25" cm="1">
        <f t="array" ref="H78">Common_InputFunctions.Utility_LookupValueInTableNumber(E78,Table_SourceData_WasteSolid_VolumeToMassConversion[Waste type w],Table_SourceData_WasteSolid_VolumeToMassConversion[VTMw])</f>
        <v>0.42</v>
      </c>
      <c r="I78" s="25" cm="1">
        <f t="array" ref="I78">WasteSolid_Equations.VEERG_10_1_1_1__2_MassOfWasteFromVolume(G78,H78)</f>
        <v>0</v>
      </c>
    </row>
    <row r="79" spans="4:9" ht="20.100000000000001" customHeight="1" x14ac:dyDescent="0.25">
      <c r="D79" s="120" t="str">
        <v>Incineration</v>
      </c>
      <c r="E79" s="125" t="str">
        <v>Municipal solid waste</v>
      </c>
      <c r="F79" s="126"/>
      <c r="G79" s="2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25" cm="1">
        <f t="array" ref="H79">Common_InputFunctions.Utility_LookupValueInTableNumber(E79,Table_SourceData_WasteSolid_VolumeToMassConversion[Waste type w],Table_SourceData_WasteSolid_VolumeToMassConversion[VTMw])</f>
        <v>0.36</v>
      </c>
      <c r="I79" s="25" cm="1">
        <f t="array" ref="I79">WasteSolid_Equations.VEERG_10_1_1_1__2_MassOfWasteFromVolume(G79,H79)</f>
        <v>0</v>
      </c>
    </row>
    <row r="80" spans="4:9" ht="20.100000000000001" customHeight="1" x14ac:dyDescent="0.25">
      <c r="D80" s="120" t="str">
        <v>Incineration</v>
      </c>
      <c r="E80" s="125" t="str">
        <v>Commercial and industrial waste</v>
      </c>
      <c r="F80" s="126"/>
      <c r="G80" s="2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25" cm="1">
        <f t="array" ref="H80">Common_InputFunctions.Utility_LookupValueInTableNumber(E80,Table_SourceData_WasteSolid_VolumeToMassConversion[Waste type w],Table_SourceData_WasteSolid_VolumeToMassConversion[VTMw])</f>
        <v>0.33</v>
      </c>
      <c r="I80" s="25" cm="1">
        <f t="array" ref="I80">WasteSolid_Equations.VEERG_10_1_1_1__2_MassOfWasteFromVolume(G80,H80)</f>
        <v>0</v>
      </c>
    </row>
    <row r="81" spans="3:12" ht="20.100000000000001" customHeight="1" x14ac:dyDescent="0.25">
      <c r="D81" s="120" t="str">
        <v>Composting</v>
      </c>
      <c r="E81" s="125" t="str">
        <v>All organic waste</v>
      </c>
      <c r="F81" s="126"/>
      <c r="G81" s="25" t="s">
        <v>643</v>
      </c>
      <c r="H81" s="25" t="s">
        <v>643</v>
      </c>
      <c r="I81" s="25" t="s">
        <v>643</v>
      </c>
    </row>
    <row r="82" spans="3:12" ht="20.100000000000001" customHeight="1" x14ac:dyDescent="0.25">
      <c r="D82" s="120" t="str">
        <v>Composting</v>
      </c>
      <c r="E82" s="125" t="str">
        <v>Food waste (including animal carcasses, spoiled animal feed or crop)</v>
      </c>
      <c r="F82" s="126"/>
      <c r="G82" s="2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25" cm="1">
        <f t="array" ref="H82">Common_InputFunctions.Utility_LookupValueInTableNumber(E82,Table_SourceData_WasteSolid_VolumeToMassConversion[Waste type w],Table_SourceData_WasteSolid_VolumeToMassConversion[VTMw])</f>
        <v>0.5</v>
      </c>
      <c r="I82" s="25" cm="1">
        <f t="array" ref="I82">WasteSolid_Equations.VEERG_10_1_1_1__2_MassOfWasteFromVolume(G82,H82)</f>
        <v>0</v>
      </c>
    </row>
    <row r="83" spans="3:12" ht="20.100000000000001" customHeight="1" x14ac:dyDescent="0.25">
      <c r="D83" s="120" t="str">
        <v>Composting</v>
      </c>
      <c r="E83" s="125" t="str">
        <v>Green waste (including crop residues or prunings)</v>
      </c>
      <c r="F83" s="126"/>
      <c r="G83" s="2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25" cm="1">
        <f t="array" ref="H83">Common_InputFunctions.Utility_LookupValueInTableNumber(E83,Table_SourceData_WasteSolid_VolumeToMassConversion[Waste type w],Table_SourceData_WasteSolid_VolumeToMassConversion[VTMw])</f>
        <v>0.24</v>
      </c>
      <c r="I83" s="25" cm="1">
        <f t="array" ref="I83">WasteSolid_Equations.VEERG_10_1_1_1__2_MassOfWasteFromVolume(G83,H83)</f>
        <v>0</v>
      </c>
    </row>
    <row r="84" spans="3:12" ht="20.100000000000001" customHeight="1" x14ac:dyDescent="0.25">
      <c r="D84" s="120" t="str">
        <v>Composting</v>
      </c>
      <c r="E84" s="125" t="str">
        <v>Wood</v>
      </c>
      <c r="F84" s="126"/>
      <c r="G84" s="2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25" cm="1">
        <f t="array" ref="H84">Common_InputFunctions.Utility_LookupValueInTableNumber(E84,Table_SourceData_WasteSolid_VolumeToMassConversion[Waste type w],Table_SourceData_WasteSolid_VolumeToMassConversion[VTMw])</f>
        <v>0.15</v>
      </c>
      <c r="I84" s="25" cm="1">
        <f t="array" ref="I84">WasteSolid_Equations.VEERG_10_1_1_1__2_MassOfWasteFromVolume(G84,H84)</f>
        <v>0</v>
      </c>
    </row>
    <row r="85" spans="3:12" ht="20.100000000000001" customHeight="1" x14ac:dyDescent="0.25">
      <c r="D85" s="120" t="str">
        <v>Composting</v>
      </c>
      <c r="E85" s="125" t="str">
        <v>Sludge</v>
      </c>
      <c r="F85" s="126"/>
      <c r="G85" s="2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25" cm="1">
        <f t="array" ref="H85">Common_InputFunctions.Utility_LookupValueInTableNumber(E85,Table_SourceData_WasteSolid_VolumeToMassConversion[Waste type w],Table_SourceData_WasteSolid_VolumeToMassConversion[VTMw])</f>
        <v>0.72</v>
      </c>
      <c r="I85" s="25" cm="1">
        <f t="array" ref="I85">WasteSolid_Equations.VEERG_10_1_1_1__2_MassOfWasteFromVolume(G85,H85)</f>
        <v>0</v>
      </c>
    </row>
    <row r="86" spans="3:12" ht="20.100000000000001" customHeight="1" x14ac:dyDescent="0.25">
      <c r="D86" s="120" t="str">
        <v>Composting</v>
      </c>
      <c r="E86" s="125" t="str">
        <v>Paper and cardboard</v>
      </c>
      <c r="F86" s="126"/>
      <c r="G86" s="2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25" cm="1">
        <f t="array" ref="H86">Common_InputFunctions.Utility_LookupValueInTableNumber(E86,Table_SourceData_WasteSolid_VolumeToMassConversion[Waste type w],Table_SourceData_WasteSolid_VolumeToMassConversion[VTMw])</f>
        <v>0.09</v>
      </c>
      <c r="I86" s="25" cm="1">
        <f t="array" ref="I86">WasteSolid_Equations.VEERG_10_1_1_1__2_MassOfWasteFromVolume(G86,H86)</f>
        <v>0</v>
      </c>
    </row>
    <row r="87" spans="3:12" ht="20.100000000000001" customHeight="1" x14ac:dyDescent="0.25">
      <c r="D87" s="120" t="str">
        <v>Anaerobic digestion</v>
      </c>
      <c r="E87" s="125" t="str">
        <v>All organic waste</v>
      </c>
      <c r="F87" s="126"/>
      <c r="G87" s="25" t="s">
        <v>643</v>
      </c>
      <c r="H87" s="25" t="s">
        <v>643</v>
      </c>
      <c r="I87" s="25" t="s">
        <v>643</v>
      </c>
    </row>
    <row r="88" spans="3:12" ht="20.100000000000001" customHeight="1" x14ac:dyDescent="0.25">
      <c r="D88" s="120" t="str">
        <v>Anaerobic digestion</v>
      </c>
      <c r="E88" s="125" t="str">
        <v>Food waste (including animal carcasses, spoiled animal feed or crop)</v>
      </c>
      <c r="F88" s="126"/>
      <c r="G88" s="2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25" cm="1">
        <f t="array" ref="H88">Common_InputFunctions.Utility_LookupValueInTableNumber(E88,Table_SourceData_WasteSolid_VolumeToMassConversion[Waste type w],Table_SourceData_WasteSolid_VolumeToMassConversion[VTMw])</f>
        <v>0.5</v>
      </c>
      <c r="I88" s="25" cm="1">
        <f t="array" ref="I88">WasteSolid_Equations.VEERG_10_1_1_1__2_MassOfWasteFromVolume(G88,H88)</f>
        <v>0</v>
      </c>
    </row>
    <row r="89" spans="3:12" ht="20.100000000000001" customHeight="1" x14ac:dyDescent="0.25">
      <c r="D89" s="120" t="str">
        <v>Anaerobic digestion</v>
      </c>
      <c r="E89" s="125" t="str">
        <v>Green waste (including crop residues or prunings)</v>
      </c>
      <c r="F89" s="126"/>
      <c r="G89" s="2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25" cm="1">
        <f t="array" ref="H89">Common_InputFunctions.Utility_LookupValueInTableNumber(E89,Table_SourceData_WasteSolid_VolumeToMassConversion[Waste type w],Table_SourceData_WasteSolid_VolumeToMassConversion[VTMw])</f>
        <v>0.24</v>
      </c>
      <c r="I89" s="25" cm="1">
        <f t="array" ref="I89">WasteSolid_Equations.VEERG_10_1_1_1__2_MassOfWasteFromVolume(G89,H89)</f>
        <v>0</v>
      </c>
    </row>
    <row r="90" spans="3:12" ht="20.100000000000001" customHeight="1" x14ac:dyDescent="0.25">
      <c r="D90" s="120" t="str">
        <v>Anaerobic digestion</v>
      </c>
      <c r="E90" s="125" t="str">
        <v>Wood</v>
      </c>
      <c r="F90" s="126"/>
      <c r="G90" s="2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25" cm="1">
        <f t="array" ref="H90">Common_InputFunctions.Utility_LookupValueInTableNumber(E90,Table_SourceData_WasteSolid_VolumeToMassConversion[Waste type w],Table_SourceData_WasteSolid_VolumeToMassConversion[VTMw])</f>
        <v>0.15</v>
      </c>
      <c r="I90" s="25" cm="1">
        <f t="array" ref="I90">WasteSolid_Equations.VEERG_10_1_1_1__2_MassOfWasteFromVolume(G90,H90)</f>
        <v>0</v>
      </c>
    </row>
    <row r="91" spans="3:12" ht="20.100000000000001" customHeight="1" x14ac:dyDescent="0.25">
      <c r="D91" s="120" t="str">
        <v>Anaerobic digestion</v>
      </c>
      <c r="E91" s="125" t="str">
        <v>Sludge</v>
      </c>
      <c r="F91" s="126"/>
      <c r="G91" s="2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25" cm="1">
        <f t="array" ref="H91">Common_InputFunctions.Utility_LookupValueInTableNumber(E91,Table_SourceData_WasteSolid_VolumeToMassConversion[Waste type w],Table_SourceData_WasteSolid_VolumeToMassConversion[VTMw])</f>
        <v>0.72</v>
      </c>
      <c r="I91" s="25" cm="1">
        <f t="array" ref="I91">WasteSolid_Equations.VEERG_10_1_1_1__2_MassOfWasteFromVolume(G91,H91)</f>
        <v>0</v>
      </c>
    </row>
    <row r="92" spans="3:12" ht="20.100000000000001" customHeight="1" x14ac:dyDescent="0.25">
      <c r="D92" s="120" t="str">
        <v>Anaerobic digestion</v>
      </c>
      <c r="E92" s="125" t="str">
        <v>Paper and cardboard</v>
      </c>
      <c r="F92" s="126"/>
      <c r="G92" s="2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25" cm="1">
        <f t="array" ref="H92">Common_InputFunctions.Utility_LookupValueInTableNumber(E92,Table_SourceData_WasteSolid_VolumeToMassConversion[Waste type w],Table_SourceData_WasteSolid_VolumeToMassConversion[VTMw])</f>
        <v>0.09</v>
      </c>
      <c r="I92" s="25"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101"/>
      <c r="D95" s="101"/>
      <c r="E95" s="101"/>
      <c r="F95" s="101"/>
      <c r="G95" s="101"/>
      <c r="H95" s="101"/>
      <c r="I95" s="101"/>
      <c r="J95" s="101"/>
      <c r="K95" s="101"/>
      <c r="L95" s="101"/>
    </row>
    <row r="96" spans="3:12" ht="20.100000000000001" customHeight="1" x14ac:dyDescent="0.25">
      <c r="D96" s="2" t="str" cm="1">
        <f t="array" ref="D96">WasteSolid_Equations.VEERG_10_1_1_1__1_EmissionsFromWasteManagement_Title()</f>
        <v>Emissions from waste management by greenhouse gas</v>
      </c>
    </row>
    <row r="97" spans="4:9" ht="20.100000000000001" customHeight="1" x14ac:dyDescent="0.25">
      <c r="D97" s="27" t="str" cm="1">
        <f t="array" ref="D97">WasteSolid_Equations.VEERG_10_1_1_1__1_EmissionsFromWasteManagement_Source()</f>
        <v>VEERG 2026: 10.1.1.1, Equation (1)</v>
      </c>
    </row>
    <row r="98" spans="4:9" ht="20.100000000000001" customHeight="1" x14ac:dyDescent="0.25">
      <c r="D98" s="35"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18" t="s">
        <v>262</v>
      </c>
      <c r="E99" s="118"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87" t="s">
        <v>263</v>
      </c>
      <c r="E102" s="1" t="str" cm="1">
        <f t="array" ref="E102">WasteSolid_Equations.VEERG_10_1_1_1__1_EmissionsFromWasteManagement_Variable()</f>
        <v>E_g</v>
      </c>
    </row>
    <row r="103" spans="4:9" ht="20.100000000000001" customHeight="1" x14ac:dyDescent="0.25">
      <c r="D103" s="87" t="s">
        <v>122</v>
      </c>
      <c r="E103" s="15" t="str" cm="1">
        <f t="array" ref="E103">WasteSolid_Equations.VEERG_10_1_1_1__1_EmissionsFromWasteManagement_Unit()</f>
        <v>t CO2e</v>
      </c>
    </row>
    <row r="104" spans="4:9" ht="20.100000000000001" customHeight="1" x14ac:dyDescent="0.25"/>
    <row r="105" spans="4:9" ht="20.100000000000001" customHeight="1" x14ac:dyDescent="0.25">
      <c r="D105" s="120" t="str" cm="1">
        <f t="array" ref="D105:E111">_xlfn.CHOOSECOLS(WasteSolid_Equations.VEERG_10_1_1_1__1_EmissionsFromWasteManagement_Arguments(),1,2)</f>
        <v>Q_wt</v>
      </c>
      <c r="E105" s="125" t="str">
        <v>quantity of solid waste of type w being sent to treatment facility t, on a wet weight basis</v>
      </c>
      <c r="F105" s="133"/>
      <c r="G105" s="126"/>
      <c r="H105" s="120" t="str" cm="1">
        <f t="array" ref="H105:I111">_xlfn.CHOOSECOLS(WasteSolid_Equations.VEERG_10_1_1_1__1_EmissionsFromWasteManagement_Arguments(),3,4)</f>
        <v>t</v>
      </c>
      <c r="I105" s="128" t="str">
        <v>Sum of Q_volwt and Q_masswt</v>
      </c>
    </row>
    <row r="106" spans="4:9" ht="20.100000000000001" customHeight="1" x14ac:dyDescent="0.25">
      <c r="D106" s="120" t="str">
        <v>EF_wtg</v>
      </c>
      <c r="E106" s="125" t="str">
        <v>emission factor for greenhouse gas g for the management of waste at treatment facility t</v>
      </c>
      <c r="F106" s="133"/>
      <c r="G106" s="126"/>
      <c r="H106" s="120" t="str">
        <v>t CO2e/t</v>
      </c>
      <c r="I106" s="128" t="str">
        <v>Constant</v>
      </c>
    </row>
    <row r="107" spans="4:9" ht="20.100000000000001" customHeight="1" x14ac:dyDescent="0.25">
      <c r="D107" s="120" t="str">
        <v>w</v>
      </c>
      <c r="E107" s="125" t="str">
        <v>waste type</v>
      </c>
      <c r="F107" s="133"/>
      <c r="G107" s="126"/>
      <c r="H107" s="120" t="str">
        <v/>
      </c>
      <c r="I107" s="121" t="str">
        <v>Input</v>
      </c>
    </row>
    <row r="108" spans="4:9" ht="20.100000000000001" customHeight="1" x14ac:dyDescent="0.25">
      <c r="D108" s="120" t="str">
        <v>t</v>
      </c>
      <c r="E108" s="125" t="str">
        <v>treatment facility</v>
      </c>
      <c r="F108" s="133"/>
      <c r="G108" s="126"/>
      <c r="H108" s="120" t="str">
        <v/>
      </c>
      <c r="I108" s="121" t="str">
        <v>Input</v>
      </c>
    </row>
    <row r="109" spans="4:9" ht="20.100000000000001" customHeight="1" x14ac:dyDescent="0.25">
      <c r="D109" s="120" t="str">
        <v>g</v>
      </c>
      <c r="E109" s="125" t="str">
        <v>greenhouse gas</v>
      </c>
      <c r="F109" s="133"/>
      <c r="G109" s="126"/>
      <c r="H109" s="120" t="str">
        <v/>
      </c>
      <c r="I109" s="121" t="str">
        <v>Input</v>
      </c>
    </row>
    <row r="110" spans="4:9" ht="20.100000000000001" customHeight="1" x14ac:dyDescent="0.25">
      <c r="D110" s="120" t="str">
        <v>Q_volwt</v>
      </c>
      <c r="E110" s="125" t="str">
        <v>quantity of sold waste input as volume and converted to tonnes</v>
      </c>
      <c r="F110" s="133"/>
      <c r="G110" s="126"/>
      <c r="H110" s="120" t="str">
        <v>tonnes</v>
      </c>
      <c r="I110" s="128" t="str">
        <v>Calculated from 10.1.1.1 (2)</v>
      </c>
    </row>
    <row r="111" spans="4:9" ht="20.100000000000001" customHeight="1" x14ac:dyDescent="0.25">
      <c r="D111" s="120" t="str">
        <v>Q_masswt</v>
      </c>
      <c r="E111" s="125" t="str">
        <v>quantity of solid waste input as mass</v>
      </c>
      <c r="F111" s="133"/>
      <c r="G111" s="126"/>
      <c r="H111" s="120" t="str">
        <v>tonnes</v>
      </c>
      <c r="I111" s="121" t="str">
        <v>Input</v>
      </c>
    </row>
    <row r="112" spans="4:9" ht="20.100000000000001" customHeight="1" x14ac:dyDescent="0.25"/>
    <row r="113" spans="4:11" ht="20.100000000000001" customHeight="1" x14ac:dyDescent="0.25">
      <c r="D113" s="122" t="s">
        <v>924</v>
      </c>
    </row>
    <row r="114" spans="4:11" ht="20.100000000000001" customHeight="1" x14ac:dyDescent="0.25">
      <c r="D114" s="123" t="s">
        <v>925</v>
      </c>
    </row>
    <row r="115" spans="4:11" ht="20.100000000000001" customHeight="1" x14ac:dyDescent="0.25">
      <c r="D115" s="94" t="s">
        <v>917</v>
      </c>
      <c r="E115" s="94" t="s">
        <v>918</v>
      </c>
      <c r="F115" s="94"/>
      <c r="G115" s="94" t="s">
        <v>926</v>
      </c>
      <c r="H115" s="124" t="s">
        <v>927</v>
      </c>
      <c r="I115" s="124" t="s">
        <v>921</v>
      </c>
      <c r="J115" s="124" t="s">
        <v>928</v>
      </c>
      <c r="K115" s="124" t="s">
        <v>929</v>
      </c>
    </row>
    <row r="116" spans="4:11" ht="20.100000000000001" customHeight="1" x14ac:dyDescent="0.25">
      <c r="D116" s="120" t="str" cm="1">
        <f t="array" ref="D116:D149">Table_SourceData_WasteSolid_WasteTreatmentEFs[Treatment type t]</f>
        <v>Landfill</v>
      </c>
      <c r="E116" s="125" t="str" cm="1">
        <f t="array" ref="E116:E149">Table_SourceData_WasteSolid_WasteTreatmentEFs[Waste type w]</f>
        <v>Food waste (including animal carcasses, spoiled animal feed or crop)</v>
      </c>
      <c r="F116" s="186"/>
      <c r="G116" s="2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25">
        <f t="shared" ref="H116:H149" si="0">I21</f>
        <v>25</v>
      </c>
      <c r="I116" s="25">
        <f>G116+H116</f>
        <v>75</v>
      </c>
      <c r="J116" s="25" cm="1">
        <f t="array" ref="J116">Common_InputFunctions.Utility_LookupValueInTableTwoColumns(D116,E116,Table_SourceData_WasteSolid_WasteTreatmentEFs[Treatment type t],Table_SourceData_WasteSolid_WasteTreatmentEFs[Waste type w],Table_SourceData_WasteSolid_WasteTreatmentEFs[EFwt])</f>
        <v>2.1</v>
      </c>
      <c r="K116" s="25" cm="1">
        <f t="array" ref="K116">WasteSolid_Equations.VEERG_10_1_1_1__1_EmissionsFromWasteManagement(I116, J116)</f>
        <v>157.5</v>
      </c>
    </row>
    <row r="117" spans="4:11" ht="20.100000000000001" customHeight="1" x14ac:dyDescent="0.25">
      <c r="D117" s="120" t="str">
        <v>Landfill</v>
      </c>
      <c r="E117" s="125" t="str">
        <v>Paper and cardboard</v>
      </c>
      <c r="F117" s="186"/>
      <c r="G117" s="2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25">
        <f t="shared" si="0"/>
        <v>4.5</v>
      </c>
      <c r="I117" s="25">
        <f t="shared" ref="I117:I126" si="1">G117+H117</f>
        <v>54.5</v>
      </c>
      <c r="J117" s="25" cm="1">
        <f t="array" ref="J117">Common_InputFunctions.Utility_LookupValueInTableTwoColumns(D117,E117,Table_SourceData_WasteSolid_WasteTreatmentEFs[Treatment type t],Table_SourceData_WasteSolid_WasteTreatmentEFs[Waste type w],Table_SourceData_WasteSolid_WasteTreatmentEFs[EFwt])</f>
        <v>3.3</v>
      </c>
      <c r="K117" s="25" cm="1">
        <f t="array" ref="K117">WasteSolid_Equations.VEERG_10_1_1_1__1_EmissionsFromWasteManagement(I117, J117)</f>
        <v>179.85</v>
      </c>
    </row>
    <row r="118" spans="4:11" ht="20.100000000000001" customHeight="1" x14ac:dyDescent="0.25">
      <c r="D118" s="120" t="str">
        <v>Landfill</v>
      </c>
      <c r="E118" s="125" t="str">
        <v>Green waste (including crop residues or prunings)</v>
      </c>
      <c r="F118" s="186"/>
      <c r="G118" s="2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25">
        <f t="shared" si="0"/>
        <v>12</v>
      </c>
      <c r="I118" s="25">
        <f t="shared" si="1"/>
        <v>62</v>
      </c>
      <c r="J118" s="25" cm="1">
        <f t="array" ref="J118">Common_InputFunctions.Utility_LookupValueInTableTwoColumns(D118,E118,Table_SourceData_WasteSolid_WasteTreatmentEFs[Treatment type t],Table_SourceData_WasteSolid_WasteTreatmentEFs[Waste type w],Table_SourceData_WasteSolid_WasteTreatmentEFs[EFwt])</f>
        <v>1.6</v>
      </c>
      <c r="K118" s="25" cm="1">
        <f t="array" ref="K118">WasteSolid_Equations.VEERG_10_1_1_1__1_EmissionsFromWasteManagement(I118, J118)</f>
        <v>99.2</v>
      </c>
    </row>
    <row r="119" spans="4:11" ht="20.100000000000001" customHeight="1" x14ac:dyDescent="0.25">
      <c r="D119" s="120" t="str">
        <v>Landfill</v>
      </c>
      <c r="E119" s="125" t="str">
        <v>Wood</v>
      </c>
      <c r="F119" s="186"/>
      <c r="G119" s="2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25">
        <f t="shared" si="0"/>
        <v>0</v>
      </c>
      <c r="I119" s="25">
        <f t="shared" si="1"/>
        <v>0</v>
      </c>
      <c r="J119" s="25" cm="1">
        <f t="array" ref="J119">Common_InputFunctions.Utility_LookupValueInTableTwoColumns(D119,E119,Table_SourceData_WasteSolid_WasteTreatmentEFs[Treatment type t],Table_SourceData_WasteSolid_WasteTreatmentEFs[Waste type w],Table_SourceData_WasteSolid_WasteTreatmentEFs[EFwt])</f>
        <v>0.7</v>
      </c>
      <c r="K119" s="25" cm="1">
        <f t="array" ref="K119">WasteSolid_Equations.VEERG_10_1_1_1__1_EmissionsFromWasteManagement(I119, J119)</f>
        <v>0</v>
      </c>
    </row>
    <row r="120" spans="4:11" ht="20.100000000000001" customHeight="1" x14ac:dyDescent="0.25">
      <c r="D120" s="120" t="str">
        <v>Landfill</v>
      </c>
      <c r="E120" s="125" t="str">
        <v>Textiles</v>
      </c>
      <c r="F120" s="186"/>
      <c r="G120" s="2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25">
        <f t="shared" si="0"/>
        <v>0</v>
      </c>
      <c r="I120" s="25">
        <f t="shared" si="1"/>
        <v>0</v>
      </c>
      <c r="J120" s="25" cm="1">
        <f t="array" ref="J120">Common_InputFunctions.Utility_LookupValueInTableTwoColumns(D120,E120,Table_SourceData_WasteSolid_WasteTreatmentEFs[Treatment type t],Table_SourceData_WasteSolid_WasteTreatmentEFs[Waste type w],Table_SourceData_WasteSolid_WasteTreatmentEFs[EFwt])</f>
        <v>2</v>
      </c>
      <c r="K120" s="25" cm="1">
        <f t="array" ref="K120">WasteSolid_Equations.VEERG_10_1_1_1__1_EmissionsFromWasteManagement(I120, J120)</f>
        <v>0</v>
      </c>
    </row>
    <row r="121" spans="4:11" ht="20.100000000000001" customHeight="1" x14ac:dyDescent="0.25">
      <c r="D121" s="120" t="str">
        <v>Landfill</v>
      </c>
      <c r="E121" s="125" t="str">
        <v>Sludge</v>
      </c>
      <c r="F121" s="186"/>
      <c r="G121" s="2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25">
        <f t="shared" si="0"/>
        <v>0</v>
      </c>
      <c r="I121" s="25">
        <f t="shared" si="1"/>
        <v>0</v>
      </c>
      <c r="J121" s="25" cm="1">
        <f t="array" ref="J121">Common_InputFunctions.Utility_LookupValueInTableTwoColumns(D121,E121,Table_SourceData_WasteSolid_WasteTreatmentEFs[Treatment type t],Table_SourceData_WasteSolid_WasteTreatmentEFs[Waste type w],Table_SourceData_WasteSolid_WasteTreatmentEFs[EFwt])</f>
        <v>0.4</v>
      </c>
      <c r="K121" s="25" cm="1">
        <f t="array" ref="K121">WasteSolid_Equations.VEERG_10_1_1_1__1_EmissionsFromWasteManagement(I121, J121)</f>
        <v>0</v>
      </c>
    </row>
    <row r="122" spans="4:11" ht="20.100000000000001" customHeight="1" x14ac:dyDescent="0.25">
      <c r="D122" s="120" t="str">
        <v>Landfill</v>
      </c>
      <c r="E122" s="125" t="str">
        <v>Rubber and leather</v>
      </c>
      <c r="F122" s="186"/>
      <c r="G122" s="2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25">
        <f t="shared" si="0"/>
        <v>0</v>
      </c>
      <c r="I122" s="25">
        <f t="shared" si="1"/>
        <v>0</v>
      </c>
      <c r="J122" s="25" cm="1">
        <f t="array" ref="J122">Common_InputFunctions.Utility_LookupValueInTableTwoColumns(D122,E122,Table_SourceData_WasteSolid_WasteTreatmentEFs[Treatment type t],Table_SourceData_WasteSolid_WasteTreatmentEFs[Waste type w],Table_SourceData_WasteSolid_WasteTreatmentEFs[EFwt])</f>
        <v>3.3</v>
      </c>
      <c r="K122" s="25" cm="1">
        <f t="array" ref="K122">WasteSolid_Equations.VEERG_10_1_1_1__1_EmissionsFromWasteManagement(I122, J122)</f>
        <v>0</v>
      </c>
    </row>
    <row r="123" spans="4:11" ht="20.100000000000001" customHeight="1" x14ac:dyDescent="0.25">
      <c r="D123" s="120" t="str">
        <v>Landfill</v>
      </c>
      <c r="E123" s="125" t="str">
        <v>Inert waste (including concrete, metal, plastic or glass)</v>
      </c>
      <c r="F123" s="186"/>
      <c r="G123" s="2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25">
        <f t="shared" si="0"/>
        <v>0</v>
      </c>
      <c r="I123" s="25">
        <f t="shared" si="1"/>
        <v>0</v>
      </c>
      <c r="J123" s="25" cm="1">
        <f t="array" ref="J123">Common_InputFunctions.Utility_LookupValueInTableTwoColumns(D123,E123,Table_SourceData_WasteSolid_WasteTreatmentEFs[Treatment type t],Table_SourceData_WasteSolid_WasteTreatmentEFs[Waste type w],Table_SourceData_WasteSolid_WasteTreatmentEFs[EFwt])</f>
        <v>0</v>
      </c>
      <c r="K123" s="25" cm="1">
        <f t="array" ref="K123">WasteSolid_Equations.VEERG_10_1_1_1__1_EmissionsFromWasteManagement(I123, J123)</f>
        <v>0</v>
      </c>
    </row>
    <row r="124" spans="4:11" ht="20.100000000000001" customHeight="1" x14ac:dyDescent="0.25">
      <c r="D124" s="120" t="str">
        <v>Landfill</v>
      </c>
      <c r="E124" s="125" t="str">
        <v>Municipal solid waste</v>
      </c>
      <c r="F124" s="186"/>
      <c r="G124" s="2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25">
        <f t="shared" si="0"/>
        <v>0</v>
      </c>
      <c r="I124" s="25">
        <f t="shared" si="1"/>
        <v>0</v>
      </c>
      <c r="J124" s="25" cm="1">
        <f t="array" ref="J124">Common_InputFunctions.Utility_LookupValueInTableTwoColumns(D124,E124,Table_SourceData_WasteSolid_WasteTreatmentEFs[Treatment type t],Table_SourceData_WasteSolid_WasteTreatmentEFs[Waste type w],Table_SourceData_WasteSolid_WasteTreatmentEFs[EFwt])</f>
        <v>1.6</v>
      </c>
      <c r="K124" s="25" cm="1">
        <f t="array" ref="K124">WasteSolid_Equations.VEERG_10_1_1_1__1_EmissionsFromWasteManagement(I124, J124)</f>
        <v>0</v>
      </c>
    </row>
    <row r="125" spans="4:11" ht="20.100000000000001" customHeight="1" x14ac:dyDescent="0.25">
      <c r="D125" s="120" t="str">
        <v>Landfill</v>
      </c>
      <c r="E125" s="125" t="str">
        <v>Commercial and industrial waste</v>
      </c>
      <c r="F125" s="186"/>
      <c r="G125" s="2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25">
        <f t="shared" si="0"/>
        <v>0</v>
      </c>
      <c r="I125" s="25">
        <f t="shared" si="1"/>
        <v>0</v>
      </c>
      <c r="J125" s="25" cm="1">
        <f t="array" ref="J125">Common_InputFunctions.Utility_LookupValueInTableTwoColumns(D125,E125,Table_SourceData_WasteSolid_WasteTreatmentEFs[Treatment type t],Table_SourceData_WasteSolid_WasteTreatmentEFs[Waste type w],Table_SourceData_WasteSolid_WasteTreatmentEFs[EFwt])</f>
        <v>1.3</v>
      </c>
      <c r="K125" s="25" cm="1">
        <f t="array" ref="K125">WasteSolid_Equations.VEERG_10_1_1_1__1_EmissionsFromWasteManagement(I125, J125)</f>
        <v>0</v>
      </c>
    </row>
    <row r="126" spans="4:11" ht="20.100000000000001" customHeight="1" x14ac:dyDescent="0.25">
      <c r="D126" s="120" t="str">
        <v>Landfill</v>
      </c>
      <c r="E126" s="125" t="str">
        <v>Construction and demolition waste</v>
      </c>
      <c r="F126" s="186"/>
      <c r="G126" s="2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25">
        <f t="shared" si="0"/>
        <v>0</v>
      </c>
      <c r="I126" s="25">
        <f t="shared" si="1"/>
        <v>0</v>
      </c>
      <c r="J126" s="25" cm="1">
        <f t="array" ref="J126">Common_InputFunctions.Utility_LookupValueInTableTwoColumns(D126,E126,Table_SourceData_WasteSolid_WasteTreatmentEFs[Treatment type t],Table_SourceData_WasteSolid_WasteTreatmentEFs[Waste type w],Table_SourceData_WasteSolid_WasteTreatmentEFs[EFwt])</f>
        <v>0.2</v>
      </c>
      <c r="K126" s="25" cm="1">
        <f t="array" ref="K126">WasteSolid_Equations.VEERG_10_1_1_1__1_EmissionsFromWasteManagement(I126, J126)</f>
        <v>0</v>
      </c>
    </row>
    <row r="127" spans="4:11" ht="20.100000000000001" customHeight="1" x14ac:dyDescent="0.25">
      <c r="D127" s="120" t="str">
        <v>Incineration</v>
      </c>
      <c r="E127" s="125" t="str">
        <v>Food waste, green waste, wood, sludge</v>
      </c>
      <c r="F127" s="186"/>
      <c r="G127" s="25" t="s">
        <v>643</v>
      </c>
      <c r="H127" s="25" t="str">
        <f t="shared" si="0"/>
        <v>Not used</v>
      </c>
      <c r="I127" s="25">
        <f>SUM(G128:G131)+SUM(H128:H131)</f>
        <v>74</v>
      </c>
      <c r="J127" s="25" cm="1">
        <f t="array" ref="J127">Common_InputFunctions.Utility_LookupValueInTableTwoColumns(D127,E127,Table_SourceData_WasteSolid_WasteTreatmentEFs[Treatment type t],Table_SourceData_WasteSolid_WasteTreatmentEFs[Waste type w],Table_SourceData_WasteSolid_WasteTreatmentEFs[EFwt])</f>
        <v>0</v>
      </c>
      <c r="K127" s="25" cm="1">
        <f t="array" ref="K127">WasteSolid_Equations.VEERG_10_1_1_1__1_EmissionsFromWasteManagement(I127, J127)</f>
        <v>0</v>
      </c>
    </row>
    <row r="128" spans="4:11" ht="20.100000000000001" customHeight="1" x14ac:dyDescent="0.25">
      <c r="D128" s="120" t="str">
        <v>Incineration</v>
      </c>
      <c r="E128" s="125" t="str">
        <v>Food waste (including animal carcasses, spoiled animal feed or crop)</v>
      </c>
      <c r="F128" s="186"/>
      <c r="G128" s="2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25">
        <f t="shared" si="0"/>
        <v>0</v>
      </c>
      <c r="I128" s="25" t="s">
        <v>930</v>
      </c>
      <c r="J128" s="25" t="s">
        <v>643</v>
      </c>
      <c r="K128" s="25" t="s">
        <v>643</v>
      </c>
    </row>
    <row r="129" spans="4:11" ht="20.100000000000001" customHeight="1" x14ac:dyDescent="0.25">
      <c r="D129" s="120" t="str">
        <v>Incineration</v>
      </c>
      <c r="E129" s="125" t="str">
        <v>Green waste (including crop residues or prunings)</v>
      </c>
      <c r="F129" s="186"/>
      <c r="G129" s="2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25">
        <f t="shared" si="0"/>
        <v>24</v>
      </c>
      <c r="I129" s="25" t="s">
        <v>930</v>
      </c>
      <c r="J129" s="25" t="s">
        <v>643</v>
      </c>
      <c r="K129" s="25" t="s">
        <v>643</v>
      </c>
    </row>
    <row r="130" spans="4:11" ht="20.100000000000001" customHeight="1" x14ac:dyDescent="0.25">
      <c r="D130" s="120" t="str">
        <v>Incineration</v>
      </c>
      <c r="E130" s="125" t="str">
        <v>Wood</v>
      </c>
      <c r="F130" s="186"/>
      <c r="G130" s="2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25">
        <f t="shared" si="0"/>
        <v>0</v>
      </c>
      <c r="I130" s="25" t="s">
        <v>930</v>
      </c>
      <c r="J130" s="25" t="s">
        <v>643</v>
      </c>
      <c r="K130" s="25" t="s">
        <v>643</v>
      </c>
    </row>
    <row r="131" spans="4:11" ht="20.100000000000001" customHeight="1" x14ac:dyDescent="0.25">
      <c r="D131" s="120" t="str">
        <v>Incineration</v>
      </c>
      <c r="E131" s="125" t="str">
        <v>Sludge</v>
      </c>
      <c r="F131" s="186"/>
      <c r="G131" s="2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25">
        <f t="shared" si="0"/>
        <v>0</v>
      </c>
      <c r="I131" s="25" t="s">
        <v>930</v>
      </c>
      <c r="J131" s="25" t="s">
        <v>643</v>
      </c>
      <c r="K131" s="25" t="s">
        <v>643</v>
      </c>
    </row>
    <row r="132" spans="4:11" ht="20.100000000000001" customHeight="1" x14ac:dyDescent="0.25">
      <c r="D132" s="120" t="str">
        <v>Incineration</v>
      </c>
      <c r="E132" s="125" t="str">
        <v>Paper and cardboard</v>
      </c>
      <c r="F132" s="186"/>
      <c r="G132" s="2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25">
        <f t="shared" si="0"/>
        <v>4.5</v>
      </c>
      <c r="I132" s="25">
        <f t="shared" ref="I132:I137" si="2">G132+H132</f>
        <v>54.5</v>
      </c>
      <c r="J132" s="2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25" cm="1">
        <f t="array" ref="K132">WasteSolid_Equations.VEERG_10_1_1_1__1_EmissionsFromWasteManagement(I132, J132)</f>
        <v>0.92104999999999992</v>
      </c>
    </row>
    <row r="133" spans="4:11" ht="20.100000000000001" customHeight="1" x14ac:dyDescent="0.25">
      <c r="D133" s="120" t="str">
        <v>Incineration</v>
      </c>
      <c r="E133" s="125" t="str">
        <v>Textiles</v>
      </c>
      <c r="F133" s="186"/>
      <c r="G133" s="2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25">
        <f t="shared" si="0"/>
        <v>0</v>
      </c>
      <c r="I133" s="25">
        <f t="shared" si="2"/>
        <v>0</v>
      </c>
      <c r="J133" s="2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25" cm="1">
        <f t="array" ref="K133">WasteSolid_Equations.VEERG_10_1_1_1__1_EmissionsFromWasteManagement(I133, J133)</f>
        <v>0</v>
      </c>
    </row>
    <row r="134" spans="4:11" ht="20.100000000000001" customHeight="1" x14ac:dyDescent="0.25">
      <c r="D134" s="120" t="str">
        <v>Incineration</v>
      </c>
      <c r="E134" s="125" t="str">
        <v>Rubber and leather</v>
      </c>
      <c r="F134" s="186"/>
      <c r="G134" s="2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25">
        <f t="shared" si="0"/>
        <v>0</v>
      </c>
      <c r="I134" s="25">
        <f t="shared" si="2"/>
        <v>0</v>
      </c>
      <c r="J134" s="25" cm="1">
        <f t="array" ref="J134">Common_InputFunctions.Utility_LookupValueInTableTwoColumns(D134,E134,Table_SourceData_WasteSolid_WasteTreatmentEFs[Treatment type t],Table_SourceData_WasteSolid_WasteTreatmentEFs[Waste type w],Table_SourceData_WasteSolid_WasteTreatmentEFs[EFwt])</f>
        <v>0.4919</v>
      </c>
      <c r="K134" s="25" cm="1">
        <f t="array" ref="K134">WasteSolid_Equations.VEERG_10_1_1_1__1_EmissionsFromWasteManagement(I134, J134)</f>
        <v>0</v>
      </c>
    </row>
    <row r="135" spans="4:11" ht="20.100000000000001" customHeight="1" x14ac:dyDescent="0.25">
      <c r="D135" s="120" t="str">
        <v>Incineration</v>
      </c>
      <c r="E135" s="125" t="str">
        <v>Inert waste (including concrete, metal, plastic or glass)</v>
      </c>
      <c r="F135" s="186"/>
      <c r="G135" s="2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25">
        <f t="shared" si="0"/>
        <v>0</v>
      </c>
      <c r="I135" s="25">
        <f t="shared" si="2"/>
        <v>0</v>
      </c>
      <c r="J135" s="25" cm="1">
        <f t="array" ref="J135">Common_InputFunctions.Utility_LookupValueInTableTwoColumns(D135,E135,Table_SourceData_WasteSolid_WasteTreatmentEFs[Treatment type t],Table_SourceData_WasteSolid_WasteTreatmentEFs[Waste type w],Table_SourceData_WasteSolid_WasteTreatmentEFs[EFwt])</f>
        <v>0.11</v>
      </c>
      <c r="K135" s="25" cm="1">
        <f t="array" ref="K135">WasteSolid_Equations.VEERG_10_1_1_1__1_EmissionsFromWasteManagement(I135, J135)</f>
        <v>0</v>
      </c>
    </row>
    <row r="136" spans="4:11" ht="20.100000000000001" customHeight="1" x14ac:dyDescent="0.25">
      <c r="D136" s="120" t="str">
        <v>Incineration</v>
      </c>
      <c r="E136" s="125" t="str">
        <v>Municipal solid waste</v>
      </c>
      <c r="F136" s="126"/>
      <c r="G136" s="2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25">
        <f t="shared" si="0"/>
        <v>0</v>
      </c>
      <c r="I136" s="25">
        <f t="shared" si="2"/>
        <v>0</v>
      </c>
      <c r="J136" s="2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25" cm="1">
        <f t="array" ref="K136">WasteSolid_Equations.VEERG_10_1_1_1__1_EmissionsFromWasteManagement(I136, J136)</f>
        <v>0</v>
      </c>
    </row>
    <row r="137" spans="4:11" ht="20.100000000000001" customHeight="1" x14ac:dyDescent="0.25">
      <c r="D137" s="120" t="str">
        <v>Incineration</v>
      </c>
      <c r="E137" s="125" t="str">
        <v>Commercial and industrial waste</v>
      </c>
      <c r="F137" s="126"/>
      <c r="G137" s="2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25">
        <f t="shared" si="0"/>
        <v>0</v>
      </c>
      <c r="I137" s="25">
        <f t="shared" si="2"/>
        <v>0</v>
      </c>
      <c r="J137" s="25" cm="1">
        <f t="array" ref="J137">Common_InputFunctions.Utility_LookupValueInTableTwoColumns(D137,E137,Table_SourceData_WasteSolid_WasteTreatmentEFs[Treatment type t],Table_SourceData_WasteSolid_WasteTreatmentEFs[Waste type w],Table_SourceData_WasteSolid_WasteTreatmentEFs[EFwt])</f>
        <v>1.649</v>
      </c>
      <c r="K137" s="25" cm="1">
        <f t="array" ref="K137">WasteSolid_Equations.VEERG_10_1_1_1__1_EmissionsFromWasteManagement(I137, J137)</f>
        <v>0</v>
      </c>
    </row>
    <row r="138" spans="4:11" ht="20.100000000000001" customHeight="1" x14ac:dyDescent="0.25">
      <c r="D138" s="120" t="str">
        <v>Composting</v>
      </c>
      <c r="E138" s="125" t="str">
        <v>All organic waste</v>
      </c>
      <c r="F138" s="126"/>
      <c r="G138" s="25" t="s">
        <v>643</v>
      </c>
      <c r="H138" s="25" t="str">
        <f t="shared" si="0"/>
        <v>Not used</v>
      </c>
      <c r="I138" s="25">
        <f>SUM(G139:G143)+SUM(H139:H143)</f>
        <v>29.5</v>
      </c>
      <c r="J138" s="2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25" cm="1">
        <f t="array" ref="K138">WasteSolid_Equations.VEERG_10_1_1_1__1_EmissionsFromWasteManagement(I138, J138)</f>
        <v>1.357</v>
      </c>
    </row>
    <row r="139" spans="4:11" ht="20.100000000000001" customHeight="1" x14ac:dyDescent="0.25">
      <c r="D139" s="120" t="str">
        <v>Composting</v>
      </c>
      <c r="E139" s="125" t="str">
        <v>Food waste (including animal carcasses, spoiled animal feed or crop)</v>
      </c>
      <c r="F139" s="126"/>
      <c r="G139" s="2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25">
        <f t="shared" si="0"/>
        <v>25</v>
      </c>
      <c r="I139" s="25" t="s">
        <v>930</v>
      </c>
      <c r="J139" s="25" t="s">
        <v>643</v>
      </c>
      <c r="K139" s="25" t="s">
        <v>643</v>
      </c>
    </row>
    <row r="140" spans="4:11" ht="20.100000000000001" customHeight="1" x14ac:dyDescent="0.25">
      <c r="D140" s="120" t="str">
        <v>Composting</v>
      </c>
      <c r="E140" s="125" t="str">
        <v>Green waste (including crop residues or prunings)</v>
      </c>
      <c r="F140" s="126"/>
      <c r="G140" s="2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25">
        <f t="shared" si="0"/>
        <v>0</v>
      </c>
      <c r="I140" s="25" t="s">
        <v>930</v>
      </c>
      <c r="J140" s="25" t="s">
        <v>643</v>
      </c>
      <c r="K140" s="25" t="s">
        <v>643</v>
      </c>
    </row>
    <row r="141" spans="4:11" ht="20.100000000000001" customHeight="1" x14ac:dyDescent="0.25">
      <c r="D141" s="120" t="str">
        <v>Composting</v>
      </c>
      <c r="E141" s="125" t="str">
        <v>Wood</v>
      </c>
      <c r="F141" s="126"/>
      <c r="G141" s="2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25">
        <f t="shared" si="0"/>
        <v>0</v>
      </c>
      <c r="I141" s="25" t="s">
        <v>930</v>
      </c>
      <c r="J141" s="25" t="s">
        <v>643</v>
      </c>
      <c r="K141" s="25" t="s">
        <v>643</v>
      </c>
    </row>
    <row r="142" spans="4:11" ht="20.100000000000001" customHeight="1" x14ac:dyDescent="0.25">
      <c r="D142" s="120" t="str">
        <v>Composting</v>
      </c>
      <c r="E142" s="125" t="str">
        <v>Sludge</v>
      </c>
      <c r="F142" s="126"/>
      <c r="G142" s="2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25">
        <f t="shared" si="0"/>
        <v>0</v>
      </c>
      <c r="I142" s="25" t="s">
        <v>930</v>
      </c>
      <c r="J142" s="25" t="s">
        <v>643</v>
      </c>
      <c r="K142" s="25" t="s">
        <v>643</v>
      </c>
    </row>
    <row r="143" spans="4:11" ht="20.100000000000001" customHeight="1" x14ac:dyDescent="0.25">
      <c r="D143" s="120" t="str">
        <v>Composting</v>
      </c>
      <c r="E143" s="125" t="str">
        <v>Paper and cardboard</v>
      </c>
      <c r="F143" s="126"/>
      <c r="G143" s="2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25">
        <f t="shared" si="0"/>
        <v>4.5</v>
      </c>
      <c r="I143" s="25" t="s">
        <v>930</v>
      </c>
      <c r="J143" s="25" t="s">
        <v>643</v>
      </c>
      <c r="K143" s="25" t="s">
        <v>643</v>
      </c>
    </row>
    <row r="144" spans="4:11" ht="20.100000000000001" customHeight="1" x14ac:dyDescent="0.25">
      <c r="D144" s="120" t="str">
        <v>Anaerobic digestion</v>
      </c>
      <c r="E144" s="125" t="str">
        <v>All organic waste</v>
      </c>
      <c r="F144" s="126"/>
      <c r="G144" s="25" t="s">
        <v>643</v>
      </c>
      <c r="H144" s="25" t="str">
        <f t="shared" si="0"/>
        <v>Not used</v>
      </c>
      <c r="I144" s="25">
        <f>SUM(G145:G149)+SUM(H145:H149)</f>
        <v>0</v>
      </c>
      <c r="J144" s="2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25" cm="1">
        <f t="array" ref="K144">WasteSolid_Equations.VEERG_10_1_1_1__1_EmissionsFromWasteManagement(I144, J144)</f>
        <v>0</v>
      </c>
    </row>
    <row r="145" spans="4:11" ht="20.100000000000001" customHeight="1" x14ac:dyDescent="0.25">
      <c r="D145" s="120" t="str">
        <v>Anaerobic digestion</v>
      </c>
      <c r="E145" s="125" t="str">
        <v>Food waste (including animal carcasses, spoiled animal feed or crop)</v>
      </c>
      <c r="F145" s="126"/>
      <c r="G145" s="2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25">
        <f t="shared" si="0"/>
        <v>0</v>
      </c>
      <c r="I145" s="25" t="s">
        <v>930</v>
      </c>
      <c r="J145" s="25" t="s">
        <v>643</v>
      </c>
      <c r="K145" s="25" t="s">
        <v>643</v>
      </c>
    </row>
    <row r="146" spans="4:11" ht="20.100000000000001" customHeight="1" x14ac:dyDescent="0.25">
      <c r="D146" s="120" t="str">
        <v>Anaerobic digestion</v>
      </c>
      <c r="E146" s="125" t="str">
        <v>Green waste (including crop residues or prunings)</v>
      </c>
      <c r="F146" s="126"/>
      <c r="G146" s="2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25">
        <f t="shared" si="0"/>
        <v>0</v>
      </c>
      <c r="I146" s="25" t="s">
        <v>930</v>
      </c>
      <c r="J146" s="25" t="s">
        <v>643</v>
      </c>
      <c r="K146" s="25" t="s">
        <v>643</v>
      </c>
    </row>
    <row r="147" spans="4:11" ht="20.100000000000001" customHeight="1" x14ac:dyDescent="0.25">
      <c r="D147" s="120" t="str">
        <v>Anaerobic digestion</v>
      </c>
      <c r="E147" s="125" t="str">
        <v>Wood</v>
      </c>
      <c r="F147" s="126"/>
      <c r="G147" s="2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25">
        <f t="shared" si="0"/>
        <v>0</v>
      </c>
      <c r="I147" s="25" t="s">
        <v>930</v>
      </c>
      <c r="J147" s="25" t="s">
        <v>643</v>
      </c>
      <c r="K147" s="25" t="s">
        <v>643</v>
      </c>
    </row>
    <row r="148" spans="4:11" ht="20.100000000000001" customHeight="1" x14ac:dyDescent="0.25">
      <c r="D148" s="120" t="str">
        <v>Anaerobic digestion</v>
      </c>
      <c r="E148" s="125" t="str">
        <v>Sludge</v>
      </c>
      <c r="F148" s="126"/>
      <c r="G148" s="2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25">
        <f t="shared" si="0"/>
        <v>0</v>
      </c>
      <c r="I148" s="25" t="s">
        <v>930</v>
      </c>
      <c r="J148" s="25" t="s">
        <v>643</v>
      </c>
      <c r="K148" s="25" t="s">
        <v>643</v>
      </c>
    </row>
    <row r="149" spans="4:11" ht="20.100000000000001" customHeight="1" x14ac:dyDescent="0.25">
      <c r="D149" s="120" t="str">
        <v>Anaerobic digestion</v>
      </c>
      <c r="E149" s="125" t="str">
        <v>Paper and cardboard</v>
      </c>
      <c r="F149" s="126"/>
      <c r="G149" s="2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25">
        <f t="shared" si="0"/>
        <v>0</v>
      </c>
      <c r="I149" s="25" t="s">
        <v>930</v>
      </c>
      <c r="J149" s="25" t="s">
        <v>643</v>
      </c>
      <c r="K149" s="25" t="s">
        <v>643</v>
      </c>
    </row>
    <row r="150" spans="4:11" ht="20.100000000000001" customHeight="1" x14ac:dyDescent="0.25"/>
    <row r="151" spans="4:11" ht="20.100000000000001" customHeight="1" x14ac:dyDescent="0.25">
      <c r="D151" s="135" t="s">
        <v>931</v>
      </c>
      <c r="E151" s="136">
        <f>SUM(K116:K149)</f>
        <v>438.82805000000002</v>
      </c>
      <c r="F151" s="137" t="str">
        <f>$E$103</f>
        <v>t CO2e</v>
      </c>
    </row>
    <row r="152" spans="4:11" ht="20.100000000000001" customHeight="1" x14ac:dyDescent="0.25"/>
    <row r="153" spans="4:11" ht="20.100000000000001" customHeight="1" x14ac:dyDescent="0.25"/>
    <row r="154" spans="4:11" ht="20.100000000000001" customHeight="1" x14ac:dyDescent="0.25">
      <c r="D154" s="122" t="s">
        <v>932</v>
      </c>
    </row>
    <row r="155" spans="4:11" ht="20.100000000000001" customHeight="1" x14ac:dyDescent="0.25">
      <c r="D155" s="123" t="s">
        <v>933</v>
      </c>
    </row>
    <row r="156" spans="4:11" ht="20.100000000000001" customHeight="1" x14ac:dyDescent="0.25">
      <c r="D156" s="94" t="s">
        <v>917</v>
      </c>
      <c r="E156" s="94" t="s">
        <v>918</v>
      </c>
      <c r="F156" s="94"/>
      <c r="G156" s="94" t="s">
        <v>926</v>
      </c>
      <c r="H156" s="124" t="s">
        <v>927</v>
      </c>
      <c r="I156" s="124" t="s">
        <v>921</v>
      </c>
      <c r="J156" s="124" t="s">
        <v>928</v>
      </c>
      <c r="K156" s="124" t="s">
        <v>929</v>
      </c>
    </row>
    <row r="157" spans="4:11" ht="20.100000000000001" customHeight="1" x14ac:dyDescent="0.25">
      <c r="D157" s="120" t="str" cm="1">
        <f t="array" ref="D157:D190">Table_SourceData_WasteSolid_WasteTreatmentEFs[Treatment type t]</f>
        <v>Landfill</v>
      </c>
      <c r="E157" s="125" t="str" cm="1">
        <f t="array" ref="E157:E190">Table_SourceData_WasteSolid_WasteTreatmentEFs[Waste type w]</f>
        <v>Food waste (including animal carcasses, spoiled animal feed or crop)</v>
      </c>
      <c r="F157" s="186"/>
      <c r="G157" s="2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25">
        <f t="shared" ref="H157:H190" si="3">I59</f>
        <v>25</v>
      </c>
      <c r="I157" s="25">
        <f>G157+H157</f>
        <v>75</v>
      </c>
      <c r="J157" s="25" cm="1">
        <f t="array" ref="J157">Common_InputFunctions.Utility_LookupValueInTableTwoColumns(D157,E157,Table_SourceData_WasteSolid_WasteTreatmentEFs[Treatment type t],Table_SourceData_WasteSolid_WasteTreatmentEFs[Waste type w],Table_SourceData_WasteSolid_WasteTreatmentEFs[EFwt])</f>
        <v>2.1</v>
      </c>
      <c r="K157" s="25" cm="1">
        <f t="array" ref="K157">WasteSolid_Equations.VEERG_10_1_1_1__1_EmissionsFromWasteManagement(I157, J157)</f>
        <v>157.5</v>
      </c>
    </row>
    <row r="158" spans="4:11" ht="20.100000000000001" customHeight="1" x14ac:dyDescent="0.25">
      <c r="D158" s="120" t="str">
        <v>Landfill</v>
      </c>
      <c r="E158" s="125" t="str">
        <v>Paper and cardboard</v>
      </c>
      <c r="F158" s="186"/>
      <c r="G158" s="2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25">
        <f t="shared" si="3"/>
        <v>4.5</v>
      </c>
      <c r="I158" s="25">
        <f t="shared" ref="I158:I167" si="4">G158+H158</f>
        <v>54.5</v>
      </c>
      <c r="J158" s="25" cm="1">
        <f t="array" ref="J158">Common_InputFunctions.Utility_LookupValueInTableTwoColumns(D158,E158,Table_SourceData_WasteSolid_WasteTreatmentEFs[Treatment type t],Table_SourceData_WasteSolid_WasteTreatmentEFs[Waste type w],Table_SourceData_WasteSolid_WasteTreatmentEFs[EFwt])</f>
        <v>3.3</v>
      </c>
      <c r="K158" s="25" cm="1">
        <f t="array" ref="K158">WasteSolid_Equations.VEERG_10_1_1_1__1_EmissionsFromWasteManagement(I158, J158)</f>
        <v>179.85</v>
      </c>
    </row>
    <row r="159" spans="4:11" ht="20.100000000000001" customHeight="1" x14ac:dyDescent="0.25">
      <c r="D159" s="120" t="str">
        <v>Landfill</v>
      </c>
      <c r="E159" s="125" t="str">
        <v>Green waste (including crop residues or prunings)</v>
      </c>
      <c r="F159" s="186"/>
      <c r="G159" s="2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25">
        <f t="shared" si="3"/>
        <v>12</v>
      </c>
      <c r="I159" s="25">
        <f t="shared" si="4"/>
        <v>62</v>
      </c>
      <c r="J159" s="25" cm="1">
        <f t="array" ref="J159">Common_InputFunctions.Utility_LookupValueInTableTwoColumns(D159,E159,Table_SourceData_WasteSolid_WasteTreatmentEFs[Treatment type t],Table_SourceData_WasteSolid_WasteTreatmentEFs[Waste type w],Table_SourceData_WasteSolid_WasteTreatmentEFs[EFwt])</f>
        <v>1.6</v>
      </c>
      <c r="K159" s="25" cm="1">
        <f t="array" ref="K159">WasteSolid_Equations.VEERG_10_1_1_1__1_EmissionsFromWasteManagement(I159, J159)</f>
        <v>99.2</v>
      </c>
    </row>
    <row r="160" spans="4:11" ht="20.100000000000001" customHeight="1" x14ac:dyDescent="0.25">
      <c r="D160" s="120" t="str">
        <v>Landfill</v>
      </c>
      <c r="E160" s="125" t="str">
        <v>Wood</v>
      </c>
      <c r="F160" s="186"/>
      <c r="G160" s="2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25">
        <f t="shared" si="3"/>
        <v>0</v>
      </c>
      <c r="I160" s="25">
        <f t="shared" si="4"/>
        <v>0</v>
      </c>
      <c r="J160" s="25" cm="1">
        <f t="array" ref="J160">Common_InputFunctions.Utility_LookupValueInTableTwoColumns(D160,E160,Table_SourceData_WasteSolid_WasteTreatmentEFs[Treatment type t],Table_SourceData_WasteSolid_WasteTreatmentEFs[Waste type w],Table_SourceData_WasteSolid_WasteTreatmentEFs[EFwt])</f>
        <v>0.7</v>
      </c>
      <c r="K160" s="25" cm="1">
        <f t="array" ref="K160">WasteSolid_Equations.VEERG_10_1_1_1__1_EmissionsFromWasteManagement(I160, J160)</f>
        <v>0</v>
      </c>
    </row>
    <row r="161" spans="4:11" ht="20.100000000000001" customHeight="1" x14ac:dyDescent="0.25">
      <c r="D161" s="120" t="str">
        <v>Landfill</v>
      </c>
      <c r="E161" s="125" t="str">
        <v>Textiles</v>
      </c>
      <c r="F161" s="186"/>
      <c r="G161" s="2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25">
        <f t="shared" si="3"/>
        <v>0</v>
      </c>
      <c r="I161" s="25">
        <f t="shared" si="4"/>
        <v>0</v>
      </c>
      <c r="J161" s="25" cm="1">
        <f t="array" ref="J161">Common_InputFunctions.Utility_LookupValueInTableTwoColumns(D161,E161,Table_SourceData_WasteSolid_WasteTreatmentEFs[Treatment type t],Table_SourceData_WasteSolid_WasteTreatmentEFs[Waste type w],Table_SourceData_WasteSolid_WasteTreatmentEFs[EFwt])</f>
        <v>2</v>
      </c>
      <c r="K161" s="25" cm="1">
        <f t="array" ref="K161">WasteSolid_Equations.VEERG_10_1_1_1__1_EmissionsFromWasteManagement(I161, J161)</f>
        <v>0</v>
      </c>
    </row>
    <row r="162" spans="4:11" ht="20.100000000000001" customHeight="1" x14ac:dyDescent="0.25">
      <c r="D162" s="120" t="str">
        <v>Landfill</v>
      </c>
      <c r="E162" s="125" t="str">
        <v>Sludge</v>
      </c>
      <c r="F162" s="186"/>
      <c r="G162" s="2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25">
        <f t="shared" si="3"/>
        <v>0</v>
      </c>
      <c r="I162" s="25">
        <f t="shared" si="4"/>
        <v>0</v>
      </c>
      <c r="J162" s="25" cm="1">
        <f t="array" ref="J162">Common_InputFunctions.Utility_LookupValueInTableTwoColumns(D162,E162,Table_SourceData_WasteSolid_WasteTreatmentEFs[Treatment type t],Table_SourceData_WasteSolid_WasteTreatmentEFs[Waste type w],Table_SourceData_WasteSolid_WasteTreatmentEFs[EFwt])</f>
        <v>0.4</v>
      </c>
      <c r="K162" s="25" cm="1">
        <f t="array" ref="K162">WasteSolid_Equations.VEERG_10_1_1_1__1_EmissionsFromWasteManagement(I162, J162)</f>
        <v>0</v>
      </c>
    </row>
    <row r="163" spans="4:11" ht="20.100000000000001" customHeight="1" x14ac:dyDescent="0.25">
      <c r="D163" s="120" t="str">
        <v>Landfill</v>
      </c>
      <c r="E163" s="125" t="str">
        <v>Rubber and leather</v>
      </c>
      <c r="F163" s="186"/>
      <c r="G163" s="2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25">
        <f t="shared" si="3"/>
        <v>0</v>
      </c>
      <c r="I163" s="25">
        <f t="shared" si="4"/>
        <v>0</v>
      </c>
      <c r="J163" s="25" cm="1">
        <f t="array" ref="J163">Common_InputFunctions.Utility_LookupValueInTableTwoColumns(D163,E163,Table_SourceData_WasteSolid_WasteTreatmentEFs[Treatment type t],Table_SourceData_WasteSolid_WasteTreatmentEFs[Waste type w],Table_SourceData_WasteSolid_WasteTreatmentEFs[EFwt])</f>
        <v>3.3</v>
      </c>
      <c r="K163" s="25" cm="1">
        <f t="array" ref="K163">WasteSolid_Equations.VEERG_10_1_1_1__1_EmissionsFromWasteManagement(I163, J163)</f>
        <v>0</v>
      </c>
    </row>
    <row r="164" spans="4:11" ht="20.100000000000001" customHeight="1" x14ac:dyDescent="0.25">
      <c r="D164" s="120" t="str">
        <v>Landfill</v>
      </c>
      <c r="E164" s="125" t="str">
        <v>Inert waste (including concrete, metal, plastic or glass)</v>
      </c>
      <c r="F164" s="186"/>
      <c r="G164" s="2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25">
        <f t="shared" si="3"/>
        <v>0</v>
      </c>
      <c r="I164" s="25">
        <f t="shared" si="4"/>
        <v>0</v>
      </c>
      <c r="J164" s="25" cm="1">
        <f t="array" ref="J164">Common_InputFunctions.Utility_LookupValueInTableTwoColumns(D164,E164,Table_SourceData_WasteSolid_WasteTreatmentEFs[Treatment type t],Table_SourceData_WasteSolid_WasteTreatmentEFs[Waste type w],Table_SourceData_WasteSolid_WasteTreatmentEFs[EFwt])</f>
        <v>0</v>
      </c>
      <c r="K164" s="25" cm="1">
        <f t="array" ref="K164">WasteSolid_Equations.VEERG_10_1_1_1__1_EmissionsFromWasteManagement(I164, J164)</f>
        <v>0</v>
      </c>
    </row>
    <row r="165" spans="4:11" ht="20.100000000000001" customHeight="1" x14ac:dyDescent="0.25">
      <c r="D165" s="120" t="str">
        <v>Landfill</v>
      </c>
      <c r="E165" s="125" t="str">
        <v>Municipal solid waste</v>
      </c>
      <c r="F165" s="186"/>
      <c r="G165" s="2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25">
        <f t="shared" si="3"/>
        <v>0</v>
      </c>
      <c r="I165" s="25">
        <f t="shared" si="4"/>
        <v>0</v>
      </c>
      <c r="J165" s="25" cm="1">
        <f t="array" ref="J165">Common_InputFunctions.Utility_LookupValueInTableTwoColumns(D165,E165,Table_SourceData_WasteSolid_WasteTreatmentEFs[Treatment type t],Table_SourceData_WasteSolid_WasteTreatmentEFs[Waste type w],Table_SourceData_WasteSolid_WasteTreatmentEFs[EFwt])</f>
        <v>1.6</v>
      </c>
      <c r="K165" s="25" cm="1">
        <f t="array" ref="K165">WasteSolid_Equations.VEERG_10_1_1_1__1_EmissionsFromWasteManagement(I165, J165)</f>
        <v>0</v>
      </c>
    </row>
    <row r="166" spans="4:11" ht="20.100000000000001" customHeight="1" x14ac:dyDescent="0.25">
      <c r="D166" s="120" t="str">
        <v>Landfill</v>
      </c>
      <c r="E166" s="125" t="str">
        <v>Commercial and industrial waste</v>
      </c>
      <c r="F166" s="186"/>
      <c r="G166" s="2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25">
        <f t="shared" si="3"/>
        <v>0</v>
      </c>
      <c r="I166" s="25">
        <f t="shared" si="4"/>
        <v>0</v>
      </c>
      <c r="J166" s="25" cm="1">
        <f t="array" ref="J166">Common_InputFunctions.Utility_LookupValueInTableTwoColumns(D166,E166,Table_SourceData_WasteSolid_WasteTreatmentEFs[Treatment type t],Table_SourceData_WasteSolid_WasteTreatmentEFs[Waste type w],Table_SourceData_WasteSolid_WasteTreatmentEFs[EFwt])</f>
        <v>1.3</v>
      </c>
      <c r="K166" s="25" cm="1">
        <f t="array" ref="K166">WasteSolid_Equations.VEERG_10_1_1_1__1_EmissionsFromWasteManagement(I166, J166)</f>
        <v>0</v>
      </c>
    </row>
    <row r="167" spans="4:11" ht="20.100000000000001" customHeight="1" x14ac:dyDescent="0.25">
      <c r="D167" s="120" t="str">
        <v>Landfill</v>
      </c>
      <c r="E167" s="125" t="str">
        <v>Construction and demolition waste</v>
      </c>
      <c r="F167" s="186"/>
      <c r="G167" s="2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25">
        <f t="shared" si="3"/>
        <v>0</v>
      </c>
      <c r="I167" s="25">
        <f t="shared" si="4"/>
        <v>0</v>
      </c>
      <c r="J167" s="25" cm="1">
        <f t="array" ref="J167">Common_InputFunctions.Utility_LookupValueInTableTwoColumns(D167,E167,Table_SourceData_WasteSolid_WasteTreatmentEFs[Treatment type t],Table_SourceData_WasteSolid_WasteTreatmentEFs[Waste type w],Table_SourceData_WasteSolid_WasteTreatmentEFs[EFwt])</f>
        <v>0.2</v>
      </c>
      <c r="K167" s="25" cm="1">
        <f t="array" ref="K167">WasteSolid_Equations.VEERG_10_1_1_1__1_EmissionsFromWasteManagement(I167, J167)</f>
        <v>0</v>
      </c>
    </row>
    <row r="168" spans="4:11" ht="20.100000000000001" customHeight="1" x14ac:dyDescent="0.25">
      <c r="D168" s="120" t="str">
        <v>Incineration</v>
      </c>
      <c r="E168" s="125" t="str">
        <v>Food waste, green waste, wood, sludge</v>
      </c>
      <c r="F168" s="186"/>
      <c r="G168" s="25" t="s">
        <v>643</v>
      </c>
      <c r="H168" s="25" t="str">
        <f t="shared" si="3"/>
        <v>Not used</v>
      </c>
      <c r="I168" s="25">
        <f>SUM(G169:G172)+SUM(H169:H172)</f>
        <v>62</v>
      </c>
      <c r="J168" s="25" cm="1">
        <f t="array" ref="J168">Common_InputFunctions.Utility_LookupValueInTableTwoColumns(D168,E168,Table_SourceData_WasteSolid_WasteTreatmentEFs[Treatment type t],Table_SourceData_WasteSolid_WasteTreatmentEFs[Waste type w],Table_SourceData_WasteSolid_WasteTreatmentEFs[EFwt])</f>
        <v>0</v>
      </c>
      <c r="K168" s="25" cm="1">
        <f t="array" ref="K168">WasteSolid_Equations.VEERG_10_1_1_1__1_EmissionsFromWasteManagement(I168, J168)</f>
        <v>0</v>
      </c>
    </row>
    <row r="169" spans="4:11" ht="20.100000000000001" customHeight="1" x14ac:dyDescent="0.25">
      <c r="D169" s="120" t="str">
        <v>Incineration</v>
      </c>
      <c r="E169" s="125" t="str">
        <v>Food waste (including animal carcasses, spoiled animal feed or crop)</v>
      </c>
      <c r="F169" s="186"/>
      <c r="G169" s="2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25">
        <f t="shared" si="3"/>
        <v>0</v>
      </c>
      <c r="I169" s="25" t="s">
        <v>930</v>
      </c>
      <c r="J169" s="25" t="s">
        <v>643</v>
      </c>
      <c r="K169" s="25" t="s">
        <v>643</v>
      </c>
    </row>
    <row r="170" spans="4:11" ht="20.100000000000001" customHeight="1" x14ac:dyDescent="0.25">
      <c r="D170" s="120" t="str">
        <v>Incineration</v>
      </c>
      <c r="E170" s="125" t="str">
        <v>Green waste (including crop residues or prunings)</v>
      </c>
      <c r="F170" s="186"/>
      <c r="G170" s="2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25">
        <f t="shared" si="3"/>
        <v>12</v>
      </c>
      <c r="I170" s="25" t="s">
        <v>930</v>
      </c>
      <c r="J170" s="25" t="s">
        <v>643</v>
      </c>
      <c r="K170" s="25" t="s">
        <v>643</v>
      </c>
    </row>
    <row r="171" spans="4:11" ht="20.100000000000001" customHeight="1" x14ac:dyDescent="0.25">
      <c r="D171" s="120" t="str">
        <v>Incineration</v>
      </c>
      <c r="E171" s="125" t="str">
        <v>Wood</v>
      </c>
      <c r="F171" s="186"/>
      <c r="G171" s="2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25">
        <f t="shared" si="3"/>
        <v>0</v>
      </c>
      <c r="I171" s="25" t="s">
        <v>930</v>
      </c>
      <c r="J171" s="25" t="s">
        <v>643</v>
      </c>
      <c r="K171" s="25" t="s">
        <v>643</v>
      </c>
    </row>
    <row r="172" spans="4:11" ht="20.100000000000001" customHeight="1" x14ac:dyDescent="0.25">
      <c r="D172" s="120" t="str">
        <v>Incineration</v>
      </c>
      <c r="E172" s="125" t="str">
        <v>Sludge</v>
      </c>
      <c r="F172" s="186"/>
      <c r="G172" s="2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25">
        <f t="shared" si="3"/>
        <v>0</v>
      </c>
      <c r="I172" s="25" t="s">
        <v>930</v>
      </c>
      <c r="J172" s="25" t="s">
        <v>643</v>
      </c>
      <c r="K172" s="25" t="s">
        <v>643</v>
      </c>
    </row>
    <row r="173" spans="4:11" ht="20.100000000000001" customHeight="1" x14ac:dyDescent="0.25">
      <c r="D173" s="120" t="str">
        <v>Incineration</v>
      </c>
      <c r="E173" s="125" t="str">
        <v>Paper and cardboard</v>
      </c>
      <c r="F173" s="186"/>
      <c r="G173" s="2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25">
        <f t="shared" si="3"/>
        <v>0</v>
      </c>
      <c r="I173" s="25">
        <f t="shared" ref="I173:I178" si="5">G173+H173</f>
        <v>0</v>
      </c>
      <c r="J173" s="2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25" cm="1">
        <f t="array" ref="K173">WasteSolid_Equations.VEERG_10_1_1_1__1_EmissionsFromWasteManagement(I173, J173)</f>
        <v>0</v>
      </c>
    </row>
    <row r="174" spans="4:11" ht="20.100000000000001" customHeight="1" x14ac:dyDescent="0.25">
      <c r="D174" s="120" t="str">
        <v>Incineration</v>
      </c>
      <c r="E174" s="125" t="str">
        <v>Textiles</v>
      </c>
      <c r="F174" s="186"/>
      <c r="G174" s="2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25">
        <f t="shared" si="3"/>
        <v>0</v>
      </c>
      <c r="I174" s="25">
        <f t="shared" si="5"/>
        <v>0</v>
      </c>
      <c r="J174" s="2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25" cm="1">
        <f t="array" ref="K174">WasteSolid_Equations.VEERG_10_1_1_1__1_EmissionsFromWasteManagement(I174, J174)</f>
        <v>0</v>
      </c>
    </row>
    <row r="175" spans="4:11" ht="20.100000000000001" customHeight="1" x14ac:dyDescent="0.25">
      <c r="D175" s="120" t="str">
        <v>Incineration</v>
      </c>
      <c r="E175" s="125" t="str">
        <v>Rubber and leather</v>
      </c>
      <c r="F175" s="186"/>
      <c r="G175" s="2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25">
        <f t="shared" si="3"/>
        <v>0</v>
      </c>
      <c r="I175" s="25">
        <f t="shared" si="5"/>
        <v>0</v>
      </c>
      <c r="J175" s="25" cm="1">
        <f t="array" ref="J175">Common_InputFunctions.Utility_LookupValueInTableTwoColumns(D175,E175,Table_SourceData_WasteSolid_WasteTreatmentEFs[Treatment type t],Table_SourceData_WasteSolid_WasteTreatmentEFs[Waste type w],Table_SourceData_WasteSolid_WasteTreatmentEFs[EFwt])</f>
        <v>0.4919</v>
      </c>
      <c r="K175" s="25" cm="1">
        <f t="array" ref="K175">WasteSolid_Equations.VEERG_10_1_1_1__1_EmissionsFromWasteManagement(I175, J175)</f>
        <v>0</v>
      </c>
    </row>
    <row r="176" spans="4:11" ht="20.100000000000001" customHeight="1" x14ac:dyDescent="0.25">
      <c r="D176" s="120" t="str">
        <v>Incineration</v>
      </c>
      <c r="E176" s="125" t="str">
        <v>Inert waste (including concrete, metal, plastic or glass)</v>
      </c>
      <c r="F176" s="186"/>
      <c r="G176" s="2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25">
        <f t="shared" si="3"/>
        <v>0</v>
      </c>
      <c r="I176" s="25">
        <f t="shared" si="5"/>
        <v>0</v>
      </c>
      <c r="J176" s="25" cm="1">
        <f t="array" ref="J176">Common_InputFunctions.Utility_LookupValueInTableTwoColumns(D176,E176,Table_SourceData_WasteSolid_WasteTreatmentEFs[Treatment type t],Table_SourceData_WasteSolid_WasteTreatmentEFs[Waste type w],Table_SourceData_WasteSolid_WasteTreatmentEFs[EFwt])</f>
        <v>0.11</v>
      </c>
      <c r="K176" s="25" cm="1">
        <f t="array" ref="K176">WasteSolid_Equations.VEERG_10_1_1_1__1_EmissionsFromWasteManagement(I176, J176)</f>
        <v>0</v>
      </c>
    </row>
    <row r="177" spans="4:11" ht="20.100000000000001" customHeight="1" x14ac:dyDescent="0.25">
      <c r="D177" s="120" t="str">
        <v>Incineration</v>
      </c>
      <c r="E177" s="125" t="str">
        <v>Municipal solid waste</v>
      </c>
      <c r="F177" s="126"/>
      <c r="G177" s="2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25">
        <f t="shared" si="3"/>
        <v>0</v>
      </c>
      <c r="I177" s="25">
        <f t="shared" si="5"/>
        <v>0</v>
      </c>
      <c r="J177" s="2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25" cm="1">
        <f t="array" ref="K177">WasteSolid_Equations.VEERG_10_1_1_1__1_EmissionsFromWasteManagement(I177, J177)</f>
        <v>0</v>
      </c>
    </row>
    <row r="178" spans="4:11" ht="20.100000000000001" customHeight="1" x14ac:dyDescent="0.25">
      <c r="D178" s="120" t="str">
        <v>Incineration</v>
      </c>
      <c r="E178" s="125" t="str">
        <v>Commercial and industrial waste</v>
      </c>
      <c r="F178" s="126"/>
      <c r="G178" s="2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25">
        <f t="shared" si="3"/>
        <v>0</v>
      </c>
      <c r="I178" s="25">
        <f t="shared" si="5"/>
        <v>0</v>
      </c>
      <c r="J178" s="25" cm="1">
        <f t="array" ref="J178">Common_InputFunctions.Utility_LookupValueInTableTwoColumns(D178,E178,Table_SourceData_WasteSolid_WasteTreatmentEFs[Treatment type t],Table_SourceData_WasteSolid_WasteTreatmentEFs[Waste type w],Table_SourceData_WasteSolid_WasteTreatmentEFs[EFwt])</f>
        <v>1.649</v>
      </c>
      <c r="K178" s="25" cm="1">
        <f t="array" ref="K178">WasteSolid_Equations.VEERG_10_1_1_1__1_EmissionsFromWasteManagement(I178, J178)</f>
        <v>0</v>
      </c>
    </row>
    <row r="179" spans="4:11" ht="20.100000000000001" customHeight="1" x14ac:dyDescent="0.25">
      <c r="D179" s="120" t="str">
        <v>Composting</v>
      </c>
      <c r="E179" s="125" t="str">
        <v>All organic waste</v>
      </c>
      <c r="F179" s="126"/>
      <c r="G179" s="25" t="s">
        <v>643</v>
      </c>
      <c r="H179" s="25" t="str">
        <f t="shared" si="3"/>
        <v>Not used</v>
      </c>
      <c r="I179" s="25">
        <f>SUM(G180:G184)+SUM(H180:H184)</f>
        <v>100</v>
      </c>
      <c r="J179" s="2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25" cm="1">
        <f t="array" ref="K179">WasteSolid_Equations.VEERG_10_1_1_1__1_EmissionsFromWasteManagement(I179, J179)</f>
        <v>4.5999999999999996</v>
      </c>
    </row>
    <row r="180" spans="4:11" ht="20.100000000000001" customHeight="1" x14ac:dyDescent="0.25">
      <c r="D180" s="120" t="str">
        <v>Composting</v>
      </c>
      <c r="E180" s="125" t="str">
        <v>Food waste (including animal carcasses, spoiled animal feed or crop)</v>
      </c>
      <c r="F180" s="126"/>
      <c r="G180" s="2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25">
        <f t="shared" si="3"/>
        <v>0</v>
      </c>
      <c r="I180" s="25" t="s">
        <v>930</v>
      </c>
      <c r="J180" s="25" t="s">
        <v>643</v>
      </c>
      <c r="K180" s="25" t="s">
        <v>643</v>
      </c>
    </row>
    <row r="181" spans="4:11" ht="20.100000000000001" customHeight="1" x14ac:dyDescent="0.25">
      <c r="D181" s="120" t="str">
        <v>Composting</v>
      </c>
      <c r="E181" s="125" t="str">
        <v>Green waste (including crop residues or prunings)</v>
      </c>
      <c r="F181" s="126"/>
      <c r="G181" s="2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25">
        <f t="shared" si="3"/>
        <v>0</v>
      </c>
      <c r="I181" s="25" t="s">
        <v>930</v>
      </c>
      <c r="J181" s="25" t="s">
        <v>643</v>
      </c>
      <c r="K181" s="25" t="s">
        <v>643</v>
      </c>
    </row>
    <row r="182" spans="4:11" ht="20.100000000000001" customHeight="1" x14ac:dyDescent="0.25">
      <c r="D182" s="120" t="str">
        <v>Composting</v>
      </c>
      <c r="E182" s="125" t="str">
        <v>Wood</v>
      </c>
      <c r="F182" s="126"/>
      <c r="G182" s="2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25">
        <f t="shared" si="3"/>
        <v>0</v>
      </c>
      <c r="I182" s="25" t="s">
        <v>930</v>
      </c>
      <c r="J182" s="25" t="s">
        <v>643</v>
      </c>
      <c r="K182" s="25" t="s">
        <v>643</v>
      </c>
    </row>
    <row r="183" spans="4:11" ht="20.100000000000001" customHeight="1" x14ac:dyDescent="0.25">
      <c r="D183" s="120" t="str">
        <v>Composting</v>
      </c>
      <c r="E183" s="125" t="str">
        <v>Sludge</v>
      </c>
      <c r="F183" s="126"/>
      <c r="G183" s="2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25">
        <f t="shared" si="3"/>
        <v>0</v>
      </c>
      <c r="I183" s="25" t="s">
        <v>930</v>
      </c>
      <c r="J183" s="25" t="s">
        <v>643</v>
      </c>
      <c r="K183" s="25" t="s">
        <v>643</v>
      </c>
    </row>
    <row r="184" spans="4:11" ht="20.100000000000001" customHeight="1" x14ac:dyDescent="0.25">
      <c r="D184" s="120" t="str">
        <v>Composting</v>
      </c>
      <c r="E184" s="125" t="str">
        <v>Paper and cardboard</v>
      </c>
      <c r="F184" s="126"/>
      <c r="G184" s="2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25">
        <f t="shared" si="3"/>
        <v>0</v>
      </c>
      <c r="I184" s="25" t="s">
        <v>930</v>
      </c>
      <c r="J184" s="25" t="s">
        <v>643</v>
      </c>
      <c r="K184" s="25" t="s">
        <v>643</v>
      </c>
    </row>
    <row r="185" spans="4:11" ht="20.100000000000001" customHeight="1" x14ac:dyDescent="0.25">
      <c r="D185" s="120" t="str">
        <v>Anaerobic digestion</v>
      </c>
      <c r="E185" s="125" t="str">
        <v>All organic waste</v>
      </c>
      <c r="F185" s="126"/>
      <c r="G185" s="25" t="s">
        <v>643</v>
      </c>
      <c r="H185" s="25" t="str">
        <f t="shared" si="3"/>
        <v>Not used</v>
      </c>
      <c r="I185" s="25">
        <f>SUM(G186:G190)+SUM(H186:H190)</f>
        <v>0</v>
      </c>
      <c r="J185" s="2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25" cm="1">
        <f t="array" ref="K185">WasteSolid_Equations.VEERG_10_1_1_1__1_EmissionsFromWasteManagement(I185, J185)</f>
        <v>0</v>
      </c>
    </row>
    <row r="186" spans="4:11" ht="20.100000000000001" customHeight="1" x14ac:dyDescent="0.25">
      <c r="D186" s="120" t="str">
        <v>Anaerobic digestion</v>
      </c>
      <c r="E186" s="125" t="str">
        <v>Food waste (including animal carcasses, spoiled animal feed or crop)</v>
      </c>
      <c r="F186" s="126"/>
      <c r="G186" s="2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25">
        <f t="shared" si="3"/>
        <v>0</v>
      </c>
      <c r="I186" s="25" t="s">
        <v>930</v>
      </c>
      <c r="J186" s="25" t="s">
        <v>643</v>
      </c>
      <c r="K186" s="25" t="s">
        <v>643</v>
      </c>
    </row>
    <row r="187" spans="4:11" ht="20.100000000000001" customHeight="1" x14ac:dyDescent="0.25">
      <c r="D187" s="120" t="str">
        <v>Anaerobic digestion</v>
      </c>
      <c r="E187" s="125" t="str">
        <v>Green waste (including crop residues or prunings)</v>
      </c>
      <c r="F187" s="126"/>
      <c r="G187" s="2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25">
        <f t="shared" si="3"/>
        <v>0</v>
      </c>
      <c r="I187" s="25" t="s">
        <v>930</v>
      </c>
      <c r="J187" s="25" t="s">
        <v>643</v>
      </c>
      <c r="K187" s="25" t="s">
        <v>643</v>
      </c>
    </row>
    <row r="188" spans="4:11" ht="20.100000000000001" customHeight="1" x14ac:dyDescent="0.25">
      <c r="D188" s="120" t="str">
        <v>Anaerobic digestion</v>
      </c>
      <c r="E188" s="125" t="str">
        <v>Wood</v>
      </c>
      <c r="F188" s="126"/>
      <c r="G188" s="2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25">
        <f t="shared" si="3"/>
        <v>0</v>
      </c>
      <c r="I188" s="25" t="s">
        <v>930</v>
      </c>
      <c r="J188" s="25" t="s">
        <v>643</v>
      </c>
      <c r="K188" s="25" t="s">
        <v>643</v>
      </c>
    </row>
    <row r="189" spans="4:11" ht="20.100000000000001" customHeight="1" x14ac:dyDescent="0.25">
      <c r="D189" s="120" t="str">
        <v>Anaerobic digestion</v>
      </c>
      <c r="E189" s="125" t="str">
        <v>Sludge</v>
      </c>
      <c r="F189" s="126"/>
      <c r="G189" s="2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25">
        <f t="shared" si="3"/>
        <v>0</v>
      </c>
      <c r="I189" s="25" t="s">
        <v>930</v>
      </c>
      <c r="J189" s="25" t="s">
        <v>643</v>
      </c>
      <c r="K189" s="25" t="s">
        <v>643</v>
      </c>
    </row>
    <row r="190" spans="4:11" ht="20.100000000000001" customHeight="1" x14ac:dyDescent="0.25">
      <c r="D190" s="120" t="str">
        <v>Anaerobic digestion</v>
      </c>
      <c r="E190" s="125" t="str">
        <v>Paper and cardboard</v>
      </c>
      <c r="F190" s="126"/>
      <c r="G190" s="2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25">
        <f t="shared" si="3"/>
        <v>0</v>
      </c>
      <c r="I190" s="25" t="s">
        <v>930</v>
      </c>
      <c r="J190" s="25" t="s">
        <v>643</v>
      </c>
      <c r="K190" s="25" t="s">
        <v>643</v>
      </c>
    </row>
    <row r="191" spans="4:11" ht="20.100000000000001" customHeight="1" x14ac:dyDescent="0.25"/>
    <row r="192" spans="4:11" ht="20.100000000000001" customHeight="1" x14ac:dyDescent="0.25">
      <c r="D192" s="135" t="s">
        <v>931</v>
      </c>
      <c r="E192" s="136">
        <f>SUM(K157:K190)</f>
        <v>441.15000000000003</v>
      </c>
      <c r="F192" s="137"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xr:uid="{80457B65-1C50-44CE-989A-7832B4A46EBA}"/>
  </dataValidations>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F4951-2B39-434C-9270-3A589C293005}">
  <sheetPr>
    <tabColor theme="2" tint="-0.499984740745262"/>
  </sheetPr>
  <dimension ref="A1:AI165"/>
  <sheetViews>
    <sheetView showGridLines="0" topLeftCell="A29" zoomScaleNormal="100" workbookViewId="0">
      <selection activeCell="A63" sqref="A63"/>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0" customFormat="1" ht="30" customHeight="1" x14ac:dyDescent="0.35">
      <c r="A1" s="16" t="e" vm="1">
        <v>#VALUE!</v>
      </c>
      <c r="C1" s="30" t="s">
        <v>934</v>
      </c>
      <c r="AG1"/>
      <c r="AH1"/>
      <c r="AI1"/>
    </row>
    <row r="2" spans="1:35" s="3" customFormat="1" ht="20.100000000000001" customHeight="1" x14ac:dyDescent="0.25">
      <c r="A2"/>
      <c r="AG2"/>
      <c r="AH2"/>
      <c r="AI2"/>
    </row>
    <row r="3" spans="1:35" ht="20.100000000000001" customHeight="1" x14ac:dyDescent="0.25">
      <c r="A3" s="5" t="str">
        <f>HYPERLINK("#'Home'!A1", "Home")</f>
        <v>Home</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WasteSolid_SourceData.Waste_EmissionFactorsForWasteTreatment_Title()</f>
        <v>Emission factors for wastes disposed of at different treatment facilities</v>
      </c>
    </row>
    <row r="6" spans="1:35" ht="20.100000000000001" customHeight="1" x14ac:dyDescent="0.25">
      <c r="D6" s="27" t="str" cm="1">
        <f t="array" ref="D6">WasteSolid_SourceData.Waste_EmissionFactorsForWasteTreatment_Source()</f>
        <v>VEERG 2026: Table A.4.1.1</v>
      </c>
    </row>
    <row r="7" spans="1:35" ht="20.100000000000001" customHeight="1" x14ac:dyDescent="0.25">
      <c r="D7" s="35" t="str" cm="1">
        <f t="array" ref="D7:D13">WasteSolid_SourceData.Waste_EmissionFactorsForWasteTreatment_Variation()</f>
        <v>VARIATION ON SOURCE:</v>
      </c>
    </row>
    <row r="8" spans="1:35" ht="20.100000000000001" customHeight="1" x14ac:dyDescent="0.25">
      <c r="A8" s="7" t="s">
        <v>0</v>
      </c>
      <c r="D8" s="35" t="str">
        <v>Fixed typo 'paper and carboard' to 'paper and cardboard'</v>
      </c>
    </row>
    <row r="9" spans="1:35" ht="20.100000000000001" customHeight="1" x14ac:dyDescent="0.25">
      <c r="A9" s="5" t="str">
        <f>HYPERLINK("#'Input - Enterprise'!A1", "Enterprise")</f>
        <v>Enterprise</v>
      </c>
      <c r="D9" s="35" t="str">
        <v>Fixed typo 'prunnings' to 'prunings'</v>
      </c>
    </row>
    <row r="10" spans="1:35" ht="20.100000000000001" customHeight="1" x14ac:dyDescent="0.25">
      <c r="A10" s="5" t="str">
        <f>HYPERLINK("#'Input - Site'!A1", "Site")</f>
        <v>Site</v>
      </c>
      <c r="D10" s="35" t="str">
        <v>Added EF source column with specific references</v>
      </c>
    </row>
    <row r="11" spans="1:35" ht="20.100000000000001" customHeight="1" x14ac:dyDescent="0.25">
      <c r="A11" s="5" t="str">
        <f>HYPERLINK("#'Input - Dairy'!A1", "Dairy")</f>
        <v>Dairy</v>
      </c>
      <c r="D11" s="35" t="str">
        <v>Added sub-categories for 'Incineration: Food waste, green waste, wood, sludge' in order to use volume to mass conversion factor values</v>
      </c>
    </row>
    <row r="12" spans="1:35" ht="20.100000000000001" customHeight="1" x14ac:dyDescent="0.25">
      <c r="A12" s="5" t="str">
        <f>HYPERLINK("#'Input - Dairy (Enteric)'!A1", "Dairy (Enteric)")</f>
        <v>Dairy (Enteric)</v>
      </c>
      <c r="D12" s="35" t="str">
        <v>Added sub-categories for 'Composting: All organic waste' in order to use volume to mass conversion factor values</v>
      </c>
    </row>
    <row r="13" spans="1:35" ht="20.100000000000001" customHeight="1" x14ac:dyDescent="0.25">
      <c r="A13" s="5" t="str">
        <f>HYPERLINK("#'Input - Livestock sales'!A1", "Livestock sales")</f>
        <v>Livestock sales</v>
      </c>
      <c r="D13" s="35" t="str">
        <v>Added sub-categories for 'Anaerobic digestion: All organic waste' in order to use volume to mass conversion factor values</v>
      </c>
    </row>
    <row r="14" spans="1:35" ht="20.100000000000001" customHeight="1" x14ac:dyDescent="0.25">
      <c r="A14" s="5" t="str">
        <f>HYPERLINK("#'Input - Dairy cattle purchases'!A1", "Dairy cattle purchases")</f>
        <v>Dairy cattle purchases</v>
      </c>
      <c r="D14" s="1" t="str" cm="1">
        <f t="array" ref="D14">WasteSolid_SourceData.Waste_EmissionFactorsForWasteTreatment_Variable()</f>
        <v>EFwt</v>
      </c>
    </row>
    <row r="15" spans="1:35" ht="20.100000000000001" customHeight="1" x14ac:dyDescent="0.25">
      <c r="A15" s="5" t="str">
        <f>HYPERLINK("#'Input - Pasture'!A1", "Pasture")</f>
        <v>Pasture</v>
      </c>
      <c r="D15" s="15" t="str" cm="1">
        <f t="array" ref="D15">WasteSolid_SourceData.Waste_EmissionFactorsForWasteTreatment_Unit()</f>
        <v>t CO2e / t</v>
      </c>
      <c r="I15" s="1" t="s">
        <v>935</v>
      </c>
      <c r="K15" s="1" t="s">
        <v>936</v>
      </c>
      <c r="M15" s="1" t="s">
        <v>937</v>
      </c>
      <c r="O15" s="1" t="s">
        <v>938</v>
      </c>
    </row>
    <row r="16" spans="1:35" ht="20.100000000000001" customHeight="1" x14ac:dyDescent="0.25">
      <c r="A16" s="5" t="str">
        <f>HYPERLINK("#'Input - Fert Prod System'!A1", "Fert Prod System")</f>
        <v>Fert Prod System</v>
      </c>
      <c r="D16" s="29" t="s">
        <v>939</v>
      </c>
      <c r="E16" s="29" t="s">
        <v>940</v>
      </c>
      <c r="F16" s="29" t="s">
        <v>941</v>
      </c>
      <c r="G16" s="29" t="s">
        <v>942</v>
      </c>
      <c r="I16" s="29" t="s">
        <v>940</v>
      </c>
      <c r="K16" s="149" t="s">
        <v>940</v>
      </c>
      <c r="M16" s="149" t="s">
        <v>940</v>
      </c>
      <c r="O16" s="149" t="s">
        <v>940</v>
      </c>
    </row>
    <row r="17" spans="1:15" ht="20.100000000000001" customHeight="1" x14ac:dyDescent="0.25">
      <c r="A17" s="5" t="str">
        <f>HYPERLINK("#'Input - Fertiliser'!A1", "Fertiliser")</f>
        <v>Fertiliser</v>
      </c>
      <c r="D17" s="29" t="str" cm="1">
        <f t="array" ref="D17">Common_InputFunctions.Utility_DisplayArrayInTable(WasteSolid_SourceData.Waste_EmissionFactorsForWasteTreatment_Data(), Table_SourceData_WasteSolid_WasteTreatmentEFs[[#Headers],[Treatment type t]], 0)</f>
        <v>Landfill</v>
      </c>
      <c r="E17" s="29"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9" cm="1">
        <f t="array" ref="F17">Common_InputFunctions.Utility_DisplayArrayInTable(WasteSolid_SourceData.Waste_EmissionFactorsForWasteTreatment_Data(), Table_SourceData_WasteSolid_WasteTreatmentEFs[[#Headers],[Treatment type t]], 0)</f>
        <v>2.1</v>
      </c>
      <c r="G17" s="29" t="str" cm="1">
        <f t="array" ref="G17">Common_InputFunctions.Utility_DisplayArrayInTable(WasteSolid_SourceData.Waste_EmissionFactorsForWasteTreatment_Data(), Table_SourceData_WasteSolid_WasteTreatmentEFs[[#Headers],[Treatment type t]], 0)</f>
        <v>NGAF 2025 table 15</v>
      </c>
      <c r="I17" s="29"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A18" s="5" t="str">
        <f>HYPERLINK("#'Input - Fuel'!A1", "Fuel")</f>
        <v>Fuel</v>
      </c>
      <c r="D18" s="1" t="str" cm="1">
        <f t="array" ref="D18">Common_InputFunctions.Utility_DisplayArrayInTable(WasteSolid_SourceData.Waste_EmissionFactorsForWasteTreatment_Data(), Table_SourceData_WasteSolid_WasteTreatmentEFs[[#Headers],[Treatment type t]], 0)</f>
        <v>Landfill</v>
      </c>
      <c r="E18" s="29" t="str" cm="1">
        <f t="array" ref="E18">Common_InputFunctions.Utility_DisplayArrayInTable(WasteSolid_SourceData.Waste_EmissionFactorsForWasteTreatment_Data(), Table_SourceData_WasteSolid_WasteTreatmentEFs[[#Headers],[Treatment type t]], 0)</f>
        <v>Paper and cardboard</v>
      </c>
      <c r="F18" s="29" cm="1">
        <f t="array" ref="F18">Common_InputFunctions.Utility_DisplayArrayInTable(WasteSolid_SourceData.Waste_EmissionFactorsForWasteTreatment_Data(), Table_SourceData_WasteSolid_WasteTreatmentEFs[[#Headers],[Treatment type t]], 0)</f>
        <v>3.3</v>
      </c>
      <c r="G18" s="29" t="str" cm="1">
        <f t="array" ref="G18">Common_InputFunctions.Utility_DisplayArrayInTable(WasteSolid_SourceData.Waste_EmissionFactorsForWasteTreatment_Data(), Table_SourceData_WasteSolid_WasteTreatmentEFs[[#Headers],[Treatment type t]], 0)</f>
        <v>NGAF 2025 table 15</v>
      </c>
      <c r="I18" s="29"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A19" s="5" t="str">
        <f>HYPERLINK("#'Input - Electricity'!A1", "Electricity")</f>
        <v>Electricity</v>
      </c>
      <c r="D19" s="1" t="str" cm="1">
        <f t="array" ref="D19">Common_InputFunctions.Utility_DisplayArrayInTable(WasteSolid_SourceData.Waste_EmissionFactorsForWasteTreatment_Data(), Table_SourceData_WasteSolid_WasteTreatmentEFs[[#Headers],[Treatment type t]], 0)</f>
        <v>Landfill</v>
      </c>
      <c r="E19" s="29" t="str" cm="1">
        <f t="array" ref="E19">Common_InputFunctions.Utility_DisplayArrayInTable(WasteSolid_SourceData.Waste_EmissionFactorsForWasteTreatment_Data(), Table_SourceData_WasteSolid_WasteTreatmentEFs[[#Headers],[Treatment type t]], 0)</f>
        <v>Green waste (including crop residues or prunings)</v>
      </c>
      <c r="F19" s="29" cm="1">
        <f t="array" ref="F19">Common_InputFunctions.Utility_DisplayArrayInTable(WasteSolid_SourceData.Waste_EmissionFactorsForWasteTreatment_Data(), Table_SourceData_WasteSolid_WasteTreatmentEFs[[#Headers],[Treatment type t]], 0)</f>
        <v>1.6</v>
      </c>
      <c r="G19" s="29" t="str" cm="1">
        <f t="array" ref="G19">Common_InputFunctions.Utility_DisplayArrayInTable(WasteSolid_SourceData.Waste_EmissionFactorsForWasteTreatment_Data(), Table_SourceData_WasteSolid_WasteTreatmentEFs[[#Headers],[Treatment type t]], 0)</f>
        <v>NGAF 2025 table 15</v>
      </c>
      <c r="I19" s="29"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5" t="str">
        <f>HYPERLINK("#'Input - Farm Inputs'!A1", "Farm Inputs")</f>
        <v>Farm Inputs</v>
      </c>
      <c r="D20" s="1" t="str" cm="1">
        <f t="array" ref="D20">Common_InputFunctions.Utility_DisplayArrayInTable(WasteSolid_SourceData.Waste_EmissionFactorsForWasteTreatment_Data(), Table_SourceData_WasteSolid_WasteTreatmentEFs[[#Headers],[Treatment type t]], 0)</f>
        <v>Landfill</v>
      </c>
      <c r="E20" s="29" t="str" cm="1">
        <f t="array" ref="E20">Common_InputFunctions.Utility_DisplayArrayInTable(WasteSolid_SourceData.Waste_EmissionFactorsForWasteTreatment_Data(), Table_SourceData_WasteSolid_WasteTreatmentEFs[[#Headers],[Treatment type t]], 0)</f>
        <v>Wood</v>
      </c>
      <c r="F20" s="29" cm="1">
        <f t="array" ref="F20">Common_InputFunctions.Utility_DisplayArrayInTable(WasteSolid_SourceData.Waste_EmissionFactorsForWasteTreatment_Data(), Table_SourceData_WasteSolid_WasteTreatmentEFs[[#Headers],[Treatment type t]], 0)</f>
        <v>0.7</v>
      </c>
      <c r="G20" s="29" t="str" cm="1">
        <f t="array" ref="G20">Common_InputFunctions.Utility_DisplayArrayInTable(WasteSolid_SourceData.Waste_EmissionFactorsForWasteTreatment_Data(), Table_SourceData_WasteSolid_WasteTreatmentEFs[[#Headers],[Treatment type t]], 0)</f>
        <v>NGAF 2025 table 15</v>
      </c>
      <c r="I20" s="29" t="str">
        <f>Table_SourceData_WasteSolid_WasteTreatmentEFs[[#This Row],[Waste type w]]</f>
        <v>Wood</v>
      </c>
      <c r="K20" s="1" t="str">
        <f t="shared" si="0"/>
        <v>Sludge</v>
      </c>
      <c r="M20" s="1" t="str">
        <f>E43</f>
        <v>Sludge</v>
      </c>
      <c r="O20" s="1" t="str">
        <f>E49</f>
        <v>Sludge</v>
      </c>
    </row>
    <row r="21" spans="1:15" ht="20.100000000000001" customHeight="1" x14ac:dyDescent="0.25">
      <c r="A21" s="5" t="str">
        <f>HYPERLINK("#'Input - Freight'!A1", "Freight")</f>
        <v>Freight</v>
      </c>
      <c r="D21" s="1" t="str" cm="1">
        <f t="array" ref="D21">Common_InputFunctions.Utility_DisplayArrayInTable(WasteSolid_SourceData.Waste_EmissionFactorsForWasteTreatment_Data(), Table_SourceData_WasteSolid_WasteTreatmentEFs[[#Headers],[Treatment type t]], 0)</f>
        <v>Landfill</v>
      </c>
      <c r="E21" s="29" t="str" cm="1">
        <f t="array" ref="E21">Common_InputFunctions.Utility_DisplayArrayInTable(WasteSolid_SourceData.Waste_EmissionFactorsForWasteTreatment_Data(), Table_SourceData_WasteSolid_WasteTreatmentEFs[[#Headers],[Treatment type t]], 0)</f>
        <v>Textiles</v>
      </c>
      <c r="F21" s="29" cm="1">
        <f t="array" ref="F21">Common_InputFunctions.Utility_DisplayArrayInTable(WasteSolid_SourceData.Waste_EmissionFactorsForWasteTreatment_Data(), Table_SourceData_WasteSolid_WasteTreatmentEFs[[#Headers],[Treatment type t]], 0)</f>
        <v>2</v>
      </c>
      <c r="G21" s="29" t="str" cm="1">
        <f t="array" ref="G21">Common_InputFunctions.Utility_DisplayArrayInTable(WasteSolid_SourceData.Waste_EmissionFactorsForWasteTreatment_Data(), Table_SourceData_WasteSolid_WasteTreatmentEFs[[#Headers],[Treatment type t]], 0)</f>
        <v>NGAF 2025 table 15</v>
      </c>
      <c r="I21" s="29"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A22" s="5" t="str">
        <f>HYPERLINK("#'Input - Manure sent off-site'!A1", "Manure sent off-site")</f>
        <v>Manure sent off-site</v>
      </c>
      <c r="D22" s="1" t="str" cm="1">
        <f t="array" ref="D22">Common_InputFunctions.Utility_DisplayArrayInTable(WasteSolid_SourceData.Waste_EmissionFactorsForWasteTreatment_Data(), Table_SourceData_WasteSolid_WasteTreatmentEFs[[#Headers],[Treatment type t]], 0)</f>
        <v>Landfill</v>
      </c>
      <c r="E22" s="29" t="str" cm="1">
        <f t="array" ref="E22">Common_InputFunctions.Utility_DisplayArrayInTable(WasteSolid_SourceData.Waste_EmissionFactorsForWasteTreatment_Data(), Table_SourceData_WasteSolid_WasteTreatmentEFs[[#Headers],[Treatment type t]], 0)</f>
        <v>Sludge</v>
      </c>
      <c r="F22" s="29" cm="1">
        <f t="array" ref="F22">Common_InputFunctions.Utility_DisplayArrayInTable(WasteSolid_SourceData.Waste_EmissionFactorsForWasteTreatment_Data(), Table_SourceData_WasteSolid_WasteTreatmentEFs[[#Headers],[Treatment type t]], 0)</f>
        <v>0.4</v>
      </c>
      <c r="G22" s="29" t="str" cm="1">
        <f t="array" ref="G22">Common_InputFunctions.Utility_DisplayArrayInTable(WasteSolid_SourceData.Waste_EmissionFactorsForWasteTreatment_Data(), Table_SourceData_WasteSolid_WasteTreatmentEFs[[#Headers],[Treatment type t]], 0)</f>
        <v>NGAF 2025 table 15</v>
      </c>
      <c r="I22" s="29" t="str">
        <f>Table_SourceData_WasteSolid_WasteTreatmentEFs[[#This Row],[Waste type w]]</f>
        <v>Sludge</v>
      </c>
      <c r="K22" s="1" t="str">
        <f t="shared" si="0"/>
        <v>Textiles</v>
      </c>
    </row>
    <row r="23" spans="1:15" ht="20.100000000000001" customHeight="1" x14ac:dyDescent="0.25">
      <c r="A23" s="5" t="str">
        <f>HYPERLINK("#'Input - Solid waste'!A1", "Solid waste")</f>
        <v>Solid waste</v>
      </c>
      <c r="D23" s="1" t="str" cm="1">
        <f t="array" ref="D23">Common_InputFunctions.Utility_DisplayArrayInTable(WasteSolid_SourceData.Waste_EmissionFactorsForWasteTreatment_Data(), Table_SourceData_WasteSolid_WasteTreatmentEFs[[#Headers],[Treatment type t]], 0)</f>
        <v>Landfill</v>
      </c>
      <c r="E23" s="29" t="str" cm="1">
        <f t="array" ref="E23">Common_InputFunctions.Utility_DisplayArrayInTable(WasteSolid_SourceData.Waste_EmissionFactorsForWasteTreatment_Data(), Table_SourceData_WasteSolid_WasteTreatmentEFs[[#Headers],[Treatment type t]], 0)</f>
        <v>Rubber and leather</v>
      </c>
      <c r="F23" s="29" cm="1">
        <f t="array" ref="F23">Common_InputFunctions.Utility_DisplayArrayInTable(WasteSolid_SourceData.Waste_EmissionFactorsForWasteTreatment_Data(), Table_SourceData_WasteSolid_WasteTreatmentEFs[[#Headers],[Treatment type t]], 0)</f>
        <v>3.3</v>
      </c>
      <c r="G23" s="29" t="str" cm="1">
        <f t="array" ref="G23">Common_InputFunctions.Utility_DisplayArrayInTable(WasteSolid_SourceData.Waste_EmissionFactorsForWasteTreatment_Data(), Table_SourceData_WasteSolid_WasteTreatmentEFs[[#Headers],[Treatment type t]], 0)</f>
        <v>NGAF 2025 table 15</v>
      </c>
      <c r="I23" s="29" t="str">
        <f>Table_SourceData_WasteSolid_WasteTreatmentEFs[[#This Row],[Waste type w]]</f>
        <v>Rubber and leather</v>
      </c>
      <c r="K23" s="1" t="str">
        <f t="shared" si="0"/>
        <v>Rubber and leather</v>
      </c>
    </row>
    <row r="24" spans="1:15" ht="20.100000000000001" customHeight="1" x14ac:dyDescent="0.25">
      <c r="A24" s="5" t="str">
        <f>HYPERLINK("#'Input - Data quality'!A1", "Data quality")</f>
        <v>Data quality</v>
      </c>
      <c r="D24" s="1" t="str" cm="1">
        <f t="array" ref="D24">Common_InputFunctions.Utility_DisplayArrayInTable(WasteSolid_SourceData.Waste_EmissionFactorsForWasteTreatment_Data(), Table_SourceData_WasteSolid_WasteTreatmentEFs[[#Headers],[Treatment type t]], 0)</f>
        <v>Landfill</v>
      </c>
      <c r="E24" s="29" t="str" cm="1">
        <f t="array" ref="E24">Common_InputFunctions.Utility_DisplayArrayInTable(WasteSolid_SourceData.Waste_EmissionFactorsForWasteTreatment_Data(), Table_SourceData_WasteSolid_WasteTreatmentEFs[[#Headers],[Treatment type t]], 0)</f>
        <v>Inert waste (including concrete, metal, plastic or glass)</v>
      </c>
      <c r="F24" s="29" cm="1">
        <f t="array" ref="F24">Common_InputFunctions.Utility_DisplayArrayInTable(WasteSolid_SourceData.Waste_EmissionFactorsForWasteTreatment_Data(), Table_SourceData_WasteSolid_WasteTreatmentEFs[[#Headers],[Treatment type t]], 0)</f>
        <v>0</v>
      </c>
      <c r="G24" s="29" t="str" cm="1">
        <f t="array" ref="G24">Common_InputFunctions.Utility_DisplayArrayInTable(WasteSolid_SourceData.Waste_EmissionFactorsForWasteTreatment_Data(), Table_SourceData_WasteSolid_WasteTreatmentEFs[[#Headers],[Treatment type t]], 0)</f>
        <v>NGAF 2025 table 15</v>
      </c>
      <c r="I24" s="29"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D25" s="1" t="str" cm="1">
        <f t="array" ref="D25">Common_InputFunctions.Utility_DisplayArrayInTable(WasteSolid_SourceData.Waste_EmissionFactorsForWasteTreatment_Data(), Table_SourceData_WasteSolid_WasteTreatmentEFs[[#Headers],[Treatment type t]], 0)</f>
        <v>Landfill</v>
      </c>
      <c r="E25" s="29" t="str" cm="1">
        <f t="array" ref="E25">Common_InputFunctions.Utility_DisplayArrayInTable(WasteSolid_SourceData.Waste_EmissionFactorsForWasteTreatment_Data(), Table_SourceData_WasteSolid_WasteTreatmentEFs[[#Headers],[Treatment type t]], 0)</f>
        <v>Municipal solid waste</v>
      </c>
      <c r="F25" s="29" cm="1">
        <f t="array" ref="F25">Common_InputFunctions.Utility_DisplayArrayInTable(WasteSolid_SourceData.Waste_EmissionFactorsForWasteTreatment_Data(), Table_SourceData_WasteSolid_WasteTreatmentEFs[[#Headers],[Treatment type t]], 0)</f>
        <v>1.6</v>
      </c>
      <c r="G25" s="29" t="str" cm="1">
        <f t="array" ref="G25">Common_InputFunctions.Utility_DisplayArrayInTable(WasteSolid_SourceData.Waste_EmissionFactorsForWasteTreatment_Data(), Table_SourceData_WasteSolid_WasteTreatmentEFs[[#Headers],[Treatment type t]], 0)</f>
        <v>NGAF 2025 table 15</v>
      </c>
      <c r="I25" s="29" t="str">
        <f>Table_SourceData_WasteSolid_WasteTreatmentEFs[[#This Row],[Waste type w]]</f>
        <v>Municipal solid waste</v>
      </c>
      <c r="K25" s="1" t="str">
        <f t="shared" si="0"/>
        <v>Municipal solid waste</v>
      </c>
    </row>
    <row r="26" spans="1:15" ht="20.100000000000001" customHeight="1" x14ac:dyDescent="0.25">
      <c r="D26" s="1" t="str" cm="1">
        <f t="array" ref="D26">Common_InputFunctions.Utility_DisplayArrayInTable(WasteSolid_SourceData.Waste_EmissionFactorsForWasteTreatment_Data(), Table_SourceData_WasteSolid_WasteTreatmentEFs[[#Headers],[Treatment type t]], 0)</f>
        <v>Landfill</v>
      </c>
      <c r="E26" s="29" t="str" cm="1">
        <f t="array" ref="E26">Common_InputFunctions.Utility_DisplayArrayInTable(WasteSolid_SourceData.Waste_EmissionFactorsForWasteTreatment_Data(), Table_SourceData_WasteSolid_WasteTreatmentEFs[[#Headers],[Treatment type t]], 0)</f>
        <v>Commercial and industrial waste</v>
      </c>
      <c r="F26" s="29" cm="1">
        <f t="array" ref="F26">Common_InputFunctions.Utility_DisplayArrayInTable(WasteSolid_SourceData.Waste_EmissionFactorsForWasteTreatment_Data(), Table_SourceData_WasteSolid_WasteTreatmentEFs[[#Headers],[Treatment type t]], 0)</f>
        <v>1.3</v>
      </c>
      <c r="G26" s="29" t="str" cm="1">
        <f t="array" ref="G26">Common_InputFunctions.Utility_DisplayArrayInTable(WasteSolid_SourceData.Waste_EmissionFactorsForWasteTreatment_Data(), Table_SourceData_WasteSolid_WasteTreatmentEFs[[#Headers],[Treatment type t]], 0)</f>
        <v>NGAF 2025 table 15</v>
      </c>
      <c r="I26" s="29" t="str">
        <f>Table_SourceData_WasteSolid_WasteTreatmentEFs[[#This Row],[Waste type w]]</f>
        <v>Commercial and industrial waste</v>
      </c>
      <c r="K26" s="1" t="str">
        <f t="shared" si="0"/>
        <v>Commercial and industrial waste</v>
      </c>
    </row>
    <row r="27" spans="1:15" ht="20.100000000000001" customHeight="1" x14ac:dyDescent="0.25">
      <c r="A27" s="6" t="s">
        <v>2</v>
      </c>
      <c r="D27" s="1" t="str" cm="1">
        <f t="array" ref="D27">Common_InputFunctions.Utility_DisplayArrayInTable(WasteSolid_SourceData.Waste_EmissionFactorsForWasteTreatment_Data(), Table_SourceData_WasteSolid_WasteTreatmentEFs[[#Headers],[Treatment type t]], 0)</f>
        <v>Landfill</v>
      </c>
      <c r="E27" s="29" t="str" cm="1">
        <f t="array" ref="E27">Common_InputFunctions.Utility_DisplayArrayInTable(WasteSolid_SourceData.Waste_EmissionFactorsForWasteTreatment_Data(), Table_SourceData_WasteSolid_WasteTreatmentEFs[[#Headers],[Treatment type t]], 0)</f>
        <v>Construction and demolition waste</v>
      </c>
      <c r="F27" s="29" cm="1">
        <f t="array" ref="F27">Common_InputFunctions.Utility_DisplayArrayInTable(WasteSolid_SourceData.Waste_EmissionFactorsForWasteTreatment_Data(), Table_SourceData_WasteSolid_WasteTreatmentEFs[[#Headers],[Treatment type t]], 0)</f>
        <v>0.2</v>
      </c>
      <c r="G27" s="29" t="str" cm="1">
        <f t="array" ref="G27">Common_InputFunctions.Utility_DisplayArrayInTable(WasteSolid_SourceData.Waste_EmissionFactorsForWasteTreatment_Data(), Table_SourceData_WasteSolid_WasteTreatmentEFs[[#Headers],[Treatment type t]], 0)</f>
        <v>NGAF 2025 table 15</v>
      </c>
      <c r="I27" s="29" t="str">
        <f>Table_SourceData_WasteSolid_WasteTreatmentEFs[[#This Row],[Waste type w]]</f>
        <v>Construction and demolition waste</v>
      </c>
    </row>
    <row r="28" spans="1:15" ht="20.100000000000001" customHeight="1" x14ac:dyDescent="0.25">
      <c r="A28" s="5" t="str">
        <f>HYPERLINK("#'5.1.1.1-2 Inorganic fert N2O'!A1", "5.1.1.1-2 Inorganic fert N2O")</f>
        <v>5.1.1.1-2 Inorganic fert N2O</v>
      </c>
      <c r="D28" s="1" t="str" cm="1">
        <f t="array" ref="D28">Common_InputFunctions.Utility_DisplayArrayInTable(WasteSolid_SourceData.Waste_EmissionFactorsForWasteTreatment_Data(), Table_SourceData_WasteSolid_WasteTreatmentEFs[[#Headers],[Treatment type t]], 0)</f>
        <v>Incineration</v>
      </c>
      <c r="E28" s="29" t="str" cm="1">
        <f t="array" ref="E28">Common_InputFunctions.Utility_DisplayArrayInTable(WasteSolid_SourceData.Waste_EmissionFactorsForWasteTreatment_Data(), Table_SourceData_WasteSolid_WasteTreatmentEFs[[#Headers],[Treatment type t]], 0)</f>
        <v>Food waste, green waste, wood, sludge</v>
      </c>
      <c r="F28" s="29" cm="1">
        <f t="array" ref="F28">Common_InputFunctions.Utility_DisplayArrayInTable(WasteSolid_SourceData.Waste_EmissionFactorsForWasteTreatment_Data(), Table_SourceData_WasteSolid_WasteTreatmentEFs[[#Headers],[Treatment type t]], 0)</f>
        <v>0</v>
      </c>
      <c r="G28" s="29"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5" t="str">
        <f>HYPERLINK("#'5.1.1.3-4 Inorganic fert CO2'!A1", "5.1.1.3-4 Inorganic fert CO2")</f>
        <v>5.1.1.3-4 Inorganic fert CO2</v>
      </c>
      <c r="D29" s="1" t="str" cm="1">
        <f t="array" ref="D29">Common_InputFunctions.Utility_DisplayArrayInTable(WasteSolid_SourceData.Waste_EmissionFactorsForWasteTreatment_Data(), Table_SourceData_WasteSolid_WasteTreatmentEFs[[#Headers],[Treatment type t]], 0)</f>
        <v>Incineration</v>
      </c>
      <c r="E29" s="29"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9" cm="1">
        <f t="array" ref="F29">Common_InputFunctions.Utility_DisplayArrayInTable(WasteSolid_SourceData.Waste_EmissionFactorsForWasteTreatment_Data(), Table_SourceData_WasteSolid_WasteTreatmentEFs[[#Headers],[Treatment type t]], 0)</f>
        <v>0</v>
      </c>
      <c r="G29" s="29"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5" t="str">
        <f>HYPERLINK("#'5.2.1.1-2 Organic Fert N2O'!A1", "5.2.1.1-2 Organic fert N2O")</f>
        <v>5.2.1.1-2 Organic fert N2O</v>
      </c>
      <c r="D30" s="1" t="str" cm="1">
        <f t="array" ref="D30">Common_InputFunctions.Utility_DisplayArrayInTable(WasteSolid_SourceData.Waste_EmissionFactorsForWasteTreatment_Data(), Table_SourceData_WasteSolid_WasteTreatmentEFs[[#Headers],[Treatment type t]], 0)</f>
        <v>Incineration</v>
      </c>
      <c r="E30" s="29" t="str" cm="1">
        <f t="array" ref="E30">Common_InputFunctions.Utility_DisplayArrayInTable(WasteSolid_SourceData.Waste_EmissionFactorsForWasteTreatment_Data(), Table_SourceData_WasteSolid_WasteTreatmentEFs[[#Headers],[Treatment type t]], 0)</f>
        <v>Green waste (including crop residues or prunings)</v>
      </c>
      <c r="F30" s="29" cm="1">
        <f t="array" ref="F30">Common_InputFunctions.Utility_DisplayArrayInTable(WasteSolid_SourceData.Waste_EmissionFactorsForWasteTreatment_Data(), Table_SourceData_WasteSolid_WasteTreatmentEFs[[#Headers],[Treatment type t]], 0)</f>
        <v>0</v>
      </c>
      <c r="G30" s="29"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5" t="str">
        <f>HYPERLINK("#'5.3.1.1-2 Lime CO2'!A1", "5.3.1.1-2 Lime CO2")</f>
        <v>5.3.1.1-2 Lime CO2</v>
      </c>
      <c r="D31" s="1" t="str" cm="1">
        <f t="array" ref="D31">Common_InputFunctions.Utility_DisplayArrayInTable(WasteSolid_SourceData.Waste_EmissionFactorsForWasteTreatment_Data(), Table_SourceData_WasteSolid_WasteTreatmentEFs[[#Headers],[Treatment type t]], 0)</f>
        <v>Incineration</v>
      </c>
      <c r="E31" s="29" t="str" cm="1">
        <f t="array" ref="E31">Common_InputFunctions.Utility_DisplayArrayInTable(WasteSolid_SourceData.Waste_EmissionFactorsForWasteTreatment_Data(), Table_SourceData_WasteSolid_WasteTreatmentEFs[[#Headers],[Treatment type t]], 0)</f>
        <v>Wood</v>
      </c>
      <c r="F31" s="29" cm="1">
        <f t="array" ref="F31">Common_InputFunctions.Utility_DisplayArrayInTable(WasteSolid_SourceData.Waste_EmissionFactorsForWasteTreatment_Data(), Table_SourceData_WasteSolid_WasteTreatmentEFs[[#Headers],[Treatment type t]], 0)</f>
        <v>0</v>
      </c>
      <c r="G31" s="29"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5" t="str">
        <f>HYPERLINK("#'5.4.1.1-4 Atmos deposition'!A1", "5.4.1.1-4 Atmos. deposition")</f>
        <v>5.4.1.1-4 Atmos. deposition</v>
      </c>
      <c r="D32" s="1" t="str" cm="1">
        <f t="array" ref="D32">Common_InputFunctions.Utility_DisplayArrayInTable(WasteSolid_SourceData.Waste_EmissionFactorsForWasteTreatment_Data(), Table_SourceData_WasteSolid_WasteTreatmentEFs[[#Headers],[Treatment type t]], 0)</f>
        <v>Incineration</v>
      </c>
      <c r="E32" s="29" t="str" cm="1">
        <f t="array" ref="E32">Common_InputFunctions.Utility_DisplayArrayInTable(WasteSolid_SourceData.Waste_EmissionFactorsForWasteTreatment_Data(), Table_SourceData_WasteSolid_WasteTreatmentEFs[[#Headers],[Treatment type t]], 0)</f>
        <v>Sludge</v>
      </c>
      <c r="F32" s="29" cm="1">
        <f t="array" ref="F32">Common_InputFunctions.Utility_DisplayArrayInTable(WasteSolid_SourceData.Waste_EmissionFactorsForWasteTreatment_Data(), Table_SourceData_WasteSolid_WasteTreatmentEFs[[#Headers],[Treatment type t]], 0)</f>
        <v>0</v>
      </c>
      <c r="G32" s="29"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5" t="str">
        <f>HYPERLINK("#'5.5.1.1-2 Leaching and runoff'!A1", "5.5.1.1-2 Leaching &amp; runoff")</f>
        <v>5.5.1.1-2 Leaching &amp; runoff</v>
      </c>
      <c r="D33" s="1" t="str" cm="1">
        <f t="array" ref="D33">Common_InputFunctions.Utility_DisplayArrayInTable(WasteSolid_SourceData.Waste_EmissionFactorsForWasteTreatment_Data(), Table_SourceData_WasteSolid_WasteTreatmentEFs[[#Headers],[Treatment type t]], 0)</f>
        <v>Incineration</v>
      </c>
      <c r="E33" s="29" t="str" cm="1">
        <f t="array" ref="E33">Common_InputFunctions.Utility_DisplayArrayInTable(WasteSolid_SourceData.Waste_EmissionFactorsForWasteTreatment_Data(), Table_SourceData_WasteSolid_WasteTreatmentEFs[[#Headers],[Treatment type t]], 0)</f>
        <v>Paper and cardboard</v>
      </c>
      <c r="F33" s="29" cm="1">
        <f t="array" ref="F33">Common_InputFunctions.Utility_DisplayArrayInTable(WasteSolid_SourceData.Waste_EmissionFactorsForWasteTreatment_Data(), Table_SourceData_WasteSolid_WasteTreatmentEFs[[#Headers],[Treatment type t]], 0)</f>
        <v>1.6899999999999998E-2</v>
      </c>
      <c r="G33" s="29"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5" t="str">
        <f>HYPERLINK("#'6.2.1.1-2 Pasture residue N2O'!A1", "6.2.1.1-2 Pasture residue N2O")</f>
        <v>6.2.1.1-2 Pasture residue N2O</v>
      </c>
      <c r="D34" s="1" t="str" cm="1">
        <f t="array" ref="D34">Common_InputFunctions.Utility_DisplayArrayInTable(WasteSolid_SourceData.Waste_EmissionFactorsForWasteTreatment_Data(), Table_SourceData_WasteSolid_WasteTreatmentEFs[[#Headers],[Treatment type t]], 0)</f>
        <v>Incineration</v>
      </c>
      <c r="E34" s="29" t="str" cm="1">
        <f t="array" ref="E34">Common_InputFunctions.Utility_DisplayArrayInTable(WasteSolid_SourceData.Waste_EmissionFactorsForWasteTreatment_Data(), Table_SourceData_WasteSolid_WasteTreatmentEFs[[#Headers],[Treatment type t]], 0)</f>
        <v>Textiles</v>
      </c>
      <c r="F34" s="29" cm="1">
        <f t="array" ref="F34">Common_InputFunctions.Utility_DisplayArrayInTable(WasteSolid_SourceData.Waste_EmissionFactorsForWasteTreatment_Data(), Table_SourceData_WasteSolid_WasteTreatmentEFs[[#Headers],[Treatment type t]], 0)</f>
        <v>0.36670000000000003</v>
      </c>
      <c r="G34" s="29"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5" t="str">
        <f>HYPERLINK("#'6.3.1.1-2 Leach runoff pasture'!A1", "6.3.1.1-2 Leach &amp; runoff (pasture)")</f>
        <v>6.3.1.1-2 Leach &amp; runoff (pasture)</v>
      </c>
      <c r="D35" s="1" t="str" cm="1">
        <f t="array" ref="D35">Common_InputFunctions.Utility_DisplayArrayInTable(WasteSolid_SourceData.Waste_EmissionFactorsForWasteTreatment_Data(), Table_SourceData_WasteSolid_WasteTreatmentEFs[[#Headers],[Treatment type t]], 0)</f>
        <v>Incineration</v>
      </c>
      <c r="E35" s="29" t="str" cm="1">
        <f t="array" ref="E35">Common_InputFunctions.Utility_DisplayArrayInTable(WasteSolid_SourceData.Waste_EmissionFactorsForWasteTreatment_Data(), Table_SourceData_WasteSolid_WasteTreatmentEFs[[#Headers],[Treatment type t]], 0)</f>
        <v>Rubber and leather</v>
      </c>
      <c r="F35" s="29" cm="1">
        <f t="array" ref="F35">Common_InputFunctions.Utility_DisplayArrayInTable(WasteSolid_SourceData.Waste_EmissionFactorsForWasteTreatment_Data(), Table_SourceData_WasteSolid_WasteTreatmentEFs[[#Headers],[Treatment type t]], 0)</f>
        <v>0.4919</v>
      </c>
      <c r="G35" s="29"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5" t="str">
        <f>HYPERLINK("#'8.1.1.1-2 Transport fuel'!A1", "8.1.1.1-2 Transport fuel")</f>
        <v>8.1.1.1-2 Transport fuel</v>
      </c>
      <c r="D36" s="1" t="str" cm="1">
        <f t="array" ref="D36">Common_InputFunctions.Utility_DisplayArrayInTable(WasteSolid_SourceData.Waste_EmissionFactorsForWasteTreatment_Data(), Table_SourceData_WasteSolid_WasteTreatmentEFs[[#Headers],[Treatment type t]], 0)</f>
        <v>Incineration</v>
      </c>
      <c r="E36" s="29" t="str" cm="1">
        <f t="array" ref="E36">Common_InputFunctions.Utility_DisplayArrayInTable(WasteSolid_SourceData.Waste_EmissionFactorsForWasteTreatment_Data(), Table_SourceData_WasteSolid_WasteTreatmentEFs[[#Headers],[Treatment type t]], 0)</f>
        <v>Inert waste (including concrete, metal, plastic or glass)</v>
      </c>
      <c r="F36" s="29" cm="1">
        <f t="array" ref="F36">Common_InputFunctions.Utility_DisplayArrayInTable(WasteSolid_SourceData.Waste_EmissionFactorsForWasteTreatment_Data(), Table_SourceData_WasteSolid_WasteTreatmentEFs[[#Headers],[Treatment type t]], 0)</f>
        <v>0.11</v>
      </c>
      <c r="G36" s="29"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5" t="str">
        <f>HYPERLINK("#'8.2.1.1-2 Stationary fuel'!A1", "8.2.1.1-2 Stationary fuel")</f>
        <v>8.2.1.1-2 Stationary fuel</v>
      </c>
      <c r="D37" s="1" t="str" cm="1">
        <f t="array" ref="D37">Common_InputFunctions.Utility_DisplayArrayInTable(WasteSolid_SourceData.Waste_EmissionFactorsForWasteTreatment_Data(), Table_SourceData_WasteSolid_WasteTreatmentEFs[[#Headers],[Treatment type t]], 0)</f>
        <v>Incineration</v>
      </c>
      <c r="E37" s="29" t="str" cm="1">
        <f t="array" ref="E37">Common_InputFunctions.Utility_DisplayArrayInTable(WasteSolid_SourceData.Waste_EmissionFactorsForWasteTreatment_Data(), Table_SourceData_WasteSolid_WasteTreatmentEFs[[#Headers],[Treatment type t]], 0)</f>
        <v>Municipal solid waste</v>
      </c>
      <c r="F37" s="29" cm="1">
        <f t="array" ref="F37">Common_InputFunctions.Utility_DisplayArrayInTable(WasteSolid_SourceData.Waste_EmissionFactorsForWasteTreatment_Data(), Table_SourceData_WasteSolid_WasteTreatmentEFs[[#Headers],[Treatment type t]], 0)</f>
        <v>5.3699999999999998E-2</v>
      </c>
      <c r="G37" s="253"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5" t="str">
        <f>HYPERLINK("#'14.1.1-2 Purchased electricity'!A1", "14.1.1-2 Purchased electricity")</f>
        <v>14.1.1-2 Purchased electricity</v>
      </c>
      <c r="D38" s="1" t="str" cm="1">
        <f t="array" ref="D38">Common_InputFunctions.Utility_DisplayArrayInTable(WasteSolid_SourceData.Waste_EmissionFactorsForWasteTreatment_Data(), Table_SourceData_WasteSolid_WasteTreatmentEFs[[#Headers],[Treatment type t]], 0)</f>
        <v>Incineration</v>
      </c>
      <c r="E38" s="29" t="str" cm="1">
        <f t="array" ref="E38">Common_InputFunctions.Utility_DisplayArrayInTable(WasteSolid_SourceData.Waste_EmissionFactorsForWasteTreatment_Data(), Table_SourceData_WasteSolid_WasteTreatmentEFs[[#Headers],[Treatment type t]], 0)</f>
        <v>Commercial and industrial waste</v>
      </c>
      <c r="F38" s="29" cm="1">
        <f t="array" ref="F38">Common_InputFunctions.Utility_DisplayArrayInTable(WasteSolid_SourceData.Waste_EmissionFactorsForWasteTreatment_Data(), Table_SourceData_WasteSolid_WasteTreatmentEFs[[#Headers],[Treatment type t]], 0)</f>
        <v>1.649</v>
      </c>
      <c r="G38" s="253"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s="5" t="str">
        <f>HYPERLINK("#'15 Scope 3'!A1", "15 Scope 3")</f>
        <v>15 Scope 3</v>
      </c>
      <c r="D39" s="1" t="str" cm="1">
        <f t="array" ref="D39">Common_InputFunctions.Utility_DisplayArrayInTable(WasteSolid_SourceData.Waste_EmissionFactorsForWasteTreatment_Data(), Table_SourceData_WasteSolid_WasteTreatmentEFs[[#Headers],[Treatment type t]], 0)</f>
        <v>Composting</v>
      </c>
      <c r="E39" s="29" t="str" cm="1">
        <f t="array" ref="E39">Common_InputFunctions.Utility_DisplayArrayInTable(WasteSolid_SourceData.Waste_EmissionFactorsForWasteTreatment_Data(), Table_SourceData_WasteSolid_WasteTreatmentEFs[[#Headers],[Treatment type t]], 0)</f>
        <v>All organic waste</v>
      </c>
      <c r="F39" s="29" cm="1">
        <f t="array" ref="F39">Common_InputFunctions.Utility_DisplayArrayInTable(WasteSolid_SourceData.Waste_EmissionFactorsForWasteTreatment_Data(), Table_SourceData_WasteSolid_WasteTreatmentEFs[[#Headers],[Treatment type t]], 0)</f>
        <v>4.5999999999999999E-2</v>
      </c>
      <c r="G39" s="253"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5" t="str">
        <f>HYPERLINK("#'Calcs - Manure sent off-site'!A1", "Calcs - Manure sent off-site")</f>
        <v>Calcs - Manure sent off-site</v>
      </c>
      <c r="D40" s="1" t="str" cm="1">
        <f t="array" ref="D40">Common_InputFunctions.Utility_DisplayArrayInTable(WasteSolid_SourceData.Waste_EmissionFactorsForWasteTreatment_Data(), Table_SourceData_WasteSolid_WasteTreatmentEFs[[#Headers],[Treatment type t]], 0)</f>
        <v>Composting</v>
      </c>
      <c r="E40" s="29"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9" cm="1">
        <f t="array" ref="F40">Common_InputFunctions.Utility_DisplayArrayInTable(WasteSolid_SourceData.Waste_EmissionFactorsForWasteTreatment_Data(), Table_SourceData_WasteSolid_WasteTreatmentEFs[[#Headers],[Treatment type t]], 0)</f>
        <v>4.5999999999999999E-2</v>
      </c>
      <c r="G40" s="253"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5" t="str">
        <f>HYPERLINK("#'4.3.1.1-2 Methane'!A1", "4.3.1.1-2 Methane")</f>
        <v>4.3.1.1-2 Methane</v>
      </c>
      <c r="D41" s="1" t="str" cm="1">
        <f t="array" ref="D41">Common_InputFunctions.Utility_DisplayArrayInTable(WasteSolid_SourceData.Waste_EmissionFactorsForWasteTreatment_Data(), Table_SourceData_WasteSolid_WasteTreatmentEFs[[#Headers],[Treatment type t]], 0)</f>
        <v>Composting</v>
      </c>
      <c r="E41" s="29" t="str" cm="1">
        <f t="array" ref="E41">Common_InputFunctions.Utility_DisplayArrayInTable(WasteSolid_SourceData.Waste_EmissionFactorsForWasteTreatment_Data(), Table_SourceData_WasteSolid_WasteTreatmentEFs[[#Headers],[Treatment type t]], 0)</f>
        <v>Green waste (including crop residues or prunings)</v>
      </c>
      <c r="F41" s="29" cm="1">
        <f t="array" ref="F41">Common_InputFunctions.Utility_DisplayArrayInTable(WasteSolid_SourceData.Waste_EmissionFactorsForWasteTreatment_Data(), Table_SourceData_WasteSolid_WasteTreatmentEFs[[#Headers],[Treatment type t]], 0)</f>
        <v>4.5999999999999999E-2</v>
      </c>
      <c r="G41" s="253"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s="5" t="str">
        <f>HYPERLINK("#'4.3.1.3-4 Direct N20'!A1", "4.3.1.3-4 Direct N20")</f>
        <v>4.3.1.3-4 Direct N20</v>
      </c>
      <c r="D42" s="1" t="str" cm="1">
        <f t="array" ref="D42">Common_InputFunctions.Utility_DisplayArrayInTable(WasteSolid_SourceData.Waste_EmissionFactorsForWasteTreatment_Data(), Table_SourceData_WasteSolid_WasteTreatmentEFs[[#Headers],[Treatment type t]], 0)</f>
        <v>Composting</v>
      </c>
      <c r="E42" s="29" t="str" cm="1">
        <f t="array" ref="E42">Common_InputFunctions.Utility_DisplayArrayInTable(WasteSolid_SourceData.Waste_EmissionFactorsForWasteTreatment_Data(), Table_SourceData_WasteSolid_WasteTreatmentEFs[[#Headers],[Treatment type t]], 0)</f>
        <v>Wood</v>
      </c>
      <c r="F42" s="29" cm="1">
        <f t="array" ref="F42">Common_InputFunctions.Utility_DisplayArrayInTable(WasteSolid_SourceData.Waste_EmissionFactorsForWasteTreatment_Data(), Table_SourceData_WasteSolid_WasteTreatmentEFs[[#Headers],[Treatment type t]], 0)</f>
        <v>4.5999999999999999E-2</v>
      </c>
      <c r="G42" s="253"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s="5" t="str">
        <f>HYPERLINK("#'4.3.1.5 Atmos deposition'!A1", "4.3.1.5 Atmos deposition")</f>
        <v>4.3.1.5 Atmos deposition</v>
      </c>
      <c r="D43" s="1" t="str" cm="1">
        <f t="array" ref="D43">Common_InputFunctions.Utility_DisplayArrayInTable(WasteSolid_SourceData.Waste_EmissionFactorsForWasteTreatment_Data(), Table_SourceData_WasteSolid_WasteTreatmentEFs[[#Headers],[Treatment type t]], 0)</f>
        <v>Composting</v>
      </c>
      <c r="E43" s="29" t="str" cm="1">
        <f t="array" ref="E43">Common_InputFunctions.Utility_DisplayArrayInTable(WasteSolid_SourceData.Waste_EmissionFactorsForWasteTreatment_Data(), Table_SourceData_WasteSolid_WasteTreatmentEFs[[#Headers],[Treatment type t]], 0)</f>
        <v>Sludge</v>
      </c>
      <c r="F43" s="29" cm="1">
        <f t="array" ref="F43">Common_InputFunctions.Utility_DisplayArrayInTable(WasteSolid_SourceData.Waste_EmissionFactorsForWasteTreatment_Data(), Table_SourceData_WasteSolid_WasteTreatmentEFs[[#Headers],[Treatment type t]], 0)</f>
        <v>4.5999999999999999E-2</v>
      </c>
      <c r="G43" s="253"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s="5" t="str">
        <f>HYPERLINK("#'4.3.1.6-7 Leaching and runoff'!A1", "4.3.1.6-7 Leaching and runoff")</f>
        <v>4.3.1.6-7 Leaching and runoff</v>
      </c>
      <c r="D44" s="1" t="str" cm="1">
        <f t="array" ref="D44">Common_InputFunctions.Utility_DisplayArrayInTable(WasteSolid_SourceData.Waste_EmissionFactorsForWasteTreatment_Data(), Table_SourceData_WasteSolid_WasteTreatmentEFs[[#Headers],[Treatment type t]], 0)</f>
        <v>Composting</v>
      </c>
      <c r="E44" s="29" t="str" cm="1">
        <f t="array" ref="E44">Common_InputFunctions.Utility_DisplayArrayInTable(WasteSolid_SourceData.Waste_EmissionFactorsForWasteTreatment_Data(), Table_SourceData_WasteSolid_WasteTreatmentEFs[[#Headers],[Treatment type t]], 0)</f>
        <v>Paper and cardboard</v>
      </c>
      <c r="F44" s="29" cm="1">
        <f t="array" ref="F44">Common_InputFunctions.Utility_DisplayArrayInTable(WasteSolid_SourceData.Waste_EmissionFactorsForWasteTreatment_Data(), Table_SourceData_WasteSolid_WasteTreatmentEFs[[#Headers],[Treatment type t]], 0)</f>
        <v>4.5999999999999999E-2</v>
      </c>
      <c r="G44" s="253"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s="5" t="str">
        <f>HYPERLINK("#'4.3.1.8 Manure applied to soils'!A1", "4.3.1.8 Manure applied to soils")</f>
        <v>4.3.1.8 Manure applied to soils</v>
      </c>
      <c r="D45" s="1" t="str" cm="1">
        <f t="array" ref="D45">Common_InputFunctions.Utility_DisplayArrayInTable(WasteSolid_SourceData.Waste_EmissionFactorsForWasteTreatment_Data(), Table_SourceData_WasteSolid_WasteTreatmentEFs[[#Headers],[Treatment type t]], 0)</f>
        <v>Anaerobic digestion</v>
      </c>
      <c r="E45" s="29" t="str" cm="1">
        <f t="array" ref="E45">Common_InputFunctions.Utility_DisplayArrayInTable(WasteSolid_SourceData.Waste_EmissionFactorsForWasteTreatment_Data(), Table_SourceData_WasteSolid_WasteTreatmentEFs[[#Headers],[Treatment type t]], 0)</f>
        <v>All organic waste</v>
      </c>
      <c r="F45" s="29" cm="1">
        <f t="array" ref="F45">Common_InputFunctions.Utility_DisplayArrayInTable(WasteSolid_SourceData.Waste_EmissionFactorsForWasteTreatment_Data(), Table_SourceData_WasteSolid_WasteTreatmentEFs[[#Headers],[Treatment type t]], 0)</f>
        <v>2.8000000000000001E-2</v>
      </c>
      <c r="G45" s="253"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s="5" t="str">
        <f>HYPERLINK("#'4.3.1.9 Soil direct N2O'!A1", "4.3.1.9 Soil direct N2O")</f>
        <v>4.3.1.9 Soil direct N2O</v>
      </c>
      <c r="D46" s="1" t="str" cm="1">
        <f t="array" ref="D46">Common_InputFunctions.Utility_DisplayArrayInTable(WasteSolid_SourceData.Waste_EmissionFactorsForWasteTreatment_Data(), Table_SourceData_WasteSolid_WasteTreatmentEFs[[#Headers],[Treatment type t]], 0)</f>
        <v>Anaerobic digestion</v>
      </c>
      <c r="E46" s="29"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9" cm="1">
        <f t="array" ref="F46">Common_InputFunctions.Utility_DisplayArrayInTable(WasteSolid_SourceData.Waste_EmissionFactorsForWasteTreatment_Data(), Table_SourceData_WasteSolid_WasteTreatmentEFs[[#Headers],[Treatment type t]], 0)</f>
        <v>2.8000000000000001E-2</v>
      </c>
      <c r="G46" s="253"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s="5" t="str">
        <f>HYPERLINK("#'4.3.1.10-11 Soil Atmos Dep'!A1", "4.3.1.10-11 Soil Atmos Dep")</f>
        <v>4.3.1.10-11 Soil Atmos Dep</v>
      </c>
      <c r="D47" s="1" t="str" cm="1">
        <f t="array" ref="D47">Common_InputFunctions.Utility_DisplayArrayInTable(WasteSolid_SourceData.Waste_EmissionFactorsForWasteTreatment_Data(), Table_SourceData_WasteSolid_WasteTreatmentEFs[[#Headers],[Treatment type t]], 0)</f>
        <v>Anaerobic digestion</v>
      </c>
      <c r="E47" s="29" t="str" cm="1">
        <f t="array" ref="E47">Common_InputFunctions.Utility_DisplayArrayInTable(WasteSolid_SourceData.Waste_EmissionFactorsForWasteTreatment_Data(), Table_SourceData_WasteSolid_WasteTreatmentEFs[[#Headers],[Treatment type t]], 0)</f>
        <v>Green waste (including crop residues or prunings)</v>
      </c>
      <c r="F47" s="29" cm="1">
        <f t="array" ref="F47">Common_InputFunctions.Utility_DisplayArrayInTable(WasteSolid_SourceData.Waste_EmissionFactorsForWasteTreatment_Data(), Table_SourceData_WasteSolid_WasteTreatmentEFs[[#Headers],[Treatment type t]], 0)</f>
        <v>2.8000000000000001E-2</v>
      </c>
      <c r="G47" s="253"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A48" s="5" t="str">
        <f>HYPERLINK("#'4.3.1.12-13 Soil leach runoff'!A1", "4.3.1.12-13 Soil leach runoff")</f>
        <v>4.3.1.12-13 Soil leach runoff</v>
      </c>
      <c r="D48" s="1" t="str" cm="1">
        <f t="array" ref="D48">Common_InputFunctions.Utility_DisplayArrayInTable(WasteSolid_SourceData.Waste_EmissionFactorsForWasteTreatment_Data(), Table_SourceData_WasteSolid_WasteTreatmentEFs[[#Headers],[Treatment type t]], 0)</f>
        <v>Anaerobic digestion</v>
      </c>
      <c r="E48" s="29" t="str" cm="1">
        <f t="array" ref="E48">Common_InputFunctions.Utility_DisplayArrayInTable(WasteSolid_SourceData.Waste_EmissionFactorsForWasteTreatment_Data(), Table_SourceData_WasteSolid_WasteTreatmentEFs[[#Headers],[Treatment type t]], 0)</f>
        <v>Wood</v>
      </c>
      <c r="F48" s="29" cm="1">
        <f t="array" ref="F48">Common_InputFunctions.Utility_DisplayArrayInTable(WasteSolid_SourceData.Waste_EmissionFactorsForWasteTreatment_Data(), Table_SourceData_WasteSolid_WasteTreatmentEFs[[#Headers],[Treatment type t]], 0)</f>
        <v>2.8000000000000001E-2</v>
      </c>
      <c r="G48" s="253"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 t="str">
        <f>HYPERLINK("#'3.3.1.1-2 Enteric Methane'!A1", "3.3.1.1-2 Enteric Methane")</f>
        <v>3.3.1.1-2 Enteric Methane</v>
      </c>
      <c r="D49" s="1" t="str" cm="1">
        <f t="array" ref="D49">Common_InputFunctions.Utility_DisplayArrayInTable(WasteSolid_SourceData.Waste_EmissionFactorsForWasteTreatment_Data(), Table_SourceData_WasteSolid_WasteTreatmentEFs[[#Headers],[Treatment type t]], 0)</f>
        <v>Anaerobic digestion</v>
      </c>
      <c r="E49" s="29" t="str" cm="1">
        <f t="array" ref="E49">Common_InputFunctions.Utility_DisplayArrayInTable(WasteSolid_SourceData.Waste_EmissionFactorsForWasteTreatment_Data(), Table_SourceData_WasteSolid_WasteTreatmentEFs[[#Headers],[Treatment type t]], 0)</f>
        <v>Sludge</v>
      </c>
      <c r="F49" s="29" cm="1">
        <f t="array" ref="F49">Common_InputFunctions.Utility_DisplayArrayInTable(WasteSolid_SourceData.Waste_EmissionFactorsForWasteTreatment_Data(), Table_SourceData_WasteSolid_WasteTreatmentEFs[[#Headers],[Treatment type t]], 0)</f>
        <v>2.8000000000000001E-2</v>
      </c>
      <c r="G49" s="253"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s="5" t="str">
        <f>HYPERLINK("#'10.1.1-2 Solid waste treatment'!A1", "10.1.1-2 Solid waste treatment")</f>
        <v>10.1.1-2 Solid waste treatment</v>
      </c>
      <c r="D50" s="1" t="str" cm="1">
        <f t="array" ref="D50">Common_InputFunctions.Utility_DisplayArrayInTable(WasteSolid_SourceData.Waste_EmissionFactorsForWasteTreatment_Data(), Table_SourceData_WasteSolid_WasteTreatmentEFs[[#Headers],[Treatment type t]], 0)</f>
        <v>Anaerobic digestion</v>
      </c>
      <c r="E50" s="29" t="str" cm="1">
        <f t="array" ref="E50">Common_InputFunctions.Utility_DisplayArrayInTable(WasteSolid_SourceData.Waste_EmissionFactorsForWasteTreatment_Data(), Table_SourceData_WasteSolid_WasteTreatmentEFs[[#Headers],[Treatment type t]], 0)</f>
        <v>Paper and cardboard</v>
      </c>
      <c r="F50" s="29" cm="1">
        <f t="array" ref="F50">Common_InputFunctions.Utility_DisplayArrayInTable(WasteSolid_SourceData.Waste_EmissionFactorsForWasteTreatment_Data(), Table_SourceData_WasteSolid_WasteTreatmentEFs[[#Headers],[Treatment type t]], 0)</f>
        <v>2.8000000000000001E-2</v>
      </c>
      <c r="G50" s="253"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row r="52" spans="1:7" ht="20.100000000000001" customHeight="1" x14ac:dyDescent="0.25">
      <c r="D52" s="2" t="str" cm="1">
        <f t="array" ref="D52">WasteSolid_SourceData.Waste_WasteVolumeToMassConversion_Title()</f>
        <v>Volume to mass conversion factor for various waste types</v>
      </c>
    </row>
    <row r="53" spans="1:7" ht="20.100000000000001" customHeight="1" x14ac:dyDescent="0.25">
      <c r="A53" s="100" t="s">
        <v>1</v>
      </c>
      <c r="D53" s="27" t="str" cm="1">
        <f t="array" ref="D53">WasteSolid_SourceData.Waste_WasteVolumeToMassConversion_Source()</f>
        <v>VEERG 2026: Table A.4.1.2</v>
      </c>
    </row>
    <row r="54" spans="1:7" ht="20.100000000000001" customHeight="1" x14ac:dyDescent="0.25">
      <c r="A54" s="5" t="str">
        <f>HYPERLINK("#'Constants - Dairy'!A1", "Constants - Dairy")</f>
        <v>Constants - Dairy</v>
      </c>
      <c r="D54" s="35" t="str" cm="1">
        <f t="array" ref="D54">WasteSolid_SourceData.Waste_WasteVolumeToMassConversion_Variation()</f>
        <v>VARIATION OF SOURCE: Changed column header CFw to VTMw to match title variable.</v>
      </c>
    </row>
    <row r="55" spans="1:7" ht="20.100000000000001" customHeight="1" x14ac:dyDescent="0.25">
      <c r="A55" s="5" t="str">
        <f>HYPERLINK("#'Constants - Ag Residue'!A1", "Constants - Ag residue")</f>
        <v>Constants - Ag residue</v>
      </c>
      <c r="D55" s="1" t="str" cm="1">
        <f t="array" ref="D55">WasteSolid_SourceData.Waste_WasteVolumeToMassConversion_Variable()</f>
        <v>VTMw</v>
      </c>
    </row>
    <row r="56" spans="1:7" ht="20.100000000000001" customHeight="1" x14ac:dyDescent="0.25">
      <c r="A56" s="5" t="str">
        <f>HYPERLINK("#'Constants - Common Livestock'!A1", "Constants - Common Livestock")</f>
        <v>Constants - Common Livestock</v>
      </c>
      <c r="D56" s="15" t="str" cm="1">
        <f t="array" ref="D56">WasteSolid_SourceData.Waste_WasteVolumeToMassConversion_Unit()</f>
        <v>t/m3</v>
      </c>
    </row>
    <row r="57" spans="1:7" ht="20.100000000000001" customHeight="1" x14ac:dyDescent="0.25">
      <c r="A57" s="5" t="str">
        <f>HYPERLINK("#'Constants - Electricity'!A1", "Constants - Electricity")</f>
        <v>Constants - Electricity</v>
      </c>
      <c r="D57" s="29" t="s">
        <v>940</v>
      </c>
      <c r="E57" s="29" t="s">
        <v>943</v>
      </c>
    </row>
    <row r="58" spans="1:7" ht="20.100000000000001" customHeight="1" x14ac:dyDescent="0.25">
      <c r="A58" s="5" t="str">
        <f>HYPERLINK("#'Constants - Fertiliser'!A1", "Constants - Fertiliser")</f>
        <v>Constants - Fertiliser</v>
      </c>
      <c r="D58" s="29"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9"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A59" s="5" t="str">
        <f>HYPERLINK("#'Constants - Fuel'!A1", "Constants - Fuel")</f>
        <v>Constants - Fuel</v>
      </c>
      <c r="D59" s="1" t="str" cm="1">
        <f t="array" ref="D59">Common_InputFunctions.Utility_DisplayArrayInTable(WasteSolid_SourceData.Waste_WasteVolumeToMassConversion_Data(), Table_SourceData_WasteSolid_VolumeToMassConversion[[#Headers],[Waste type w]], 0)</f>
        <v>Paper and cardboard</v>
      </c>
      <c r="E59" s="29"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A60" s="5" t="str">
        <f>HYPERLINK("#'Constants - Scope 3'!A1", "Constants - Scope 3")</f>
        <v>Constants - Scope 3</v>
      </c>
      <c r="D60" s="1" t="str" cm="1">
        <f t="array" ref="D60">Common_InputFunctions.Utility_DisplayArrayInTable(WasteSolid_SourceData.Waste_WasteVolumeToMassConversion_Data(), Table_SourceData_WasteSolid_VolumeToMassConversion[[#Headers],[Waste type w]], 0)</f>
        <v>Green waste (including crop residues or prunings)</v>
      </c>
      <c r="E60" s="29"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A61" s="5" t="str">
        <f>HYPERLINK("#'Constants - Common'!A1", "Constants - Common")</f>
        <v>Constants - Common</v>
      </c>
      <c r="D61" s="1" t="str" cm="1">
        <f t="array" ref="D61">Common_InputFunctions.Utility_DisplayArrayInTable(WasteSolid_SourceData.Waste_WasteVolumeToMassConversion_Data(), Table_SourceData_WasteSolid_VolumeToMassConversion[[#Headers],[Waste type w]], 0)</f>
        <v>Wood</v>
      </c>
      <c r="E61" s="29"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A62" s="5" t="str">
        <f>HYPERLINK("#'Acknowledgements'!A1", "Acknowledgements")</f>
        <v>Acknowledgements</v>
      </c>
      <c r="D62" s="1" t="str" cm="1">
        <f t="array" ref="D62">Common_InputFunctions.Utility_DisplayArrayInTable(WasteSolid_SourceData.Waste_WasteVolumeToMassConversion_Data(), Table_SourceData_WasteSolid_VolumeToMassConversion[[#Headers],[Waste type w]], 0)</f>
        <v>Textiles</v>
      </c>
      <c r="E62" s="29"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A63" s="148" t="str">
        <f>HYPERLINK("#'Constants - Solid Waste'!A1", "Constants - Solid Waste")</f>
        <v>Constants - Solid Waste</v>
      </c>
      <c r="D63" s="1" t="str" cm="1">
        <f t="array" ref="D63">Common_InputFunctions.Utility_DisplayArrayInTable(WasteSolid_SourceData.Waste_WasteVolumeToMassConversion_Data(), Table_SourceData_WasteSolid_VolumeToMassConversion[[#Headers],[Waste type w]], 0)</f>
        <v>Sludge</v>
      </c>
      <c r="E63" s="29"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1" t="str" cm="1">
        <f t="array" ref="D64">Common_InputFunctions.Utility_DisplayArrayInTable(WasteSolid_SourceData.Waste_WasteVolumeToMassConversion_Data(), Table_SourceData_WasteSolid_VolumeToMassConversion[[#Headers],[Waste type w]], 0)</f>
        <v>Rubber and leather</v>
      </c>
      <c r="E64" s="29"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9"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29"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29"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29"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8793-F6B6-430F-A9EB-D048245097CD}">
  <dimension ref="A1:BL82"/>
  <sheetViews>
    <sheetView showGridLines="0" zoomScaleNormal="100" workbookViewId="0">
      <selection activeCell="A63" sqref="A63"/>
    </sheetView>
  </sheetViews>
  <sheetFormatPr defaultRowHeight="15" x14ac:dyDescent="0.25"/>
  <cols>
    <col min="1" max="1" width="30.7109375" customWidth="1"/>
    <col min="2" max="3" width="4.7109375" customWidth="1"/>
  </cols>
  <sheetData>
    <row r="1" spans="1:64" ht="30" customHeight="1" x14ac:dyDescent="0.35">
      <c r="A1" s="16" t="e" vm="1">
        <v>#VALUE!</v>
      </c>
      <c r="C1" s="281" t="s">
        <v>1286</v>
      </c>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row>
    <row r="2" spans="1:64" ht="20.100000000000001" customHeight="1" x14ac:dyDescent="0.25">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row>
    <row r="3" spans="1:64" ht="20.100000000000001" customHeight="1" x14ac:dyDescent="0.25">
      <c r="A3" s="5" t="str">
        <f>HYPERLINK("#'Home'!A1", "Home")</f>
        <v>Home</v>
      </c>
      <c r="C3" s="283"/>
      <c r="D3" s="283"/>
      <c r="E3" s="283"/>
      <c r="F3" s="283"/>
      <c r="G3" s="283"/>
      <c r="H3" s="283"/>
      <c r="I3" s="283"/>
      <c r="J3" s="283"/>
      <c r="K3" s="283"/>
      <c r="L3" s="283"/>
      <c r="M3" s="283"/>
      <c r="N3" s="283"/>
      <c r="O3" s="283"/>
      <c r="P3" s="283"/>
      <c r="Q3" s="283"/>
      <c r="R3" s="283"/>
      <c r="S3" s="283"/>
      <c r="T3" s="283"/>
      <c r="U3" s="283"/>
      <c r="V3" s="283"/>
      <c r="W3" s="283"/>
      <c r="X3" s="283"/>
      <c r="Y3" s="283"/>
      <c r="Z3" s="283"/>
      <c r="AA3" s="283"/>
      <c r="AB3" s="283"/>
      <c r="AC3" s="283"/>
      <c r="AD3" s="283"/>
      <c r="AE3" s="283"/>
      <c r="AF3" s="283"/>
      <c r="AG3" s="283"/>
      <c r="AH3" s="283"/>
      <c r="AI3" s="283"/>
      <c r="AJ3" s="283"/>
      <c r="AK3" s="283"/>
      <c r="AL3" s="283"/>
      <c r="AM3" s="283"/>
      <c r="AN3" s="283"/>
      <c r="AO3" s="283"/>
      <c r="AP3" s="283"/>
      <c r="AQ3" s="283"/>
      <c r="AR3" s="283"/>
      <c r="AS3" s="283"/>
      <c r="AT3" s="283"/>
      <c r="AU3" s="283"/>
      <c r="AV3" s="283"/>
      <c r="AW3" s="283"/>
      <c r="AX3" s="283"/>
      <c r="AY3" s="283"/>
      <c r="AZ3" s="283"/>
      <c r="BA3" s="283"/>
      <c r="BB3" s="283"/>
      <c r="BC3" s="283"/>
      <c r="BD3" s="283"/>
      <c r="BE3" s="283"/>
      <c r="BF3" s="283"/>
      <c r="BG3" s="283"/>
      <c r="BH3" s="283"/>
      <c r="BI3" s="283"/>
      <c r="BJ3" s="283"/>
      <c r="BK3" s="283"/>
      <c r="BL3" s="283"/>
    </row>
    <row r="4" spans="1:64" ht="20.100000000000001" customHeight="1" x14ac:dyDescent="0.25">
      <c r="A4" s="284"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row>
    <row r="5" spans="1:64" ht="20.100000000000001" customHeight="1" x14ac:dyDescent="0.25">
      <c r="A5" s="5" t="str">
        <f>HYPERLINK("#'Results'!A1", "Results")</f>
        <v>Results</v>
      </c>
      <c r="C5" s="1"/>
      <c r="D5" s="265" t="s">
        <v>1287</v>
      </c>
      <c r="E5" s="265"/>
      <c r="F5" s="265"/>
      <c r="G5" s="265"/>
      <c r="H5" s="265"/>
      <c r="I5" s="145"/>
      <c r="J5" s="53"/>
      <c r="K5" s="53"/>
      <c r="L5" s="53"/>
      <c r="M5" s="53"/>
      <c r="N5" s="53"/>
      <c r="O5" s="53"/>
      <c r="P5" s="53"/>
      <c r="Q5" s="53"/>
      <c r="R5" s="53"/>
      <c r="S5" s="53"/>
      <c r="T5" s="53"/>
      <c r="U5" s="53"/>
      <c r="V5" s="54"/>
      <c r="W5" s="1"/>
      <c r="X5" s="1"/>
      <c r="Y5" s="1"/>
      <c r="Z5" s="1"/>
      <c r="AA5" s="1"/>
      <c r="AB5" s="1"/>
      <c r="AC5" s="1"/>
      <c r="AD5" s="1"/>
      <c r="AE5" s="1"/>
      <c r="AF5" s="1"/>
      <c r="AG5" s="1"/>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row>
    <row r="6" spans="1:64" ht="20.100000000000001" customHeight="1" x14ac:dyDescent="0.25">
      <c r="C6" s="1"/>
      <c r="D6" s="285" t="s">
        <v>1288</v>
      </c>
      <c r="E6" s="154"/>
      <c r="F6" s="154"/>
      <c r="G6" s="154"/>
      <c r="H6" s="154"/>
      <c r="I6" s="55"/>
      <c r="J6" s="56"/>
      <c r="K6" s="56"/>
      <c r="L6" s="56"/>
      <c r="M6" s="56"/>
      <c r="N6" s="56"/>
      <c r="O6" s="56"/>
      <c r="P6" s="56"/>
      <c r="Q6" s="56"/>
      <c r="R6" s="56"/>
      <c r="S6" s="56"/>
      <c r="T6" s="56"/>
      <c r="U6" s="56"/>
      <c r="V6" s="57"/>
      <c r="W6" s="1"/>
      <c r="X6" s="1"/>
      <c r="Y6" s="1"/>
      <c r="Z6" s="1"/>
      <c r="AA6" s="1"/>
      <c r="AB6" s="1"/>
      <c r="AC6" s="1"/>
      <c r="AD6" s="1"/>
      <c r="AE6" s="1"/>
      <c r="AF6" s="1"/>
      <c r="AG6" s="1"/>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row>
    <row r="8" spans="1:64" ht="20.100000000000001" customHeight="1" x14ac:dyDescent="0.25">
      <c r="A8" s="7"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row>
    <row r="9" spans="1:64" ht="20.100000000000001" customHeight="1" x14ac:dyDescent="0.25">
      <c r="A9" s="5" t="str">
        <f>HYPERLINK("#'Input - Enterprise'!A1", "Enterprise")</f>
        <v>Enterprise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row>
    <row r="10" spans="1:64" ht="20.100000000000001" customHeight="1" x14ac:dyDescent="0.25">
      <c r="A10" s="5" t="str">
        <f>HYPERLINK("#'Input - Site'!A1", "Site")</f>
        <v>Site</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row>
    <row r="11" spans="1:64" ht="20.100000000000001" customHeight="1" x14ac:dyDescent="0.25">
      <c r="A11" s="5" t="str">
        <f>HYPERLINK("#'Input - Dairy'!A1", "Dairy")</f>
        <v>Dairy</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row>
    <row r="12" spans="1:64" ht="20.100000000000001" customHeight="1" x14ac:dyDescent="0.25">
      <c r="A12" s="5" t="str">
        <f>HYPERLINK("#'Input - Dairy (Enteric)'!A1", "Dairy (Enteric)")</f>
        <v>Dairy (Enteric)</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spans="1:64" ht="20.100000000000001" customHeight="1" x14ac:dyDescent="0.25">
      <c r="A13" s="5" t="str">
        <f>HYPERLINK("#'Input - Livestock sales'!A1", "Livestock sales")</f>
        <v>Livestock sales</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row>
    <row r="14" spans="1:64" ht="20.100000000000001" customHeight="1" x14ac:dyDescent="0.25">
      <c r="A14" s="5" t="str">
        <f>HYPERLINK("#'Input - Dairy cattle purchases'!A1", "Dairy cattle purchases")</f>
        <v>Dairy cattle purchases</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row>
    <row r="15" spans="1:64" ht="20.100000000000001" customHeight="1" x14ac:dyDescent="0.25">
      <c r="A15" s="5" t="str">
        <f>HYPERLINK("#'Input - Pasture'!A1", "Pasture")</f>
        <v>Pasture</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row>
    <row r="16" spans="1:64" ht="20.100000000000001" customHeight="1" x14ac:dyDescent="0.25">
      <c r="A16" s="5" t="str">
        <f>HYPERLINK("#'Input - Fert Prod System'!A1", "Fert Prod System")</f>
        <v>Fert Prod System</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row>
    <row r="17" spans="1:64" ht="20.100000000000001" customHeight="1" x14ac:dyDescent="0.25">
      <c r="A17" s="5" t="str">
        <f>HYPERLINK("#'Input - Fertiliser'!A1", "Fertiliser")</f>
        <v>Fertiliser</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row>
    <row r="18" spans="1:64" ht="20.100000000000001" customHeight="1" x14ac:dyDescent="0.25">
      <c r="A18" s="5" t="str">
        <f>HYPERLINK("#'Input - Fuel'!A1", "Fuel")</f>
        <v>Fuel</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row>
    <row r="19" spans="1:64" ht="20.100000000000001" customHeight="1" x14ac:dyDescent="0.25">
      <c r="A19" s="5" t="str">
        <f>HYPERLINK("#'Input - Electricity'!A1", "Electricity")</f>
        <v>Electricity</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row>
    <row r="20" spans="1:64" ht="20.100000000000001" customHeight="1" x14ac:dyDescent="0.25">
      <c r="A20" s="5" t="str">
        <f>HYPERLINK("#'Input - Farm Inputs'!A1", "Farm Inputs")</f>
        <v>Farm Inputs</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row>
    <row r="21" spans="1:64" ht="20.100000000000001" customHeight="1" x14ac:dyDescent="0.25">
      <c r="A21" s="5" t="str">
        <f>HYPERLINK("#'Input - Freight'!A1", "Freight")</f>
        <v>Freight</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row>
    <row r="22" spans="1:64" ht="20.100000000000001" customHeight="1" x14ac:dyDescent="0.25">
      <c r="A22" s="5" t="str">
        <f>HYPERLINK("#'Input - Manure sent off-site'!A1", "Manure sent off-site")</f>
        <v>Manure sent off-site</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row>
    <row r="23" spans="1:64" ht="20.100000000000001" customHeight="1" x14ac:dyDescent="0.25">
      <c r="A23" s="5" t="str">
        <f>HYPERLINK("#'Input - Solid waste'!A1", "Solid waste")</f>
        <v>Solid waste</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row>
    <row r="24" spans="1:64" ht="20.100000000000001" customHeight="1" x14ac:dyDescent="0.25">
      <c r="A24" s="5" t="str">
        <f>HYPERLINK("#'Input - Data quality'!A1", "Data quality")</f>
        <v>Data quality</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row>
    <row r="25" spans="1:64" ht="20.100000000000001" customHeight="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row>
    <row r="27" spans="1:64" ht="20.100000000000001" customHeight="1" x14ac:dyDescent="0.25">
      <c r="A27" s="6" t="s">
        <v>2</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row>
    <row r="28" spans="1:64" ht="20.100000000000001" customHeight="1" x14ac:dyDescent="0.25">
      <c r="A28" s="5" t="str">
        <f>HYPERLINK("#'5.1.1.1-2 Inorganic fert N2O'!A1", "5.1.1.1-2 Inorganic fert N2O")</f>
        <v>5.1.1.1-2 Inorganic fert N2O</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row>
    <row r="29" spans="1:64" ht="20.100000000000001" customHeight="1" x14ac:dyDescent="0.25">
      <c r="A29" s="5" t="str">
        <f>HYPERLINK("#'5.1.1.3-4 Inorganic fert CO2'!A1", "5.1.1.3-4 Inorganic fert CO2")</f>
        <v>5.1.1.3-4 Inorganic fert CO2</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row>
    <row r="30" spans="1:64" ht="20.100000000000001" customHeight="1" x14ac:dyDescent="0.25">
      <c r="A30" s="5" t="str">
        <f>HYPERLINK("#'5.2.1.1-2 Organic Fert N2O'!A1", "5.2.1.1-2 Organic fert N2O")</f>
        <v>5.2.1.1-2 Organic fert N2O</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row>
    <row r="31" spans="1:64" ht="20.100000000000001" customHeight="1" x14ac:dyDescent="0.25">
      <c r="A31" s="5" t="str">
        <f>HYPERLINK("#'5.3.1.1-2 Lime CO2'!A1", "5.3.1.1-2 Lime CO2")</f>
        <v>5.3.1.1-2 Lime CO2</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row>
    <row r="32" spans="1:64" ht="20.100000000000001" customHeight="1" x14ac:dyDescent="0.25">
      <c r="A32" s="5" t="str">
        <f>HYPERLINK("#'5.4.1.1-4 Atmos deposition'!A1", "5.4.1.1-4 Atmos. deposition")</f>
        <v>5.4.1.1-4 Atmos. deposition</v>
      </c>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row>
    <row r="33" spans="1:64" ht="20.100000000000001" customHeight="1" x14ac:dyDescent="0.25">
      <c r="A33" s="5" t="str">
        <f>HYPERLINK("#'5.5.1.1-2 Leaching and runoff'!A1", "5.5.1.1-2 Leaching &amp; runoff")</f>
        <v>5.5.1.1-2 Leaching &amp; runoff</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row>
    <row r="34" spans="1:64" ht="20.100000000000001" customHeight="1" x14ac:dyDescent="0.25">
      <c r="A34" s="5" t="str">
        <f>HYPERLINK("#'6.2.1.1-2 Pasture residue N2O'!A1", "6.2.1.1-2 Pasture residue N2O")</f>
        <v>6.2.1.1-2 Pasture residue N2O</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row>
    <row r="35" spans="1:64" ht="20.100000000000001" customHeight="1" x14ac:dyDescent="0.25">
      <c r="A35" s="5" t="str">
        <f>HYPERLINK("#'6.3.1.1-2 Leach runoff pasture'!A1", "6.3.1.1-2 Leach &amp; runoff (pasture)")</f>
        <v>6.3.1.1-2 Leach &amp; runoff (pasture)</v>
      </c>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row>
    <row r="36" spans="1:64" ht="20.100000000000001" customHeight="1" x14ac:dyDescent="0.25">
      <c r="A36" s="5" t="str">
        <f>HYPERLINK("#'8.1.1.1-2 Transport fuel'!A1", "8.1.1.1-2 Transport fuel")</f>
        <v>8.1.1.1-2 Transport fuel</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row>
    <row r="37" spans="1:64" ht="20.100000000000001" customHeight="1" x14ac:dyDescent="0.25">
      <c r="A37" s="5" t="str">
        <f>HYPERLINK("#'8.2.1.1-2 Stationary fuel'!A1", "8.2.1.1-2 Stationary fuel")</f>
        <v>8.2.1.1-2 Stationary fuel</v>
      </c>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row>
    <row r="38" spans="1:64" ht="20.100000000000001" customHeight="1" x14ac:dyDescent="0.25">
      <c r="A38" s="5" t="str">
        <f>HYPERLINK("#'14.1.1-2 Purchased electricity'!A1", "14.1.1-2 Purchased electricity")</f>
        <v>14.1.1-2 Purchased electricity</v>
      </c>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row>
    <row r="39" spans="1:64" ht="20.100000000000001" customHeight="1" x14ac:dyDescent="0.25">
      <c r="A39" s="5" t="str">
        <f>HYPERLINK("#'15 Scope 3'!A1", "15 Scope 3")</f>
        <v>15 Scope 3</v>
      </c>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row>
    <row r="40" spans="1:64" ht="20.100000000000001" customHeight="1" x14ac:dyDescent="0.25">
      <c r="A40" s="5" t="str">
        <f>HYPERLINK("#'Calcs - Manure sent off-site'!A1", "Calcs - Manure sent off-site")</f>
        <v>Calcs - Manure sent off-site</v>
      </c>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row>
    <row r="41" spans="1:64" ht="20.100000000000001" customHeight="1" x14ac:dyDescent="0.25">
      <c r="A41" s="5" t="str">
        <f>HYPERLINK("#'4.3.1.1-2 Methane'!A1", "4.3.1.1-2 Methane")</f>
        <v>4.3.1.1-2 Methane</v>
      </c>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row>
    <row r="42" spans="1:64" ht="20.100000000000001" customHeight="1" x14ac:dyDescent="0.25">
      <c r="A42" s="5" t="str">
        <f>HYPERLINK("#'4.3.1.3-4 Direct N20'!A1", "4.3.1.3-4 Direct N20")</f>
        <v>4.3.1.3-4 Direct N20</v>
      </c>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row>
    <row r="43" spans="1:64" ht="20.100000000000001" customHeight="1" x14ac:dyDescent="0.25">
      <c r="A43" s="5" t="str">
        <f>HYPERLINK("#'4.3.1.5 Atmos deposition'!A1", "4.3.1.5 Atmos deposition")</f>
        <v>4.3.1.5 Atmos deposition</v>
      </c>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row>
    <row r="44" spans="1:64" ht="20.100000000000001" customHeight="1" x14ac:dyDescent="0.25">
      <c r="A44" s="5" t="str">
        <f>HYPERLINK("#'4.3.1.6-7 Leaching and runoff'!A1", "4.3.1.6-7 Leaching and runoff")</f>
        <v>4.3.1.6-7 Leaching and runoff</v>
      </c>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row>
    <row r="45" spans="1:64" ht="20.100000000000001" customHeight="1" x14ac:dyDescent="0.25">
      <c r="A45" s="5" t="str">
        <f>HYPERLINK("#'4.3.1.8 Manure applied to soils'!A1", "4.3.1.8 Manure applied to soils")</f>
        <v>4.3.1.8 Manure applied to soils</v>
      </c>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row>
    <row r="46" spans="1:64" ht="20.100000000000001" customHeight="1" x14ac:dyDescent="0.25">
      <c r="A46" s="5" t="str">
        <f>HYPERLINK("#'4.3.1.9 Soil direct N2O'!A1", "4.3.1.9 Soil direct N2O")</f>
        <v>4.3.1.9 Soil direct N2O</v>
      </c>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row>
    <row r="47" spans="1:64" ht="20.100000000000001" customHeight="1" x14ac:dyDescent="0.25">
      <c r="A47" s="5" t="str">
        <f>HYPERLINK("#'4.3.1.10-11 Soil Atmos Dep'!A1", "4.3.1.10-11 Soil Atmos Dep")</f>
        <v>4.3.1.10-11 Soil Atmos Dep</v>
      </c>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row>
    <row r="48" spans="1:64" ht="20.100000000000001" customHeight="1" x14ac:dyDescent="0.25">
      <c r="A48" s="5" t="str">
        <f>HYPERLINK("#'4.3.1.12-13 Soil leach runoff'!A1", "4.3.1.12-13 Soil leach runoff")</f>
        <v>4.3.1.12-13 Soil leach runoff</v>
      </c>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row>
    <row r="49" spans="1:64" ht="20.100000000000001" customHeight="1" x14ac:dyDescent="0.25">
      <c r="A49" s="5" t="str">
        <f>HYPERLINK("#'3.3.1.1-2 Enteric Methane'!A1", "3.3.1.1-2 Enteric Methane")</f>
        <v>3.3.1.1-2 Enteric Methane</v>
      </c>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row>
    <row r="50" spans="1:64" ht="20.100000000000001" customHeight="1" x14ac:dyDescent="0.25">
      <c r="A50" s="5" t="str">
        <f>HYPERLINK("#'10.1.1-2 Solid waste treatment'!A1", "10.1.1-2 Solid waste treatment")</f>
        <v>10.1.1-2 Solid waste treatment</v>
      </c>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row>
    <row r="51" spans="1:64" ht="20.100000000000001" customHeight="1" x14ac:dyDescent="0.25">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row>
    <row r="52" spans="1:64" ht="20.100000000000001" customHeight="1" x14ac:dyDescent="0.25">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row>
    <row r="53" spans="1:64" ht="20.100000000000001" customHeight="1" x14ac:dyDescent="0.25">
      <c r="A53" s="100" t="s">
        <v>1</v>
      </c>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row>
    <row r="54" spans="1:64" ht="20.100000000000001" customHeight="1" x14ac:dyDescent="0.25">
      <c r="A54" s="5" t="str">
        <f>HYPERLINK("#'Constants - Dairy'!A1", "Constants - Dairy")</f>
        <v>Constants - Dairy</v>
      </c>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row>
    <row r="55" spans="1:64" ht="20.100000000000001" customHeight="1" x14ac:dyDescent="0.25">
      <c r="A55" s="5" t="str">
        <f>HYPERLINK("#'Constants - Ag Residue'!A1", "Constants - Ag residue")</f>
        <v>Constants - Ag residue</v>
      </c>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row>
    <row r="56" spans="1:64" ht="20.100000000000001" customHeight="1" x14ac:dyDescent="0.25">
      <c r="A56" s="5" t="str">
        <f>HYPERLINK("#'Constants - Common Livestock'!A1", "Constants - Common Livestock")</f>
        <v>Constants - Common Livestock</v>
      </c>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row>
    <row r="57" spans="1:64" ht="20.100000000000001" customHeight="1" x14ac:dyDescent="0.25">
      <c r="A57" s="5" t="str">
        <f>HYPERLINK("#'Constants - Electricity'!A1", "Constants - Electricity")</f>
        <v>Constants - Electricity</v>
      </c>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row>
    <row r="58" spans="1:64" ht="20.100000000000001" customHeight="1" x14ac:dyDescent="0.25">
      <c r="A58" s="5" t="str">
        <f>HYPERLINK("#'Constants - Fertiliser'!A1", "Constants - Fertiliser")</f>
        <v>Constants - Fertiliser</v>
      </c>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row>
    <row r="59" spans="1:64" ht="15.75" x14ac:dyDescent="0.25">
      <c r="A59" s="5" t="str">
        <f>HYPERLINK("#'Constants - Fuel'!A1", "Constants - Fuel")</f>
        <v>Constants - Fuel</v>
      </c>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row>
    <row r="60" spans="1:64" ht="15.75" x14ac:dyDescent="0.25">
      <c r="A60" s="5" t="str">
        <f>HYPERLINK("#'Constants - Scope 3'!A1", "Constants - Scope 3")</f>
        <v>Constants - Scope 3</v>
      </c>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row>
    <row r="61" spans="1:64" ht="15.75" x14ac:dyDescent="0.25">
      <c r="A61" s="5" t="str">
        <f>HYPERLINK("#'Constants - Common'!A1", "Constants - Common")</f>
        <v>Constants - Common</v>
      </c>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row>
    <row r="62" spans="1:64" ht="15.75" x14ac:dyDescent="0.25">
      <c r="A62" s="5" t="str">
        <f>HYPERLINK("#'Acknowledgements'!A1", "Acknowledgements")</f>
        <v>Acknowledgements</v>
      </c>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row>
    <row r="63" spans="1:64" ht="15.75" x14ac:dyDescent="0.25">
      <c r="A63" s="5" t="str">
        <f>HYPERLINK("#'Constants - Solid Waste'!A1", "Constants - Solid Waste")</f>
        <v>Constants - Solid Waste</v>
      </c>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row>
    <row r="64" spans="1:64" x14ac:dyDescent="0.25">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row>
    <row r="65" spans="3:64" x14ac:dyDescent="0.25">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row>
    <row r="66" spans="3:64" x14ac:dyDescent="0.25">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row>
    <row r="67" spans="3:64" x14ac:dyDescent="0.25">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row>
    <row r="68" spans="3:64" x14ac:dyDescent="0.25">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row>
    <row r="69" spans="3:64" x14ac:dyDescent="0.25">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row>
    <row r="70" spans="3:64" x14ac:dyDescent="0.25">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row>
    <row r="71" spans="3:64" x14ac:dyDescent="0.25">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row>
    <row r="72" spans="3:64" x14ac:dyDescent="0.25">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row>
    <row r="73" spans="3:64" x14ac:dyDescent="0.25">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row>
    <row r="74" spans="3:64" x14ac:dyDescent="0.25">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row>
    <row r="75" spans="3:64" x14ac:dyDescent="0.25">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row>
    <row r="76" spans="3:64" x14ac:dyDescent="0.25">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row>
    <row r="77" spans="3:64" x14ac:dyDescent="0.25">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row>
    <row r="78" spans="3:64" x14ac:dyDescent="0.25">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row>
    <row r="79" spans="3:64" x14ac:dyDescent="0.25">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row>
    <row r="80" spans="3:64" x14ac:dyDescent="0.25">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row>
    <row r="81" spans="3:64" x14ac:dyDescent="0.25">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row>
    <row r="82" spans="3:64" x14ac:dyDescent="0.25">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row>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532C-8540-44E5-8090-E452C3E8BF20}">
  <sheetPr>
    <tabColor rgb="FFCC6600"/>
  </sheetPr>
  <dimension ref="A1:M63"/>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6" customFormat="1" ht="25.5" x14ac:dyDescent="0.35">
      <c r="C1" s="16" t="s">
        <v>197</v>
      </c>
    </row>
    <row r="2" spans="1:13" s="3" customFormat="1" x14ac:dyDescent="0.25">
      <c r="A2"/>
    </row>
    <row r="3" spans="1:13" ht="20.25" x14ac:dyDescent="0.25">
      <c r="A3" s="5" t="str">
        <f>HYPERLINK("#'Home'!A1", "Home")</f>
        <v>Home</v>
      </c>
      <c r="C3" s="38"/>
      <c r="D3" s="38"/>
      <c r="E3" s="38"/>
      <c r="F3" s="38"/>
      <c r="G3" s="38"/>
      <c r="H3" s="38"/>
      <c r="I3" s="38"/>
      <c r="J3" s="38"/>
      <c r="K3" s="38"/>
      <c r="L3" s="38"/>
      <c r="M3" s="38"/>
    </row>
    <row r="4" spans="1:13" x14ac:dyDescent="0.25">
      <c r="A4" s="5" t="str">
        <f>HYPERLINK("#'Overview'!A1", "Overview")</f>
        <v>Overview</v>
      </c>
    </row>
    <row r="5" spans="1:13" x14ac:dyDescent="0.25">
      <c r="A5" s="5" t="str">
        <f>HYPERLINK("#'Results'!A1", "Results")</f>
        <v>Results</v>
      </c>
    </row>
    <row r="6" spans="1:13" x14ac:dyDescent="0.25">
      <c r="D6" s="94" t="s">
        <v>198</v>
      </c>
      <c r="E6" s="94" t="s">
        <v>199</v>
      </c>
      <c r="F6" s="94" t="s">
        <v>200</v>
      </c>
      <c r="G6" s="94" t="s">
        <v>201</v>
      </c>
      <c r="H6" s="94" t="s">
        <v>202</v>
      </c>
      <c r="I6" s="94" t="s">
        <v>203</v>
      </c>
      <c r="J6" s="94" t="s">
        <v>204</v>
      </c>
    </row>
    <row r="7" spans="1:13" x14ac:dyDescent="0.25">
      <c r="D7" s="95" t="s">
        <v>205</v>
      </c>
      <c r="E7" s="23" t="s">
        <v>206</v>
      </c>
      <c r="F7" s="23" t="s">
        <v>207</v>
      </c>
      <c r="G7" s="23" t="s">
        <v>208</v>
      </c>
      <c r="H7" s="95"/>
      <c r="I7" s="95"/>
      <c r="J7" s="25"/>
    </row>
    <row r="8" spans="1:13" x14ac:dyDescent="0.25">
      <c r="A8" s="7" t="s">
        <v>0</v>
      </c>
    </row>
    <row r="9" spans="1:13" x14ac:dyDescent="0.25">
      <c r="A9" s="5" t="str">
        <f>HYPERLINK("#'Input - Enterprise'!A1", "Enterprise")</f>
        <v>Enterprise</v>
      </c>
    </row>
    <row r="10" spans="1:13" x14ac:dyDescent="0.25">
      <c r="A10" s="5" t="str">
        <f>HYPERLINK("#'Input - Site'!A1", "Site")</f>
        <v>Site</v>
      </c>
    </row>
    <row r="11" spans="1:13" x14ac:dyDescent="0.25">
      <c r="A11" s="5" t="str">
        <f>HYPERLINK("#'Input - Dairy'!A1", "Dairy")</f>
        <v>Dairy</v>
      </c>
    </row>
    <row r="12" spans="1:13" x14ac:dyDescent="0.25">
      <c r="A12" s="5" t="str">
        <f>HYPERLINK("#'Input - Dairy (Enteric)'!A1", "Dairy (Enteric)")</f>
        <v>Dairy (Enteric)</v>
      </c>
    </row>
    <row r="13" spans="1:13" x14ac:dyDescent="0.25">
      <c r="A13" s="5" t="str">
        <f>HYPERLINK("#'Input - Livestock sales'!A1", "Livestock sales")</f>
        <v>Livestock sales</v>
      </c>
    </row>
    <row r="14" spans="1:13" x14ac:dyDescent="0.25">
      <c r="A14" s="5" t="str">
        <f>HYPERLINK("#'Input - Dairy cattle purchases'!A1", "Dairy cattle purchases")</f>
        <v>Dairy cattle purchases</v>
      </c>
    </row>
    <row r="15" spans="1:13" x14ac:dyDescent="0.25">
      <c r="A15" s="5" t="str">
        <f>HYPERLINK("#'Input - Pasture'!A1", "Pasture")</f>
        <v>Pasture</v>
      </c>
    </row>
    <row r="16" spans="1:13" x14ac:dyDescent="0.25">
      <c r="A16" s="5" t="str">
        <f>HYPERLINK("#'Input - Fert Prod System'!A1", "Fert Prod System")</f>
        <v>Fert Prod System</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Farm Inputs'!A1", "Farm Inputs")</f>
        <v>Farm Inputs</v>
      </c>
    </row>
    <row r="21" spans="1:1" x14ac:dyDescent="0.25">
      <c r="A21" s="5" t="str">
        <f>HYPERLINK("#'Input - Freight'!A1", "Freight")</f>
        <v>Freight</v>
      </c>
    </row>
    <row r="22" spans="1:1" x14ac:dyDescent="0.25">
      <c r="A22" s="5" t="str">
        <f>HYPERLINK("#'Input - Manure sent off-site'!A1", "Manure sent off-site")</f>
        <v>Manure sent off-site</v>
      </c>
    </row>
    <row r="23" spans="1:1" x14ac:dyDescent="0.25">
      <c r="A23" s="5" t="str">
        <f>HYPERLINK("#'Input - Solid waste'!A1", "Solid waste")</f>
        <v>Solid waste</v>
      </c>
    </row>
    <row r="24" spans="1:1" x14ac:dyDescent="0.25">
      <c r="A24" s="98" t="str">
        <f>HYPERLINK("#'Input - Data quality'!A1", "Data quality")</f>
        <v>Data quality</v>
      </c>
    </row>
    <row r="27" spans="1:1" x14ac:dyDescent="0.25">
      <c r="A27" s="6" t="s">
        <v>2</v>
      </c>
    </row>
    <row r="28" spans="1:1" x14ac:dyDescent="0.25">
      <c r="A28" s="5" t="str">
        <f>HYPERLINK("#'5.1.1.1-2 Inorganic fert N2O'!A1", "5.1.1.1-2 Inorganic fert N2O")</f>
        <v>5.1.1.1-2 Inorganic fert N2O</v>
      </c>
    </row>
    <row r="29" spans="1:1" x14ac:dyDescent="0.25">
      <c r="A29" s="5" t="str">
        <f>HYPERLINK("#'5.1.1.3-4 Inorganic fert CO2'!A1", "5.1.1.3-4 Inorganic fert CO2")</f>
        <v>5.1.1.3-4 Inorganic fert CO2</v>
      </c>
    </row>
    <row r="30" spans="1:1" x14ac:dyDescent="0.25">
      <c r="A30" s="5" t="str">
        <f>HYPERLINK("#'5.2.1.1-2 Organic Fert N2O'!A1", "5.2.1.1-2 Organic fert N2O")</f>
        <v>5.2.1.1-2 Organic fert N2O</v>
      </c>
    </row>
    <row r="31" spans="1:1" x14ac:dyDescent="0.25">
      <c r="A31" s="5" t="str">
        <f>HYPERLINK("#'5.3.1.1-2 Lime CO2'!A1", "5.3.1.1-2 Lime CO2")</f>
        <v>5.3.1.1-2 Lime CO2</v>
      </c>
    </row>
    <row r="32" spans="1:1" x14ac:dyDescent="0.25">
      <c r="A32" s="5" t="str">
        <f>HYPERLINK("#'5.4.1.1-4 Atmos deposition'!A1", "5.4.1.1-4 Atmos. deposition")</f>
        <v>5.4.1.1-4 Atmos. deposition</v>
      </c>
    </row>
    <row r="33" spans="1:1" x14ac:dyDescent="0.25">
      <c r="A33" s="5" t="str">
        <f>HYPERLINK("#'5.5.1.1-2 Leaching and runoff'!A1", "5.5.1.1-2 Leaching &amp; runoff")</f>
        <v>5.5.1.1-2 Leaching &amp; runoff</v>
      </c>
    </row>
    <row r="34" spans="1:1" x14ac:dyDescent="0.25">
      <c r="A34" s="5" t="str">
        <f>HYPERLINK("#'6.2.1.1-2 Pasture residue N2O'!A1", "6.2.1.1-2 Pasture residue N2O")</f>
        <v>6.2.1.1-2 Pasture residue N2O</v>
      </c>
    </row>
    <row r="35" spans="1:1" x14ac:dyDescent="0.25">
      <c r="A35" s="5" t="str">
        <f>HYPERLINK("#'6.3.1.1-2 Leach runoff pasture'!A1", "6.3.1.1-2 Leach &amp; runoff (pasture)")</f>
        <v>6.3.1.1-2 Leach &amp; runoff (pasture)</v>
      </c>
    </row>
    <row r="36" spans="1:1" x14ac:dyDescent="0.25">
      <c r="A36" s="5" t="str">
        <f>HYPERLINK("#'8.1.1.1-2 Transport fuel'!A1", "8.1.1.1-2 Transport fuel")</f>
        <v>8.1.1.1-2 Transport fuel</v>
      </c>
    </row>
    <row r="37" spans="1:1" x14ac:dyDescent="0.25">
      <c r="A37" s="5" t="str">
        <f>HYPERLINK("#'8.2.1.1-2 Stationary fuel'!A1", "8.2.1.1-2 Stationary fuel")</f>
        <v>8.2.1.1-2 Stationary fuel</v>
      </c>
    </row>
    <row r="38" spans="1:1" x14ac:dyDescent="0.25">
      <c r="A38" s="5" t="str">
        <f>HYPERLINK("#'14.1.1-2 Purchased electricity'!A1", "14.1.1-2 Purchased electricity")</f>
        <v>14.1.1-2 Purchased electricity</v>
      </c>
    </row>
    <row r="39" spans="1:1" x14ac:dyDescent="0.25">
      <c r="A39" s="5" t="str">
        <f>HYPERLINK("#'15 Scope 3'!A1", "15 Scope 3")</f>
        <v>15 Scope 3</v>
      </c>
    </row>
    <row r="40" spans="1:1" x14ac:dyDescent="0.25">
      <c r="A40" s="5" t="str">
        <f>HYPERLINK("#'Calcs - Manure sent off-site'!A1", "Calcs - Manure sent off-site")</f>
        <v>Calcs - Manure sent off-site</v>
      </c>
    </row>
    <row r="41" spans="1:1" x14ac:dyDescent="0.25">
      <c r="A41" s="5" t="str">
        <f>HYPERLINK("#'4.3.1.1-2 Methane'!A1", "4.3.1.1-2 Methane")</f>
        <v>4.3.1.1-2 Methane</v>
      </c>
    </row>
    <row r="42" spans="1:1" x14ac:dyDescent="0.25">
      <c r="A42" s="5" t="str">
        <f>HYPERLINK("#'4.3.1.3-4 Direct N20'!A1", "4.3.1.3-4 Direct N20")</f>
        <v>4.3.1.3-4 Direct N20</v>
      </c>
    </row>
    <row r="43" spans="1:1" x14ac:dyDescent="0.25">
      <c r="A43" s="5" t="str">
        <f>HYPERLINK("#'4.3.1.5 Atmos deposition'!A1", "4.3.1.5 Atmos deposition")</f>
        <v>4.3.1.5 Atmos deposition</v>
      </c>
    </row>
    <row r="44" spans="1:1" x14ac:dyDescent="0.25">
      <c r="A44" s="5" t="str">
        <f>HYPERLINK("#'4.3.1.6-7 Leaching and runoff'!A1", "4.3.1.6-7 Leaching and runoff")</f>
        <v>4.3.1.6-7 Leaching and runoff</v>
      </c>
    </row>
    <row r="45" spans="1:1" x14ac:dyDescent="0.25">
      <c r="A45" s="5" t="str">
        <f>HYPERLINK("#'4.3.1.8 Manure applied to soils'!A1", "4.3.1.8 Manure applied to soils")</f>
        <v>4.3.1.8 Manure applied to soils</v>
      </c>
    </row>
    <row r="46" spans="1:1" x14ac:dyDescent="0.25">
      <c r="A46" s="5" t="str">
        <f>HYPERLINK("#'4.3.1.9 Soil direct N2O'!A1", "4.3.1.9 Soil direct N2O")</f>
        <v>4.3.1.9 Soil direct N2O</v>
      </c>
    </row>
    <row r="47" spans="1:1" x14ac:dyDescent="0.25">
      <c r="A47" s="5" t="str">
        <f>HYPERLINK("#'4.3.1.10-11 Soil Atmos Dep'!A1", "4.3.1.10-11 Soil Atmos Dep")</f>
        <v>4.3.1.10-11 Soil Atmos Dep</v>
      </c>
    </row>
    <row r="48" spans="1:1" x14ac:dyDescent="0.25">
      <c r="A48" s="5" t="str">
        <f>HYPERLINK("#'4.3.1.12-13 Soil leach runoff'!A1", "4.3.1.12-13 Soil leach runoff")</f>
        <v>4.3.1.12-13 Soil leach runoff</v>
      </c>
    </row>
    <row r="49" spans="1:1" x14ac:dyDescent="0.25">
      <c r="A49" s="5" t="str">
        <f>HYPERLINK("#'3.3.1.1-2 Enteric Methane'!A1", "3.3.1.1-2 Enteric Methane")</f>
        <v>3.3.1.1-2 Enteric Methane</v>
      </c>
    </row>
    <row r="50" spans="1:1" x14ac:dyDescent="0.25">
      <c r="A50" s="5" t="str">
        <f>HYPERLINK("#'10.1.1-2 Solid waste treatment'!A1", "10.1.1-2 Solid waste treatment")</f>
        <v>10.1.1-2 Solid waste treatment</v>
      </c>
    </row>
    <row r="53" spans="1:1" x14ac:dyDescent="0.25">
      <c r="A53" s="100" t="s">
        <v>1</v>
      </c>
    </row>
    <row r="54" spans="1:1" x14ac:dyDescent="0.25">
      <c r="A54" s="5" t="str">
        <f>HYPERLINK("#'Constants - Dairy'!A1", "Constants - Dairy")</f>
        <v>Constants - Dairy</v>
      </c>
    </row>
    <row r="55" spans="1:1" x14ac:dyDescent="0.25">
      <c r="A55" s="5" t="str">
        <f>HYPERLINK("#'Constants - Ag Residue'!A1", "Constants - Ag residue")</f>
        <v>Constants - Ag residue</v>
      </c>
    </row>
    <row r="56" spans="1:1" x14ac:dyDescent="0.25">
      <c r="A56" s="5" t="str">
        <f>HYPERLINK("#'Constants - Common Livestock'!A1", "Constants - Common Livestock")</f>
        <v>Constants - Common Livestock</v>
      </c>
    </row>
    <row r="57" spans="1:1" x14ac:dyDescent="0.25">
      <c r="A57" s="5" t="str">
        <f>HYPERLINK("#'Constants - Electricity'!A1", "Constants - Electricity")</f>
        <v>Constants - Electricity</v>
      </c>
    </row>
    <row r="58" spans="1:1" x14ac:dyDescent="0.25">
      <c r="A58" s="5" t="str">
        <f>HYPERLINK("#'Constants - Fertiliser'!A1", "Constants - Fertiliser")</f>
        <v>Constants - Fertiliser</v>
      </c>
    </row>
    <row r="59" spans="1:1" x14ac:dyDescent="0.25">
      <c r="A59" s="5" t="str">
        <f>HYPERLINK("#'Constants - Fuel'!A1", "Constants - Fuel")</f>
        <v>Constants - Fuel</v>
      </c>
    </row>
    <row r="60" spans="1:1" x14ac:dyDescent="0.25">
      <c r="A60" s="5" t="str">
        <f>HYPERLINK("#'Constants - Scope 3'!A1", "Constants - Scope 3")</f>
        <v>Constants - Scope 3</v>
      </c>
    </row>
    <row r="61" spans="1:1" x14ac:dyDescent="0.25">
      <c r="A61" s="5" t="str">
        <f>HYPERLINK("#'Constants - Common'!A1", "Constants - Common")</f>
        <v>Constants - Common</v>
      </c>
    </row>
    <row r="62" spans="1:1" x14ac:dyDescent="0.25">
      <c r="A62" s="5" t="str">
        <f>HYPERLINK("#'Acknowledgements'!A1", "Acknowledgements")</f>
        <v>Acknowledgements</v>
      </c>
    </row>
    <row r="63" spans="1:1" x14ac:dyDescent="0.25">
      <c r="A63" s="5" t="str">
        <f>HYPERLINK("#'Constants - Solid Waste'!A1", "Constants - Solid Waste")</f>
        <v>Constants - Solid Waste</v>
      </c>
    </row>
  </sheetData>
  <dataValidations count="3">
    <dataValidation type="list" allowBlank="1" showInputMessage="1" showErrorMessage="1" sqref="G7" xr:uid="{023991CC-ACAB-4CCA-BF6E-5B4983A34A68}">
      <formula1>INDIRECT("Table_SourceData_DataQuality_SampleSize[ID]")</formula1>
    </dataValidation>
    <dataValidation type="list" allowBlank="1" showInputMessage="1" showErrorMessage="1" sqref="F7" xr:uid="{D85C1557-4D18-4B87-9B82-D7755813B359}">
      <formula1>INDIRECT("Table_SourceData_DataQuality_SpatialRepresentativeness[ID]")</formula1>
    </dataValidation>
    <dataValidation type="list" allowBlank="1" showInputMessage="1" showErrorMessage="1" sqref="E7" xr:uid="{D7C04A1D-8792-4527-94D7-0D838FC14D35}">
      <formula1>INDIRECT("Table_SourceData_DataQuality_TemporalRepresentativeness[ID]")</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EAGEAaQByAHk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IABNAGUAdABoAG8AZAAgADEAIAAtACAATQBhAG4AdQByAGUAIABNAGUAdABoAGEAbgBl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BfAF8AMQBfAFQAbwB0AGEAbABBAG4AbgB1AGEAbABNAGUAdABoAGEAbgBlAEYAcgBvAG0ATQBhAG4AdQByAGUATQBhAG4AYQBnAGUAbQBlAG4AdABcAG4AVABvAHQAYQBsACAAYQBuAG4AdQBhAGwAIABtAGUAdABoAGEAbgBlACAAcAByAG8AZAB1AGMAdABpAG8AbgAgAGYAcgBvAG0AIABtAGEAbgB1AHIAZQAgAG0AYQBuAGEAZwBlAG0AZQBuAHQAXABuAEUAXwBDAEgANABcAG4AdAAgAEMASAA0AFwAbgBFAF8AewBDAEgANAB9AD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bgBOAF8AagAxADIANAAgAD0AIABuAHUAbQBiAGUAcgAgAG8AZgAgAGQAYQBpAHIAeQAgAGMAYQB0AHQAbABlACAAaQBuACAAYwBsAGEAcwBzAGUAcwAgAGoAPQAxACwAMgAsADQAXABuAE0AXwBqADEAMgA0AG0AIAA9ACAAbQBlAHQAaABhAG4AZQAgAHAAcgBvAGQAdQBjAHQAaQBvAG4AIABmAHIAbwBtACAAbQBhAG4AdQByAGUAIABvAGYAIAB3AGUAYQBuAGUAZAAgAGQAYQBpAHIAeQAgAGMAYQB0AHQAbABlACAAaQBuACAAYwBsAGEAcwBzAGUAcwAgAGoAPQAxACwAMgAsADQAIABpAG4AIABNAE0AUwAgAG0AIAAoAGsAZwAgAEMASAA0AC8AaABlAGEAZAAvAGQAYQB5ACkAXABuAEQAXwBqADEAMgA0ACAAPQAgAGQAdQByAGEAdABpAG8AbgAgAG8AZgAgAHMAdABhAHkAIABvAG4AIABmAGEAcgBtACAAZgBvAHIAIABjAGwAYQBzAHMAZQBzACAAagA9ADEALAAyACwANAAgACgAZABhAHkAcwApAFwAbgBOAF8AagAzADUAIAA9ACAAbgB1AG0AYgBlAHIAIABvAGYAIABkAGEAaQByAHkAIABjAGEAdAB0AGwAZQAgAGkAbgAgAGMAbABhAHMAcwBlAHMAIABqAD0AMwAsADUAXABuAE0AXwBqADMANQBtACAAPQAgAG0AZQB0AGgAYQBuAGUAIABwAHIAbwBkAHUAYwB0AGkAbwBuACAAZgByAG8AbQAgAG0AYQBuAHUAcgBlACAAbwBmACAAdwBlAGEAbgBlAGQAIABkAGEAaQByAHkAIABjAGEAdAB0AGwAZQAgAGkAbgAgAGMAbABhAHMAcwBlAHMAIABqAD0AMwAsADUAIABpAG4AIABNAE0AUwAgAG0AIAAoAGsAZwAgAEMASAA0AC8AaABlAGEAZAAvAGQAYQB5ACkAXABuAEQAXwBqADMANQAgAD0AIABkAHUAcgBhAHQAaQBvAG4AIABvAGYAIABzAHQAYQB5ACAAbwBuACAAZgBhAHIAbQAgAGYAbwByACAAYwBsAGEAcwBzAGUAcwAgAGoAPQAzACwANQAgACgAZABhAHkAcwApAFwAbgBNAFAAVwBfAG0AYQBuAHUAcgBlAF8AagAzADUAIAA9ACAAbQBlAHQAaABhAG4AZQAgAHAAcgBvAGQAdQBjAHQAaQBvAG4AIABmAHIAbwBtACAAbQBhAG4AdQByAGUAIABvAGY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0AF8AMwBfADEAXwAxAF8AXwAxAF8AVABvAHQAYQBsAEEAbgBuAHUAYQBsAE0AZQB0AGgAYQBuAGUARgByAG8AbQBNAGEAbgB1AHIAZQBNAGEAbgBhAGcAZQBtAGUAbgB0AFwAbgAgACAAPQBMAEEATQBCAEQAQQAoAFwAbgAgACAAIAAgAE4AXwBqADEAMgA0ACwAIABNAF8AagAxADIANABtACwAIABEAF8AagAxADIANAAsACAATgBfAGoAMwA1ACwAIABNAF8AagAzADUAbQAsACAARABfAGoAMwA1ACwAIABNAFAAVwBfAG0AYQBuAHUAcgBlAF8AagAzADUALABcAG4AIAAgACAAIAAoACgATgBfAGoAMQAyADQAIAAqACAATQBfAGoAMQAyADQAbQAgACoAIABEAF8AagAxADIANAApACAAKwAgACgATgBfAGoAMwA1ACAAKgAgAE0AXwBqADMANQBtACAAKgAgAEQAXwBqADMANQApACAAKwAgACgATgBfAGoAMwA1ACAAKgAgAE0AUABXAF8AbQBhAG4AdQByAGUAXwBqADMANQAgACoAIABEAF8AagAzADUAKQApACAAKgAgADEAMAAgAF4AIAAtADMAXABuACAAIAApADsAXABuAFwAbgBWAEUARQBSAEcAXwA0AF8AMwBfADEAXwAxAF8AXwAxAF8AVABvAHQAYQBsAEEAbgBuAHUAYQBsAE0AZQB0AGgAYQBuAGUARgByAG8AbQBNAGEAbgB1AHIAZQBNAGEAbgBhAGcAZQBtAGUAbgB0AFYAYQByAGkAYQB0AGkAbwBuAFwAbgAgACAAPQBMAEEATQBCAEQAQQAoAFwAbgAgACAAIAAgAE4AXwBqADEAMgA0ACwAIABNAF8AagAxADIANABtACwAIABEAF8AagAxADIANAAsACAATgBfAGoAMwA1ACwAIABNAF8AagAzADUAbQAsACAARABfAGoAMwA1ACwAIABNAFAAVwBfAG0AYQBuAHUAcgBlAF8AagAzADUALAAgAEQAUABXAF8AagAzADUALABcAG4AIAAgACAAIAAoACgATgBfAGoAMQAyADQAIAAqACAATQBfAGoAMQAyADQAbQAgACoAIABEAF8AagAxADIANAApACAAKwAgACgATgBfAGoAMwA1ACAAKgAgAE0AXwBqADMANQBtACAAKgAgAEQAXwBqADMANQApACAAKwAgACgATgBfAGoAMwA1ACAAKgAgAE0AUABXAF8AbQBhAG4AdQByAGUAXwBqADMANQAgACoAIABEAFAAVwBfAGoAMwA1ACkAKQAgACoAIAAxADAAIABeACAALQAzAFwAbgAgACAAKQA7AFwAbgBcAG4AXABuAFYARQBFAFIARwBfADQAXwAzAF8AMQBfADEAXwBfADEAXwBUAG8AdABhAGwAQQBuAG4AdQBhAGwATQBlAHQAaABhAG4AZQBGAHIAbwBtAE0AYQBuAHUAcgBlAE0AYQBuAGEAZwBlAG0AZQBuAHQAXwBUAGkAdABsAGUAXABuACAAIAA9AEwAQQBNAEIARABBACgAXAAiAFQAbwB0AGEAbAAgAGEAbgBuAHUAYQBsACAAbQBlAHQAaABhAG4AZQAgAHAAcgBvAGQAdQBjAHQAaQBvAG4AIABmAHIAbwBtACAAbQBhAG4AdQByAGUAIABtAGEAbgBhAGcAZQBtAGUAbgB0AFwAIgApADsAXABuAFwAbgBWAEUARQBSAEcAXwA0AF8AMwBfADEAXwAxAF8AXwAxAF8AVABvAHQAYQBsAEEAbgBuAHUAYQBsAE0AZQB0AGgAYQBuAGUARgByAG8AbQBNAGEAbgB1AHIAZQBNAGEAbgBhAGcAZQBtAGUAbgB0AF8AVgBhAHIAaQBhAGIAbABlAFwAbgAgACAAPQBMAEEATQBCAEQAQQAoAFwAIgBFAF8AQwBIADQAXAAiACkAOwBcAG4AXABuAFYARQBFAFIARwBfADQAXwAzAF8AMQBfADEAXwBfADEAXwBUAG8AdABhAGwAQQBuAG4AdQBhAGwATQBlAHQAaABhAG4AZQBGAHIAbwBtAE0AYQBuAHUAcgBlAE0AYQBuAGEAZwBlAG0AZQBuAHQAXwBVAG4AaQB0AFwAbgAgACAAPQBMAEEATQBCAEQAQQAoAFwAIgB0ACAAQwBIADQAXAAiACkAOwBcAG4AXABuAFYARQBFAFIARwBfADQAXwAzAF8AMQBfADEAXwBfADEAXwBUAG8AdABhAGwAQQBuAG4AdQBhAGwATQBlAHQAaABhAG4AZQBGAHIAbwBtAE0AYQBuAHUAcgBlAE0AYQBuAGEAZwBlAG0AZQBuAHQAXwBTAG8AdQByAGMAZQBcAG4AIAAgAD0ATABBAE0AQgBEAEEAKABcACIAVgBFAEUAUgBHACAAMgAwADIANgA6ACAANAAuADMALgAxAC4AMQAsACAARQBxAHUAYQB0AGkAbwBuACAAKAAxACkAXAAiACkAOwBcAG4AXABuAFYARQBFAFIARwBfADQAXwAzAF8AMQBfADEAXwBfADEAXwBUAG8AdABhAGwAQQBuAG4AdQBhAGwATQBlAHQAaABhAG4AZQBGAHIAbwBtAE0AYQBuAHUAcgBlAE0AYQBuAGEAZwBlAG0AZQBuAHQAXwBOAEkAUgBSAGUAZgBlAHIAZQBuAGMAZQBcAG4AIAAgAD0ATABBAE0AQgBEAEEAKABcACIAXAAiACkAOwBcAG4AXABuAFYARQBFAFIARwBfADQAXwAzAF8AMQBfADEAXwBfADEAXwBUAG8AdABhAGwAQQBuAG4AdQBhAGwATQBlAHQAaABhAG4AZQBGAHIAbwBtAE0AYQBuAHUAcgBlAE0AYQBuAGEAZwBlAG0AZQBuAHQAXwBMAGEAdABlAHgARQBxAHU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CIAKQA7AFwAbgBcAG4AVgBFAEUAUgBHAF8ANABfADMAXwAxAF8AMQBfAF8AMQBfAFQAbwB0AGEAbABBAG4AbgB1AGEAbABNAGUAdABoAGEAbgBlAEYAcgBvAG0ATQBhAG4AdQByAGUATQBhAG4AYQBnAGUAbQBlAG4AdABfAEwAYQB0AGUAeABFAHEAdQBhAHQAaQBvAG4AVgBhAHIAa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QAFcAXwB7AGoAPQAzACwANQB9ACkAKQBcAFwAdABpAG0AZQBzACAAMQAwAF4AewAtADMAfQBcACIAKQA7AFwAbgBcAG4AVgBFAEUAUgBHAF8ANABfADMAXwAxAF8AMQBfAF8AMQBfAFQAbwB0AGEAbABBAG4AbgB1AGEAbABNAGUAdABoAGEAbgBlAEYAcgBvAG0ATQBhAG4AdQByAGUATQBhAG4AYQBnAGUAbQBlAG4AdA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G0AXAAiACwAIABcACIAbQBlAHQAaABhAG4AZQAgAHAAcgBvAGQAdQBjAHQAaQBvAG4AIABmAHIAbwBtACAAbQBhAG4AdQByAGUAIABvAGYAIAB3AGUAYQBuAGUAZAAgAGQAYQBpAHIAeQAgAGMAYQB0AHQAbABlACAAaQBuACAAYwBsAGEAcwBzAGUAcwAgAGoAPQAxACwAMgAsADQAIABpAG4AIABNAE0AUwAgAG0AXAAiACwAIABcACIAawBnACAAQwBIADQALwBoAGUAYQBkAC8AZABhAHkAXAAiACwAIABcACIAQwBhAGwAYwB1AGwAYQB0AGUAZAAgAGYAcgBvAG0AIAA0AC4AMwAuADEALgAxACAAKAAyACkAXAAiADsAXABuACAAIAAgACAAIAAgACAAIAAgACAAXAAiAEQAXwBqADEAMgA0AFwAIgAsACAAXAAiAGQAdQByAGEAdABpAG8AbgAgAG8AZgAgAHMAdABhAHkAIABvAG4AIABmAGEAcgBtACAAZgBvAHIAIABjAGwAYQBzAHMAZQBzACAAagA9ADEALAAyACwANABcACIALAAgAFwAIgBkAGEAeQBzAFwAIgAsACAAXAAiAEkAbgBwAHUAdABcACIAOwBcAG4AIAAgACAAIAAgACAAIAAgACAAIABcACIATgBfAGoAMwA1AFwAIgAsACAAXAAiAG4AdQBtAGIAZQByACAAbwBmACAAZABhAGkAcgB5ACAAYwBhAHQAdABsAGUAIABpAG4AIABjAGwAYQBzAHMAZQBzACAAagA9ADMALAA1AFwAIgAsACAAXAAiAGgAZQBhAGQAXAAiACwAIABcACIASQBuAHAAdQB0AFwAIgA7AFwAbgAgACAAIAAgACAAIAAgACAAIAAgAFwAIgBNAF8AagAzADUAbQBcACIALAAgAFwAIgBtAGUAdABoAGEAbgBlACAAcAByAG8AZAB1AGMAdABpAG8AbgAgAGYAcgBvAG0AIABtAGEAbgB1AHIAZQAgAG8AZgAgAHcAZQBhAG4AZQBkACAAZABhAGkAcgB5ACAAYwBhAHQAdABsAGUAIABpAG4AIABjAGwAYQBzAHMAZQBzACAAagA9ADMALAA1ACAAaQBuACAATQBNAFMAIABtAFwAIgAsACAAXAAiAGsAZwAgAEMASAA0AC8AaABlAGEAZAAvAGQAYQB5AFwAIgAsACAAXAAiAEMAYQBsAGMAdQBsAGEAdABlAGQAIABmAHIAbwBtACAANAAuADMALgAxAC4AMQAgACgAMgApAFwAIgA7AFwAbgAgACAAIAAgACAAIAAgACAAIAAgAFwAIgBEAF8AagAzADUAXAAiACwAIABcACIAZAB1AHIAYQB0AGkAbwBuACAAbwBmACAAcwB0AGEAeQAgAG8AbgAgAGYAYQByAG0AIABmAG8AcgAgAGMAbABhAHMAcwBlAHMAIABqAD0AMwAsADUAXAAiACwAIABcACIAZABhAHkAcwBcACIALAAgAFwAIgBJAG4AcAB1AHQAXAAiADsAXABuACAAIAAgACAAIAAgACAAIAAgACAAXAAiAE0AUABXAF8AbQBhAG4AdQByAGUAXwBqADMANQBcACIALAAgAFwAIgBtAGUAdABoAGEAbgBlACAAcAByAG8AZAB1AGMAdABpAG8AbgAgAGYAcgBvAG0AIABtAGEAbgB1AHIAZQAgAG8AZgAgAHAAcgBlAC0AdwBlAGEAbgBlAGQAIABoAGUAaQBmAGUAcgAgAGEAbgBkACAAYgB1AGwAbAAgAGMAYQBsAHYAZQBzAFwAIgAsACAAXAAiAGsAZwAgAEMASAA0AC8AaABlAGEAZAAvAGQAYQB5AFwAIgAsACAAXAAiAEMAbwBuAHMAdABhAG4AdABcACIAOwBcAG4AIAAgACAAIAAgACAAIAAgACAAIABcACIARABQAFcAXwBqADMANQBcACIALAAgAFwAIgBkAHUAcgBhAHQAaQBvAG4AIABvAGYAIABzAHQAYQB5ACAAbwBuACAAZgBhAHIAbQAgAGYAbwByACAAcAByAGUALQB3AGUAYQBuAGUAZAAgAGgAZQBpAGYAZQByACAAYQBuAGQAIABiAHUAbABsACAAYwBhAGwAdgBlAHMAXAAiACwAIABcACIAZABhAHkAcwBcACIALAAgAFwAIgBJAG4AcAB1AHQAXAAiAFwAbgAgACAAIAAgACAAIAAgACAAfQAsACAAcgAsACAAYwApAFwAbgAgACAAIAAgACAAIAApAFwAbgAgACAAIAAgACkAXABuACAAIAApADsAXABuAFwAbgBWAEUARQBSAEcAXwA0AF8AMwBfADEAXwAxAF8AXwAxAF8AVABvAHQAYQBsAEEAbgBuAHUAYQBsAE0AZQB0AGgAYQBuAGUARgByAG8AbQBNAGEAbgB1AHIAZQBNAGEAbgBhAGcAZQBtAGUAbgB0AF8AVgBhAHIAaQBhAHQAaQBvAG4AXABuACAAIAA9AEwAQQBNAEIARABBACgAXAAiAFYAQQBSAEkAQQBUAEkATwBOADoAIABVAHMAZQBkACAAcwBlAHAAYQByAGEAdABlACAAdgBhAHIAaQBhAGIAbABlACAAZgBvAHIAIABkAHUAcgBhAHQAaQBvAG4AIABvAGYAIABzAHQAYQB5ACAAbwBuACAAZgBhAHIAbQAgAGYAbwByACAAcAByAGUALQB3AGUAYQBuAGUAZAAgAGgAZQBpAGYAZQByACAAYQBuAGQAIABiAHUAbABsACAAYwBhAGwAdgBlAHMALgBcACIAKQA7AFwAbgBcAG4ALwAqAFwAbgAtAC0ALQAtAC0ALQAtAC0ALQAtAC0ALQAtAC0ALQAtAC0ALQAtAC0ALQAtAC0ALQAtAC0ALQAtAC0ALQAtAC0ALQAtAC0ALQAtAC0AXABuAFYARQBFAFIARwBfADQAXwAzAF8AMQBfADEAXwBfADIAXwBNAGUAdABoAGEAbgBlAEYAcgBvAG0ATQBhAG4AdQByAGUAUAByAG8AZAB1AGMAdABpAG8AbgBcAG4ATQBlAHQAaABhAG4AZQAgAGYAcgBvAG0AIABtAGEAbgB1AHIAZQAgAHAAcgBvAGQAdQBjAHQAaQBvAG4AIABmAHIAbwBtACAAdwBlAGEAbgBlAGQAIABkAGEAaQByAHkAIABjAGEAdAB0AGwAZQBcAG4ATQBfAGoAbQBcAG4AawBnACAAQwBIADQALwBoAGUAYQBkAC8AZABhAHkAXABuAE0AXwB7AGoAbQB9AD0AVgBTAF8AagBcAFwAdABpAG0AZQBzACAARgBWAFMAXwB7AGoAbQAsAFQAPQAxAH0AXABcAHQAaQBtAGUAcwAgAE0AQwBGAF8AewBpAG0AfQBcAFwAdABpAG0AZQBzACAAQgBfAG8AXABcAHQAaQBtAGUAcwAgAFwAXAByAGgAbwBcAG4AVgBTAF8AagAgAD0AIABkAGEAaQBsAHkAIAB2AG8AbABhAHQAaQBsAGUAIABzAG8AbABpAGQAcwAgAHAAcgBvAGQAdQBjAHQAaQBvAG4AIABwAGUAcgAgAGgAZQBhAGQAIABmAG8AcgAgAGQAYQBpAHIAeQAgAGMAYQB0AHQAbABlACAAKABrAGcALwBoAGUAYQBkAC8AZABhAHkAKQBcAG4ARgBWAFMAXwBqAG0AVAAxACAAPQAgAGYAcgBhAGMAdABpAG8AbgAgAG8AZgAgAHcAYQBzAHQAZQAgAGYAcgBvAG0AIABlAGEAYwBoACAAYwBsAGEAcwBzACAAaQBuACAAZQBhAGMAaAAgAG0AYQBuAGEAZwBlAG0AZQBuAHQAIABzAHkAcwB0AGUAbQBcAG4ATQBDAEYAXwBpAG0AIAA9ACAAbQBlAHQAaABhAG4AZQAgAGMAbwBuAHYAZQByAHMAaQBvAG4AIABmAGEAYwB0AG8AcgAgAGYAbwByACAAdABlAG0AcABlAHIAYQB0AHUAcgBlACAAegBvAG4AZQAgAGEAbgBkACAATQBNAFMAXABuAEIAXwBvACAAPQAgAGUAbQBpAHMAcwBpAG8AbgBzACAAcABvAHQAZQBuAHQAaQBhAGwAIAAoAG0AMwAgAEMASAA0AC8AawBnAFYAUwApAFwAbgByAGgAbwAgAD0AIABkAGUAbgBzAGkAdAB5ACAAbwBmACAAbQBlAHQAaABhAG4AZQAgACgAawBnAC8AbQAzACkAXABuAC0ALQAtAC0ALQAtAC0ALQAtAC0ALQAtAC0ALQAtAC0ALQAtAC0ALQAtAC0ALQAtAC0ALQAtAC0ALQAtAC0ALQAtAC0ALQAtAC0ALQBcAG4AKgAvAFwAbgBcAG4AVgBFAEUAUgBHAF8ANABfADMAXwAxAF8AMQBfAF8AMgBfAE0AZQB0AGgAYQBuAGUARgByAG8AbQBNAGEAbgB1AHIAZQBQAHIAbwBkAHUAYwB0AGkAbwBuAFwAbgAgACAAPQBMAEEATQBCAEQAQQAoAFwAbgAgACAAIAAgAFYAUwBfAGoALAAgAEYAVgBTAF8AagBtAFQAMQAsACAATQBDAEYAXwBpAG0ALAAgAEIAXwBvACwAIAByAGgAbwAsAFwAbgAgACAAIAAgAFYAUwBfAGoAIAAqACAARgBWAFMAXwBqAG0AVAAxACAAKgAgAE0AQwBGAF8AaQBtACAAKgAgAEIAXwBvACAAKgAgAHIAaABvAFwAbgAgACAAKQA7AFwAbgBcAG4AVgBFAEUAUgBHAF8ANABfADMAXwAxAF8AMQBfAF8AMgBfAE0AZQB0AGgAYQBuAGUARgByAG8AbQBNAGEAbgB1AHIAZQBQAHIAbwBkAHUAYwB0AGkAbwBuAF8AVABpAHQAbABlAFwAbgAgACAAPQBMAEEATQBCAEQAQQAoAFwAIgBNAGUAdABoAGEAbgBlACAAZgByAG8AbQAgAG0AYQBuAHUAcgBlACAAcAByAG8AZAB1AGMAdABpAG8AbgAgAGYAcgBvAG0AIAB3AGUAYQBuAGUAZAAgAGQAYQBpAHIAeQAgAGMAYQB0AHQAbABlAFwAIgApADsAXABuAFwAbgBWAEUARQBSAEcAXwA0AF8AMwBfADEAXwAxAF8AXwAyAF8ATQBlAHQAaABhAG4AZQBGAHIAbwBtAE0AYQBuAHUAcgBlAFAAcgBvAGQAdQBjAHQAaQBvAG4AXwBWAGEAcgBpAGEAYgBsAGUAXABuACAAIAA9AEwAQQBNAEIARABBACgAXAAiAE0AXwBqAG0AXAAiACkAOwBcAG4AXABuAFYARQBFAFIARwBfADQAXwAzAF8AMQBfADEAXwBfADIAXwBNAGUAdABoAGEAbgBlAEYAcgBvAG0ATQBhAG4AdQByAGUAUAByAG8AZAB1AGMAdABpAG8AbgBfAFUAbgBpAHQAXABuACAAIAA9AEwAQQBNAEIARABBACgAXAAiAGsAZwAgAEMASAA0AC8AaABlAGEAZAAvAGQAYQB5AFwAIgApADsAXABuAFwAbgBWAEUARQBSAEcAXwA0AF8AMwBfADEAXwAxAF8AXwAyAF8ATQBlAHQAaABhAG4AZQBGAHIAbwBtAE0AYQBuAHUAcgBlAFAAcgBvAGQAdQBjAHQAaQBvAG4AXwBTAG8AdQByAGMAZQBcAG4AIAAgAD0ATABBAE0AQgBEAEEAKABcACIAVgBFAEUAUgBHACAAMgAwADIANgA6ACAANAAuADMALgAxAC4AMQAsACAARQBxAHUAYQB0AGkAbwBuACAAKAAyACkAXAAiACkAOwBcAG4AXABuAFYARQBFAFIARwBfADQAXwAzAF8AMQBfADEAXwBfADIAXwBNAGUAdABoAGEAbgBlAEYAcgBvAG0ATQBhAG4AdQByAGUAUAByAG8AZAB1AGMAdABpAG8AbgBfAE4ASQBSAFIAZQBmAGUAcgBlAG4AYwBlAFwAbgAgACAAPQBMAEEATQBCAEQAQQAoAFwAIgBcACIAKQA7AFwAbgBcAG4AVgBFAEUAUgBHAF8ANABfADMAXwAxAF8AMQBfAF8AMgBfAE0AZQB0AGgAYQBuAGUARgByAG8AbQBNAGEAbgB1AHIAZQBQAHIAbwBkAHUAYwB0AGkAbwBuAF8ATABhAHQAZQB4AEUAcQB1AGEAdABpAG8AbgBcAG4AIAAgAD0ATABBAE0AQgBEAEEAKABcACIATQBfAHsAagBtAH0APQBWAFMAXwBqAFwAXAB0AGkAbQBlAHMAIABGAFYAUwBfAHsAagBtACwAVAA9ADEAfQBcAFwAdABpAG0AZQBzACAATQBDAEYAXwB7AGkAbQB9AFwAXAB0AGkAbQBlAHMAIABCAF8AbwBcAFwAdABpAG0AZQBzACAAXABcAHIAaABvAFwAIgApADsAXABuAFwAbgBWAEUARQBSAEcAXwA0AF8AMwBfADEAXwAxAF8AXwAyAF8ATQBlAHQAaABhAG4AZQBGAHIAbwBtAE0AYQBuAHUAc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cACIALAAgAFwAIgBkAGEAaQBsAHkAIAB2AG8AbABhAHQAaQBsAGUAIABzAG8AbABpAGQAcwAgAHAAcgBvAGQAdQBjAHQAaQBvAG4AIABwAGUAcgAgAGgAZQBhAGQAIABmAG8AcgAgAGQAYQBpAHIAeQAgAGMAYQB0AHQAbABlACAAKABrAGcALwBoAGUAYQBkAC8AZABhAHkAKQBcACIALAAgAFwAIgBrAGcALwBoAGUAYQBkAC8AZABhAHkAXAAiACwAIABcACIAQwBhAGwAYwB1AGwAYQB0AGUAZAAgAGYAcgBvAG0AIAA0AC4AMwAuADEALgAxACAAKAAzACkAXAAiADsAXABuACAAIAAgACAAIAAgACAAIAAgACAAXAAiAEYAVgBTAF8AagBtAFQAMQBcACIALAAgAFwAIgBmAHIAYQBjAHQAaQBvAG4AIABvAGYAIAB3AGEAcwB0AGUAIABmAHIAbwBtACAAZQBhAGMAaAAgAGMAbABhAHMAcwAgAGkAbgAgAGUAYQBjAGgAIABtAGEAbgBhAGcAZQBtAGUAbgB0ACAAcwB5AHMAdABlAG0AXAAiACwAIABcACIAZgByAGEAYwB0AGkAbwBuAFwAIgAsACAAXAAiAEMAYQBsAGMAdQBsAGEAdABlAGQAIABmAHIAbwBtACAANAAuADMALgAxAC4AMQAgACgANAApACgANQAp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CAF8AbwBcACIALAAgAFwAIgBlAG0AaQBzAHMAaQBvAG4AcwAgAHAAbwB0AGUAbgB0AGkAYQBsACAAKABtADMAIABDAEgANAAvAGsAZwBWAFMAKQBcACIALAAgAFwAIgBtADMAIABDAEgANAAvAGsAZwBWAFMAXAAiACwAIABcACIAQwBvAG4AcwB0AGEAbgB0AFwAIgA7AFwAbgAgACAAIAAgACAAIAAgACAAIAAgAFwAIgByAGgAbwBcACIALAAgAFwAIgBkAGUAbgBzAGkAdAB5ACAAbwBmACAAbQBlAHQAaABhAG4AZQAgACgAawBnAC8AbQAzACkAXAAiACwAIABcACIAawBnAC8AbQAzAFwAIgAsACAAXAAiAEMAbwBuAHMAdABhAG4AdABcACIAOwBcAG4AIAAgACAAIAAgACAAIAAgACAAIABcACIAaQBcACIALAAgAFwAIgBzAHQAYQB0AGUAXAAiACwAIABcACIAcwB0AGEAdABlAFwAIgAsACAAXAAiAEkAbgBwAHUAdABcACIAXABuACAAIAAgACAAIAAgACAAIAB9ACwAIAByACwAIABjACkAXABuACAAIAAgACAAIAAgACkAXABuACAAIAAgACAAKQBcAG4AIAAgACkAOwBcAG4AXABuAFYARQBFAFIARwBfADQAXwAzAF8AMQBfADEAXwBfADIAXwBNAGUAdABoAGEAbgBlAEYAcgBvAG0ATQBhAG4AdQBy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AgAFwAIgBkAGEAaQBsAHkAIAB2AG8AbABhAHQAaQBsAGUAIABzAG8AbABpAGQAcwAgAHAAcgBvAGQAdQBjAHQAaQBvAG4AIABwAGUAcgAgAGgAZQBhAGQAIABmAG8AcgAgAGQAYQBpAHIAeQAgAGMAYQB0AHQAbABlACAAKABrAGcALwBoAGUAYQBkAC8AZABhAHkAKQBcACIALAAgAFwAIgBrAGcALwBoAGUAYQBkAC8AZABhAHkAXAAiACwAIABcACIAQwBhAGwAYwB1AGwAYQB0AGUAZAAgAGYAcgBvAG0AIAA0AC4AMwAuADEALgAxACAAKAAzACkAXAAiADsAXABuACAAIAAgACAAIAAgACAAIAAgACAAXAAiAEYAVgBTAF8AagBtAFQAMQBcACIALAAgAFwAIgBmAHIAYQBjAHQAaQBvAG4AIABvAGYAIAB3AGEAcwB0AGUAIABmAHIAbwBtACAAZQBhAGMAaAAgAGMAbABhAHMAcwAgAGkAbgAgAGUAYQBjAGgAIABtAGEAbgBhAGcAZQBtAGUAbgB0ACAAcwB5AHMAdABlAG0AXAAiACwAIABcACIAZgByAGEAYwB0AGkAbwBuAFwAIgAsACAAXAAiAEMAYQBsAGMAdQBsAGEAdABlAGQAIABmAHIAbwBtACAANAAuADMALgAxAC4AMQAgACgANAApACgANQAp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CAF8AbwBcACIALAAgAFwAIgBlAG0AaQBzAHMAaQBvAG4AcwAgAHAAbwB0AGUAbgB0AGkAYQBsACAAKABtADMAIABDAEgANAAvAGsAZwBWAFMAKQBcACIALAAgAFwAIgBtADMAIABDAEgANAAvAGsAZwBWAFMAXAAiACwAIABcACIAQwBvAG4AcwB0AGEAbgB0AFwAIgA7AFwAbgAgACAAIAAgACAAIAAgACAAIAAgAFwAIgByAGgAbwBcACIALAAgAFwAIgBkAGUAbgBzAGkAdAB5ACAAbwBmACAAbQBlAHQAaABhAG4AZQAgACgAawBnAC8AbQAzACkAXAAiACwAIABcACIAawBnAC8AbQAzAFwAIgAsACAAXAAiAEMAbwBuAHMAdABhAG4AdABcACIAOwBcAG4AIAAgACAAIAAgACAAIAAgACAAIABcACIATQBBAFQAXAAiACwAIABcACIATQBlAGEAbgAgAGEAbgBuAHUAYQBsACAAdABlAG0AcABlAHIAYQB0AHUAcgBlAFwAIgAsACAAXAAiALAAQ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MwBfAFYAbwBsAGEAdABpAGwAZQBTAG8AbABpAGQAcwBGAG8AcgBXAGUAYQBuAGUAZABEAGEAaQByAHkAQwBhAHQAdABsAGUAXABuAFYAbwBsAGEAdABpAGwAZQAgAHMAbwBsAGkAZABzACAAZgBvAHIAIAB3AGUAYQBuAGUAZAAgAGQAYQBpAHIAeQAgAGMAYQB0AHQAbABlAFwAbgBWAFMAXwBqAFwAbgBrAGcALwBoAGUAYQBkAC8AZABhAHkAXABuAFYAUwBfAGoAPQAoAEkAXwBqAFwAXAB0AGkAbQBlAHMAIAAoADEALQBEAE0ARABfAGoAKQArACgAMAAuADAANABcAFwAdABpAG0AZQBzACAASQBfAGoAKQApAFwAXAB0AGkAbQBlAHMAIAAoADEALQBBACkAXABuAEkAXwBqACAAPQAgAGQAcgB5ACAAbQBhAHQAdABlAHIAIABmAGUAZQBkACAAaQBuAHQAYQBrAGUAIAAoAGsAZwBEAE0ALwBoAGUAYQBkAC8AZABhAHkAKQBcAG4ARABNAEQAXwBqACAAPQAgAGQAcgB5ACAAbQBhAHQAdABlAHIAIABkAGkAZwBlAHMAdABpAGIAaQBsAGkAdAB5AFwAbgBBACAAPQAgAGEAcwBoACAAYwBvAG4AdABlAG4AdAAgAG8AZgAgAGYAZQBlAGQAIABpAG4AdABhAGsAZQBcAG4ALQAtAC0ALQAtAC0ALQAtAC0ALQAtAC0ALQAtAC0ALQAtAC0ALQAtAC0ALQAtAC0ALQAtAC0ALQAtAC0ALQAtAC0ALQAtAC0ALQAtAFwAbgAqAC8AXABuAFwAbgBWAEUARQBSAEcAXwA0AF8AMwBfADEAXwAxAF8AXwAzAF8AVgBvAGwAYQB0AGkAbABlAFMAbwBsAGkAZABzAEYAbwByAFcAZQBhAG4AZQBkAEQAYQBpAHIAeQBDAGEAdAB0AGwAZQBcAG4AIAAgAD0ATABBAE0AQgBEAEEAKABcAG4AIAAgACAAIABJAF8AagAsACAARABNAEQAXwBqACwAIABBACwAXABuACAAIAAgACAAKABJAF8AagAgACoAIAAoADEAIAAtACAARABNAEQAXwBqACkAIAArACAAKAAwAC4AMAA0ACAAKgAgAEkAXwBqACkAKQAgACoAIAAoADEAIAAtACAAQQApAFwAbgAgACAAKQA7AFwAbgBcAG4AVgBFAEUAUgBHAF8ANABfADMAXwAxAF8AMQBfAF8AMwBfAFYAbwBsAGEAdABpAGwAZQBTAG8AbABpAGQAcwBGAG8AcgBXAGUAYQBuAGUAZABEAGEAaQByAHkAQwBhAHQAdABsAGUAXwBUAGkAdABsAGUAXABuACAAIAA9AEwAQQBNAEIARABBACgAXAAiAFYAbwBsAGEAdABpAGwAZQAgAHMAbwBsAGkAZABzACAAZgBvAHIAIAB3AGUAYQBuAGUAZAAgAGQAYQBpAHIAeQAgAGMAYQB0AHQAbABlAFwAIgApADsAXABuAFwAbgBWAEUARQBSAEcAXwA0AF8AMwBfADEAXwAxAF8AXwAzAF8AVgBvAGwAYQB0AGkAbABlAFMAbwBsAGkAZABzAEYAbwByAFcAZQBhAG4AZQBkAEQAYQBpAHIAeQBDAGEAdAB0AGwAZQBfAFYAYQByAGkAYQBiAGwAZQBcAG4AIAAgAD0ATABBAE0AQgBEAEEAKABcACIAVgBTAF8AagBcACIAKQA7AFwAbgBcAG4AVgBFAEUAUgBHAF8ANABfADMAXwAxAF8AMQBfAF8AMwBfAFYAbwBsAGEAdABpAGwAZQBTAG8AbABpAGQAcwBGAG8AcgBXAGUAYQBuAGUAZABEAGEAaQByAHkAQwBhAHQAdABsAGUAXwBVAG4AaQB0AFwAbgAgACAAPQBMAEEATQBCAEQAQQAoAFwAIgBrAGcALwBoAGUAYQBkAC8AZABhAHkAXAAiACkAOwBcAG4AXABuAFYARQBFAFIARwBfADQAXwAzAF8AMQBfADEAXwBfADMAXwBWAG8AbABhAHQAaQBsAGUAUwBvAGwAaQBkAHMARgBvAHIAVwBlAGEAbgBlAGQARABhAGkAcgB5AEMAYQB0AHQAbABlAF8AUwBvAHUAcgBjAGUAXABuACAAIAA9AEwAQQBNAEIARABBACgAXAAiAFYARQBFAFIARwAgADIAMAAyADYAOgAgADQALgAzAC4AMQAuADEALAAgAEUAcQB1AGEAdABpAG8AbgAgACgAMwApAFwAIgApADsAXABuAFwAbgBWAEUARQBSAEcAXwA0AF8AMwBfADEAXwAxAF8AXwAzAF8AVgBvAGwAYQB0AGkAbABlAFMAbwBsAGkAZABzAEYAbwByAFcAZQBhAG4AZQBkAEQAYQBpAHIAeQBDAGEAdAB0AGwAZQBfAE4ASQBSAFIAZQBmAGUAcgBlAG4AYwBlAFwAbgAgACAAPQBMAEEATQBCAEQAQQAoAFwAIgBcACIAKQA7AFwAbgBcAG4AVgBFAEUAUgBHAF8ANABfADMAXwAxAF8AMQBfAF8AMwBfAFYAbwBsAGEAdABpAGwAZQBTAG8AbABpAGQAcwBGAG8AcgBXAGUAYQBuAGUAZABEAGEAaQByAHkAQwBhAHQAdABsAGUAXwBMAGEAdABlAHgARQBxAHUAYQB0AGkAbwBuAFwAbgAgACAAPQBMAEEATQBCAEQAQQAoAFwAIgBWAFMAXwBqAD0AKABJAF8AagBcAFwAdABpAG0AZQBzACAAKAAxAC0ARABNAEQAXwBqACkAKwAoADAALgAwADQAXABcAHQAaQBtAGUAcwAgAEkAXwBqACkAKQBcAFwAdABpAG0AZQBzACAAKAAxAC0AQQApAFwAIgApADsAXABuAFwAbgBWAEUARQBSAEcAXwA0AF8AMwBfADEAXwAxAF8AXwAzAF8AVgBvAGwAYQB0AGkAbABlAFMAbwBsAGkAZABzAEYAbwByAFcAZQBhAG4AZQBkAEQAYQBpAHIAeQBDAGEAdAB0AGwAZQ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ZgBlAGUAZAAgAGkAbgB0AGEAawBlACAAKABrAGcARABNAC8AaABlAGEAZAAvAGQAYQB5ACkAXAAiACwAIABcACIAawBnAEQATQAvAGgAZQBhAGQALwBkAGEAeQBcACIALAAgAFwAIgBDAGEAbABjAHUAbABhAHQAZQBkACAAZgByAG8AbQAgADMALgAzAC4AMQAuADEAIAAoADMAKQBcACIAOwBcAG4AIAAgACAAIAAgACAAIAAgACAAIABcACIARABNAEQAXwBqAFwAIgAsACAAXAAiAGQAcgB5ACAAbQBhAHQAdABlAHIAIABkAGkAZwBlAHMAdABpAGIAaQBsAGkAdAB5AFwAIgAsACAAXAAiAGYAcgBhAGMAdABpAG8AbgBcACIALAAgAFwAIgBJAG4AcAB1AHQAXAAiADsAXABuACAAIAAgACAAIAAgACAAIAAgACAAXAAiAEEAXAAiACwAIABcACIAYQBzAGgAIABjAG8AbgB0AGUAbgB0ACAAbwBmACAAZgBlAGUAZA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ABfAEYAcgBhAGMAdABpAG8AbgBWAG8AbABhAHQAaQBsAGUAUwBvAGwAaQBkAHMATgBvAHQAUwBvAGwAaQBkAFMAdABvAHIAYQBnAGUAXABuAEYAcgBhAGMAdABpAG8AbgAgAG8AZgAgAHYAbwBsAGEAdABpAGwAZQAgAHMAbwBsAGkAZABzACAAaQBuACAAZQBhAGMAaAAgAHMAeQBzAHQAZQBtACAAbwB0AGgAZQByACAAdABoAGEAbgAgAHMAbwBsAGkAZAAgAHMAdABvAHIAYQBnAGUAXABuAEYAVgBTAF8AagBtAFwAbgBmAHIAYQBjAHQAaQBvAG4AXABuAEYAVgBTAF8AewBqAG0AfQA9AE0ATQBTAF8AewBqAG0AfQBcAFwAdABpAG0AZQBzACAAKAAxAC0AUwBTAF8AbQApAFwAbgBTAFMAXwBtACAAPQAgAGYAcgBhAGMAdABpAG8AbgAgAG8AZgAgAHYAbwBsAGEAdABpAGwAZQAgAHMAbwBsAGkAZABzACAAcwBlAHAAYQByAGEAdABlAGQAIAB0AG8AIABzAG8AbABpAGQAIABzAHQAbwByAGEAZwBlACAAZgBvAHIAIABlAGEAYwBoACAATQBNAFMAXABuAE0ATQBTAF8AagBtACAAPQAgAGYAcgBhAGMAdABpAG8AbgAgAG8AZgAgAG0AYQBuAHUAcgBlACAAdABvACAAZQBhAGMAaAAgAHAAcgBpAG0AYQByAHkAIABNAE0AUwAgAGYAbwByACAAZQBhAGMAaAAgAGMAbABhAHMAcwAgAHAAcgBpAG8AcgAgAHQAbwAgAHMAbwBsAGkAZAAgAHMAZQBwAGEAcgBhAHQAaQBvAG4AXABuAC0ALQAtAC0ALQAtAC0ALQAtAC0ALQAtAC0ALQAtAC0ALQAtAC0ALQAtAC0ALQAtAC0ALQAtAC0ALQAtAC0ALQAtAC0ALQAtAC0ALQBcAG4AKgAvAFwAbgBcAG4AVgBFAEUAUgBHAF8ANABfADMAXwAxAF8AMQBfAF8ANABfAEYAcgBhAGMAdABpAG8AbgBWAG8AbABhAHQAaQBsAGUAUwBvAGwAaQBkAHMATgBvAHQAUwBvAGwAaQBkAFMAdABvAHIAYQBnAGUAXABuACAAIAA9AEwAQQBNAEIARABBACgAXABuACAAIAAgACAATQBNAFMAXwBqAG0ALAAgAFMAUwBfAG0ALABcAG4AIAAgACAAIABNAE0AUwBfAGoAbQAgACoAIAAoADEAIAAtACAAUwBTAF8AbQApAFwAbgAgACAAKQA7AFwAbgBcAG4AVgBFAEUAUgBHAF8ANABfADMAXwAxAF8AMQBfAF8ANABfAEYAcgBhAGMAdABpAG8AbgBWAG8AbABhAHQAaQBsAGUAUwBvAGwAaQBkAHMATgBvAHQAUwBvAGwAaQBkAFMAdABvAHIAYQBnAGUAXwBUAGkAdABsAGUAXABuACAAIAA9AEwAQQBNAEIARABBACgAXAAiAEYAcgBhAGMAdABpAG8AbgAgAG8AZgAgAHYAbwBsAGEAdABpAGwAZQAgAHMAbwBsAGkAZABzACAAaQBuACAAZQBhAGMAaAAgAHMAeQBzAHQAZQBtACAAbwB0AGgAZQByACAAdABoAGEAbgAgAHMAbwBsAGkAZAAgAHMAdABvAHIAYQBnAGUAXAAiACkAOwBcAG4AXABuAFYARQBFAFIARwBfADQAXwAzAF8AMQBfADEAXwBfADQAXwBGAHIAYQBjAHQAaQBvAG4AVgBvAGwAYQB0AGkAbABlAFMAbwBsAGkAZABzAE4AbwB0AFMAbwBsAGkAZABTAHQAbwByAGEAZwBlAF8AVgBhAHIAaQBhAGIAbABlAFwAbgAgACAAPQBMAEEATQBCAEQAQQAoAFwAIgBGAFYAUwBfAGoAbQBcACIAKQA7AFwAbgBcAG4AVgBFAEUAUgBHAF8ANABfADMAXwAxAF8AMQBfAF8ANABfAEYAcgBhAGMAdABpAG8AbgBWAG8AbABhAHQAaQBsAGUAUwBvAGwAaQBkAHMATgBvAHQAUwBvAGwAaQBkAFMAdABvAHIAYQBnAGUAXwBVAG4AaQB0AFwAbgAgACAAPQBMAEEATQBCAEQAQQAoAFwAIgBmAHIAYQBjAHQAaQBvAG4AXAAiACkAOwBcAG4AXABuAFYARQBFAFIARwBfADQAXwAzAF8AMQBfADEAXwBfADQAXwBGAHIAYQBjAHQAaQBvAG4AVgBvAGwAYQB0AGkAbABlAFMAbwBsAGkAZABzAE4AbwB0AFMAbwBsAGkAZABTAHQAbwByAGEAZwBlAF8AUwBvAHUAcgBjAGUAXABuACAAIAA9AEwAQQBNAEIARABBACgAXAAiAFYARQBFAFIARwAgADIAMAAyADYAOgAgADQALgAzAC4AMQAuADEALAAgAEUAcQB1AGEAdABpAG8AbgAgACgANAApAFwAIgApADsAXABuAFwAbgBWAEUARQBSAEcAXwA0AF8AMwBfADEAXwAxAF8AXwA0AF8ARgByAGEAYwB0AGkAbwBuAFYAbwBsAGEAdABpAGwAZQBTAG8AbABpAGQAcwBOAG8AdABTAG8AbABpAGQAUwB0AG8AcgBhAGcAZQBfAE4ASQBSAFIAZQBmAGUAcgBlAG4AYwBlAFwAbgAgACAAPQBMAEEATQBCAEQAQQAoAFwAIgBcACIAKQA7AFwAbgBcAG4AVgBFAEUAUgBHAF8ANABfADMAXwAxAF8AMQBfAF8ANABfAEYAcgBhAGMAdABpAG8AbgBWAG8AbABhAHQAaQBsAGUAUwBvAGwAaQBkAHMATgBvAHQAUwBvAGwAaQBkAFMAdABvAHIAYQBnAGUAXwBMAGEAdABlAHgARQBxAHUAYQB0AGkAbwBuAFwAbgAgACAAPQBMAEEATQBCAEQAQQAoAFwAIgBGAFYAUwBfAHsAagBtAH0APQBNAE0AUwBfAHsAagBtAH0AXABcAHQAaQBtAGUAcwAgACgAMQAtAFMAUwBfAG0AKQBcACIAKQA7AFwAbgBcAG4AVgBFAEUAUgBHAF8ANABfADMAXwAxAF8AMQBfAF8ANABfAEYAcgBhAGMAdABpAG8AbgBWAG8AbABhAHQAaQBsAGUAUwBvAGwAaQBkAHMATgBvAHQAUwBvAGwAaQBkAFMAdABvAHIAYQBnAGUAXwBBAHIAZwB1AG0AZQBuAHQAcwBcAG4AIAAgAD0ATABBAE0AQgBEAEEAKABcAG4AIAAgACAAIABNAEEASwBFAEEAUgBSAEEAWQAoADIALAAgADQALABcAG4AIAAgACAAIAAgACAATABBAE0AQgBEAEEAKAByACwAYwAsAFwAbgAgACAAIAAgACAAIAAgACAASQBOAEQARQBYACgAewBcAG4AIAAgACAAIAAgACAAIAAgACAAIABcACIATQBNAFMAXwBqAG0AXAAiACwAIABcACIAZgByAGEAYwB0AGkAbwBuACAAbwBmACAAbQBhAG4AdQByAGUAIAB0AG8AIABlAGEAYwBoACAAcAByAGkAbQBhAHIAeQAgAE0ATQBTACAAZgBvAHIAIABlAGEAYwBoACAAYwBsAGEAcwBzACAAcAByAGkAbwByACAAdABvACAAcwBvAGwAaQBkACAAcwBlAHAAYQByAGEAdABpAG8Ab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1AF8ARgByAGEAYwB0AGkAbwBuAFYAbwBsAGEAdABpAGwAZQBTAG8AbABpAGQAcwBTAG8AbABpAGQAUwB0AG8AcgBhAGcAZQBcAG4ARgByAGEAYwB0AGkAbwBuACAAbwBmACAAdgBvAGwAYQB0AGkAbABlACAAcwBvAGwAaQBkAHMAIABpAG4AIABzAG8AbABpAGQAIABzAHQAbwByAGEAZwBlAFwAbgBGAFYAUwBfAGoAbQA0AFwAbgBmAHIAYQBjAHQAaQBvAG4AXABuAEYAVgBTAF8AewBqAG0APQA0AH0APQBNAE0AUwBfAHsAagBtAD0ANAB9ACsAKABNAE0AUwBfAHsAagBtAD0AMQAsADcALAA5AH0AXABcAHQAaQBtAGUAcwAgAFMAUwBfAG0AKQBcAG4ATQBNAFMAXwBqAG0ANAAgAD0AIABmAHIAYQBjAHQAaQBvAG4AIABvAGYAIAB2AG8AbABhAHQAaQBsAGUAIABzAG8AbABpAGQAcwAgAGkAbgAgAHMAbwBsAGkAZAAgAHMAdABvAHIAYQBnAGUAIABiAGUAZgBvAHIAZQAgAHQAcgBhAG4AcwBmAGUAcgBcAG4ATQBNAFMAXwBqAG0AMQA3ADkAIAA9ACAAZgByAGEAYwB0AGkAbwBuACAAbwBmACAAdgBvAGwAYQB0AGkAbABlACAAcwBvAGwAaQBkAHMAIABpAG4AIABNAE0AUwAgAG0APQAxACwANwAsADkAIABiAGUAZgBvAHIAZQAgAHQAcgBhAG4AcwBmAGUAcgBcAG4AUwBTAF8AbQAgAD0AIABmAHIAYQBjAHQAaQBvAG4AIABvAGYAIAB2AG8AbABhAHQAaQBsAGUAIABzAG8AbABpAGQAcwAgAHMAZQBwAGEAcgBhAHQAZQBkACAAdABvACAAcwBvAGwAaQBkACAAcwB0AG8AcgBhAGcAZQAgAGYAbwByACAAZQBhAGMAaAAgAE0ATQBTAFwAbgAtAC0ALQAtAC0ALQAtAC0ALQAtAC0ALQAtAC0ALQAtAC0ALQAtAC0ALQAtAC0ALQAtAC0ALQAtAC0ALQAtAC0ALQAtAC0ALQAtAC0AXABuACoALwBcAG4AXABuAFYARQBFAFIARwBfADQAXwAzAF8AMQBfADEAXwBfADUAXwBGAHIAYQBjAHQAaQBvAG4AVgBvAGwAYQB0AGkAbABlAFMAbwBsAGkAZABzAFMAbwBsAGkAZABTAHQAbwByAGEAZwBlAFwAbgAgACAAPQBMAEEATQBCAEQAQQAoAFwAbgAgACAAIAAgAE0ATQBTAF8AagBtADQALAAgAE0ATQBTAF8AagBtADEANwA5ACwAIABTAFMAXwBtACwAXABuACAAIAAgACAATQBNAFMAXwBqAG0ANAAgACsAIAAoAE0ATQBTAF8AagBtADEANwA5ACAAKgAgAFMAUwBfAG0AKQBcAG4AIAAgACkAOwBcAG4AXABuAFYARQBFAFIARwBfADQAXwAzAF8AMQBfADEAXwBfADUAXwBGAHIAYQBjAHQAaQBvAG4AVgBvAGwAYQB0AGkAbABlAFMAbwBsAGkAZABzAFMAbwBsAGkAZABTAHQAbwByAGEAZwBlAFYAYQByAGkAYQB0AGkAbwBuAFwAbgAgACAAPQBMAEEATQBCAEQAQQAoAFwAbgAgACAAIAAgAE0ATQBTAF8AagBtADQALAAgAE0ATQBTAF8AagBtADEALAAgAE0ATQBTAF8AagBtADcALAAgAE0ATQBTAF8AagBtADkALAAgAFMAUwBfAG0AMQAsACAAUwBTAF8AbQA3ACwAIABTAFMAXwBtADkALABcAG4AIAAgACAAIABNAE0AUwBfAGoAbQA0ACAAKwAgACgATQBNAFMAXwBqAG0AMQAgACoAIABTAFMAXwBtADEAKQAgACsAIAAoAE0ATQBTAF8AagBtADcAIAAqACAAUwBTAF8AbQA3ACkAIAArACAAKABNAE0AUwBfAGoAbQA5ACAAKgAgAFMAUwBfAG0AOQApAFwAbgAgACAAKQA7AFwAbgBcAG4AXABuAFYARQBFAFIARwBfADQAXwAz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zAF8AMQBfADEAXwBfADUAXwBGAHIAYQBjAHQAaQBvAG4AVgBvAGwAYQB0AGkAbABlAFMAbwBsAGkAZABzAFMAbwBsAGkAZABTAHQAbwByAGEAZwBlAF8AVgBhAHIAaQBhAGIAbABlAFwAbgAgACAAPQBMAEEATQBCAEQAQQAoAFwAIgBGAFYAUwBfAGoAbQA0AFwAIgApADsAXABuAFwAbgBWAEUARQBSAEcAXwA0AF8AMwBfADEAXwAxAF8AXwA1AF8ARgByAGEAYwB0AGkAbwBuAFYAbwBsAGEAdABpAGwAZQBTAG8AbABpAGQAcwBTAG8AbABpAGQAUwB0AG8AcgBhAGcAZQBfAFUAbgBpAHQAXABuACAAIAA9AEwAQQBNAEIARABBACgAXAAiAGYAcgBhAGMAdABpAG8AbgBcACIAKQA7AFwAbgBcAG4AVgBFAEUAUgBHAF8ANABfADMAXwAxAF8AMQBfAF8ANQBfAEYAcgBhAGMAdABpAG8AbgBWAG8AbABhAHQAaQBsAGUAUwBvAGwAaQBkAHMAUwBvAGwAaQBkAFMAdABvAHIAYQBnAGUAXwBTAG8AdQByAGMAZQBcAG4AIAAgAD0ATABBAE0AQgBEAEEAKABcACIAVgBFAEUAUgBHACAAMgAwADIANgA6ACAANAAuADMALgAxAC4AMQAsACAARQBxAHUAYQB0AGkAbwBuACAAKAA1ACkAXAAiACkAOwBcAG4AXABuAFYARQBFAFIARwBfADQAXwAzAF8AMQBfADEAXwBfADUAXwBGAHIAYQBjAHQAaQBvAG4AVgBvAGwAYQB0AGkAbABlAFMAbwBsAGkAZABzAFMAbwBsAGkAZABTAHQAbwByAGEAZwBlAF8ATgBJAFIAUgBlAGYAZQByAGUAbgBjAGUAXABuACAAIAA9AEwAQQBNAEIARABBACgAXAAiAFwAIgApADsAXABuAFwAbgBWAEUARQBSAEcAXwA0AF8AMwBfADEAXwAxAF8AXwA1AF8ARgByAGEAYwB0AGkAbwBuAFYAbwBsAGEAdABpAGwAZQBTAG8AbABpAGQAcwBTAG8AbABpAGQAUwB0AG8AcgBhAGcAZQBfAEwAYQB0AGUAeABFAHEAdQBhAHQAaQBvAG4AXABuACAAIAA9AEwAQQBNAEIARABBACgAXAAiAEYAVgBTAF8AewBqAG0APQA0AH0APQBNAE0AUwBfAHsAagBtAD0ANAB9ACsAKABNAE0AUwBfAHsAagBtAD0AMQAsADcALAA5AH0AXABcAHQAaQBtAGUAcwAgAFMAUwBfAG0AKQBcACIAKQA7AFwAbgBcAG4AVgBFAEUAUgBHAF8ANABfADMAXwAxAF8AMQBfAF8ANQBfAEYAcgBhAGMAdABpAG8AbgBWAG8AbABhAHQAaQBsAGUAUwBvAGwAaQBkAHMAUwBvAGwAaQBkAFMAdABvAHIAYQBnAGUAXwBMAGEAdABlAHgARQBxAHUAYQB0AGkAbwBuAFYAYQByAGkAYQB0AGkAbwBuAFwAbgAgACAAPQBMAEEATQBCAEQAQQAoAFwAIgBGAFYAUwBfAHsAagBtAD0ANAB9AD0ATQBNAFMAXwB7AGoAbQA9ADQAfQArACgATQBNAFMAXwB7AGoAbQA9ADEAfQBcAFwAdABpAG0AZQBzACAAUwBTAF8AewBtAD0AMQB9ACkAKwAoAE0ATQBTAF8AewBqAG0APQA3AH0AXABcAHQAaQBtAGUAcwAgAFMAUwBfAHsAbQA9ADcAfQApACsAKABNAE0AUwBfAHsAagBtAD0AOQB9AFwAXAB0AGkAbQBlAHMAIABTAFMAXwB7AG0APQA5AH0AKQBcACIAKQA7AFwAbgBcAG4AVgBFAEUAUgBHAF8ANABfADM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cACIALAAgAFwAIgBmAHIAYQBjAHQAaQBvAG4AIABvAGYAIAB2AG8AbABhAHQAaQBsAGUAIABzAG8AbABpAGQAcwAgAGkAbgAgAHMAbwBsAGkAZAAgAHMAdABvAHIAYQBnAGUAIABiAGUAZgBvAHIAZQAgAHQAcgBhAG4AcwBmAGUAcgBcACIALAAgAFwAIgBmAHIAYQBjAHQAaQBvAG4AXAAiACwAIABcACIASQBuAHAAdQB0AFwAIgA7AFwAbgAgACAAIAAgACAAIAAgACAAIAAgAFwAIgBNAE0AUwBfAGoAbQAxADcAOQBcACIALAAgAFwAIgBmAHIAYQBjAHQAaQBvAG4AIABvAGYAIAB2AG8AbABhAHQAaQBsAGUAIABzAG8AbABpAGQAcwAgAGkAbgAgAE0ATQBTACAAbQA9ADEALAA3ACwAOQAgAGIAZQBmAG8AcgBlACAAdAByAGEAbgBzAGYAZQBy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MAXwAxAF8AMQBfAF8ANQBfAEYAcgBhAGMAdABpAG8AbgBWAG8AbABhAHQAaQBsAGUAUwBvAGwAaQBkAHMAUwBvAGwAaQBkAFMAdABvAHIAYQBnAGUAXwBWAGEAcgBpAGEAdABpAG8AbgBcAG4AIAAgAD0ATABBAE0AQgBEAEEAKABcACIAVQBzAGUAZAAgAHMAZQBwAGEAcgBhAHQAZQAgAHYAYQByAGkAYQBiAGwAZQBzACAAZgBvAHIAIABNAE0AUwAgAGEAbgBkACAAUwBTACAAbQAgADEALAAgADcAIABhAG4AZAAgADkALgBcACIAKQA7AFwAbgBcAG4AIgB9ACwAewAiAHAAYQB0AGgAIgA6ACIALwBwAHIAbwBqAGUAYwB0AHMALwBNAE0AUwBfAEQAYQBp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MAIABNAGUAdABoAG8AZAAgADEAIAAtACAATQBhAG4AdQByAGU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NAE4AXwB7AGoAbQB9AFwAXAB0AGkAbQBlAHMAIABFAEYAXwBtAFwAXAB0AGkAbQBlAHMAIABDAF8AewBOADIATwB9AFwAXAB0AGkAbQBlAHMAIAAxADAAXgB7AC0AMwB9AFwAbgBNAE4AXwBqAG0AIAA9ACAAdABvAHQAYQBsACAAbgBpAHQAcgBvAGcAZQBuACAAaQBuACAAZQBhAGMAaAAgAE0ATQBTACAAZgBvAHIAIABkAGEAaQByAHkAIABjAGEAdAB0AGwAZQAgAGMAbABhAHMAcwBlAHMAIAAoAGsAZwAgAE4AKQBcAG4ARQBGAF8AbQAgAD0AIABuAGkAdAByAG8AdQBzACAAbwB4AGkAZABlACAAZQBtAGkAcwBzAGkAbwBuACAAZgBhAGMAdABvAHIAIABmAG8AcgAgAGUAYQBjAGgAIABNAE0AUw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zAF8AXwAxAF8AVABvAHQAYQBsAEEAbgBuAHUAYQBsAEQAaQByAGUAYwB0AE4AaQB0AHIAbwB1AHMATwB4AGkAZABlAEUAbQBpAHMAcwBpAG8AbgBzAEYAcgBvAG0ATQBNAFMAXABuACAAIAA9AEwAQQBNAEIARABBACgAXABuACAAIAAgACAATQBOAF8AagBtACwAIABFAEYAXwBtACwAIABDAF8ATgAyAE8ALABcAG4AIAAgACAAIABNAE4AXwBqAG0AIAAqACAARQBGAF8AbQAgACoAIABDAF8ATgAyAE8AIAAqACAAMQAwACAAXgAgAC0AMwBcAG4AIAAgACkAOwBcAG4AXABuAFYARQBFAFIARwBfADQAXwAz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wBfADEAXwAzAF8AXwAxAF8AVABvAHQAYQBsAEEAbgBuAHUAYQBsAEQAaQByAGUAYwB0AE4AaQB0AHIAbwB1AHMATwB4AGkAZABlAEUAbQBpAHMAcwBpAG8AbgBzAEYAcgBvAG0ATQBNAFMAXwBWAGEAcgBpAGEAYgBsAGUAXABuACAAIAA9AEwAQQBNAEIARABBACgAXAAiAEUAXwBOADIATwBkAGkAcgBcACIAKQA7AFwAbgBcAG4AVgBFAEUAUgBHAF8ANABfADMAXwAxAF8AMwBfAF8AMQBfAFQAbwB0AGEAbABBAG4AbgB1AGEAbABEAGkAcgBlAGMAdABOAGkAdAByAG8AdQBzAE8AeABpAGQAZQBFAG0AaQBzAHMAaQBvAG4AcwBGAHIAbwBtAE0ATQBTAF8AVQBuAGkAdABcAG4AIAAgAD0ATABBAE0AQgBEAEEAKABcACIAdAAgAE4AMgBPAFwAIgApADsAXABuAFwAbgBWAEUARQBSAEcAXwA0AF8AMwBfADEAXwAzAF8AXwAxAF8AVABvAHQAYQBsAEEAbgBuAHUAYQBsAEQAaQByAGUAYwB0AE4AaQB0AHIAbwB1AHMATwB4AGkAZABlAEUAbQBpAHMAcwBpAG8AbgBzAEYAcgBvAG0ATQBNAFMAXwBTAG8AdQByAGMAZQBcAG4AIAAgAD0ATABBAE0AQgBEAEEAKABcACIAVgBFAEUAUgBHACAAMgAwADIANgA6ACAANAAuADMALgAxAC4AMwAsACAARQBxAHUAYQB0AGkAbwBuACAAKAAxACkAXAAiACkAOwBcAG4AXABuAFYARQBFAFIARwBfADQAXwAzAF8AMQBfADMAXwBfADEAXwBUAG8AdABhAGwAQQBuAG4AdQBhAGwARABpAHIAZQBjAHQATgBpAHQAcgBvAHUAcwBPAHgAaQBkAGUARQBtAGkAcwBzAGkAbwBuAHMARgByAG8AbQBNAE0AUwBfAE4ASQBSAFIAZQBmAGUAcgBlAG4AYwBlAFwAbgAgACAAPQBMAEEATQBCAEQAQQAoAFwAIgBcACIAKQA7AFwAbgBcAG4AVgBFAEUAUgBHAF8ANABfADMAXwAxAF8AMwBfAF8AMQBfAFQAbwB0AGEAbABBAG4AbgB1AGEAbABEAGkAcgBlAGMAdABOAGkAdAByAG8AdQBzAE8AeABpAGQAZQBFAG0AaQBzAHMAaQBvAG4AcwBGAHIAbwBtAE0ATQBTAF8ATABhAHQAZQB4AEUAcQB1AGEAdABpAG8AbgBcAG4AIAAgAD0ATABBAE0AQgBEAEEAKABcACIARQBfAHsATgAyAE8ALABkAGkAcgB9AD0AXABcAHMAdQBtAFwAXABuAG8AbABpAG0AaQB0AHMAXwB7AGoAfQBcAFwAcwB1AG0AXABcAG4AbwBsAGkAbQBpAHQAcwBfAHsAbQB9ACgATQBOAF8AewBqAG0AfQBcAFwAdABpAG0AZQBzACAARQBGAF8AbQBcAFwAdABpAG0AZQBzACAAQwBfAHsATgAyAE8AfQBcAFwAdABpAG0AZQBzACAAMQAwAF4AewAtADMAfQApAFwAIgApADsAXABuAFwAbgBWAEUARQBSAEcAXwA0AF8AMw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bgBpAHQAcgBvAHUAcwAgAG8AeABpAGQAZQAgAGUAbQBpAHMAcwBpAG8AbgAgAGYAYQBjAHQAbwByACAAZgBvAHIAIABlAGEAYwBoACAATQBNAFMAIAAoAGsAZwAgAE4AMgBPAC0ATgAvAGsAZwAgAE4AIABkAGUAcABvAHMAaQB0AGUAZAAp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yAF8AVABvAHQAYQBsAE4AaQB0AHIAbwBnAGUAbgBJAG4ARQBhAGMAaABNAE0AUwBcAG4AVABvAHQAYQBsACAAbgBpAHQAcgBvAGcAZQBuACAAaQBuACAAZQBhAGMAaAAgAE0ATQBTAFwAbgBNAE4AXwBqAG0AXABuAGsAZwAgAE4AXABuAE0ATgBfAHsAagBtAH0APQBBAEUAXwBqAFwAXAB0AGkAbQBlAHMAIABNAE0AUwBfAHsAagBtAH0AXABuAEEARQBfAGoAIAA9ACAAdABvAHQAYQBsACAAbgBpAHQAcgBvAGcAZQBuACAAZQB4AGMAcgBlAHQAZQBkACAAYgB5ACAAZQBhAGMAaAAgAGQAYQBpAHIAeQAgAGMAbABhAHMAcwAgACgAawBnACAATgApAFwAbgBNAE0AUwBfAGoAbQAgAD0AIABtAGEAbgB1AHIAZQAgAG0AYQBuAGEAZwBlAG0AZQBuAHQAIABzAHkAcwB0AGUAbQAgAGYAcgBhAGMAdABpAG8AbgAgAGYAbwByACAAYwBsAGEAcwBzACAAagAgAGEAbgBkACAAcwB5AHMAdABlAG0AIABtAFwAbgAtAC0ALQAtAC0ALQAtAC0ALQAtAC0ALQAtAC0ALQAtAC0ALQAtAC0ALQAtAC0ALQAtAC0ALQAtAC0ALQAtAC0ALQAtAC0ALQAtAC0AXABuACoALwBcAG4AXABuAFYARQBFAFIARwBfADQAXwAzAF8AMQBfADMAXwBfADIAXwBUAG8AdABhAGwATgBpAHQAcgBvAGcAZQBuAEkAbgBFAGEAYwBoAE0ATQBTAFwAbgAgACAAPQBMAEEATQBCAEQAQQAoAFwAbgAgACAAIAAgAEEARQBfAGoALAAgAE0ATQBTAF8AagBtACwAXABuACAAIAAgACAAQQBFAF8AagAgACoAIABNAE0AUwBfAGoAbQBcAG4AIAAgACkAOwBcAG4AXABuAFYARQBFAFIARwBfADQAXwAzAF8AMQBfADMAXwBfADIAXwBUAG8AdABhAGwATgBpAHQAcgBvAGcAZQBuAEkAbgBFAGEAYwBoAE0ATQBTAF8AVABpAHQAbABlAFwAbgAgACAAPQBMAEEATQBCAEQAQQAoAFwAIgBUAG8AdABhAGwAIABuAGkAdAByAG8AZwBlAG4AIABpAG4AIABlAGEAYwBoACAATQBNAFMAXAAiACkAOwBcAG4AXABuAFYARQBFAFIARwBfADQAXwAzAF8AMQBfADMAXwBfADIAXwBUAG8AdABhAGwATgBpAHQAcgBvAGcAZQBuAEkAbgBFAGEAYwBoAE0ATQBTAF8AVgBhAHIAaQBhAGIAbABlAFwAbgAgACAAPQBMAEEATQBCAEQAQQAoAFwAIgBNAE4AXwBqAG0AXAAiACkAOwBcAG4AXABuAFYARQBFAFIARwBfADQAXwAzAF8AMQBfADMAXwBfADIAXwBUAG8AdABhAGwATgBpAHQAcgBvAGcAZQBuAEkAbgBFAGEAYwBoAE0ATQBTAF8AVQBuAGkAdABcAG4AIAAgAD0ATABBAE0AQgBEAEEAKABcACIAawBnACAATgBcACIAKQA7AFwAbgBcAG4AVgBFAEUAUgBHAF8ANABfADMAXwAxAF8AMwBfAF8AMgBfAFQAbwB0AGEAbABOAGkAdAByAG8AZwBlAG4ASQBuAEUAYQBjAGgATQBNAFMAXwBTAG8AdQByAGMAZQBcAG4AIAAgAD0ATABBAE0AQgBEAEEAKABcACIAVgBFAEUAUgBHACAAMgAwADIANgA6ACAANAAuADMALgAxAC4AMwAsACAARQBxAHUAYQB0AGkAbwBuACAAKAAyACkAXAAiACkAOwBcAG4AXABuAFYARQBFAFIARwBfADQAXwAzAF8AMQBfADMAXwBfADIAXwBUAG8AdABhAGwATgBpAHQAcgBvAGcAZQBuAEkAbgBFAGEAYwBoAE0ATQBTAF8ATgBJAFIAUgBlAGYAZQByAGUAbgBjAGUAXABuACAAIAA9AEwAQQBNAEIARABBACgAXAAiAFwAIgApADsAXABuAFwAbgBWAEUARQBSAEcAXwA0AF8AMwBfADEAXwAzAF8AXwAyAF8AVABvAHQAYQBsAE4AaQB0AHIAbwBnAGUAbgBJAG4ARQBhAGMAaABNAE0AUwBfAEwAYQB0AGUAeABFAHEAdQBhAHQAaQBvAG4AXABuACAAIAA9AEwAQQBNAEIARABBACgAXAAiAE0ATgBfAHsAagBtAH0APQBBAEUAXwBqAFwAXAB0AGkAbQBlAHMAIABNAE0AUwBfAHsAagBtAH0AXAAiACkAOwBcAG4AXABuAFYARQBFAFIARwBfADQAXwAzAF8AMQBfADMAXwBfADIAXwBUAG8AdABhAGwATgBpAHQAcgBvAGcAZQBuAEkAbgBFAGEAYwBoAE0ATQBTAF8AQQByAGcAdQBtAGUAbgB0AHMAXABuACAAIAA9AEwAQQBNAEIARABBACgAXABuACAAIAAgACAATQBBAEsARQBBAFIAUgBBAFkAKAAyACwAIAA0ACwAXABuACAAIAAgACAAIAAgAEwAQQBNAEIARABBACgAcgAsAGMALABcAG4AIAAgACAAIAAgACAAIAAgAEkATgBEAEUAWAAoAHsAXABuACAAIAAgACAAIAAgACAAIAAgACAAXAAiAEEARQBfAGoAXAAiACwAIABcACIAdABvAHQAYQBsACAAbgBpAHQAcgBvAGcAZQBuACAAZQB4AGMAcgBlAHQAZQBkACAAYgB5ACAAZQBhAGMAaAAgAGQAYQBpAHIAeQAgAGMAbABhAHMAcwBcACIALAAgAFwAIgBrAGcAIABOAFwAIgAsACAAXAAiAEMAYQBsAGMAdQBsAGEAdABlAGQAIABmAHIAbwBtACAANAAuADMALgAxAC4AMwAgACgAMwBhACkAIABhAG4AZAAgACgAMwBiACkAXAAiADsAXABuACAAIAAgACAAIAAgACAAIAAgACAAXAAiAE0ATQBTAF8AagBtAFwAIgAsACAAXAAiAG0AYQBuAHUAcgBlACAAbQBhAG4AYQBnAGUAbQBlAG4AdAAgAHMAeQBzAHQAZQBtACAAZgByAGEAYwB0AGkAbwBuACAAZgBvAHIAIABjAGwAYQBzAHMAIABqACAAYQBuAGQAIABzAHkAcwB0AGUAbQAg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zAGEAXwBUAG8AdABhAGwAQQBuAG4AdQBhAGwATgBpAHQAcgBvAGcAZQBuAEUAeABjAHIAZQB0AGUAZABHAHIAZQBhAHQAZQByAFQAaABhAG4ATwBuAGUAWQBlAGEAcgBcAG4AVABvAHQAYQBsACAAYQBuAG4AdQBhAGwAIABuAGkAdAByAG8AZwBlAG4AIABlAHgAYwByAGUAdABlAGQAIABiAHkAIABkAGEAaQByAHkAIABjAGEAdAB0AGwAZQAgAFwAdQAwADAAMwBl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FwAdQAwADAAMwBlADEAIAB5AGUAYQByACAAbwBsAGQAIAAoAGsAZwAgAE4ALwBoAGUAYQBkAC8AZABhAHkAKQBcAG4ALQAtAC0ALQAtAC0ALQAtAC0ALQAtAC0ALQAtAC0ALQAtAC0ALQAtAC0ALQAtAC0ALQAtAC0ALQAtAC0ALQAtAC0ALQAtAC0ALQAtAFwAbgAqAC8AXABuAFwAbgBWAEUARQBSAEcAXwA0AF8AMwBfADEAXwAzAF8AXwAzAGEAXwBUAG8AdABhAGwAQQBuAG4AdQBhAGwATgBpAHQAcgBvAGcAZQBuAEUAeABjAHIAZQB0AGUAZABHAHIAZQBhAHQAZQByAFQAaABhAG4ATwBuAGUAWQBlAGEAcgBcAG4AIAAgAD0ATABBAE0AQgBEAEEAKABcAG4AIAAgACAAIABOAF8AagAxADIANAAsACAATgBFAF8AagAxADIANAAsAFwAbgAgACAAIAAgAE4AXwBqADEAMgA0ACAAKgAgAE4ARQBfAGoAMQAyADQAIAAqACAAMwA2ADUAXABuACAAIAApADsAXABuAFwAbgBWAEUARQBSAEcAXwA0AF8AMwBfADEAXwAzAF8AXwAzAGEAXwBUAG8AdABhAGwAQQBuAG4AdQBhAGwATgBpAHQAcgBvAGcAZQBuAEUAeABjAHIAZQB0AGUAZABHAHIAZQBhAHQAZQByAFQAaABhAG4ATwBuAGUAWQBlAGEAcgBWAGEAcgBpAGEAdABpAG8AbgBcAG4AIAAgAD0ATABBAE0AQgBEAEEAKABcAG4AIAAgACAAIABOAF8AagAxADIANAAsACAATgBFAF8AagAxADIANAAsACAARABfAGoAMQAyADQALABcAG4AIAAgACAAIABOAF8AagAxADIANAAgACoAIABOAEUAXwBqADEAMgA0ACAAKgAgAEQAXwBqADEAMgA0AFwAbgAgACAAKQA7AFwAbgBcAG4AVgBFAEUAUgBHAF8ANABfADMAXwAxAF8AMwBfAF8AMwBhAF8AVABvAHQAYQBsAEEAbgBuAHUAYQBsAE4AaQB0AHIAbwBnAGUAbgBFAHgAYwByAGUAdABlAGQARwByAGUAYQB0AGUAcgBUAGgAYQBuAE8AbgBlAFkAZQBhAHIAXwBUAGkAdABsAGUAXABuACAAIAA9AEwAQQBNAEIARABBACgAXAAiAFQAbwB0AGEAbAAgAGEAbgBuAHUAYQBsACAAbgBpAHQAcgBvAGcAZQBuACAAZQB4AGMAcgBlAHQAZQBkACAAYgB5ACAAZABhAGkAcgB5ACAAYwBhAHQAdABsAGUAIABnAHIAZQBhAHQAZQByACAAdABoAGEAbgAgAG8AbgBlACAAeQBlAGEAcgAgAG8AbABkAFwAIgApADsAXABuAFwAbgBWAEUARQBSAEcAXwA0AF8AMwBfADEAXwAzAF8AXwAzAGEAXwBUAG8AdABhAGwAQQBuAG4AdQBhAGwATgBpAHQAcgBvAGcAZQBuAEUAeABjAHIAZQB0AGUAZABHAHIAZQBhAHQAZQByAFQAaABhAG4ATwBuAGUAWQBlAGEAcgBfAFYAYQByAGkAYQBiAGwAZQBcAG4AIAAgAD0ATABBAE0AQgBEAEEAKABcACIAQQBFAF8AagAxADIANABcACIAKQA7AFwAbgBcAG4AVgBFAEUAUgBHAF8ANABfADMAXwAxAF8AMwBfAF8AMwBhAF8AVABvAHQAYQBsAEEAbgBuAHUAYQBsAE4AaQB0AHIAbwBnAGUAbgBFAHgAYwByAGUAdABlAGQARwByAGUAYQB0AGUAcgBUAGgAYQBuAE8AbgBlAFkAZQBhAHIAXwBVAG4AaQB0AFwAbgAgACAAPQBMAEEATQBCAEQAQQAoAFwAIgBrAGcAIABOAFwAIgApADsAXABuAFwAbgBWAEUARQBSAEcAXwA0AF8AMwBfADEAXwAzAF8AXwAzAGEAXwBUAG8AdABhAGwAQQBuAG4AdQBhAGwATgBpAHQAcgBvAGcAZQBuAEUAeABjAHIAZQB0AGUAZABHAHIAZQBhAHQAZQByAFQAaABhAG4ATwBuAGUAWQBlAGEAcgBfAFMAbwB1AHIAYwBlAFwAbgAgACAAPQBMAEEATQBCAEQAQQAoAFwAIgBWAEUARQBSAEcAIAAyADAAMgA2ADoAIAA0AC4AMwAuADEALgAzACwAIABFAHEAdQBhAHQAaQBvAG4AIAAoADMAYQApAFwAIgApADsAXABuAFwAbgBWAEUARQBSAEcAXwA0AF8AMwBfADEAXwAzAF8AXwAzAGEAXwBUAG8AdABhAGwAQQBuAG4AdQBhAGwATgBpAHQAcgBvAGcAZQBuAEUAeABjAHIAZQB0AGUAZABHAHIAZQBhAHQAZQByAFQAaABhAG4ATwBuAGUAWQBlAGEAcgBfAE4ASQBSAFIAZQBmAGUAcgBlAG4AYwBlAFwAbgAgACAAPQBMAEEATQBCAEQAQQAoAFwAIgBcACIAKQA7AFwAbgBcAG4AVgBFAEUAUgBHAF8ANABfADMAXwAxAF8AMwBfAF8AMwBhAF8AVABvAHQAYQBsAEEAbgBuAHUAYQBsAE4AaQB0AHIAbwBnAGUAbgBFAHgAYwByAGUAdABlAGQARwByAGUAYQB0AGUAcgBUAGgAYQBuAE8AbgBlAFkAZQBhAHIAXwBMAGEAdABlAHgARQBxAHUAYQB0AGkAbwBuAFwAbgAgACAAPQBMAEEATQBCAEQAQQAoAFwAIgBBAEUAXwB7AGoAPQAxACwAMgAsADQAfQA9AE4AXwB7AGoAPQAxACwAMgAsADQAfQBcAFwAdABpAG0AZQBzACAATgBFAF8AewBqAD0AMQAsADIALAA0AH0AXABcAHQAaQBtAGUAcwAgADMANgA1AFwAIgApADsAXABuAFwAbgBWAEUARQBSAEcAXwA0AF8AMwBfADEAXwAzAF8AXwAzAGEAXwBUAG8AdABhAGwAQQBuAG4AdQBhAGwATgBpAHQAcgBvAGcAZQBuAEUAeABjAHIAZQB0AGUAZABHAHIAZQBhAHQAZQByAFQAaABhAG4ATwBuAGUAWQBlAGEAcgBfAEwAYQB0AGUAeABFAHEAdQBhAHQAaQBvAG4AVgBhAHIAaQBhAHQAaQBvAG4AXABuACAAIAA9AEwAQQBNAEIARABBACgAXAAiAEEARQBfAHsAagA9ADEALAAyACwANAB9AD0ATgBfAHsAagA9ADEALAAyACwANAB9AFwAXAB0AGkAbQBlAHMAIABOAEUAXwB7AGoAPQAxACwAMgAsADQAfQBcAFwAdABpAG0AZQBzACAARABfAHsAagA9ADEALAAyACwANAB9AFwAIgApADsAXABuAFwAbgBWAEUARQBSAEcAXwA0AF8AMwBfADEAXwAzAF8AXwAzAGEAXwBUAG8AdABhAGwAQQBuAG4AdQBhAGwATgBpAHQAcgBvAGcAZQBuAEUAeABjAHIAZQB0AGUAZA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4ARQBfAGoAMQAyADQAXAAiACwAIABcACIAbgBpAHQAcgBvAGcAZQBuACAAZQB4AGMAcgBlAHQAZQBkACAAYgB5ACAAZABhAGkAcgB5ACAAYwBhAHQAdABsAGUAIABnAHIAZQBhAHQAZQByACAAdABoAGEAbgAgAG8AbgBlACAAeQBlAGEAcgAgAG8AbABkACAAKABrAGcAIABOAC8AaABlAGEAZAAvAGQAYQB5ACkAXAAiACwAIABcACIAawBnACAATgAvAGgAZQBhAGQALwBkAGEAeQBcACIALAAgAFwAIgBDAGEAbABjAHUAbABhAHQAZQBkACAAZgByAG8AbQAgADQALgAzAC4AMQAuADMAIAAoADQAKQBcACIAOwBcAG4AIAAgACAAIAAgACAAIAAgACAAIABcACIARABfAGoAMQAyADQAXAAiACwAIABcACIAZAB1AHIAYQB0AGkAbwBuACAAbwBmACAAcwB0AGEAeQAgAG8AbgAgAGYAYQByAG0AIABmAG8AcgAgAGMAbABhAHMAcwBlAHMAIABqAD0AMQAsADIALAA0ACAAKABkAGEAeQBzACkAXAAiACwAIABcACIAZABhAHkAcwBcACIALAAgAFwAIgBJAG4AcAB1AHQAXAAiAFwAbgAgACAAIAAgACAAIAAgACAAfQAsACAAcgAsACAAYwApAFwAbgAgACAAIAAgACAAIAApAFwAbgAgACAAIAAgACkAXABuACAAIAApADsAXABuAFwAbgBWAEUARQBSAEcAXwA0AF8AMwBfADEAXwAzAF8AXwAzAGEAXwBUAG8AdABhAGwAQQBuAG4AdQBhAGwATgBpAHQAcgBvAGcAZQBuAEUAeABjAHIAZQB0AGUAZABHAHIAZQBhAHQAZQByAFQAaABhAG4ATwBuAGUAWQBlAGEAcgBfAFYAYQByAGkAYQB0AGkAbwBuAFwAbgAgACAAPQBMAEEATQBCAEQAQQAoAFwAIgBWAEEAUgBJAEEAVABJAE8ATgA6ACAAVQBzAGUAZAAgAEQAdQByAGEAdABpAG8AbgAgAHYAYQByAGkAYQBiAGwAZQBzACAAaQBuAHMAdABlAGEAZAAgAG8AZgAgAGgAYQByAGQALQBjAG8AZABlAGQAIAAzADYANQAgAHYAYQBsAHUAZQAuAFwAIgApADsAXABuAFwAbgAvACoAXABuAC0ALQAtAC0ALQAtAC0ALQAtAC0ALQAtAC0ALQAtAC0ALQAtAC0ALQAtAC0ALQAtAC0ALQAtAC0ALQAtAC0ALQAtAC0ALQAtAC0ALQBcAG4AVgBFAEUAUgBHAF8ANABfADMAXwAxAF8AMwBfAF8AMwBiAF8AVABvAHQAYQBsAEEAbgBuAHUAYQBsAE4AaQB0AHIAbwBnAGUAbgBFAHgAYwByAGUAdABlAGQATABlAHMAcwBUAGgAYQBuAE8AbgBlAFkAZQBhAHIAXABuAFQAbwB0AGEAbAAgAGEAbgBuAHUAYQBsACAAbgBpAHQAcgBvAGcAZQBuACAAZQB4AGMAcgBlAHQAZQBkACAAYgB5ACAAZABhAGkAcgB5ACAAYwBhAHQAdABsAGUAIABcAHUAMAAwADMAYwAxACAAeQBlAGEAcgAgAG8AbABkAFwAbgBBAEUAXwBqADMANQBcAG4AawBnACAATgBcAG4AQQBFAF8AewBqAD0AMwAsADUAfQA9ACgATgBfAHsAagA9ADMALAA1AH0AXABcAHQAaQBtAGUAcwAgAE4ARQBfAHsAagA9ADMALAA1AH0AXABcAHQAaQBtAGUAcwAgADIAOAAxACkAKwAoAE4AXwB7AGoAPQAzACwANQB9AFwAXAB0AGkAbQBlAHMAIABOAFAAVwBfAHsAagA9ADMALAA1AH0AXABcAHQAaQBtAGUAcwAgADgANAApAFwAbgBOAF8AagAzADUAIAA9ACAAbgB1AG0AYgBlAHIAIABvAGYAIABkAGEAaQByAHkAIABjAGEAdAB0AGwAZQAgAGkAbgAgAGMAbABhAHMAcwBlAHMAIABqAD0AMwAsADUAXABuAE4ARQBfAGoAMwA1ACAAPQAgAG4AaQB0AHIAbwBnAGUAbgAgAGUAeABjAHIAZQB0AGUAZAAgAGIAeQAgAHcAZQBhAG4AZQBkACAAZABhAGkAcgB5ACAAYwBhAHQAdABsAGUAIABcAHUAMAAwADMAYw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XAB1ADAAMAAzAGUAMQAgAHkAZQBhAHIAIABvAGwAZABcAG4ATgBFAF8AagBcAG4AawBnACAATgAvAGgAZQBhAGQALwBkAGEAeQBcAG4ATgBFAF8AagA9ACgAQwBQAEkAXwBqAC8ANgAuADIANQApAC0ATgBSAF8AagAtACgAKAAxAC4AMQBcAFwAdABpAG0AZQBzACAAMQAwAF4AewAtADQAfQBcAFwAdABpAG0AZQBzACAAVwBfAGoAXgB7ADAALgA3ADUAfQApAC8ANgAuADIANQApAFwAbgBDAFAASQBfAGoAIAA9ACAAYwByAHUAZABlACAAcAByAG8AdABlAGkAbgAgAGkAbgB0AGEAawBlACAAKABrAGcALwBoAGUAYQBkAC8AZABhAHkAKQBcAG4ATgBSAF8AagAgAD0AIABhAG0AbwB1AG4AdAAgAG8AZgAgAG4AaQB0AHIAbwBnAGUAbgAgAHIAZQB0AGEAaQBuAGUAZAAgAGIAeQAgAHQAaABlACAAYgBvAGQAeQAgACgAawBnACAATgAvAGgAZQBhAGQALwBkAGEAeQApAFwAbgBXAF8AagAgAD0AIABsAGkAdgBlAHcAZQBpAGcAaAB0ACAAKABrAGcAKQBcAG4ALQAtAC0ALQAtAC0ALQAtAC0ALQAtAC0ALQAtAC0ALQAtAC0ALQAtAC0ALQAtAC0ALQAtAC0ALQAtAC0ALQAtAC0ALQAtAC0ALQAtAFwAbgAqAC8AXABuAFwAbgBWAEUARQBSAEcAXwA0AF8AMwBfADEAXwAzAF8AXwA0AF8ATgBpAHQAcgBvAGcAZQBuAEUAeABjAHIAZQB0AGUAZABCAHkARABhAGkAcgB5AEMAYQB0AHQAbABlAEcAcgBlAGEAdABlAHIAVABoAGEAbgBPAG4AZQBZAGUAYQByAFwAbgAgACAAPQBMAEEATQBCAEQAQQAoAFwAbgAgACAAIAAgAEMAUABJAF8AagAsACAATgBSAF8AagAsACAAVwBfAGoALABcAG4AIAAgACAAIAAoAEMAUABJAF8AagAgAC8AIAA2AC4AMgA1ACkAIAAtACAATgBSAF8AagAgAC0AIAAoACgAMQAuADEAIAAqACAAMQAwACAAXgAgAC0ANAAgACoAIABXAF8AagAgAF4AIAAwAC4ANwA1ACkAIAAvACAANgAuADIANQApAFwAbgAgACAAKQA7AFwAbgBcAG4AVgBFAEUAUgBHAF8ANABfADMAXwAxAF8AMwBfAF8ANABfAE4AaQB0AHIAbwBnAGUAbgBFAHgAYwByAGUAdABlAGQAQgB5AEQAYQBpAHIAeQBDAGEAdAB0AGwAZQBHAHIAZQBhAHQAZQByAFQAaABhAG4ATwBuAGUAWQBlAGEAcgBfAFQAaQB0AGwAZQBcAG4AIAAgAD0ATABBAE0AQgBEAEEAKABcACIATgBpAHQAcgBvAGcAZQBuACAAZQB4AGMAcgBlAHQAZQBkACAAYgB5ACAAZABhAGkAcgB5ACAAYwBhAHQAdABsAGUAIABnAHIAZQBhAHQAZQByACAAdABoAGEAbgAgAG8AbgBlACAAeQBlAGEAcgAgAG8AbABkAFwAIgApADsAXABuAFwAbgBWAEUARQBSAEcAXwA0AF8AMwBfADEAXwAzAF8AXwA0AF8ATgBpAHQAcgBvAGcAZQBuAEUAeABjAHIAZQB0AGUAZABCAHkARABhAGkAcgB5AEMAYQB0AHQAbABlAEcAcgBlAGEAdABlAHIAVABoAGEAbgBPAG4AZQBZAGUAYQByAF8AVgBhAHIAaQBhAGIAbABlAFwAbgAgACAAPQBMAEEATQBCAEQAQQAoAFwAIgBOAEUAXwBqAFwAIgApADsAXABuAFwAbgBWAEUARQBSAEcAXwA0AF8AMwBfADEAXwAzAF8AXwA0AF8ATgBpAHQAcgBvAGcAZQBuAEUAeABjAHIAZQB0AGUAZABCAHkARABhAGkAcgB5AEMAYQB0AHQAbABlAEcAcgBlAGEAdABlAHIAVABoAGEAbgBPAG4AZQBZAGUAYQByAF8AVQBuAGkAdABcAG4AIAAgAD0ATABBAE0AQgBEAEEAKABcACIAawBnACAATgAvAGgAZQBhAGQALwBkAGEAeQBcACIAKQA7AFwAbgBcAG4AVgBFAEUAUgBHAF8ANABfADMAXwAxAF8AMwBfAF8ANABfAE4AaQB0AHIAbwBnAGUAbgBFAHgAYwByAGUAdABlAGQAQgB5AEQAYQBpAHIAeQBDAGEAdAB0AGwAZQBHAHIAZQBhAHQAZQByAFQAaABhAG4ATwBuAGUAWQBlAGEAcgBfAFMAbwB1AHIAYwBlAFwAbgAgACAAPQBMAEEATQBCAEQAQQAoAFwAIgBWAEUARQBSAEcAIAAyADAAMgA2ADoAIAA0AC4AMwAuADEALgAzACwAIABFAHEAdQBhAHQAaQBvAG4AIAAoADQAKQBcACIAKQA7AFwAbgBcAG4AVgBFAEUAUgBHAF8ANABfADMAXwAxAF8AMwBfAF8ANABfAE4AaQB0AHIAbwBnAGUAbgBFAHgAYwByAGUAdABlAGQAQgB5AEQAYQBpAHIAeQBDAGEAdAB0AGwAZQBHAHIAZQBhAHQAZQByAFQAaABhAG4ATwBuAGUAWQBlAGEAcgBfAE4ASQBSAFIAZQBmAGUAcgBlAG4AYwBlAFwAbgAgACAAPQBMAEEATQBCAEQAQQAoAFwAIgBcACIAKQA7AFwAbgBcAG4AVgBFAEUAUgBHAF8ANABfADMAXwAxAF8AMwBfAF8ANABfAE4AaQB0AHIAbwBnAGUAbgBFAHgAYwByAGUAdABlAGQAQgB5AEQAYQBpAHIAeQBDAGEAdAB0AGwAZQBHAHIAZQBhAHQAZQByAFQAaABhAG4ATwBuAGUAWQBlAGEAcgBfAEwAYQB0AGUAeABFAHEAdQBhAHQAaQBvAG4AXABuACAAIAA9AEwAQQBNAEIARABBACgAXAAiAE4ARQBfAGoAPQAoAFwAXABmAHIAYQBjAHsAQwBQAEkAXwBqAH0AewA2AC4AMgA1AH0AKQAtAE4AUgBfAGoALQBcAFwAbABlAGYAdABbAFwAXABmAHIAYQBjAHsAMQAuADEAXABcAHQAaQBtAGUAcwAxADAAXgB7AC0ANAB9ACAAXABcAHQAaQBtAGUAcwAgAFcAXwBqAF4AewAwAC4ANwA1AH0AfQB7ADYALgAyADUAfQBcAFwAcgBpAGcAaAB0AF0AXAAiACkAOwBcAG4AXABuAFYARQBFAFIARwBfADQAXwAzAF8AMQBfADMAXwBfADQAXwBOAGkAdAByAG8AZwBlAG4ARQB4AGMAcgBlAHQAZQBkAEIAeQBEAGEAaQByAHkAQwBhAHQAdABsAGU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QwBQAEkAXwBqAFwAIgAsACAAXAAiAGMAcgB1AGQAZQAgAHAAcgBvAHQAZQBpAG4AIABpAG4AdABhAGsAZQAgACgAawBnAC8AaABlAGEAZAAvAGQAYQB5ACkAXAAiACwAIABcACIAawBnAC8AaABlAGEAZAAvAGQAYQB5AFwAIgAsACAAXAAiAEMAYQBsAGMAdQBsAGEAdABlAGQAIABmAHIAbwBtACAANAAuADMALgAxAC4AMwAgACgANQApAFwAIgA7AFwAbgAgACAAIAAgACAAIAAgACAAIAAgAFwAIgBOAFIAXwBqAFwAIgAsACAAXAAiAGEAbQBvAHUAbgB0ACAAbwBmACAAbgBpAHQAcgBvAGcAZQBuACAAcgBlAHQAYQBpAG4AZQBkACAAYgB5ACAAdABoAGUAIABiAG8AZAB5AFwAIgAsACAAXAAiAGsAZwAgAE4ALwBoAGUAYQBkAC8AZABhAHkAXAAiACwAIABcACIAQwBhAGwAYwB1AGwAYQB0AGUAZAAgAGYAcgBvAG0AIAA0AC4AMwAuADEALgAzACAAKAA2ACkAXAAiADsAXABuACAAIAAgACAAIAAgACAAIAAgACAAXAAiAFcAXwBqAFwAIgAsACAAXAAiAGwAaQB2AGUAdwBlAGkAZwBoAHQAIAAoAGsAZwApAFwAIgAsACAAXAAiAGsAZ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QBfAEMAcgB1AGQAZQBQAHIAbwB0AGUAaQBuAEkAbgB0AGEAawBlAE8AZgBEAGEAaQByAHkAQwBhAHQAdABsAGUAXABuAEMAcgB1AGQAZQAgAHAAcgBvAHQAZQBpAG4AIABpAG4AdABhAGsAZQAgAG8AZgAgAGQAYQBpAHIAeQAgAGMAYQB0AHQAbABlAFwAbgBDAFAASQBfAGoAXABuAGsAZwAvAGgAZQBhAGQALwBkAGEAeQBcAG4AQwBQAEkAXwBqAD0ASQBfAGoAXABcAHQAaQBtAGUAcwAgAEMAUABfAGoAXABuAEkAXwBqACAAPQAgAGQAcgB5ACAAbQBhAHQAdABlAHIAIABpAG4AdABhAGsAZQAgACgAawBnAEQATQAvAGgAZQBhAGQALwBkAGEAeQApAFwAbgBDAFAAXwBqACAAPQAgAGMAcgB1AGQAZQAgAHAAcgBvAHQAZQBpAG4AIABjAG8AbgB0AGUAbgB0ACAAbwBmACAAZgBlAGUAZAAgAGkAbgB0AGEAawBlACAAKABmAHIAYQBjAHQAaQBvAG4AKQBcAG4ALQAtAC0ALQAtAC0ALQAtAC0ALQAtAC0ALQAtAC0ALQAtAC0ALQAtAC0ALQAtAC0ALQAtAC0ALQAtAC0ALQAtAC0ALQAtAC0ALQAtAFwAbgAqAC8AXABuAFwAbgBWAEUARQBSAEcAXwA0AF8AMwBfADEAXwAzAF8AXwA1AF8AQwByAHUAZABlAFAAcgBvAHQAZQBpAG4ASQBuAHQAYQBrAGUATwBmAEQAYQBpAHIAeQBDAGEAdAB0AGwAZQBcAG4AIAAgAD0ATABBAE0AQgBEAEEAKABcAG4AIAAgACAAIABJAF8AagAsACAAQwBQAF8AagAsAFwAbgAgACAAIAAgAEkAXwBqACAAKgAgAEMAUABfAGoAXABuACAAIAApADsAXABuAFwAbgBWAEUARQBSAEcAXwA0AF8AMwBfADEAXwAzAF8AXwA1AF8AQwByAHUAZABlAFAAcgBvAHQAZQBpAG4ASQBuAHQAYQBrAGUATwBmAEQAYQBpAHIAeQBDAGEAdAB0AGwAZQBfAFQAaQB0AGwAZQBcAG4AIAAgAD0ATABBAE0AQgBEAEEAKABcACIAQwByAHUAZABlACAAcAByAG8AdABlAGkAbgAgAGkAbgB0AGEAawBlACAAbwBmACAAZABhAGkAcgB5ACAAYwBhAHQAdABsAGUAXAAiACkAOwBcAG4AXABuAFYARQBFAFIARwBfADQAXwAzAF8AMQBfADMAXwBfADUAXwBDAHIAdQBkAGUAUAByAG8AdABlAGkAbgBJAG4AdABhAGsAZQBPAGYARABhAGkAcgB5AEMAYQB0AHQAbABlAF8AVgBhAHIAaQBhAGIAbABlAFwAbgAgACAAPQBMAEEATQBCAEQAQQAoAFwAIgBDAFAASQBfAGoAXAAiACkAOwBcAG4AXABuAFYARQBFAFIARwBfADQAXwAzAF8AMQBfADMAXwBfADUAXwBDAHIAdQBkAGUAUAByAG8AdABlAGkAbgBJAG4AdABhAGsAZQBPAGYARABhAGkAcgB5AEMAYQB0AHQAbABlAF8AVQBuAGkAdABcAG4AIAAgAD0ATABBAE0AQgBEAEEAKABcACIAawBnAC8AaABlAGEAZAAvAGQAYQB5AFwAIgApADsAXABuAFwAbgBWAEUARQBSAEcAXwA0AF8AMwBfADEAXwAzAF8AXwA1AF8AQwByAHUAZABlAFAAcgBvAHQAZQBpAG4ASQBuAHQAYQBrAGUATwBmAEQAYQBpAHIAeQBDAGEAdAB0AGwAZQBfAFMAbwB1AHIAYwBlAFwAbgAgACAAPQBMAEEATQBCAEQAQQAoAFwAIgBWAEUARQBSAEcAIAAyADAAMgA2ADoAIAA0AC4AMwAuADEALgAzACwAIABFAHEAdQBhAHQAaQBvAG4AIAAoADUAKQBcACIAKQA7AFwAbgBcAG4AVgBFAEUAUgBHAF8ANABfADMAXwAxAF8AMwBfAF8ANQBfAEMAcgB1AGQAZQBQAHIAbwB0AGUAaQBuAEkAbgB0AGEAawBlAE8AZgBEAGEAaQByAHkAQwBhAHQAdABsAGUAXwBOAEkAUgBSAGUAZgBlAHIAZQBuAGMAZQBcAG4AIAAgAD0ATABBAE0AQgBEAEEAKABcACIAXAAiACkAOwBcAG4AXABuAFYARQBFAFIARwBfADQAXwAzAF8AMQBfADMAXwBfADUAXwBDAHIAdQBkAGUAUAByAG8AdABlAGkAbgBJAG4AdABhAGsAZQBPAGYARABhAGkAcgB5AEMAYQB0AHQAbABlAF8ATABhAHQAZQB4AEUAcQB1AGEAdABpAG8AbgBcAG4AIAAgAD0ATABBAE0AQgBEAEEAKABcACIAQwBQAEkAXwBqAD0ASQBfAGoAXABcAHQAaQBtAGUAcwAgAEMAUABfAGoAXAAiACkAOwBcAG4AXABuAFYARQBFAFIARwBfADQAXwAzAF8AMQBfADMAXwBfADUAXwBDAHIAdQBkAGUAUAByAG8AdABlAGkAbgBJAG4AdABhAGsAZQBPAGYARABhAGkAcgB5AEMAYQB0AHQAbABlAF8AQQByAGcAdQBtAGUAbgB0AHMAXABuACAAIAA9AEwAQQBNAEIARABBACgAXABuACAAIAAgACAATQBBAEsARQBBAFIAUgBBAFkAKAAy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DAFAAXwBqAFwAIgAsACAAXAAiAGMAcgB1AGQAZQAgAHAAcgBvAHQAZQBpAG4AIABjAG8AbgB0AGUAbgB0ACAAbwBmACAAZgBlAGUAZA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gBfAE4AaQB0AHIAbwBnAGUAbgBSAGUAdABhAGkAbgBlAGQAQgB5AEIAbwBkAHkAXABuAEEAbQBvAHUAbgB0ACAAbwBmACAAbgBpAHQAcgBvAGcAZQBuACAAcgBlAHQAYQBpAG4AZQBkACAAYgB5ACAAdABoAGUAIABiAG8AZAB5AFwAbgBOAFIAXwBqAFwAbgBrAGcAIABOAC8AaABlAGEAZAAvAGQAYQB5AFwAbgBOAFIAXwBqAD0AKAAoACgAMAAuADAAMwAyAFwAXAB0AGkAbQBlAHMAIABNAFAAXwBqAFwAXAB0AGkAbQBlAHMAIAAxAC4AMAAzACkALwA2AC4AMwA4ACkAKwAoACgAMAAuADIAMQAyAC0AMAAuADAAMAA4AFwAXAB0AGkAbQBlAHMAIAAoAEwAXwBqAC0AMgApAC0AKAAoADAALgAxADQAMAAtADAALgAwADAAOABcAFwAdABpAG0AZQBzACAAKABMAF8AagAtADIAKQApAC8AKAAxACsARQBYAFAAKAAtADYAXABcAHQAaQBtAGUAcwAgACgAWgBfAGoALQAwAC4ANAApACkAKQApACkAXABcAHQAaQBtAGUAcwAgACgATABXAEcAXwBqAFwAXAB0AGkAbQBlAHMAIAAwAC4AOQAyACkAKQApAFwAXAB0AGkAbQBlAHMAIAAoADEALwA2AC4AMgA1ACkAXABuAE0AUABfAGoAIAA9ACAAbQBpAGwAawAgAHAAcgBvAGQAdQBjAHQAaQBvAG4AIAAoAEwALwBoAGUAYQBkAC8AZABhAHkAKQBcAG4ATABfAGoAIAA9ACAAaQBuAHQAYQBrAGUAIAByAGUAbABhAHQAaQB2AGUAIAB0AG8AIABtAGEAaQBuAHQAZQBuAGEAbgBjAGUAXABuAFoAXwBqACAAPQAgAHIAZQBsAGEAdABpAHYAZQAgAHMAaQB6AGUAXABuAEwAVwBHAF8AagAgAD0AIABsAGkAdgBlAHcAZQBpAGcAaAB0ACAAZwBhAGkAbgAgACgAawBnAC8AZABhAHkAKQBcAG4ALQAtAC0ALQAtAC0ALQAtAC0ALQAtAC0ALQAtAC0ALQAtAC0ALQAtAC0ALQAtAC0ALQAtAC0ALQAtAC0ALQAtAC0ALQAtAC0ALQAtAFwAbgAqAC8AXABuAFwAbgBWAEUARQBSAEcAXwA0AF8AMwBfADEAXwAzAF8AXwA2AF8ATgBpAHQAcgBvAGcAZQBuAFIAZQB0AGEAaQBuAGUAZABCAHkAQgBvAGQAeQBcAG4AIAAgAD0ATABBAE0AQgBEAEEAKABcAG4AIAAgACAAIABNAFAAXwBqACwAIABMAF8AagAsACAAWgBfAGoALAAgAEwAVwBHAF8AagAsAFwAbgAgACAAIAAgACgAKAAwAC4AMAAzADIAIAAqACAATQBQAF8AagAgACoAIAAxAC4AMAAzACkAIAAvACAANgAuADMAOAApACAAKwAgACgAKAAwAC4AMgAxADIAIAAtACAAMAAuADAAMAA4ACAAKgAgACgATABfAGoAIAAtACAAMgApACAALQAgACgAKAAwAC4AMQA0ADAAIAAtACAAMAAuADAAMAA4ACAAKgAgACgATABfAGoAIAAtACAAMgApACkAIAAvACAAKAAxACAAKwAgAEUAWABQACgALQA2ACAAKgAgACgAWgBfAGoAIAAtACAAMAAuADQAKQApACkAKQApACAAKgAgACgATABXAEcAXwBqACAAKgAgADAALgA5ADI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4ACAATQBlAHQAaABvAGQAIAAxACAALQAgAE0AYQBuAHUAcgBlACAAQQBwAHAAbABpAGUAZAAgAFQAbwAgAFMAbwBpAGwAc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gAXwBfADEAXwBNAGEAcwBzAE8AZgBOAGkAdAByAG8AZwBlAG4AQQBwAHAAbABpAGUAZABUAG8AUwBvAGkAbABzAFMAYwBvAHAAZQAxAFwAbgBNAGEAcwBzACAAbwBmACAAbgBpAHQAcgBvAGcAZQBuACAAZgByAG8AbQAgAG0AYQBuAHUAcgBlACAAYQBwAHAAbABpAGUAZAAgAHQAbwAgAHMAbwBpAGwAcwAgAGYAbwByACAAcwBjAG8AcABlACAAMQAgAGUAbQBpAHMAcwBpAG8AbgBzAFwAbgBNAE4AUwBvAGkAbABfAHMAYwBvAHAAZQAxAFwAbgBrAGcAIABOAFwAbgBNAE4AUwBvAGkAbABfAHsAcwBjAG8AcABlADEAfQA9ACgATQBOAF8AewBqAG0AfQBcAFwAdABpAG0AZQBzACAAKAAxAC0ARQBGAF8AbQAtAEYAcgBhAGMARwBBAFMATQBfAG0AKQAtAE0ATgBMAGUAYQBjAGgAXwBqAG0AKQBcAFwAdABpAG0AZQBzACAAUABGAF8AcwBjAG8AcABl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BfAHMAYwBvAHAAZQ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EAXwBNAGEAcwBzAE8AZgBOAGkAdAByAG8AZwBlAG4AQQBwAHAAbABpAGUAZABUAG8AUwBvAGkAbABzAFMAYwBvAHAAZQAxAFwAbgAgACAAPQBMAEEATQBCAEQAQQAoAFwAbgAgACAAIAAgAE0ATgBfAGoAbQAsACAARQBGAF8AbQAsACAARgByAGEAYwBHAEEAUwBNAF8AbQAsACAATQBOAEwAZQBhAGMAaABfAGoAbQAsACAAUABGAF8AcwBjAG8AcABlACwAXABuACAAIAAgACAAKABNAE4AXwBqAG0AIAAqACAAKAAxACAALQAgAEUARgBfAG0AIAAtACAARgByAGEAYwBHAEEAUwBNAF8AbQApACAALQAgAE0ATgBMAGUAYQBjAGgAXwBqAG0AKQAgACoAIABQAEYAXwBzAGMAbwBwAGUAXABuACAAIAApADsAXABuAFwAbgBWAEUARQBSAEcAXwA0AF8AMwBfADEAXwA4AF8AXwAxAF8ATQBhAHMAcwBPAGYATgBpAHQAcgBvAGcAZQBuAEEAcABwAGwAaQBlAGQAVABvAFMAbwBpAGwAcwBTAGMAbwBwAGUAMQBfAFQAaQB0AGwAZQBcAG4AIAAgAD0ATABBAE0AQgBEAEEAKABcACIATQBhAHMAcwAgAG8AZgAgAG4AaQB0AHIAbwBnAGUAbgAgAGYAcgBvAG0AIABtAGEAbgB1AHIAZQAgAGEAcABwAGwAaQBlAGQAIAB0AG8AIABzAG8AaQBsAHMAIABmAG8AcgAgAHMAYwBvAHAAZQAgADEAIABlAG0AaQBzAHMAaQBvAG4AcwBcACIAKQA7AFwAbgBcAG4AVgBFAEUAUgBHAF8ANABfADMAXwAxAF8AOABfAF8AMQBfAE0AYQBzAHMATwBmAE4AaQB0AHIAbwBnAGUAbgBBAHAAcABsAGkAZQBkAFQAbwBTAG8AaQBsAHMAUwBjAG8AcABlADEAXwBWAGEAcgBpAGEAYgBsAGUAXABuACAAIAA9AEwAQQBNAEIARABBACgAXAAiAE0ATgBTAG8AaQBsAF8AcwBjAG8AcABlADEAXAAiACkAOwBcAG4AXABuAFYARQBFAFIARwBfADQAXwAzAF8AMQBfADgAXwBfADEAXwBNAGEAcwBzAE8AZgBOAGkAdAByAG8AZwBlAG4AQQBwAHAAbABpAGUAZABUAG8AUwBvAGkAbABzAFMAYwBvAHAAZQAxAF8AVQBuAGkAdABcAG4AIAAgAD0ATABBAE0AQgBEAEEAKABcACIAawBnACAATgBcACIAKQA7AFwAbgBcAG4AVgBFAEUAUgBHAF8ANABfADMAXwAxAF8AOABfAF8AMQBfAE0AYQBzAHMATwBmAE4AaQB0AHIAbwBnAGUAbgBBAHAAcABsAGkAZQBkAFQAbwBTAG8AaQBsAHMAUwBjAG8AcABlADEAXwBTAG8AdQByAGMAZQBcAG4AIAAgAD0ATABBAE0AQgBEAEEAKABcACIAVgBFAEUAUgBHACAAMgAwADIANgA6ACAANAAuADMALgAxAC4AOAAsACAARQBxAHUAYQB0AGkAbwBuACAAKAAxACkAXAAiACkAOwBcAG4AXABuAFYARQBFAFIARwBfADQAXwAzAF8AMQBfADgAXwBfADEAXwBNAGEAcwBzAE8AZgBOAGkAdAByAG8AZwBlAG4AQQBwAHAAbABpAGUAZABUAG8AUwBvAGkAbABzAFMAYwBvAHAAZQAxAF8ATgBJAFIAUgBlAGYAZQByAGUAbgBjAGUAXABuACAAIAA9AEwAQQBNAEIARABBACgAXAAiAFwAIgApADsAXABuAFwAbgBWAEUARQBSAEcAXwA0AF8AMwBfADEAXwA4AF8AXwAxAF8ATQBhAHMAcwBPAGYATgBpAHQAcgBvAGcAZQBuAEEAcABwAGwAaQBlAGQAVABvAFMAbwBpAGwAcwBTAGMAbwBwAGUAMQBfAEwAYQB0AGUAeABFAHEAdQBhAHQAaQBvAG4AXABuACAAIAA9AEwAQQBNAEIARABBACgAXAAiAE0ATgBTAG8AaQBsAF8AewBzAGMAbwBwAGUAMQ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UABGAFwAIgApADsAXABuAFwAbgBWAEUARQBSAEcAXwA0AF8AMwBfADEAXwA4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lAG0AaQBzAHMAaQBvAG4AIABmAGEAYwB0AG8AcgAgAGYAbwByACAAbgBpAHQAcgBvAHUAcwAgAG8AeABpAGQAZQAgAGUAbQBpAHMAcwBpAG8AbgBzACAAcABlAHIAIABNAE0AUwBcACIALAAgAFwAIgBrAGcAIABOADIATwAtAE4ALwBrAGcAIABOAFwAIgAsACAAXAAiAEMAbwBuAHMAdABhAG4AdABcACIAOwBcAG4AIAAgACAAIAAgACAAIAAgACAAIABcACIARgByAGEAYwBHAEEAUwBNAF8AbQBcACIALAAgAFwAIgBmAHIAYQBjAHQAaQBvAG4AIABvAGYAIABOACAAdgBvAGwAYQB0AGkAbABpAHMAZQBkACAAZgByAG8AbQAgAE0ATQBTAFwAIgAsACAAXAAiAGYAcgBhAGMAdABpAG8AbgBcACIALAAgAFwAIgBDAG8AbgBzAHQAYQBuAHQAXAAiADsAXABuACAAIAAgACAAIAAgACAAIAAgACAAXAAiAE0ATgBMAGUAYQBjAGgAXwBqAG0AXAAiACwAIABcACIAbQBhAHMAcwAgAG8AZgAgAE4AIABsAG8AcwB0ACAAdABoAHIAbwB1AGcAaAAgAGwAZQBhAGMAaABpAG4AZwAgAGEAbgBkACAAcgB1AG4AbwBmAGYAIABmAHIAbwBtACAAZQBhAGMAaAAgAE0ATQBTAFwAIgAsACAAXAAiAGsAZwAgAE4AXAAiACwAIABcACIAQwBhAGwAYwB1AGwAYQB0AGUAZAAgAGYAcgBvAG0AIAA0AC4AMwAuADEALgA2ACAAKAAyACkAXAAiADsAXABuACAAIAAgACAAIAAgACAAIAAgACAAXAAiAFAARgBfAHMAYwBvAHAAZQBcACIALAAgAFwAIgBmAHIAYQBjAHQAaQBvAG4AIABvAGYAIABtAGEAbgB1AHIAZQAgAGEAcABwAGwAaQBlAGQAIAB0AG8AIABzAG8AaQBsACAAdwBpAHQAaABpAG4AIABmAGEAcgBt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OABfAF8AMgBfAE0AYQBzAHMATwBmAE4AaQB0AHIAbwBnAGUAbgBBAHAAcABsAGkAZQBkAFQAbwBTAG8AaQBsAHMAUwBjAG8AcABlADMAXABuAE0AYQBzAHMAIABvAGYAIABuAGkAdAByAG8AZwBlAG4AIABmAHIAbwBtACAAbQBhAG4AdQByAGUAIABhAHAAcABsAGkAZQBkACAAdABvACAAcwBvAGkAbABzACAAZgBvAHIAIABzAGMAbwBwAGUAIAAzACAAZQBtAGkAcwBzAGkAbwBuAHMAXABuAE0ATgBTAG8AaQBsAF8AcwBjAG8AcABlADMAXABuAGsAZwAgAE4AXABuAE0ATgBTAG8AaQBsAF8AewBzAGMAbwBwAGUAMwB9AD0AKABNAE4AXwB7AGoAbQB9AFwAXAB0AGkAbQBlAHMAIAAoADEALQBFAEYAXwBtAC0ARgByAGEAYwBHAEEAUwBNAF8AbQApAC0ATQBOAEwAZQBhAGMAaABfAGoAbQApAFwAXAB0AGkAbQBlAHMAIAAoADEALQBQAEYAK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yAF8ATQBhAHMAcwBPAGYATgBpAHQAcgBvAGcAZQBuAEEAcABwAGwAaQBlAGQAVABvAFMAbwBpAGwAcwBTAGMAbwBwAGUAMwBcAG4AIAAgAD0ATABBAE0AQgBEAEEAKABcAG4AIAAgACAAIABNAE4AXwBqAG0ALAAgAEUARgBfAG0ALAAgAEYAcgBhAGMARwBBAFMATQBfAG0ALAAgAE0ATgBMAGUAYQBjAGgAXwBqAG0ALAAgAFAARgAsAFwAbgAgACAAIAAgACgATQBOAF8AagBtACAAKgAgACgAMQAgAC0AIABFAEYAXwBtACAALQAgAEYAcgBhAGMARwBBAFMATQBfAG0AKQAgAC0AIABNAE4ATABlAGEAYwBoAF8AagBtACkAIAAqACAAKAAxACAALQAgAFAARgApAFwAbgAgACAAKQA7AFwAbgBcAG4AVgBFAEUAUgBHAF8ANABfADMAXwAxAF8AOABfAF8AMgBfAE0AYQBzAHMATwBmAE4AaQB0AHIAbwBnAGUAbgBBAHAAcABsAGkAZQBkAFQAbwBTAG8AaQBsAHMAUwBjAG8AcABlADMAXwBUAGkAdABsAGUAXABuACAAIAA9AEwAQQBNAEIARABBACgAXAAiAE0AYQBzAHMAIABvAGYAIABuAGkAdAByAG8AZwBlAG4AIABmAHIAbwBtACAAbQBhAG4AdQByAGUAIABhAHAAcABsAGkAZQBkACAAdABvACAAcwBvAGkAbABzACAAZgBvAHIAIABzAGMAbwBwAGUAIAAzACAAZQBtAGkAcwBzAGkAbwBuAHMAXAAiACkAOwBcAG4AXABuAFYARQBFAFIARwBfADQAXwAzAF8AMQBfADgAXwBfADIAXwBNAGEAcwBzAE8AZgBOAGkAdAByAG8AZwBlAG4AQQBwAHAAbABpAGUAZABUAG8AUwBvAGkAbABzAFMAYwBvAHAAZQAzAF8AVgBhAHIAaQBhAGIAbABlAFwAbgAgACAAPQBMAEEATQBCAEQAQQAoAFwAIgBNAE4AUwBvAGkAbABfAHMAYwBvAHAAZQAzAFwAIgApADsAXABuAFwAbgBWAEUARQBSAEcAXwA0AF8AMwBfADEAXwA4AF8AXwAyAF8ATQBhAHMAcwBPAGYATgBpAHQAcgBvAGcAZQBuAEEAcABwAGwAaQBlAGQAVABvAFMAbwBpAGwAcwBTAGMAbwBwAGUAMwBfAFUAbgBpAHQAXABuACAAIAA9AEwAQQBNAEIARABBACgAXAAiAGsAZwAgAE4AXAAiACkAOwBcAG4AXABuAFYARQBFAFIARwBfADQAXwAzAF8AMQBfADgAXwBfADIAXwBNAGEAcwBzAE8AZgBOAGkAdAByAG8AZwBlAG4AQQBwAHAAbABpAGUAZABUAG8AUwBvAGkAbABzAFMAYwBvAHAAZQAzAF8AUwBvAHUAcgBjAGUAXABuACAAIAA9AEwAQQBNAEIARABBACgAXAAiAFYARQBFAFIARwAgADIAMAAyADYAOgAgADQALgAzAC4AMQAuADgALAAgAEUAcQB1AGEAdABpAG8AbgAgACgAMgApAFwAIgApADsAXABuAFwAbgBWAEUARQBSAEcAXwA0AF8AMwBfADEAXwA4AF8AXwAyAF8ATQBhAHMAcwBPAGYATgBpAHQAcgBvAGcAZQBuAEEAcABwAGwAaQBlAGQAVABvAFMAbwBpAGwAcwBTAGMAbwBwAGUAMwBfAE4ASQBSAFIAZQBmAGUAcgBlAG4AYwBlAFwAbgAgACAAPQBMAEEATQBCAEQAQQAoAFwAIgBcACIAKQA7AFwAbgBcAG4AVgBFAEUAUgBHAF8ANABfADMAXwAxAF8AOABfAF8AMgBfAE0AYQBzAHMATwBmAE4AaQB0AHIAbwBnAGUAbgBBAHAAcABsAGkAZQBkAFQAbwBTAG8AaQBsAHMAUwBjAG8AcABlADMAXwBMAGEAdABlAHgARQBxAHUAYQB0AGkAbwBuAFwAbgAgACAAPQBMAEEATQBCAEQAQQAoAFwAIgBNAE4AUwBvAGkAbABfAHsAcwBjAG8AcABlADM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CgAMQAtAFAARgApAFwAIgApADsAXABuAFwAbgBWAEUARQBSAEcAXwA0AF8AMwBfADEAXwA4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lAG0AaQBzAHMAaQBvAG4AIABmAGEAYwB0AG8AcgAgAGYAbwByACAAbgBpAHQAcgBvAHUAcwAgAG8AeABpAGQAZQAgAGUAbQBpAHMAcwBpAG8AbgBzACAAcABlAHIAIABNAE0AUwBcACIALAAgAFwAIgBrAGcAIABOADIATwAtAE4ALwBrAGcAIABOAFwAIgAsACAAXAAiAEMAbwBuAHMAdABhAG4AdABcACIAOwBcAG4AIAAgACAAIAAgACAAIAAgACAAIABcACIARgByAGEAYwBHAEEAUwBNAF8AbQBcACIALAAgAFwAIgBmAHIAYQBjAHQAaQBvAG4AIABvAGYAIABOACAAdgBvAGwAYQB0AGkAbABpAHMAZQBkACAAZgByAG8AbQAgAE0ATQBTAFwAIgAsACAAXAAiAGYAcgBhAGMAdABpAG8AbgBcACIALAAgAFwAIgBDAG8AbgBzAHQAYQBuAHQAXAAiADsAXABuACAAIAAgACAAIAAgACAAIAAgACAAXAAiAE0ATgBMAGUAYQBjAGgAXwBqAG0AXAAiACwAIABcACIAbQBhAHMAcwAgAG8AZgAgAE4AIABsAG8AcwB0ACAAdABoAHIAbwB1AGcAaAAgAGwAZQBhAGMAaABpAG4AZwAgAGEAbgBkACAAcgB1AG4AbwBmAGYAIABmAHIAbwBtACAAZQBhAGMAaAAgAE0ATQBTAFwAIgAsACAAXAAiAGsAZwAgAE4AXAAiACwAIABcACIAQwBhAGwAYwB1AGwAYQB0AGUAZAAgAGYAcgBvAG0AIAA0AC4AMwAuADEALgA2ACAAKAAyACkAXAAiADsAXABuACAAIAAgACAAIAAgACAAIAAgACAAXAAiAFAARgBcACIALAAgAFwAIgBmAHIAYQBjAHQAaQBvAG4AIABvAGYAIABtAGEAbgB1AHIAZQAgAGEAcABwAGwAaQBlAGQAIAB0AG8AIABzAG8AaQBsACAAdwBpAHQAaABpAG4AIABmAGEAcgBtACAAYgBvAHUAbgBkAGEAcgB5AFwAIgAsACAAXAAiAGYAcgBhAGMAdABpAG8AbgBcACIALAAgAFwAIgBJAG4AcAB1AHQAXAAiAFwAbgAgACAAIAAgACAAIAAgACAAfQAsACAAcgAsACAAYwApAFwAbgAgACAAIAAgACAAIAApAFwAbgAgACAAIAAgACkAXABuACAAIAApADsAXABuACIAfQAsAHsAIgBwAGEAdABoACIAOgAiAC8AcAByAG8AagBlAGMAdABzAC8ATQBNAFMAXwBEAGEAaQ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QAgAE0AZQB0AGgAbwBkACAAMQAgAC0AIABTAG8AaQBs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kAXwBfADEAXwBEAGkAcgBlAGMAdABOAGkAdAByAG8AdQBzAE8AeABpAGQAZQBFAG0AaQBzAHMAaQBvAG4AcwBPAG4AUABhAHMAdAB1AHIAZQBcAG4ARABpAHIAZQBjAHQAIABuAGkAdAByAG8AdQBzACAAbwB4AGkAZABlACAAZQBtAGkAcwBzAGkAbwBuAHMAIABvAG4AIABwAGEAcwB0AHUAcgBlAFwAbgBFAF8ATgAyAE8AZABpAHIAXABuAHQAIABOADIATwBcAG4ARQBfAHsATgAyAE8ALABkAGkAcgB9AD0ATQBOAF8AewBqAG0APQAxADQAfQBcAFwAdABpAG0AZQBzACAARQBGAF8AewBQAFIAUAB9AFwAXAB0AGkAbQBlAHMAIABDAF8AewBOADIATwB9AFwAXAB0AGkAbQBlAHMAIAAxADAAXgB7AC0AMwB9AFwAbgBNAE4AXwBqAG0AMQA0ACAAPQAgAG0AYQBzAHMAIABvAGYAIABuAGkAdAByAG8AZwBlAG4AIABlAHgAYwByAGUAdABlAGQAIABvAG4AIABwAGEAcwB0AHUAcgBlACwAIAByAGEAbgBnAGUALAAgAGEAbgBkACAAcABhAGQAZABvAGMAawAgAGYAbwByACAAZQBhAGMAaAAgAGQAYQBpAHIAeQAgAGMAYQB0AHQAbABlACAAYwBsAGEAcwBzACAAKABrAGcAIABOACkAXABuAEUARgBfAFAAUgBQACAAPQAgAGUAbQBpAHMAcwBpAG8AbgAgAGYAYQBjAHQAbwByACAAZgBvAHIAIABuAGkAdAByAG8AdQBzACAAbwB4AGkAZABlACAAZQBtAGkAcwBzAGkAbwBuAHMAIABmAG8AcgAgAHUAcgBpAG4AZQAgAGEAbgBkACAAZAB1AG4AZwAgAGQAZQBwAG8AcwBpAHQAZQBkACAAbwBuACAAUABSAFA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OQBfAF8AMQBfAEQAaQByAGUAYwB0AE4AaQB0AHIAbwB1AHMATwB4AGkAZABlAEUAbQBpAHMAcwBpAG8AbgBzAE8AbgBQAGEAcwB0AHUAcgBlAFwAbgAgACAAPQBMAEEATQBCAEQAQQAoAFwAbgAgACAAIAAgAE0ATgBfAGoAbQAxADQALAAgAEUARgBfAFAAUgBQACwAIABDAF8ATgAyAE8ALABcAG4AIAAgACAAIABNAE4AXwBqAG0AMQA0ACAAKgAgAEUARgBfAFAAUgBQACAAKgAgAEMAXwBOADIATwAgACoAIAAxADAAIABeACAALQAzAFwAbgAgACAAKQA7AFwAbgBcAG4AVgBFAEUAUgBHAF8ANABfADMAXwAxAF8AOQBfAF8AMQBfAEQAaQByAGUAYwB0AE4AaQB0AHIAbwB1AHMATwB4AGkAZABlAEUAbQBpAHMAcwBpAG8AbgBzAE8AbgBQAGEAcwB0AHUAcgBlAF8AVABpAHQAbABlAFwAbgAgACAAPQBMAEEATQBCAEQAQQAoAFwAIgBEAGkAcgBlAGMAdAAgAG4AaQB0AHIAbwB1AHMAIABvAHgAaQBkAGUAIABlAG0AaQBzAHMAaQBvAG4AcwAgAG8AbgAgAHAAYQBzAHQAdQByAGUAXAAiACkAOwBcAG4AXABuAFYARQBFAFIARwBfADQAXwAzAF8AMQBfADkAXwBfADEAXwBEAGkAcgBlAGMAdABOAGkAdAByAG8AdQBzAE8AeABpAGQAZQBFAG0AaQBzAHMAaQBvAG4AcwBPAG4AUABhAHMAdAB1AHIAZQBfAFYAYQByAGkAYQBiAGwAZQBcAG4AIAAgAD0ATABBAE0AQgBEAEEAKABcACIARQBfAE4AMgBPAGQAaQByAFwAIgApADsAXABuAFwAbgBWAEUARQBSAEcAXwA0AF8AMwBfADEAXwA5AF8AXwAxAF8ARABpAHIAZQBjAHQATgBpAHQAcgBvAHUAcwBPAHgAaQBkAGUARQBtAGkAcwBzAGkAbwBuAHMATwBuAFAAYQBzAHQAdQByAGUAXwBVAG4AaQB0AFwAbgAgACAAPQBMAEEATQBCAEQAQQAoAFwAIgB0ACAATgAyAE8AXAAiACkAOwBcAG4AXABuAFYARQBFAFIARwBfADQAXwAzAF8AMQBfADkAXwBfADEAXwBEAGkAcgBlAGMAdABOAGkAdAByAG8AdQBzAE8AeABpAGQAZQBFAG0AaQBzAHMAaQBvAG4AcwBPAG4AUABhAHMAdAB1AHIAZQBfAFMAbwB1AHIAYwBlAFwAbgAgACAAPQBMAEEATQBCAEQAQQAoAFwAIgBWAEUARQBSAEcAIAAyADAAMgA2ADoAIAA0AC4AMwAuADEALgA5ACwAIABFAHEAdQBhAHQAaQBvAG4AIAAoADEAKQBcACIAKQA7AFwAbgBcAG4AVgBFAEUAUgBHAF8ANABfADMAXwAxAF8AOQBfAF8AMQBfAEQAaQByAGUAYwB0AE4AaQB0AHIAbwB1AHMATwB4AGkAZABlAEUAbQBpAHMAcwBpAG8AbgBzAE8AbgBQAGEAcwB0AHUAcgBlAF8ATgBJAFIAUgBlAGYAZQByAGUAbgBjAGUAXABuACAAIAA9AEwAQQBNAEIARABBACgAXAAiAFwAIgApADsAXABuAFwAbgBWAEUARQBSAEcAXwA0AF8AMwBfADEAXwA5AF8AXwAxAF8ARABpAHIAZQBjAHQATgBpAHQAcgBvAHUAcwBPAHgAaQBkAGUARQBtAGkAcwBzAGkAbwBuAHMATwBuAFAAYQBzAHQAdQByAGUAXwBMAGEAdABlAHgARQBxAHUAYQB0AGkAbwBuAFwAbgAgACAAPQBMAEEATQBCAEQAQQAoAFwAIgBFAF8AewBOADIATwAsAGQAaQByAH0APQBcAFwAcwB1AG0AXABcAG4AbwBsAGkAbQBpAHQAcwBfAHsAagB9ACgATQBOAF8AewBqAG0APQAxADQAfQBcAFwAdABpAG0AZQBzACAARQBGAF8AewBQAFIAUAB9AFwAXAB0AGkAbQBlAHMAIABDAF8AewBOADIATwB9AFwAXAB0AGkAbQBlAHMAIAAxADAAXgB7AC0AMwB9ACkAXAAiACkAOwBcAG4AXABuAFYARQBFAFIARwBfADQAXwAzAF8AMQBfADk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LAAgAGEAbgBkACAAcABhAGQAZABvAGMAawAgAGYAbwByACAAZQBhAGMAaAAgAGQAYQBpAHIAeQAgAGMAYQB0AHQAbABlACAAYwBsAGEAcwBzAFwAIgAsACAAXAAiAGsAZwAgAE4AXAAiACwAIABcACIAQwBhAGwAYwB1AGwAYQB0AGUAZAAgAGYAcgBvAG0AIAA0AC4AMwAuADEALgAzACAAKAAyACkAXAAiADsAXABuACAAIAAgACAAIAAgACAAIAAgACAAXAAiAEUARgBfAFAAUgBQAFwAIgAsACAAXAAiAGUAbQBpAHMAcwBpAG8AbgAgAGYAYQBjAHQAbwByACAAZgBvAHIAIABuAGkAdAByAG8AdQBzACAAbwB4AGkAZABlACAAZQBtAGkAcwBzAGkAbwBuAHMAIABmAG8AcgAgAHUAcgBpAG4AZQAgAGEAbgBkACAAZAB1AG4AZwAgAGQAZQBwAG8AcwBpAHQAZQBkACAAbwBuACAAUABSAFA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egBcACIALABcACIAVwBlAHQAIABvAHIAIABkAHIAeQAgAGMAbABpAG0AYQB0AGUAIAB6AG8AbgBlAFwAIgAsACAAXAAiAFwAIgAsACAAXAAiAEkAbgBwAHUAdABcACIAXABuACAAIAAgACAAIAAgACAAIAB9ACwAIAByACwAIABjACkAXABuACAAIAAgACAAIAAgACkAXABuACAAIAAgACAAKQBcAG4AIAAgACkAOwBcAG4AIgB9ACwAewAiAHAAYQB0AGgAIgA6ACIALwBwAHIAbwBqAGUAYwB0AHMALwBNAE0AUwBfAEQAYQBp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AAIABNAGUAdABoAG8AZAAgADEAIAAtACAAUwBvAGkAbAAgAEEAdABtAG8AcwBwAGgAZQByAGkAYwAgAEQAZQBwAG8AcwBpAHQAaQBvAG4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A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ABfAF8AMQBfAEEAdABtAG8AcwBwAGgAZQByAGkAYwBEAGUAcABvAHMAaQB0AGkAbwBuAEUAbQBpAHMAcwBpAG8AbgBzAEYAcgBvAG0AVQByAGkAbgBlAEEAbgBkAEQAdQBuAGc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zAF8AMQBfADEAMA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zAF8AMQBfADEAMA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zAF8AMQBfADEAMABfAF8AMQBfAEEAdABtAG8AcwBwAGgAZQByAGkAYwBEAGUAcABvAHMAaQB0AGkAbwBuAEUAbQBpAHMAcwBpAG8AbgBzAEYAcgBvAG0AVQByAGkAbgBlAEEAbgBkAEQAdQBuAGcATwBuAFAAYQBzAHQAdQByAGUAXwBVAG4AaQB0AFwAbgAgACAAPQBMAEEATQBCAEQAQQAoAFwAIgB0ACAATgAyAE8AXAAiACkAOwBcAG4AXABuAFYARQBFAFIARwBfADQAXwAzAF8AMQBfADEAMABfAF8AMQBfAEEAdABtAG8AcwBwAGgAZQByAGkAYwBEAGUAcABvAHMAaQB0AGkAbwBuAEUAbQBpAHMAcwBpAG8AbgBzAEYAcgBvAG0AVQByAGkAbgBlAEEAbgBkAEQAdQBuAGcATwBuAFAAYQBzAHQAdQByAGUAXwBTAG8AdQByAGMAZQBcAG4AIAAgAD0ATABBAE0AQgBEAEEAKABcACIAVgBFAEUAUgBHACAAMgAwADIANgA6ACAANAAuADMALgAxAC4AMQAwACwAIABFAHEAdQBhAHQAaQBvAG4AIAAoADEAKQBcACIAKQA7AFwAbgBcAG4AVgBFAEUAUgBHAF8ANABfADMAXwAxAF8AMQAwAF8AXwAxAF8AQQB0AG0AbwBzAHAAaABlAHIAaQBjAEQAZQBwAG8AcwBpAHQAaQBvAG4ARQBtAGkAcwBzAGkAbwBuAHMARgByAG8AbQBVAHIAaQBuAGUAQQBuAGQARAB1AG4AZwBPAG4AUABhAHMAdAB1AHIAZQBfAE4ASQBSAFIAZQBmAGUAcgBlAG4AYwBlAFwAbgAgACAAPQBMAEEATQBCAEQAQQAoAFwAIgBcACIAKQA7AFwAbgBcAG4AVgBFAEUAUgBHAF8ANABfADMAXwAxAF8AMQAwAF8AXwAxAF8AQQB0AG0AbwBzAHAAaABlAHIAaQBjAEQAZQBwAG8AcwBpAHQAaQBvAG4ARQBtAGkAcwBzAGkAbwBuAHMARgByAG8AbQBVAHIAaQBuAGUAQQBuAGQARAB1AG4AZw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MwBfADEAXwAxADAAXwBfADEAXwBBAHQAbQBvAHMAcABoAGUAcgBpAGMARABlAHAAbwBzAGkAdABpAG8AbgBFAG0AaQBzAHMAaQBvAG4AcwBGAHIAbwBtAFUAcgBpAG4AZQBBAG4AZABEAHUAbgBn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MALgAxAC4AMQAw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AwAF8AXwAyAF8ATQBhAHMAcwBPAGYATgBpAHQAcgBvAGcAZQBuAFYAbwBsAGEAdABpAGwAaQBzAGUAZABPAG4AUABhAHMAdAB1AHIAZQBcAG4ATQBhAHMAcwAgAG8AZgAgAG4AaQB0AHIAbwBnAGUAbgAgAHYAbwBsAGEAdABpAGwAaQBzAGUAZAAgAGYAcgBvAG0AIAB1AHIAaQBuAGUAIABhAG4AZAAgAGYAYQBlAGMAZQBzACAAZABlAHAAbwBzAGkAdABlAGQAIABvAG4AIABwAGEAcwB0AHUAcgBlAFwAbgBNAF8AdgBvAGwAXwBtADEANABcAG4AawBnACAATgBcAG4ATQBfAHsAdgBvAGwALABtAD0AMQA0AH0APQBNAE4AXwB7AGoAbQA9ADEANAB9AFwAXAB0AGkAbQBlAHMAIABGAHIAYQBjAEcAQQBTAE0AcwBvAGkAbABcAG4ATQBOAF8AagBtADEANAAgAD0AIABtAGEAcwBzACAAbwBmACAAbgBpAHQAcgBvAGcAZQBuACAAZQB4AGMAcgBlAHQAZQBkACAAbwBuACAAcABhAHMAdAB1AHIAZQAsACAAcgBhAG4AZwBlACAAYQBuAGQAIABwAGEAZABkAG8AYwBrACAAZgBvAHIAIABlAGEAYwBoACAAZABhAGkAcgB5ACAAYwBsAGEAcwBz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wBfADEAXwAxADAAXwBfADIAXwBNAGEAcwBzAE8AZgBOAGkAdAByAG8AZwBlAG4AVgBvAGwAYQB0AGkAbABpAHMAZQBkAE8AbgBQAGEAcwB0AHUAcgBlAFwAbgAgACAAPQBMAEEATQBCAEQAQQAoAFwAbgAgACAAIAAgAE0ATgBfAGoAbQAxADQALAAgAEYAcgBhAGMARwBBAFMATQBzAG8AaQBsACwAXABuACAAIAAgACAATQBOAF8AagBtADEANAAgACoAIABGAHIAYQBjAEcAQQBTAE0AcwBvAGkAbABcAG4AIAAgACkAOwBcAG4AXABuAFYARQBFAFIARwBfADQAXwAzAF8AMQBfADEAMABfAF8AMgBfAE0AYQBzAHMATwBmAE4AaQB0AHIAbwBnAGUAbgBWAG8AbABhAHQAaQBsAGkAcwBlAGQATwBuAFAAYQBzAHQAdQByAGUAXwBUAGkAdABsAGUAXABuACAAIAA9AEwAQQBNAEIARABBACgAXAAiAE0AYQBzAHMAIABvAGYAIABuAGkAdAByAG8AZwBlAG4AIAB2AG8AbABhAHQAaQBsAGkAcwBlAGQAIABmAHIAbwBtACAAdQByAGkAbgBlACAAYQBuAGQAIABmAGEAZQBjAGUAcwAgAGQAZQBwAG8AcwBpAHQAZQBkACAAbwBuACAAcABhAHMAdAB1AHIAZQBcACIAKQA7AFwAbgBcAG4AVgBFAEUAUgBHAF8ANABfADMAXwAxAF8AMQAwAF8AXwAyAF8ATQBhAHMAcwBPAGYATgBpAHQAcgBvAGcAZQBuAFYAbwBsAGEAdABpAGwAaQBzAGUAZABPAG4AUABhAHMAdAB1AHIAZQBfAFYAYQByAGkAYQBiAGwAZQBcAG4AIAAgAD0ATABBAE0AQgBEAEEAKABcACIATQBfAHYAbwBsAF8AbQAxADQAXAAiACkAOwBcAG4AXABuAFYARQBFAFIARwBfADQAXwAzAF8AMQBfADEAMABfAF8AMgBfAE0AYQBzAHMATwBmAE4AaQB0AHIAbwBnAGUAbgBWAG8AbABhAHQAaQBsAGkAcwBlAGQATwBuAFAAYQBzAHQAdQByAGUAXwBVAG4AaQB0AFwAbgAgACAAPQBMAEEATQBCAEQAQQAoAFwAIgBrAGcAIABOAFwAIgApADsAXABuAFwAbgBWAEUARQBSAEcAXwA0AF8AMwBfADEAXwAxADAAXwBfADIAXwBNAGEAcwBzAE8AZgBOAGkAdAByAG8AZwBlAG4AVgBvAGwAYQB0AGkAbABpAHMAZQBkAE8AbgBQAGEAcwB0AHUAcgBlAF8AUwBvAHUAcgBjAGUAXABuACAAIAA9AEwAQQBNAEIARABBACgAXAAiAFYARQBFAFIARwAgADIAMAAyADYAOgAgADQALgAzAC4AMQAuADEAMAAsACAARQBxAHUAYQB0AGkAbwBuACAAKAAyACkAXAAiACkAOwBcAG4AXABuAFYARQBFAFIARwBfADQAXwAzAF8AMQBfADEAMABfAF8AMgBfAE0AYQBzAHMATwBmAE4AaQB0AHIAbwBnAGUAbgBWAG8AbABhAHQAaQBsAGkAcwBlAGQATwBuAFAAYQBzAHQAdQByAGUAXwBOAEkAUgBSAGUAZgBlAHIAZQBuAGMAZQBcAG4AIAAgAD0ATABBAE0AQgBEAEEAKABcACIAXAAiACkAOwBcAG4AXABuAFYARQBFAFIARwBfADQAXwAzAF8AMQBfADEAMABfAF8AMgBfAE0AYQBzAHMATwBmAE4AaQB0AHIAbwBnAGUAbgBWAG8AbABhAHQAaQBsAGkAcwBlAGQATwBuAFAAYQBzAHQAdQByAGUAXwBMAGEAdABlAHgARQBxAHUAYQB0AGkAbwBuAFwAbgAgACAAPQBMAEEATQBCAEQAQQAoAFwAIgBNAF8AewB2AG8AbAAsAG0APQAxADQAfQA9AFwAXABzAHUAbQBcAFwAbgBvAGwAaQBtAGkAdABzAF8AewBqAH0AKABNAE4AXwB7AGoAbQA9ADEANAB9AFwAXAB0AGkAbQBlAHMAIABGAHIAYQBjAEcAQQBTAE0AcwBvAGkAbAApAFwAIgApADsAXABuAFwAbgBWAEUARQBSAEcAXwA0AF8AMwBfADEAXwAxADA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BcACIALAAgAFwAIgAoAGsAZwAgAE4ASAAzAC0ATgAgACsAIABOAE8AeAAtAE4AKQAvAGsAZwAgAE4AKQBcACIALAAgAFwAIgBDAG8AbgBzAHQAYQBuAHQAXAAiAFwAbgAgACAAIAAgACAAIAAgACAAfQAsACAAcgAsACAAYwApAFwAbgAgACAAIAAgACAAIAApAFwAbgAgACAAIAAgACkAXABuACAAIAApADsAXABuACIAfQAsAHsAIgBwAGEAdABoACIAOgAiAC8AcAByAG8AagBlAGMAdABzAC8ATQBNAFMAXwBEAGEAaQByAHk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IAIABNAGUAdABoAG8AZAAgADEAIAAtACAAUwBvAGkAbA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gBfAF8AMQBfAEwAZQBhAGMAaABpAG4AZwBBAG4AZABSAHUAbgBvAGYAZgBFAG0AaQBzAHMAaQBvAG4AcwBGAHIAbwBtAFUAcgBpAG4AZQBBAG4AZABEAHUAbgBnAE8Abg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dQByAGkAbgBlACAAYQBuAGQAIABmAGEAZQBjAGUAcwAgAGQAZQBwAG8AcwBpAHQAZQBkACAAbwBuACAAcABhAHMAdAB1AHIAZQ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IAXwBfADEAXwBMAGUAYQBjAGgAaQBuAGcAQQBuAGQAUgB1AG4AbwBmAGYARQBtAGkAcwBzAGkAbwBuAHMARgByAG8AbQBVAHIAaQBuAGUAQQBuAGQARAB1AG4AZw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zAF8AMQBfADEAMg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wBfADEAXwAxADIAXwBfADEAXwBMAGUAYQBjAGgAaQBuAGcAQQBuAGQAUgB1AG4AbwBmAGYARQBtAGkAcwBzAGkAbwBuAHMARgByAG8AbQBVAHIAaQBuAGUAQQBuAGQARAB1AG4AZwBPAG4AUABhAHMAdAB1AHIAZQBfAFYAYQByAGkAYQBiAGwAZQBcAG4AIAAgAD0ATABBAE0AQgBEAEEAKABcACIARQBfAE4AMgBPAGwAZQBhAGMAaABcACIAKQA7AFwAbgBcAG4AVgBFAEUAUgBHAF8ANABfADMAXwAxAF8AMQAyAF8AXwAxAF8ATABlAGEAYwBoAGkAbgBnAEEAbgBkAFIAdQBuAG8AZgBmAEUAbQBpAHMAcwBpAG8AbgBzAEYAcgBvAG0AVQByAGkAbgBlAEEAbgBkAEQAdQBuAGcATwBuAFAAYQBzAHQAdQByAGUAXwBVAG4AaQB0AFwAbgAgACAAPQBMAEEATQBCAEQAQQAoAFwAIgB0ACAATgAyAE8AXAAiACkAOwBcAG4AXABuAFYARQBFAFIARwBfADQAXwAzAF8AMQBfADEAMgBfAF8AMQBfAEwAZQBhAGMAaABpAG4AZwBBAG4AZABSAHUAbgBvAGYAZgBFAG0AaQBzAHMAaQBvAG4AcwBGAHIAbwBtAFUAcgBpAG4AZQBBAG4AZABEAHUAbgBnAE8AbgBQAGEAcwB0AHUAcgBlAF8AUwBvAHUAcgBjAGUAXABuACAAIAA9AEwAQQBNAEIARABBACgAXAAiAFYARQBFAFIARwAgADIAMAAyADYAOgAgADQALgAzAC4AMQAuADEAMgAsACAARQBxAHUAYQB0AGkAbwBuACAAKAAxACkAXAAiACkAOwBcAG4AXABuAFYARQBFAFIARwBfADQAXwAzAF8AMQBfADEAMgBfAF8AMQBfAEwAZQBhAGMAaABpAG4AZwBBAG4AZABSAHUAbgBvAGYAZgBFAG0AaQBzAHMAaQBvAG4AcwBGAHIAbwBtAFUAcgBpAG4AZQBBAG4AZABEAHUAbgBnAE8AbgBQAGEAcwB0AHUAcgBlAF8ATgBJAFIAUgBlAGYAZQByAGUAbgBjAGUAXABuACAAIAA9AEwAQQBNAEIARABBACgAXAAiAFwAIgApADsAXABuAFwAbgBWAEUARQBSAEcAXwA0AF8AMwBfADEAXwAxADI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zAF8AMQBfADEAMg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dQByAGkAbgBlACAAYQBuAGQAIABmAGEAZQBjAGUAcwAgAGQAZQBwAG8AcwBpAHQAZQBkACAAbwBuACAAcABhAHMAdAB1AHIAZQBcACIALAAgAFwAIgBrAGcAIABOAFwAIgAsACAAXAAiAEMAYQBsAGMAdQBsAGEAdABlAGQAIABmAHIAbwBtACAANAAuADMALgAxAC4AMQAy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QAyAF8AXwAyAF8ATQBhAHMAcwBPAGYATgBpAHQAcgBvAGcAZQBuAEwAbwBzAHQAVABvAEwAZQBhAGMAaABpAG4AZwBBAG4AZABSAHUAbgBvAGYAZgBPAG4AUABhAHMAdAB1AHIAZQBcAG4ATQBhAHMAcwAgAG8AZgAgAG4AaQB0AHIAbwBnAGUAbgAgAGwAbwBzAHQAIAB0AG8AIABsAGUAYQBjAGgAaQBuAGcAIABhAG4AZAAgAHIAdQBuAG8AZgBmACAAZgByAG8AbQAgAHUAcgBpAG4AZQAgAGEAbgBkACAAZgBhAGUAYwBlAHMAIABvAG4AIABwAGEAcwB0AHUAcgBlAFwAbgBNAF8AbABlAGEAYwBoAF8AbQAxADQAXABuAGsAZwAgAE4AXABuAE0AXwB7AGwAZQBhAGMAaAAsAG0APQAxADQAfQA9AE0ATgBfAHsAagBtAD0AMQA0AH0AXABcAHQAaQBtAGUAcwAgAEYAcgBhAGMAVwBlAHQAXABcAHQAaQBtAGUAcwAgAEYAcgBhAGMATABFAEEAQwBIAFwAbgBNAE4AXwBqAG0AMQA0ACAAPQAgAG0AYQBzAHMAIABvAGYAIABuAGkAdAByAG8AZwBlAG4AIABlAHgAYwByAGUAdABlAGQAIABvAG4AIABwAGEAcwB0AHUAcgBlACwAIAByAGEAbgBnAGUAIABhAG4AZAAgAHAAYQBkAGQAbwBjAGsAIABmAG8AcgAgAGUAYQBjAGgAIABkAGEAaQByAHkAIABjAGwAYQBzAHMAIAAoAGsAZwAgAE4AKQBcAG4ARgByAGEAYwBXAGUAdAAgAD0AIABmAHIAYQBjAHQAaQBvAG4AIABvAGYAIABOACAAYQB2AGEAaQBsAGEAYgBsAGUAIABmAG8AcgAgAGwAZQBhAGMAaABpAG4AZwAgAGEAbgBkACAAcgB1AG4AbwBmAGYAXABuAEYAcgBhAGMATABFAEEAQwBI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MQAyAF8AXwAyAF8ATQBhAHMAcwBPAGYATgBpAHQAcgBvAGcAZQBuAEwAbwBzAHQAVABvAEwAZQBhAGMAaABpAG4AZwBBAG4AZABSAHUAbgBvAGYAZgBPAG4AUABhAHMAdAB1AHIAZQBcAG4AIAAgAD0ATABBAE0AQgBEAEEAKABcAG4AIAAgACAAIABNAE4AXwBqAG0AMQA0ACwAIABGAHIAYQBjAFcAZQB0ACwAIABGAHIAYQBjAEwARQBBAEMASAAsAFwAbgAgACAAIAAgAE0ATgBfAGoAbQAxADQAIAAqACAARgByAGEAYwBXAGUAdAAgACoAIABGAHIAYQBjAEwARQBBAEMASABcAG4AIAAgACkAOwBcAG4AXABuAFYARQBFAFIARwBfADQAXwAzAF8AMQBfADEAMg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AgAGYAcgBvAG0AIAB1AHIAaQBuAGUAIABhAG4AZAAgAGYAYQBlAGMAZQBzACAAbwBuACAAcABhAHMAdAB1AHIAZQBcACIAKQA7AFwAbgBcAG4AVgBFAEUAUgBHAF8ANABfADMAXwAxAF8AMQAyAF8AXwAyAF8ATQBhAHMAcwBPAGYATgBpAHQAcgBvAGcAZQBuAEwAbwBzAHQAVABvAEwAZQBhAGMAaABpAG4AZwBBAG4AZABSAHUAbgBvAGYAZgBPAG4AUABhAHMAdAB1AHIAZQBfAFYAYQByAGkAYQBiAGwAZQBcAG4AIAAgAD0ATABBAE0AQgBEAEEAKABcACIATQBfAGwAZQBhAGMAaABfAG0AMQA0AFwAIgApADsAXABuAFwAbgBWAEUARQBSAEcAXwA0AF8AMwBfADEAXwAxADIAXwBfADIAXwBNAGEAcwBzAE8AZgBOAGkAdAByAG8AZwBlAG4ATABvAHMAdABUAG8ATABlAGEAYwBoAGkAbgBnAEEAbgBkAFIAdQBuAG8AZgBmAE8AbgBQAGEAcwB0AHUAcgBlAF8AVQBuAGkAdABcAG4AIAAgAD0ATABBAE0AQgBEAEEAKABcACIAawBnACAATgBcACIAKQA7AFwAbgBcAG4AVgBFAEUAUgBHAF8ANABfADMAXwAxAF8AMQAyAF8AXwAyAF8ATQBhAHMAcwBPAGYATgBpAHQAcgBvAGcAZQBuAEwAbwBzAHQAVABvAEwAZQBhAGMAaABpAG4AZwBBAG4AZABSAHUAbgBvAGYAZgBPAG4AUABhAHMAdAB1AHIAZQBfAFMAbwB1AHIAYwBlAFwAbgAgACAAPQBMAEEATQBCAEQAQQAoAFwAIgBWAEUARQBSAEcAIAAyADAAMgA2ADoAIAA0AC4AMwAuADEALgAxADIALAAgAEUAcQB1AGEAdABpAG8AbgAgACgAMgApAFwAIgApADsAXABuAFwAbgBWAEUARQBSAEcAXwA0AF8AMwBfADEAXwAxADIAXwBfADIAXwBNAGEAcwBzAE8AZgBOAGkAdAByAG8AZwBlAG4ATABvAHMAdABUAG8ATABlAGEAYwBoAGkAbgBnAEEAbgBkAFIAdQBuAG8AZgBmAE8AbgBQAGEAcwB0AHUAcgBlAF8ATgBJAFIAUgBlAGYAZQByAGUAbgBjAGUAXABuACAAIAA9AEwAQQBNAEIARABBACgAXAAiAFwAIgApADsAXABuAFwAbgBWAEUARQBSAEcAXwA0AF8AMwBfADEAXwAxADIAXwBfADIAXwBNAGEAcwBzAE8AZgBOAGkAdAByAG8AZwBlAG4ATABvAHMAdABUAG8ATABlAGEAYwBoAGkAbgBnAEEAbgBkAFIAdQBuAG8AZgBmAE8AbgBQAGEAcwB0AHUAcgBlAF8ATABhAHQAZQB4AEUAcQB1AGEAdABpAG8AbgBcAG4AIAAgAD0ATABBAE0AQgBEAEEAKABcACIATQBfAHsAbABlAGEAYwBoACwAbQA9ADEANAB9AD0AXABcAHMAdQBtAFwAXABuAG8AbABpAG0AaQB0AHMAXwB7AGoAfQAoAE0ATgBfAHsAagBtAD0AMQA0AH0AXABcAHQAaQBtAGUAcwAgAEYAcgBhAGMAVwBlAHQAXABcAHQAaQBtAGUAcwAgAEYAcgBhAGMATABFAEEAQwBIACkAXAAiACkAOwBcAG4AXABuAFYARQBFAFIARwBfADQAXwAzAF8AMQBfADEAMgBfAF8AMgBfAE0AYQBzAHMATwBmAE4AaQB0AHIAbwBnAGUAbgBMAG8AcwB0AFQAbwBMAGUAYQBjAGgAaQBuAGcAQQBuAGQAUgB1AG4AbwBmAGYATwBuAFAAYQBzAHQAdQByAGUAXwBBAHIAZwB1AG0AZQBuAHQAcwBcAG4AIAAgAD0ATABBAE0AQgBEAEEAKABcAG4AIAAgACAAIABNAEEASwBFAEEAUgBSAEEAWQAoADY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VwBlAHQAXAAiACwAIABcACIAZgByAGEAYwB0AGkAbwBuACAAbwBmACAATgAgAGEAdgBhAGkAbABhAGIAbABlACAAZgBvAHIAIABsAGUAYQBjAGgAaQBuAGcAIABhAG4AZAAgAHIAdQBuAG8AZgBmAFwAIgAsACAAXAAiAFwAIgAsACAAXAAiAEMAbwBuAHMAdABhAG4AdABcACIAOwBcAG4AIAAgACAAIAAgACAAIAAgACAAIABcACIARgByAGEAYwBMAEUAQQBDAEgAXAAiACwAIABcACIAZgByAGEAYwB0AGkAbwBuACAAbwBmACAATgAgAGwAbwBzAHQAIAB0AGgAcgBvAHUAZwBoACAAbABlAGEAYwBoAGkAbgBnACAAYQBuAGQAIAByAHUAbgBvAGYAZgBcACIALAAgAFwAI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IANA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CAG8AbwBzAHQALQBJAHQAIAAtACAAQwBhAG0AcABiAGUAbABsAHMAIABGAGUAcgB0AGkAbABpAHMAZQByAHMAIABBAHUAcwB0AHIAYQBsAGEAcwBpAGEAXAAiACwAXAAiAFcAZQBiAHMAaQB0AGUAIABTAEQAUwBcACIALABcACI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sAFwAIgBFAE4ARAAgAFIATwBXAFwAIgA7AFwAbgBcACIARQB4AGMAbAB1AGQAZQAgAC0AIABOAG8AdAAgAHIAZQBsAGUAdgBhAG4AdABcACIALABcACIAXAAiACwAXAAiAEMAYQBtAHAAYgBlAGwAbABzACAAZgBlAHIAdABpAGwAaQBzAGUAcgBzACAAQQB1AHMAdAByAGEAbABpAGEAXAAiACwAXAAiAEIAbwByAG8AcABsAHUAcwBcACIALABcACIAQgBvAHIAbwBwAGwAdQBz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2AGkAcwBvAGwAIABSAGEAbgBnAGUAXAAiACwAXAAiAEIAcgBlAHYAaQBTAG8AbAAgAFIAYQBuAGc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eABpAGwAIABMAGkAbgBlAFwAIgAsAFwAIgBCAHIAZQB4AGkAbAAgAEwAaQBu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IAcgBvAG4AegBlAFwAIgAsAFwAIgBCAHIAbwBuAHoAZQAgAC0AIABDAGEAbQBwAGIAZQBsAGwAcwAgAEYAZQByAHQAaQBsAGkAcwBlAHIAcwAgAEEAdQBzAHQAcgBhAGwAYQBzAGkAYQBcACIALABcACIAVwBlAGIAcwBpAHQAZQBcACIALABcACIAXAAiACwAXAAiAGsAZwBcACIALABcACIAXAAi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EIAdQBkAC0AVwBpAHMAZQByACAARAByAHkAIAAtACAAQwBhAG0AcABiAGUAbABsAHMAIABGAGUAcgB0AGkAbABpAHMAZQByAHMAIABBAHUAcwB0AHIAYQBsAGEAcwBpAGEAXAAiACwAXAAiAFwAIgAsAFwAIgBcACIALABcACIAawBnAFwAIgAsAFwAIg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iAGkAdAAgAEMAXAAiACwAXAAiAEMAYQBsAGIAaQB0ACAAQw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jAGkAdQBtACAAMQA3ADUAXAAiACwAXAAiAEMAYQBsAGMAaQB1AG0AIAAxADcANQ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wBhAGwAUABoAG8AcwBcACIALABcACIAQwBhAGwAcABoAG8AcwAgAC0AIABDAGEAbQBwAGIAZQBsAGwAcwAgAEYAZQByAHQAaQBsAGkAcwBlAHIAcwAgAEEAdQBzAHQAcgBhAGwAYQBzAGkAYQBcACIALABcACIAVwBlAGIAcwBpAHQAZQBcACIALABcACIAXAAiACwAXAAiAEwAXAAiACwAMQAuADIAOAA1ACwAXAAiAFwAIg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CwAXAAiAFwAIgAsAFwAIgBcACIALABcACIARQBOAEQAIABSAE8AVwBcACIAXABuACAAIAB9ACwAIAByACwAIABjACkAXABuACkAKQApADsAXABuAFwAbgAvACoAXABuAEYAZQByAHQAaQBsAGkAcwBlAHIAXwBQAHIAbwBkAHUAYwB0AHMAXwBEAGEAdABhADIAXABuAD0ATABBAE0AQgBEAEEAKABcAG4AIABNAEEASwBFAEEAUgBSAEEAWQAoADIAMQAsACAAMgA4ACwAXABuACAATABBAE0AQgBEAEEAKAByACwAYwAsAFwAbgAgACAASQBOAEQARQBYACgAewBcAG4AXAAiAEkAbgBjAGwAdQBkAGUAXAAiACwAXAAiADUAMAAvADUAMAAgAG4AaQB0AHIAYQB0AGUAIABhAG4AZAAgAGEAbQBtAG8AbgBpAGEAYwBhAGwAIABuAGkAdAByAG8AZwBlAG4AIAAoAGEAbQBtAG8AbgBpAHUAbQAgAG4AaQB0AHIAYQB0AGUAKQBcACIALABcACIAQwBhAG0AcABiAGUAbABsAHMAIABmAGUAcgB0AGkAbABpAHMAZQByAHMAIABBAHUAcwB0AHIAYQBsAGkAYQBcACIALABcACIAQwBvAG0AcABhAHMAcwBcACIALABcACIAQwBvAG0AcABhAHMAcwAgAC0AIABDAGEAbQBwAGIAZQBsAGwAcwAgAEYAZQByAHQAaQBsAGkAcwBlAHIAcwAgAEEAdQBzAHQAcgBhAGwAYQBzAGkAYQBcACIALABcACIAXAAiACwAXAAiAFwAIgAsAFwAIgBrAGcAXAAiACwAMQAsAFwAIgBcACI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QBnAHMAdABhAFwAIgAsAFwAIgBBAGcAUwB0AGEAcgAgAE0AYQBuAGcAYQBuAGUAcwBlAFwAIgAsAFwAIgBBAGcAUwB0AGEAcgAgAE0AYQBuAGcAYQBuAGUAcwBlACAAfAAgAFcAZQBsAGMAbwBtAGUAIAB0AG8AIABBAGcAcwB0AGEAcgBcACIALABcACIATABhAGIAZQBsACAAUwBEAFMAXAAiACwAXAAiAFwAIgAsAFwAIgBMAFwAIgAsADEALgA0ADcALABcACIAXAAiACwAXAAiAFwAIgAsAFwAIgBNAGEAbgBnAGEAbgBlAHMAZQAgAG4AaQB0AHIAYQB0AGUAXAAiACwAMAAuADQANQ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MATAAgAFQAZQBjAFwAIgAsAFwAIgBDAHIAbwBwACAAQgBvAG8AcwB0AGUAcgAgAFAATABVAFMAXAAiACwAXAAiAGgAdAB0AHAAcwA6AC8ALwB3AHcAdwAuAHMAbAB0AGUAYwAuAGMAbwBtAC4AYQB1AC8AcwBsAHQAZQBjAC8AZgBhAGMAdABfAHMAaABlAGUAdABzAC8AUwBMAFQARQBDAF8AQwByAG8AcABCAG8AbwBzAHQAZQByAFAAbAB1AHMALgBwAGQAZgBcACIALABcACIAQgByAG8AYwBoAHUAcgBlACAAdwBlAGIAcwBpAHQAZQBcACIALABcACIAXAAiACwAXAAiAEwAXAAiACwAMQAuADMAMQA5ACwAXAAiAFwAIgAsAFwAIgBcACIALABcACIAUABoAG8AcwBwAGgAbwByAHUAcwAgAC0AIABHAGUAbgBlAHIAaQBjAFwAIgAsADAALgAxADUALABcACIAQwBhAGwAYwBpAHUAbQAgAC0AIABHAGUAbgBlAHIAaQBjAFwAIgAsADAALgAwADQALABcACIATgBpAHQAcgBvAGcAZQBuACAALQAgAEEAbQBtAG8AbgBpAGEAYwBhAGwAXAAiACwAMAAuADAAMgA5ACwAXAAiAE4AaQB0AHIAbwBnAGUAbgAgAC0AIABOAGkAdAByAGEAdABlAFwAIgAsADAALgAwADIAMQAsAFwAIgBQAG8AdABhAHMAcwBpAHUAbQAgAC0AIABHAGUAbgBlAHIAaQBjAFwAIgAsADAALgAwADIAMQAsAFwAIgBDAG8AbwBwAGUAcgBcACIALAAwAC4AMAAwADUALABcACIAWgBpAG4AYwBcACIALAAwAC4AMAAwADQALABcACIATQBhAG4AZwBhAG4AZQBzAGUAXAAiACwAMAAuADAAMAA0ACwAXAAiAE0AYQBnAG4AZQBzAGkAdQBtAFwAIgAsADAALgAwADAAMgAsAFwAIgBcACIALABcACIAXAAiACwAXAAiAEUATgBEACAAUgBPAFcAXAAiADsAXABuAFwAIgBJAG4AYwBsAHUAZABlAFwAIgAsAFwAIgBJAG4AZwByAGUAZABpAGUAbgB0ACAAaQBzACAAYQBjAHQAdQBhAGwAbAB5ACAAYQBtAG0AbwBuAGkAdQBtACAAYgBpAGMAYQByAGIAbwBuAGEAdABlACAAdABoAGUAIABlAGwAZQBtAGUAbgB0AGEAbAAgAGMAbwBtAHAAbwBzAGkAdABpAG8AbgAgAGgAYQBzACAAMQA3AC4ANwAlACAATgBpAHQAcgBvAGcAZQBuAFwAIgAsAFwAIgBSAGkAcwBzAG8ALQBDAGgAZQBtAGkAYwBhAGwAXAAiACwAXAAiAEEAbQBtAG8AbgBpAHUAbQAgAEIAaQBjAGEAcgBiAG8AbgBhAHQAZQBcACIALABcACIAQQBtAG0AbwBuAGkAdQBtACAAQgBpAGMAYQByAGIAbwBuAGEAdABlACAASABpAGcAaAAtAFEAdQBhAGwAaQB0AHkAIABGAGUAcgB0AGkAbABpAHoAZQByACAAXAB1ADAAMAAyADYAIABMAGUAYQB2AGUAbgBpAG4AZwAgAEEAZwBlAG4AdABcACIALABcACIAVwBlAGIAcwBpAHQAZQAgAFMARABTACAAIABoAHQAdABwAHMAOgAvAC8AbQBlAHIAYwBrAGkAbgBkAGUAeAAuAHIAcwBjAC4AbwByAGcALwBtAG8AbgBvAGcAcgBhAHAAaABzAC8AbQAxADcANgA0AD8AYQBjAGMAZQBzAHMAPQBmAHQAXAAiACwAXAAiAFwAIgAsAFwAIgBrAGcAXAAiACwAMQAsAFwAIgBcACIALABcACIAQwBoAGkAbgBh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kAcwBzAG8ALQBDAGgAZQBtAGkAYwBhAGwAXAAiACwAXAAiAEEAbQBtAG8AbgBpAHUAbQAgAFMAdQBsAGYAYQB0AGUAXAAiACwAXAAiAEEAbQBtAG8AbgBpAHUAbQAgAFMAdQBsAGYAYQB0AGUAIABGAGUAcgB0AGkAbABpAHoAZQByACAASABpAGcAaAAtAFEAdQBhAGwAaQB0AHkAIABOAGkAdAByAG8AZwBlAG4AIABhAG4AZAAgAFMAdQBsAGYAdQByACAAZgBvAHIAIABDAHIAbwBwAHMAXAAiACwAXAAiAFcAZQBiAHMAaQB0AGUAXAAiACwAXAAiAFwAIgAsAFwAIgBrAGcAXAAiACwAMQAsAFwAIgBcACIALABcACIAQwBoAGkAbgBhAFwAIg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EAdgBlAG4AcwBkAG8AdwBuAFwAIgAsAFwAIgBBAG0AbQBvAG4AaQB1AG0AIABTAHUAbABwAGgAYQB0AGUAIAAtACAARwByAGEAbgB1AGwAYQByAFwAIgAsAFwAIgBSAGEAdgBlAG4AcwBkAG8AdwBuACAAfAAgAEcAcgBhAG4AdQBsAGEAcgAgAEEAbQBtAG8AbgBpAHUAbQAgAFMAdQBsAHAAaABhAHQAZQAgACgARwBBAFMALwBTAE8AQQApAFwAIgAsAFwAIgBXAGUAYgBzAGkAdABlACAAUwBEAFMAXAAiACwAXAAiAFwAIgAsAFwAIgBrAGcAXAAiACwAMQAsAFwAIgBcACIALABcACIAXAAiACwAXAAiAFMAdQBsAGYAdQByACAALQAgAEcAZQBuAGUAcgBpAGMAXAAiACwAMAAuADIAMwAsAFwAIgBOAGkAdAByAG8AZwBlAG4AIAAtACAAQQBtAG0AbwBuAGkAYQBjAGEAbABcACIALAAwAC4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JAG0AcABhAGMAdAAgAEYAZQByAHQAaQBsAGkAcwBlAHIAcwBcACIALABcACIARABpAC0AQQBtAG0AbwBuAGkAdQBtACAAUABoAG8AcwBwAGgAYQB0AGUAIAAoAEQAQQBQACkAXAAiACwAXAAiAEQAaQAtAEEAbQBtAG8AbgBpAHUAbQAgAFAAaABvAHMAcABoAGEAdABlACAAKABEAEEAUAApACAALQAgAEkAbQBwAGEAYwB0ACAARgBlAHIAdABpAGwAaQBzAGUAcgBzAFwAIgAsAFwAIgBXAGUAYgBzAGkAdABlAFwAIgAsAFwAIgBcACIALABcACIAawBnAFwAIgAsADEALABcACIAXAAiACwAXAAiAFwAIgAsAFwAIgBQAGgAbwBzAHAAaABvAHIAdQBzACAALQAgAEcAZQBuAGUAcgBpAGMAXAAiACwAMAAuADIAMAAyACwAXAAiAE4AaQB0AHIAbwBnAGUAbgAgAC0AIABHAGUAbgBlAHIAaQBjAFwAIgAsADAALgAxADgALABcACIAUwB1AGwAZgB1AHIAIAAtACAARwBlAG4AZQByAGkAYwBcACIALAAwAC4AMAAxADU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TAHUAbQBtAGkAdAAgAEYAZQByAHQAaQBsAGkAegBlAHIAcwBcACIALABcACIARABBAFAAUwBaAEMAXAAiACwAXAAiAE0AaQBjAHIAbwBzAG8AZgB0ACAAVwBvAHIAZAAgAC0AIABEAEEAUABTAFoAQwAgAFMAYQBmAGUAdAB5ACAARABhAHQAYQAgAFMAaABlAGUAdABcACIALABcACIAUwBEAFMAXAAiACwAXAAiAFwAIgAsAFwAIgBrAGcAXAAiACwAMQAsAFwAIgBcACIALABcACIAXAAiACwAXAAiAFAAaABvAHMAcABoAG8AcgB1AHMAIAAtACAARwBlAG4AZQByAGkAYwBcACIALAAwAC4AMQA4ADIALABcACIATgBpAHQAcgBvAGcAZQBuACAALQAgAEcAZQBuAGUAcgBpAGMAXAAiACwAMAAuADEANgA5ACwAXAAiAFMAdQBsAGYAdQByACAALQAgAEcAZQBuAGUAcgBpAGMAXAAiACwAMAAuADAAOAAsAFwAIgBaAGkAbgBjACAALQAgAEcAZQBuAGUAcgBpAGMAXAAiACwAMAAuADAAMAAyACwAXAAiAEMAbwBwAHAAZQByAFwAIgAsADAALgAwADAAMQAsAFwAIgBcACIALABcACIAXAAiACwAXAAiAFwAIgAsAFwAIgBcACIALABcACIAXAAiACwAXAAiAFwAIgAsAFwAIgBcACIALABcACIAXAAiACwAXAAiAFwAIgAsAFwAIgBcACIALABcACIARQBOAEQAIABSAE8AVwBcACIAOwBcAG4AXAAiAEkAbgBjAGwAdQBkAGUAXAAiACwAXAAiAEEAbQBvAHUAbgB0ACAAbwBmACAAdQByAGUAYQAgAGMAYQBsAGMAdQBsAGEAdABlAGQAIABmAHIAbwBtACAAdQByAGUAYQAgAG4AaQB0AHIAbwBnAGUAbgAgAGEAbQBvAHUAbgB0AFwAIgAsAFwAIgBJAG4AYwBpAHQAZQBjACAAUABpAHYAbwB0ACAARgBlAHIAdABpAGwAaQBzAGUAcgBzAFwAIgAsAFwAIgBFAGEAcwB5ACAATgBcACIALABcACIAaAB0AHQAcABzADoALwAvAHcAdwB3AC4AaQBuAGMAaQB0AGUAYwBwAGkAdgBvAHQAZgBlAHIAdABpAGwAaQBzAGUAcgBzAC4AYwBvAG0ALgBhAHUALwBwAHIAbwBkAHUAYwB0AHMALQBzAGUAcgB2AGkAYwBlAHMALwBvAHUAcgAtAHAAcgBvAGQAdQBjAHQAcwAvAGwAaQBxAHUAaQBkAHMALwBlAGEAcwB5AC0AbgAvAFwAIgAsAFwAIgBXAGUAYgBzAGkAdABlACAAYgByAG8AYwBoAHUAcgBlACAAQgBhAGcAIAB0AGEAZwBcACIALABcACIAXAAiACwAXAAiAEwAXAAiACwAMQAuADMAMgAsAFwAIgBcACIALABcACIAXAAiACwAXAAiAFUAcgBlAGEAXAAiACwAMAAuADQANgA3ADMAOQAxADMAMAA0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FIAaQBzAHMAbwAtAEMAaABlAG0AaQBjAGEAbABcACIALABcACIAQwBhAGwAYwBpAHUAbQAgAEEAbQBtAG8AbgBpAHUAbQAgAE4AaQB0AHIAYQB0AGUAXAAiACwAXAAiAEMAYQBsAGMAaQB1AG0AIABBAG0AbQBvAG4AaQB1AG0AIABOAGkAdAByAGEAdABlACAAQgBhAGwAYQBuAGMAZQBkACAARgBlAHIAdABpAGwAaQB6AGUAcgAgAGYAbwByACAARQBuAGgAYQBuAGMAZQBkACAAQwByAG8AcAAgAEcAcgBvAHcAdABoACAAfAAgAFIAaQBzAHMAbwBcACIALABcACIAXAAiACwAXAAiAFwAIgAsAFwAIgBrAGcAXAAiACwAMQAsAFwAIgBcACIALABcACIAQwBoAGkAbgBhAFwAIgAsAFwAIgBOAGkAdAByAG8AZwBlAG4AIAAtACAAQQBtAG0AbwBuAGkAYQBjAGEAbABcACIALAAwAC4AMgA3ACwAXAAiAE4AaQB0AHIAbwBnAGUAbgAgAC0AIABOAGkAdAByAGEAdABlAFwAIgAsADAALgAxADMANQAsAFwAIgBDAGEAbABjAGkAdQBtACAALQAgAEcAZQBuAGUAcgBpAGMAXAAiACwAMAAuADEAM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FMATAAgAFQAZQBjAFwAIgAsAFwAIgBDAGUAbABsAEMAQQBMACAAUABsAHUAcwBcACIALABcACIAUwBMAFQARQBDAF8AQwBlAGwAbABDAEEATABQAEwAVQBTAC4AcABkAGYAXAAiACwAXAAiAEIAcgBvAGMAaAB1AHIAZQBcACIALABcACIAXAAiACwAXAAiAEwAXAAiACwAMQAuADEAMwA4ACwAXAAiAFwAIgAsAFwAIgBcACIALABcACIAQwBhAGwAYwBpAHUAbQAgAC0AIABHAGUAbgBlAHIAaQBj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UAcwBlACAAbQB1AHIAaQBhAHQAZQAgAG8AZgAgAHAAbwB0AGEAcwBoACAAKABNAE8AUAApACAAaQBuAHMAdABlAGEAZAAgAG8AZgAgAFwAdQAwADAAMgA3AHAAbwB0AGEAcwBzAGkAdQBtACAAYQBzACAAYwBoAGwAbwByAGkAZABlAFwAdQAwADAAMgA3AFwAIgAsAFwAIgBJAG4AYwBpAHQAZQBjACAAUABpAHYAbwB0ACAARgBlAHIAdABpAGwAaQBzAGUAcgBzAFwAIgAsAFwAIgBDAEsANQA1AFwAIgAsAFwAIgBCAGEAZwAgAFQAYQBnAHMAXAAiACwAXAAiAEIAYQBnACAAdABhAGcAXAAiACwAXAAiAFwAIgAsAFwAIgBrAGcAXAAiACwAMQAsAFwAIgBcACIALABcACIAXAAiACwAXAAiAFAAaABvAHMAcABoAG8AcgB1AHMAIAAtACAARwBlAG4AZQByAGkAYwBcACIALAAwAC4AMQA1ACwAXAAiAE4AaQB0AHIAbwBnAGUAbgAgAC0AIABBAG0AbQBvAG4AaQBhAGMAYQBsAFwAIgAsADAALgAxADMANQAsAFwAIgBNAHUAcgBpAGEAdABlACAAbwBmACAAUABvAHQAYQBzAGgAIAAoAE0ATwBQACkAXAAiACwAMAAuADEAMgA1ACwAXAAiAEYAbABvAHUAcgBpAGQAZQBcACIALAAwAC4AMAAyADMALABcACIAUwB1AGwAZgB1AHIAIAAtACAARwBlAG4AZQByAGkAYwBcACIALAAwAC4AMAAxADIALABcACIAXAAiACwAXAAiAFwAIgAsAFwAIgBcACIALABcACIAXAAiACwAXAAiAFwAIgAsAFwAIgBcACIALABcACIAXAAiACwAXAAiAFwAIgAsAFwAIgBcACIALABcACIAXAAiACwAXAAiAEUATgBEACAAUgBPAFcAXAAiADsAXABuACAAIAAgACAAXAAiAEUAeABjAGwAdQBkAGUAIAAtACAAQQBiAHMAZQBuAHQAIABpAG4AZwByAGUAZABpAGUAbgB0AHMAIABcAHUAMAAwADMAZQAgADIAJQBcACIALABcACIAXAAiACwAXAAiAEMAYQBtAHAAYgBlAGwAbABzACAAZgBlAHIAdABpAGwAaQBzAGUAcgBzACAAQQB1AHMAdAByAGEAbABpAGEAXAAiACwAXAAiAEIAdQBkAC0AVwBpAHMAZQByACAARAByAHkAXAAiACwAXAAiAGsAZw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iAGkAdAAgAEM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jAGkAdQBtACAAMQA3AD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QQBiAHMAZQBuAHQAIABpAG4AZwByAGUAZABpAGUAbgB0AHMAIABcAHUAMAAwADMAZQ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FwAdQAwADAAMwBjACAAMgAlAFwAIgAsAFwAIgBDAG8AbgB0AHIAbwBsAGwAZQBkACAAcgBlAGwAZQBhAHMAZQAgAE4AIAB0AHIAZQBhAHQAZQBkACAAYQBzACAAZwBlAG4AZQByAGkAYwBcACIALABcACIAXAAiACwAXAAiAEMAYQBtAHAAYgBlAGwAbABzACAAZgBlAHIAdABpAGwAaQBzAGUAcgBzACAAQQB1AHMAdAByAGEAbABpAGEAXAAiACwAXAAiAEMAbwBSAG8ATgAgADEAMgAtADAALQAxADAAXAAiACwAXAAiAEwAXAAiACwAMQAuADIAMQA1ACwAXAAiAFwAIgAsAFwAIgBOAGkAdAByAG8AZwBlAG4AIAAtACAAVQByAGUAaQBjAFwAIgAsADAALgAwADk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XABuACAAIAB9ACwAIAByACwAIABjACkAXABuACkAKQApADsAXABuAFwAbgBcAG4ARgBlAHIAdABpAGwAaQBzAGUAcgBfAFAAcgBvAGQAdQBjAHQAcwBfAEQAYQB0AGEAMwBcAG4APQBMAEEATQBCAEQAQQAoAFwAbgAgAE0AQQBLAEUAQQBSAFIAQQBZACgAMgAwACwAIAAzADUALABcAG4AIABMAEEATQBCAEQAQQAoAHIALABjACwAXABuACAAIABJAE4ARABFAFgAKAB7AFwAbgBcACIAUgB1AHMAdABpAGMAYQAgAE4AZQByAGcAZQB0AGkAYwBcACIALABcACIAawBnAFwAIgAsADEALABcACIAUABvAHQAYQBzAHMAaQB1AG0AIAAtACAARwBlAG4AZQByAGkAYwBcACIALAAwAC4AMQA0ADE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kANgAsAFwAIgBMAG8AYwBhAHQAaQBvAG4AIABuAG8AdAAgAHMAcABlAGMAaQBmAGkAZQBkAFwAIgAsAFwAIgBQAGgAbwBzAHAAaABvAHIAdQBzACAALQAgAEcAZQBuAGUAcgBpAGMAXAAiACwAMAAuADAANQAyACwAXAAiAEwAbwBjAGEAdABpAG8AbgAgAG4AbwB0ACAAcwBwAGUAYwBpAGYAaQBlAGQAXAAiACwAXAAiAE0AYQBnAG4AZQBzAGkAdQBtACAALQAgAGcAZQBuAGUAcgBpAGMAXAAiACwAMAAuADAAMQAyACwAXAAiAEwAbwBjAGEAdABpAG8AbgAgAG4AbwB0ACAAcwBwAGUAYwBpAGYAaQBlAGQAXAAiACwAXAAiAFoAaQBuAGMAIAAtACAARwBlAG4AZQByAGkAYwBcACIALAAwAC4AMAAwADA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gAsAFwAIgBMAG8AYwBhAHQAaQBvAG4AIABuAG8AdAAgAHMAcABlAGMAaQBmAGkAZQBkAFwAIgAsAFwAIgBCAG8AcgBvAG4AIAAtACAAZwBlAG4AZQByAGkAYwBcACIALAAwAC4AMAAwADAAMgAsAFwAIgBMAG8AYwBhAHQAaQBvAG4AIABuAG8AdAAgAHMAcABlAGMAaQBmAGkAZQBkAFwAIgAsAFwAIgBcACIALABcACIAXAAiACwAXAAiAFwAIgA7AFwAbgBcACIAUwBFAFQAbgBTAEkAWgBFAFwAIgAsAFwAIgBMAFwAIgAsADEALgAzACwAXAAiAFAAbwB0AGEAcwBzAGkAdQBtACAALQAgAEcAZQBuAGUAcgBpAGMAXAAiACwAMAAuADAANwA5ADIALABcACIATABvAGMAYQB0AGkAbwBuACAAbgBvAHQAIABzAHAAZQBjAGkAZgBpAGUAZABcACIALABcACIAUABoAG8AcwBwAGgAbwByAHUAcwAgAC0AIABHAGUAbgBlAHIAaQBjAFwAIgAsADAALgAwADYAMAA1ACwAXAAiAEwAbwBjAGEAdABpAG8AbgAgAG4AbwB0ACAAcwBwAGUAYwBpAGYAaQBlAGQAXAAiACwAXAAiAE4AaQB0AHIAbwBnAGUAbgAgAC0AIABHAGUAbgBlAHIAaQBjAFwAIgAsADAALgAwADEAMAA4ACwAXAAiAEwAbwBjAGEAdABpAG8AbgAgAG4AbwB0ACAAcwBwAGUAYwBpAGYAaQBlAGQAXAAiACwAXAAiAFoAaQBuAGMAIAAtACAARwBlAG4AZQByAGkAYwBcACIALAAwAC4AMAAxADAANwAsAFwAIgBMAG8AYwBhAHQAaQBvAG4AIABuAG8AdAAgAHMAcABlAGMAaQBmAGkAZQBkAFwAIgAsAFwAIgBNAGEAZwBuAGUAcwBpAHUAbQAgAC0AIABnAGUAbgBlAHIAaQBjAFwAIgAsADAALgAwADEAMAA0ACwAXAAiAEwAbwBjAGEAdABpAG8AbgAgAG4AbwB0ACAAcwBwAGUAYwBpAGYAaQBlAGQAXAAiACwAXAAiAE0AYQBuAGcAYQBuAGUAcwBlACAALQAgAEcAZQBuAGUAcgBpAGMAXAAiACwAMAAuADAAMAA3ADUALABcACIATABvAGMAYQB0AGkAbwBuACAAbgBvAHQAIABzAHAAZQBjAGkAZgBpAGUAZABcACIALABcACIAUwB1AGwAZgB1AHIAIAAtACAARwBlAG4AZQByAGkAYwBcACIALAAwAC4AMAAwADUANAAsAFwAIgBMAG8AYwBhAHQAaQBvAG4AIABuAG8AdAAgAHMAcABlAGMAaQBmAGkAZQBkAFwAIgAsAFwAIgBDAG8AYgBhAGwAdAAgAC0AIABnAGUAbgBlAHIAaQBjAFwAIgAsADAALgAwADAAMQA4ACwAXAAiAEwAbwBjAGEAdABpAG8AbgAgAG4AbwB0ACAAcwBwAGUAYwBpAGYAaQBlAGQAXAAiACwAXAAiAEkAcgBvAG4AIAAtACAAZwBlAG4AZQByAGkAYwBcACIALAAwAC4AMAAwADEANQAsAFwAIgBMAG8AYwBhAHQAaQBvAG4AIABuAG8AdAAgAHMAcABlAGMAaQBmAGkAZQBkAFwAIgAsAFwAIgBDAG8AcABwAGUAcgAgAC0AIABnAGUAbgBlAHIAaQBjAFwAIgAsADAALgAwADAAMQAxACwAXAAiAEwAbwBjAGEAdABpAG8AbgAgAG4AbwB0ACAAcwBwAGUAYwBpAGYAaQBlAGQAXAAiADsAXABuAFwAIgBTAE8AQQBcACIALABcACIAawBnAFwAIgAsADEALABcACIATgBpAHQAcgBvAGcAZQBuACAALQAgAEEAbQBtAG8AbgBpAGEAYwBhAGwAXAAiACwAMAAuADIAMQAsAFwAIgBMAG8AYwBhAHQAaQBvAG4AIABuAG8AdAAgAHMAcABlAGMAaQBmAGkAZQBkAFwAIgAsAFwAIgBTAHUAbABmAHUAcgAgAC0AIABHAGUAbgBlAHIAaQBjAFwAIgAsADAALgAy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LAFAAXAAiACwAXAAiAGsAZwBcACIALAAxACwAXAAiAFAAaABvAHMAcABoAG8AcgB1AHMAIAAtACAARwBlAG4AZQByAGkAYwBcACIALAAwAC4AMgAyADcALABcACIATABvAGMAYQB0AGkAbwBuACAAbgBvAHQAIABzAHAAZQBjAGkAZgBpAGUAZABcACIALABcACIAUABvAHQAYQBzAHMAaQB1AG0AIAAtACAARwBlAG4AZQByAGkAYwBcACIALAAwAC4AMgA4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TAGEAbQBcACIALABcACIAawBnAFwAIgAsADEALABcACIATgBpAHQAcgBvAGcAZQBuACAALQAgAEEAbQBtAG8AbgBpAGEAYwBhAGwAXAAiACwAMAAuADIAMAA4ACwAXAAiAEwAbwBjAGEAdABpAG8AbgAgAG4AbwB0ACAAcwBwAGUAYwBpAGYAaQBlAGQAXAAiACwAXAAiAFMAdQBsAGYAdQByACAALQAgAEcAZQBuAGUAcgBpAGMAXAAiACwAMAAuADIAMwA4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WgBpAG4AYwBcACIALABcACIAawBnAFwAIgAsADEALABcACIAWgBpAG4AYwAgAC0AIABHAGUAbgBlAHIAaQBjAFwAIgAsADAALgAyADEALABcACIATABvAGMAYQB0AGkAbwBuACAAbgBvAHQAIABzAHAAZQBjAGkAZgBpAGUAZABcACIALABcACIAUwB1AGwAZgB1AHIAIAAtACAARwBlAG4AZQByAGkAYwBcACIALAAwAC4AMQAw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LAFwAIgAsAFwAIgBMAFwAIgAsADEALgA0ADcALABcACIAUABvAHQAYQBzAHMAaQB1AG0AIAAtACAARwBlAG4AZQByAGkAYwBcACIALAAwAC4AMwAsAFwAIgBMAG8AYwBhAHQAaQBvAG4AIABuAG8AdAAgAHMAcABlAGMAaQBmAGkAZQBkAFwAIgAsAFwAIgBTAHUAbABmAHUAcgAgAC0AIABHAGUAbgBlAHIAaQBjAFwAIgAsADAALgAy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FwAIgAsAFwAIgBMAFwAIgAsADEALgAzADIALABcACIATgBpAHQAcgBvAGcAZQBuACAALQAgAEcAZQBuAGUAcgBpAGMAXAAiACwAMAAuADMANwAyACwAXAAiAEwAbwBjAGEAdABpAG8AbgAgAG4AbwB0ACAAcwBwAGUAYwBpAGYAaQBlAGQAXAAiACwAXAAiAFMAdQBsAGYAdQByACAALQAgAEcAZQBuAGUAcgBpAGMAXAAiACwAMAAu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IABQAGwAdQBzAFwAIgAsAFwAIgBMAFwAIgAsADEALgAzADIALABcACIATgBpAHQAcgBvAGcAZQBuACAALQAgAEcAZQBuAGUAcgBpAGMAXAAiACwAMAAuADMANgA0ACwAXAAiAEwAbwBjAGEAdABpAG8AbgAgAG4AbwB0ACAAcwBwAGUAYwBpAGYAaQBlAGQAXAAiACwAXAAiAFMAdQBsAGYAdQByACAALQAgAEcAZQBuAGUAcgBpAGMAXAAiACwAMAAu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FMAdQBsAFwAIgAsAFwAIgBMAFwAIgAsADEALgAzADUALABcACIAUwB1AGwAZgB1AHIAIAAtACAARwBlAG4AZQByAGkAYwBcACIALAAwAC4AMwA1ACwAXAAiAEwAbwBjAGEAdABpAG8AbgAgAG4AbwB0ACAAcwBwAGUAYwBpAGYAaQBlAGQAXAAiACwAXAAiAE4AaQB0AHIAbwBnAGUAbgAgAC0AIABBAG0AbQBvAG4AaQBhAGMAYQBsAFwAIgAsADAALgAxADY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UAQQBTAFwAIgAsAFwAIgBMAFwAIgAsADEALgAyADMANQAsAFwAIgBOAGkAdAByAG8AZwBlAG4AIAAtACAARwBlAG4AZQByAGkAYwBcACIALAAwAC4AMgAwADkALABcACIATABvAGMAYQB0AGkAbwBuACAAbgBvAHQAIABzAHAAZQBjAGkAZgBpAGUAZABcACIALABcACIAUwB1AGwAZgB1AHIAIAAtACAARwBlAG4AZQByAGkAYwBcACIALAAwAC4AMAA2ADcALABcACIATABvAGMAYQB0AGkAbwBuACAAbgBvAHQAIABzAHAAZQBjAGkAZgBpAGUAZABcACIALABcACIATgBpAHQAcgBvAGcAZQBuACAALQAgAEEAbQBtAG8AbgBpAGEAYwBhAGwAXAAiACwAMAAuADAANQ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CAATABpAHEAdQBpAGQAcwAgAE4ALQBGAE8ATAAgADIANAArAFQARQBcACIALABcACIAawBnAFwAIgAsADEALABcACIATgBpAHQAcgBvAGcAZQBuACAALQAgAEcAZQBuAGUAcgBpAGMAXAAiACwAMAAuADEAOQAsAFwAIgBMAG8AYwBhAHQAaQBvAG4AIABuAG8AdAAgAHMAcABlAGMAaQBmAGkAZQBkAFwAIgAsAFwAIgBQAG8AdABhAHMAcwBpAHUAbQAgAC0AIABHAGUAbgBlAHIAaQBjAFwAIgAsADAALgAxADYANgAsAFwAIgBMAG8AYwBhAHQAaQBvAG4AIABuAG8AdAAgAHMAcABlAGMAaQBmAGkAZQBkAFwAIgAsAFwAIgBTAHUAbABmAHUAcgAgAC0AIABHAGUAbgBlAHIAaQBjAFwAIgAsADAALgAwADMALABcACIATABvAGMAYQB0AGkAbwBuACAAbgBvAHQAIABzAHAAZQBjAGkAZgBpAGUAZABcACIALABcACIAUABoAG8AcwBwAGgAbwByAHUAcwAgAC0AIABHAGUAbgBlAHIAaQBjAFwAIgAsADAALgAwADIAN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IABVAG4AaQBrAGEAIABQAGwAdQBzAFwAIgAsAFwAIgBrAGcAXAAiACwAMQAsAFwAIgBQAG8AdABhAHMAcwBpAHUAbQAgAC0AIABHAGUAbgBlAHIAaQBjAFwAIgAsADAALgAzADgAMg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E0AaQBsAGEAIAAyADEALQA3AC0AMwAoADQAKQBcACIALABcACIAawBnAFwAIgAsADEALABcACIATgBpAHQAcgBvAGcAZQBuACAALQAgAEcAZQBuAGUAcgBpAGMAXAAiACwAMAAuADIAMQAsAFwAIgBMAG8AYwBhAHQAaQBvAG4AIABuAG8AdAAgAHMAcABlAGMAaQBmAGkAZQBkAFwAIgAsAFwAIgBQAGgAbwBzAHAAaABvAHIAdQBzACAALQAgAEcAZQBuAGUAcgBpAGMAXAAiACwAMAAuADAANwA0ACwAXAAiAEwAbwBjAGEAdABpAG8AbgAgAG4AbwB0ACAAcwBwAGUAYwBpAGYAaQBlAGQAXAAiACwAXAAiAFMAdQBsAGYAdQByACAALQAgAEcAZQBuAGUAcgBpAGMAXAAiACwAMAAuADAANAAsAFwAIgBMAG8AYwBhAHQAaQBvAG4AIABuAG8AdAAgAHMAcABlAGMAaQBmAGkAZQBkAFwAIgAsAFwAIgBQAG8AdABhAHMAcwBpAHUAbQAgAC0AIABHAGUAbgBlAHIAaQBjAFwAIgAsADAALgAwADIANQAsAFwAIgBMAG8AYwBhAHQAaQBvAG4AIABuAG8AdAAgAHMAcABlAGMAaQBmAGkAZQBkAFwAIgAsAFwAIgBNAGEAZwBuAGUAcwBpAHUAbQAgAC0AIABnAGUAbgBlAHIAaQBjAFwAIgAsADAALgAwADAANAAsAFwAIgBMAG8AYwBhAHQAaQBvAG4AIABuAG8AdAAgAHMAcABlAGMAaQBmAGkAZQBkAFwAIgAsAFwAIgBaAGkAbgBjACAALQAgAEcAZQBuAGUAcgBpAGMAXAAiACwAMAAuADAAMAAxADUALABcACIATABvAGMAYQB0AGkAbwBuACAAbgBvAHQAIABzAHAAZQBjAGkAZgBpAGUAZABcACIALABcACIAXAAiACwAXAAiAFwAIgAsAFwAIgBcACIALABcACIAXAAiACwAXAAiAFwAIgAsAFwAIgBcACIALABcACIAXAAiACwAXAAiAFwAIgAsAFwAIgBcACIALABcACIAXAAiACwAXAAiAFwAIgAsAFwAIgBcACIAOwBcAG4AXAAiAFkAYQByAGEAUgBlAGcAYQAgADEAMwAtADIALQAyADEAXAAiACwAXAAiAGsAZwBcACIALAAxACwAXAAiAFAAbwB0AGEAcwBzAGkAdQBtACAALQAgAEcAZQBuAGUAcgBpAGMAXAAiACwAMAAuADIAMQAsAFwAIgBMAG8AYwBhAHQAaQBvAG4AIABuAG8AdAAgAHMAcABlAGMAaQBmAGkAZQBkAFwAIgAsAFwAIgBTAHUAbABmAHUAcgAgAC0AIABHAGUAbgBlAHIAaQBjAFwAIgAsADAALgAxADAAOAAsAFwAIgBMAG8AYwBhAHQAaQBvAG4AIABuAG8AdAAgAHMAcABlAGMAaQBmAGkAZQBkAFwAIgAsAFwAIgBOAGkAdAByAG8AZwBlAG4AIAAtACAAQQBtAG0AbwBuAGkAYQBjAGEAbABcACIALAAwAC4AMAA3ADcALABcACIATABvAGMAYQB0AGkAbwBuACAAbgBvAHQAIABzAHAAZQBjAGkAZgBpAGUAZABcACIALABcACIATgBpAHQAcgBvAGcAZQBuACAAZgByAG8AbQAgAE4AaQB0AHIAYQB0AGUAXAAiACwAMAAuADAANQAzACwAXAAiAEwAbwBjAGEAdABpAG8AbgAgAG4AbwB0ACAAcwBwAGUAYwBpAGYAaQBlAGQAXAAiACwAXAAiAFAAaABvAHMAcABoAG8AcgB1AHMAIAAtACAARwBlAG4AZQByAGkAYwBcACIALAAwAC4AMAAxADcANQAsAFwAIgBMAG8AYwBhAHQAaQBvAG4AIABuAG8AdAAgAHMAcABlAGMAaQBmAGkAZQBkAFwAIgAsAFwAIgBNAGEAZwBuAGUAcwBpAHUAbQAgAC0AIABnAGUAbgBlAHIAaQBjAFwAIgAsADAALgAwADAANAAsAFwAIgBMAG8AYwBhAHQAaQBvAG4AIABuAG8AdAAgAHMAcABlAGMAaQBmAGkAZQBkAFwAIgAsAFwAIgBCAG8AcgBvAG4AIAAtACAAZwBlAG4AZQByAGkAYwBcACIALAAwAC4AMAAwADAAOAAsAFwAIgBMAG8AYwBhAHQAaQBvAG4AIABuAG8AdAAgAHMAcABlAGMAaQBmAGkAZQBkAFwAIgAsAFwAIgBaAGkAbgBjACAALQAgAEcAZQBuAGUAcgBpAGMAXAAiACwAMAAuADAAMAAwADgALABcACIATABvAGMAYQB0AGkAbwBuACAAbgBvAHQAIABzAHAAZQBjAGkAZgBpAGUAZABcACIALABcACIAXAAiACwAXAAiAFwAIgAsAFwAIgBcACIALABcACIAXAAiACwAXAAiAFwAIgAsAFwAIgBcACIAOwBcAG4AXAAiAFkAYQByAGEAUgBlAGcAYQAgADkALQAwAC0AMwAwACAAKAAxADQAKQBcACIALABcACIAawBnAFwAIgAsADEALABcACIAUABvAHQAYQBzAHMAaQB1AG0AIAAtACAARwBlAG4AZQByAGkAYwBcACIALAAwAC4AMwAsAFwAIgBMAG8AYwBhAHQAaQBvAG4AIABuAG8AdAAgAHMAcABlAGMAaQBmAGkAZQBkAFwAIgAsAFwAIgBTAHUAbABmAHUAcgAgAC0AIABHAGUAbgBlAHIAaQBjAFwAIgAsADAALgAxADQALABcACIATABvAGMAYQB0AGkAbwBuACAAbgBvAHQAIABzAHAAZQBjAGkAZgBpAGUAZABcACIALABcACIATgBpAHQAcgBvAGcAZQBuACAALQAgAEEAbQBtAG8AbgBpAGEAYwBhAGwAXAAiACwAMAAuADAANAA1ACwAXAAiAEwAbwBjAGEAdABpAG8AbgAgAG4AbwB0ACAAcwBwAGUAYwBpAGYAaQBlAGQAXAAiACwAXAAiAE4AaQB0AHIAbwBnAGUAbgAgAGYAcgBvAG0AIABOAGkAdAByAGEAdABlAFwAIgAsADAALgAwADQ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LACAAUABMAFUAUwBcACIALABcACIAawBnAFwAIgAsADEALABcACIATgBpAHQAcgBvAGcAZQBuACAALQAgAEcAZQBuAGUAcgBpAGMAXAAiACwAMAAuADEAMwA3ACwAXAAiAEwAbwBjAGEAdABpAG8AbgAgAG4AbwB0ACAAcwBwAGUAYwBpAGYAaQBlAGQAXAAiACwAXAAiAFAAbwB0AGEAcwBzAGkAdQBtACAALQAgAEcAZQBuAGUAcgBpAGMAXAAiACwAMAAuADMAOA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LAFAAXAAiACwAXAAiAGsAZwBcACIALAAxACwAXAAiAFAAbwB0AGEAcwBzAGkAdQBtACAALQAgAEcAZQBuAGUAcgBpAGMAXAAiACwAMAAuADIAOAAyACwAXAAiAEwAbwBjAGEAdABpAG8AbgAgAG4AbwB0ACAAcwBwAGUAYwBpAGYAaQBlAGQAXAAiACwAXAAiAFAAaABvAHMAcABoAG8AcgB1AHMAIAAtACAARwBlAG4AZQByAGkAYwBcACIALAAwAC4AMgAy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FwAbgBGAGUAcgB0AGkAbABpAHMAZQByAF8AUAByAG8AZAB1AGMAdABzAF8ARABhAHQAYQA0AFwAbgA9AEwAQQBNAEIARABBACgAXABuACAATQBBAEsARQBBAFIAUgBBAFkAKAA1ACwAIAAzADUALABcAG4AIABMAEEATQBCAEQAQQAoAHIALABjACwAXABuACAAIABJAE4ARABFAFgAKAB7AFwAbgBcACIAWQBhAHIAYQBUAGUAcgBhACAASwBSAEkAUwBUAEEATABPAE4AIABSAEUARABcACIALABcACIAawBnAFwAIgAsADEALABcACIAUABvAHQAYQBzAHMAaQB1AG0AIAAtACAARwBlAG4AZQByAGkAYwBcACIALAAwAC4AMgA5ADgAOAAsAFwAIgBMAG8AYwBhAHQAaQBvAG4AIABuAG8AdAAgAHMAcABlAGMAaQBmAGkAZQBkAFwAIgAsAFwAIgBOAGkAdAByAG8AZwBlAG4AIAAtACAARwBlAG4AZQByAGkAYwBcACIALAAwAC4AMQAyACwAXAAiAEwAbwBjAGEAdABpAG8AbgAgAG4AbwB0ACAAcwBwAGUAYwBpAGYAaQBlAGQAXAAiACwAXAAiAFAAaABvAHMAcABoAG8AcgB1AHMAIAAtACAARwBlAG4AZQByAGkAYwBcACIALAAwAC4AMAA1ADIANAA0ACwAXAAiAEwAbwBjAGEAdABpAG8AbgAgAG4AbwB0ACAAcwBwAGUAYwBpAGYAaQBlAGQAXAAiACwAXAAiAFMAdQBsAGYAdQByACAALQAgAEcAZQBuAGUAcgBpAGMAXAAiACwAMAAuADAAMQAsAFwAIgBMAG8AYwBhAHQAaQBvAG4AIABuAG8AdAAgAHMAcABlAGMAaQBmAGkAZQBkAFwAIgAsAFwAIgBNAGEAZwBuAGUAcwBpAHUAbQAgAC0AIABnAGUAbgBlAHIAaQBjAFwAIgAsADAALgAwADAANgAwADM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FQAZQByAGEAIABLAFIASQBTAFQAQQBMAE8ATgAgAFMAUABFAEMASQBBAEwAXAAiACwAXAAiAGsAZwBcACIALAAxACwAXAAiAE4AaQB0AHIAbwBnAGUAbgAgAC0AIABHAGUAbgBlAHIAaQBjAFwAIgAsADAALgAxADgALABcACIATABvAGMAYQB0AGkAbwBuACAAbgBvAHQAIABzAHAAZQBjAGkAZgBpAGUAZABcACIALABcACIAUABvAHQAYQBzAHMAaQB1AG0AIAAtACAARwBlAG4AZQByAGkAYwBcACIALAAwAC4AMQA0ADkALABcACIATABvAGMAYQB0AGkAbwBuACAAbgBvAHQAIABzAHAAZQBjAGkAZgBpAGUAZABcACIALABcACIAUABoAG8AcwBwAGgAbwByAHUAcwAgAC0AIABHAGUAbgBlAHIAaQBjAFwAIgAsADAALgAwADcAOQAsAFwAIgBMAG8AYwBhAHQAaQBvAG4AIABuAG8AdAAgAHMAcABlAGMAaQBmAGkAZQBkAFwAIgAsAFwAIgBTAHUAbABmAHUAcgAgAC0AIABHAGUAbgBlAHIAaQBjAFwAIgAsADAALgAwADI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FYAaQB0AGEAIABHAGwAeQB0AHIAZQBsACAAWgBuAFAAXAAiACwAXAAiAEwAXAAiACwAMQAuADMANQA0ACwAXAAiAFoAaQBuAGMAIAAtACAARwBlAG4AZQByAGkAYwBcACIALAAwAC4AMQAsAFwAIgBMAG8AYwBhAHQAaQBvAG4AIABuAG8AdAAgAHMAcABlAGMAaQBmAGkAZQBkAFwAIgAsAFwAIgBQAGgAbwBzAHAAaABvAHIAdQBzACAALQAgAEcAZQBuAGUAcgBpAGMAXAAiACwAMAAuADAANA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YAaQB0AGEAIABaAGkAbgB0AHIAYQBjAFwAIgAsAFwAIgBMAFwAIgAsADEALgA3ADMANAAsAFwAIgBaAGkAbgBjACAALQAgAEcAZQBuAGUAcgBpAGMAXAAiACwAMAAuADcALABcACIATABvAGMAYQB0AGkAbwBuACAAbgBvAHQAIABzAHAAZQBjAGkAZgBpAGUAZABcACIALABcACIATgBpAHQAcgBvAGcAZQBuACAALQAgAEcAZQBuAGUAcgBpAGMAXAAiACwAMAAuADAAMQA4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aAGkAbgBjAFMAdABhAHIAXAAiACwAXAAiAGsAZwBcACIALAAxACwAXAAiAE4AaQB0AHIAbwBnAGUAbgAgAC0AIABBAG0AbQBvAG4AaQBhAGMAYQBsAFwAIgAsADAALgAxACwAXAAiAEwAbwBjAGEAdABpAG8AbgAgAG4AbwB0ACAAcwBwAGUAYwBpAGYAaQBlAGQAXAAiACwAXAAiAFAAaABvAHMAcABoAG8AcgB1AHMAIAAtACAARwBlAG4AZQByAGkAYwBcACIALAAwAC4AMgAyACwAXAAiAEwAbwBjAGEAdABpAG8AbgAgAG4AbwB0ACAAcwBwAGUAYwBpAGYAaQBlAGQAXAAiACwAXAAiAFMAdQBsAGYAdQByACAALQAgAEcAZQBuAGUAcgBpAGMAXAAiACwAMAAuADAAMgAsAFwAIgBMAG8AYwBhAHQAaQBvAG4AIABuAG8AdAAgAHMAcABlAGMAaQBmAGkAZQBkAFwAIgAsAFwAIgBaAGkAbgBjACAALQAgAEcAZQBuAGUAcgBpAGMAXAAiACwAMAAuADAAM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KgAvAFwAbgBcAG4AXABuAFwAbg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AwACwAIABcACIAXAAiADsAXABuACAAIAAgACAAIAAgACAAIABcACIASQBuAGMAaQBuAGUAcgBhAHQAaQBvAG4AXAAiACwAIABcACIARwByAGUAZQBuACAAdwBhAHMAdABlACAAKABpAG4AYwBsAHUAZABpAG4AZwAgAGMAcgBvAHAAIAByAGUAcwBpAGQAdQBlAHMAIABvAHIAIABwAHIAdQBuAGkAbgBnAHMAKQBcACIALAAgADAALAAgAFwAIgBcACIAOwBcAG4AIAAgACAAIAAgACAAIAAgAFwAIgBJAG4AYwBpAG4AZQByAGEAdABpAG8AbgBcACIALAAgAFwAIgBXAG8AbwBkAFwAIgAsACAAMAAsACAAXAAiAFwAIgA7AFwAbgAgACAAIAAgACAAIAAgACAAXAAiAEkAbgBjAGkAbgBlAHIAYQB0AGkAbwBuAFwAIgAsACAAXAAiAFMAbAB1AGQAZwBlAFwAIgAsACAAMA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MAAuADAANAA2ACwAIABcACIAXAAiADsAXABuACAAIAAgACAAIAAgACAAIABcACIAQwBvAG0AcABvAHMAdABpAG4AZwBcACIALAAgAFwAIgBHAHIAZQBlAG4AIAB3AGEAcwB0AGUAIAAoAGkAbgBjAGwAdQBkAGkAbgBnACAAYwByAG8AcAAgAHIAZQBzAGkAZAB1AGUAcwAgAG8AcgAgAHAAcgB1AG4AaQBuAGcAcwApAFwAIgAsACAAMAAuADAANAA2ACwAIABcACIAXAAiADsAXABuACAAIAAgACAAIAAgACAAIABcACIAQwBvAG0AcABvAHMAdABpAG4AZwBcACIALAAgAFwAIgBXAG8AbwBkAFwAIgAsACAAMAAuADAANAA2ACwAIABcACIAXAAiADsAXABuACAAIAAgACAAIAAgACAAIABcACIAQwBvAG0AcABvAHMAdABpAG4AZwBcACIALAAgAFwAIgBTAGwAdQBkAGcAZQBcACIALAAgADAALgAwADQANgAsACAAXAAiAFwAIgA7AFwAbgAgACAAIAAgACAAIAAgACAAXAAiAEMAbwBtAHAAbwBzAHQAaQBuAGcAXAAiACwAIABcACIAUABhAHAAZQByACAAYQBuAGQAIABjAGEAcgBkAGIAbwBhAHIAZABcACIALAAgADAALgAwADQANgAsACAAXAAiAFwAIgA7AFwAbgBcAG4AIAAgACAAIAAgACAAIAAgAFwAIgBBAG4AYQBlAHIAbwBiAGkAYwAgAGQAaQBnAGUAcwB0AGkAbwBuAFwAIgAsACAAXAAiAEEAbABsACAAbwByAGcAYQBuAGkAYwAgAHcAYQBzAHQAZQBcACIALAAgADAALgAwADIAOAAsACAAXAAiAE4ARwBBAEYAIAAyADAAMgA1ACAAVABhAGIAbABlACAAMQA5AFwAIgA7AFwAbgAgACAAIAAgACAAIAAgACAAXAAiAEEAbgBhAGUAcgBvAGIAaQBjACAAZABpAGcAZQBzAHQAaQBvAG4AXAAiACwAIABcACIARgBvAG8AZAAgAHcAYQBzAHQAZQAgACgAaQBuAGMAbAB1AGQAaQBuAGcAIABhAG4AaQBtAGEAbAAgAGMAYQByAGMAYQBzAHMAZQBzACwAIABzAHAAbwBpAGwAZQBkACAAYQBuAGkAbQBhAGwAIABmAGUAZQBkACAAbwByACAAYwByAG8AcAApAFwAIgAsACAAMAAuADAAMgA4ACwAIABcACIAXAAiADsAXABuACAAIAAgACAAIAAgACAAIABcACIAQQBuAGEAZQByAG8AYgBpAGMAIABkAGkAZwBlAHMAdABpAG8AbgBcACIALAAgAFwAIgBHAHIAZQBlAG4AIAB3AGEAcwB0AGUAIAAoAGkAbgBjAGwAdQBkAGkAbgBnACAAYwByAG8AcAAgAHIAZQBzAGkAZAB1AGUAcwAgAG8AcgAgAHAAcgB1AG4AaQBuAGcAcwApAFwAIgAsACAAMAAuADAAMgA4ACwAIABcACIAXAAiADsAXABuACAAIAAgACAAIAAgACAAIABcACIAQQBuAGEAZQByAG8AYgBpAGMAIABkAGkAZwBlAHMAdABpAG8AbgBcACIALAAgAFwAIgBXAG8AbwBkAFwAIgAsACAAMAAuADAAMgA4ACwAIABcACIAXAAiADsAXABuACAAIAAgACAAIAAgACAAIABcACIAQQBuAGEAZQByAG8AYgBpAGMAIABkAGkAZwBlAHMAdABpAG8AbgBcACIALAAgAFwAIgBTAGwAdQBkAGcAZQBcACIALAAgADAALgAwADIAOAAsACAAXAAiAFwAIgA7AFwAbgAgACAAIAAgACAAIAAgACAAXAAiAEEAbgBhAGUAcgBvAGIAaQBjACAAZABpAGcAZQBzAHQAaQBvAG4AXAAiACwAIABcACIAUABhAHAAZQByACAAYQBuAGQAIABjAGEAcgBkAGIAbwBhAHIAZABcACIALAAgADAALgAwADIAOA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FwAdQAwADAAMgA3AHAAYQBwAGUAcgAgAGEAbgBkACAAYwBhAHIAYgBvAGEAcgBkAFwAdQAwADAAMgA3ACAAdABvACAAXAB1ADAAMAAyADcAcABhAHAAZQByACAAYQBuAGQAIABjAGEAcgBkAGIAbwBhAHIAZABcAHUAMAAwADIANwBcACIAOwBcAG4AIAAgACAAIAAgACAAIAAgAFwAIgBGAGkAeABlAGQAIAB0AHkAcABvACAAXAB1ADAAMAAyADcAcAByAHUAbgBuAGkAbgBnAHMAXAB1ADAAMAAyADcAIAB0AG8AIABcAHUAMAAwADIANwBwAHIAdQBuAGkAbgBnAHMAXAB1ADAAMAAyADcAXAAiADsAXABuACAAIAAgACAAIAAgACAAIABcACIAQQBkAGQAZQBkACAARQBGACAAcwBvAHUAcgBjAGUAIABjAG8AbAB1AG0AbgAgAHcAaQB0AGgAIABzAHAAZQBjAGkAZgBpAGMAIAByAGUAZgBlAHIAZQBuAGMAZQBzAFwAIgA7AFwAbgAgACAAIAAgACAAIAAgACAAXAAiAEEAZABkAGUAZAAgAHMAdQBiAC0AYwBhAHQAZQBnAG8AcgBpAGUAcwAgAGYAbwByACAAXAB1ADAAMAAyADcASQBuAGMAaQBuAGUAcgBhAHQAaQBvAG4AOgAgAEYAbwBvAGQAIAB3AGEAcwB0AGUALAAgAGcAcgBlAGUAbgAgAHcAYQBzAHQAZQAsACAAdwBvAG8AZAAsACAAcwBsAHUAZABn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wBvAG0AcABvAHMAdABpAG4AZwA6ACAAQQBsAGwAIABvAHIAZwBhAG4AaQBjACAAdwBhAHMAdA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EAbgBhAGUAcgBvAGIAaQBjACAAZABpAGcAZQBzAHQAaQBvAG4AOgAgAEEAbABsACAAbwByAGcAYQBuAGkAYwAgAHcAYQBzAHQAZQBcAHUAMAAwADIAN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YgBhAGwAZQBkAFwAbgBkAGkAbQBlAG4AcwBpAG8AbgBsAGUAcwBzAFwAbgBGAEYATwBEAF8AewBjAH0APQBcAFwAZgByAGEAYwB7AEIAXABcAHQAaQBtAGUAcwAgAE0AXwB7AEIAfQB9AHsAUABfAHsAYwB9AFwAXAB0AGkAbQBlAHMAIABSAF8AewBBAEcALABjAH0AfQBcAG4AQgAgAD0AIABuAHUAbQBiAGUAcgAgAG8AZgAgAGIAYQBsAGUAcwAgAGcAZQBuAGUAcgBhAHQAZQBkACAAKABkAGkAbQBlAG4AcwBpAG8AbgBsAGUAcwBz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ABpAG0AZQBuAHMAaQBvAG4AbABlAHMAcwApAFwAbgBjACAAPQAgAEMAcgBvAHAAIAB0AHkAcABlAFwAbgAtAC0ALQAtAC0ALQAtAC0ALQAtAC0ALQAtAC0ALQAtAC0ALQAtAC0ALQAtAC0ALQAtAC0ALQAtAC0ALQAtAC0ALQAtAC0ALQAtAC0AXABuACoALwBcAG4AXABuAFYARQBFAFIARwBfADYAXwAxAF8AMQBfADIAXwBfADEAXwBfAEYAcgBhAGMAdABpAG8AbgBPAGYAQwByAG8AcABSAGUAcwBpAGQAdQBlAFIAZQBtAG8AdgBlAGQAQgBhAGwAZQBkAFwAbgAgACAAPQBMAEEATQBCAEQAQQAoAFwAbgAgACAAIAAgAEIALAAgAE0AXwBCACwAIABQAF8AYwAsACAAUgBfAEEARwBjACwAXABuACAAIAAgACAASQBGAEUAUgBSAE8AUgAoACgAQgAgACoAIABNAF8AQgApACAALwAgACgAUABfAGMAIAAqACAAUgBfAEEARwBjACkALAAgADAAKQBcAG4AIAAgACkAXABuADsAXABuAFwAbgBWAEUARQBSAEcAXwA2AF8AMQBfADEAXwAyAF8AXwAxAF8AXwBGAHIAYQBjAHQAaQBvAG4ATwBmAEMAcgBvAHAAUgBlAHMAaQBkAHUAZQBSAGUAbQBvAHYAZQBkAEIAYQBsAGUAZABfAFQAaQB0AGwAZQBcAG4AIAAgAD0ATABBAE0AQgBEAEEAKABcACIARgByAGEAYwB0AGkAbwBuACAAbwBmACAAYwByAG8AcAAgAHIAZQBzAGkAZAB1AGUAIAB0AGgAYQB0ACAAaQBzACAAcgBlAG0AbwB2AGUAZAAgAGYAbwByACAAYwByAG8AcAAgAGMALAAgAGMAYQBsAGMAdQBsAGEAdABlAGQAIAB3AGgAZQByAGUAIAByAGUAcwBpAGQAdQBlAHMAIABhAHIAZQAgAGIAYQBsAGUAZABcACIAKQA7AFwAbgBcAG4AVgBFAEUAUgBHAF8ANgBfADEAXwAxAF8AMgBfAF8AMQBfAF8ARgByAGEAYwB0AGkAbwBuAE8AZgBDAHIAbwBwAFIAZQBzAGkAZAB1AGUAUgBlAG0AbwB2AGUAZABCAGEAbABlAGQAXwBWAGEAcgBpAGEAYgBsAGUAXABuACAAIAA9AEwAQQBNAEIARABBACgAXAAiAEYARgBPAEQAXwBjAGIAYQBsAGUAZABcACIAKQA7AFwAbgBcAG4AVgBFAEUAUgBHAF8ANgBfADEAXwAxAF8AMgBfAF8AMQBfAF8ARgByAGEAYwB0AGkAbwBuAE8AZgBDAHIAbwBwAFIAZQBzAGkAZAB1AGUAUgBlAG0AbwB2AGUAZABCAGEAbABlAGQAXwBVAG4AaQB0AFwAbgAgACAAPQBMAEEATQBCAEQAQQAoAFwAIgBkAGkAbQBlAG4AcwBpAG8AbgBsAGUAcwBz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AsAGIAYQBsAGUAZA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WAEEAUgBJAEEAVABJAE8ATgAgAEYAUgBPAE0AIABTAE8AVQBSAEMARQA6ACAAQQBkAGQAZQBkACAAXAB1ADAAMAAyADcAYgBhAGwAZQBkAFwAdQAwADAAMgA3ACAAdABvACAAdgBhAHIAaQBhAGIAbABlACAAcwB1AGIAcwBjAHIAaQBwAHQAXAAiACkAOwBcAG4AXABuAFwAbgBcAG4ALwAqACAAXABuAC0ALQAtAC0ALQAtAC0ALQAtAC0ALQAtAC0ALQAtAC0ALQAtAC0ALQAtAC0ALQAtAC0ALQAtAC0ALQAtAC0ALQAtAC0ALQAtAC0ALQBcAG4AVgBFAEUAUgBHAF8ANgBfADEAXwAxAF8AMgBfAF8AMQBhAF8AXwBGAHIAYQBjAHQAaQBvAG4ATwBmAEMAcgBvAHAAUgBlAHMAaQBkAHUAZQBSAGUAbQBvAHYAZQBkAFwAbgBGAHIAYQBjAHQAaQBvAG4AIABvAGYAIABjAHIAbwBwACAAcgBlAHMAaQBkAHUAZQAgAHQAaABhAHQAIABpAHMAIAByAGUAbQBvAHYAZQBkACAAZgBvAHIAIABjAHIAbwBwACAAYwBcAG4ARgBGAE8ARABjAFwAbgBkAGkAbQBlAG4AcwBpAG8AbgBsAGUAcwBzAFwAbgBcAG4ALQAtAC0ALQAtAC0ALQAtAC0ALQAtAC0ALQAtAC0ALQAtAC0ALQAtAC0ALQAtAC0ALQAtAC0ALQAtAC0ALQAtAC0ALQAtAC0ALQAtAFwAbgAqAC8AXABuAFwAbgBWAEUARQBSAEcAXwA2AF8AMQBfADEAXwAyAF8AXwAxAGEAXwBfAEYAcgBhAGMAdABpAG8AbgBPAGYAQwByAG8AcABSAGUAcwBpAGQAdQBlAFIAZQBtAG8AdgBlAGQAXABuACAAIAA9AEwAQQBNAEIARABBACgAXABuACAAIAAgACAARgBGAE8ARABfAGMAYgBhAGwAZQBkACwAIABGAEYATwBEAF8AYwBvAHQAaABlAHIALABcAG4AIAAgACAAIABGAEYATwBEAF8AYwBiAGEAbABlAGQAIAArACAARgBGAE8ARABfAGMAbwB0AGgAZQByAFwAbgAgACAAKQBcAG4AOwBcAG4AXABuAFYARQBFAFIARwBfADYAXwAxAF8AMQBfADIAXwBfADEAYQBfAF8ARgByAGEAYwB0AGkAbwBuAE8AZgBDAHIAbwBwAFIAZQBzAGkAZAB1AGUAUgBlAG0AbwB2AGUAZABfAFQAaQB0AGwAZQBcAG4AIAAgAD0ATABBAE0AQgBEAEEAKABcACIARgByAGEAYwB0AGkAbwBuACAAbwBmACAAYwByAG8AcAAgAHIAZQBzAGkAZAB1AGUAIAB0AGgAYQB0ACAAaQBzACAAcgBlAG0AbwB2AGUAZAAgAGYAbwByACAAYwByAG8AcAAgAGMAXAAiACkAOwBcAG4AXABuAFYARQBFAFIARwBfADYAXwAxAF8AMQBfADIAXwBfADEAYQBfAF8ARgByAGEAYwB0AGkAbwBuAE8AZgBDAHIAbwBwAFIAZQBzAGkAZAB1AGUAUgBlAG0AbwB2AGUAZABfAFYAYQByAGkAYQBiAGwAZQBcAG4AIAAgAD0ATABBAE0AQgBEAEEAKABcACIARgBGAE8ARABfAGMAXAAiACkAOwBcAG4AXABuAFYARQBFAFIARwBfADYAXwAxAF8AMQBfADIAXwBfADEAYQBfAF8ARgByAGEAYwB0AGkAbwBuAE8AZgBDAHIAbwBwAFIAZQBzAGkAZAB1AGUAUgBlAG0AbwB2AGUAZABfAFUAbgBpAHQAXABuACAAIAA9AEwAQQBNAEIARABBACgAXAAiAGQAaQBtAGUAbgBzAGkAbwBuAGwAZQBzAHMAXAAiACkAOwBcAG4AXABuAFYARQBFAFIARwBfADYAXwAxAF8AMQBfADIAXwBfADEAYQBfAF8ARgByAGEAYwB0AGkAbwBuAE8AZgBDAHIAbwBwAFIAZQBzAGkAZAB1AGUAUgBlAG0AbwB2AGUAZABfAFMAbwB1AHIAYwBlAFwAbgAgACAAPQBMAEEATQBCAEQAQQAoAFwAIgBcACIAKQA7AFwAbgBcAG4AVgBFAEUAUgBHAF8ANgBfADEAXwAxAF8AMgBfAF8AMQBhAF8AXwBGAHIAYQBjAHQAaQBvAG4ATwBmAEMAcgBvAHAAUgBlAHMAaQBkAHUAZQBSAGUAbQBvAHYAZQBkAF8ATgBJAFIAUgBlAGYAZQByAGUAbgBjAGUAXABuACAAIAA9AEwAQQBNAEIARABBACgAXAAiAFwAIgApADsAXABuAFwAbgBWAEUARQBSAEcAXwA2AF8AMQBfADEAXwAyAF8AXwAxAGEAXwBfAEYAcgBhAGMAdABpAG8AbgBPAGYAQwByAG8AcABSAGUAcwBpAGQAdQBlAFIAZQBtAG8AdgBlAGQAXwBMAGEAdABlAHgARQBxAHUAYQB0AGkAbwBuAFwAbgAgACAAPQBMAEEATQBCAEQAQQAoAFwAIgBGAEYATwBEAF8AewBjAH0AIAA9ACAARgBGAE8ARABfAHsAYwAsAGIAYQBsAGUAZAB9ACAAKwAgAEYARgBPAEQAXwB7AGMALABvAHQAaABlAHIAfQBcACIAKQA7AFwAbgBcAG4AVgBFAEUAUgBHAF8ANgBfADEAXwAxAF8AMgBfAF8AMQBhAF8AXwBGAHIAYQBjAHQAaQBvAG4ATwBmAEMAcgBvAHAAUgBlAHMAaQBkAHUAZQBSAGUAbQBvAHYAZQBkAF8AQQByAGcAdQBtAGUAbgB0AHMAXABuACAAIAA9AEwAQQBNAEIARABBACgAXABuACAAIAAgACAATQBBAEsARQBBAFIAUgBBAFkAKAAyACwAIAA0ACwAIABcAG4AIAAgACAAIAAgACAATABBAE0AQgBEAEEAKAByACwAYwAsACAAXABuACAAIAAgACAAIAAgACAAIABJAE4ARABFAFgAKAB7AFwAbgAgACAAIAAgACAAIAAgACAAIAAgAFwAIgBGAEYATwBEAF8AYwBiAGEAbABlAGQAXAAiACwAXAAiAEYAcgBhAGMAdABpAG8AbgAgAG8AZgAgAGMAcgBvAHAAIAByAGUAcwBpAGQAdQBlACAAdABoAGEAdAAgAGkAcwAgAHIAZQBtAG8AdgBlAGQAIABmAG8AcgAgAGMAcgBvAHAAIABjACwAIABjAGEAbABjAHUAbABhAHQAZQBkACAAdwBoAGUAcgBlACAAcgBlAHMAaQBkAHUAZQBzACAAYQByAGUAIABiAGEAbABlAGQAXAAiACwAIABcACIAZgByAGEAYwB0AGkAbwBuAFwAIgAsACAAXAAiAEMAYQBsAGMAdQBsAGEAdABlAGQAIABmAHIAbwBtACAANgAuADEALgAxAC4AMgAsACAAKAAxACkAXAAiADsAXABuACAAIAAgACAAIAAgACAAIAAgACAAXAAiAEYARgBPAEQAXwBjAG8AdABoAGUAcgBcACIALABcACIARgByAGEAYwB0AGkAbwBuACAAbwBmACAAYwByAG8AcAAgAHIAZQBzAGkAZAB1AGUAIAB0AGgAYQB0ACAAaQBzACAAcgBlAG0AbwB2AGUAZAAgAGYAbwByACAAYwByAG8AcAAgAGMALAAgAGMAYQBsAGMAdQBsAGEAdABlAGQAIAB3AGgAZQByAGUAIAByAGUAcwBpAGQAdQBlAHMAIABhAHIAZQAgAHIAZQBtAG8AdgBlAGQAIABiAHkAIABvAHQAaABlAHIAIABtAGUAYQBuAHMAXAAiACwAIABcACIAZgByAGEAYwB0AGkAbwBuAFwAIgAsACAAXAAiAEkAbgBwAHUAdABcACIAXABuACAAIAAgACAAIAAgACAAIAB9ACwAIAByACwAIABjACkAXABuACAAIAAgACAAIAAgACkAXABuACAAIAAgACAAKQBcAG4AIAAgACkAOwBcAG4AXABuAFYARQBFAFIARwBfADYAXwAxAF8AMQBfADIAXwBfADEAYQBfAF8ARgByAGEAYwB0AGkAbwBuAE8AZgBDAHIAbwBwAFIAZQBzAGkAZAB1AGUAUgBlAG0AbwB2AGUAZABfAFYAYQByAGkAYQB0AGkAbwBuAFwAbgAgACAAPQBMAEEATQBCAEQAQQAoAFwAIgBWAEEAUgBJAEEAVABJAE8ATgAgAEYAUgBPAE0AIABTAE8AVQBSAEMARQA6ACAAQQBkAGQAZQBkACAAdABoAGkAcwAgAGUAcQB1AGEAdABpAG8AbgAgAHQAbwAgAGEAYwBjAG8AbQBtAG8AZABhAHQAZQAgAHUAcwBlAHIALQBkAGUAZgBpAG4AZQBkACAAcgBlAHMAaQBkAHUAZQAgAHIAZQBtAG8AdgBhAGwAIABvAHQAaABlAHIAIAB0AGgAYQBuACAAYgBhAGwAaQBuAGcALgBcACIAKQA7ACIAfQAsAHsAIgBwAGEAdABoACIAOgAiAC8AcAByAG8AagBlAGMAdABzAC8AQQBnAFIAZQBzAGkAZAB1AGUAXwBFAHEAdQBhAHQAaQBvAG4AcwBfAFAAYQBzAHQAdQByAGUAUgBlAHMAaQBkAHUAZQAiACwAIgB0AGUAeAB0ACIAOgAiAC8AKgAgAFwAbgAtAC0ALQAtAC0ALQAtAC0ALQAtAC0ALQAtAC0ALQAtAC0ALQAtAC0ALQAtAC0ALQAtAC0ALQAtAC0ALQAtAC0ALQAtAC0ALQAtAC0AXABuAFYARQBFAFIARwBfADYAXwAyAF8AMQBfADEAXwBfADEAXwBfAE4AaQB0AHIAbwB1AHMATwB4AGkAZABlAEUAbQBpAHMAcwBpAG8AbgBzAEYAcgBvAG0AUABhAHMAdAB1AHIAZQBSAGUAcwBpAGQAdQBlAHMAXABuAE4AaQB0AHIAbwB1AHMAIABvAHgAaQBkAGUAIABlAG0AaQBzAHMAaQBvAG4AcwAgAGYAcgBvAG0AIAB0AGgAZQAgAHIAZQB0AHUAcgBuACAAbwBmACAAcABhAHMAdAB1AHIAZQAgAHIAZQBzAGkAZAB1AGUAcwAgAGYAcgBvAG0AIABhAGwAbAAgAHAAYQBzAHQAdQByAGUAIAB0AHkAcABlAHMAIAB0AG8AIAB0AGgAZQAgAHMAbwBpAGwAXABuAEUATgAyAE8AXABuAHQAIABOADIATwBcAG4ARQBfAHsATgAyAE8AfQA9AFwAXABzAHUAbQBfAHsAcAB9AFwAXABsAGUAZgB0ACgATQBfAHAAXABcAHQAaQBtAGUAcwAgAEUARgBfAHsATgBpAH0AXABcAHQAaQBtAGUAcwAgAEMAXwB7AE4AMgBPAH0AXABcAHQAaQBtAGUAcwB7ADEAMAB9AF4AewAtADMAfQBcAFwAcgBpAGcAaAB0ACkAXABuAE0AcAAgAD0AIABtAGEAcwBzACAAbwBmACAAbgBpAHQAcgBvAGcAZQBuACAAaQBuACAAcABhAHMAdAB1AHIAZQAgAHAAIAByAGUAcwBpAGQAdQBlAHMAIAByAGUAdAB1AHIAbgBlAGQAIAB0AG8AIAB0AGgAZQAgAHMAbwBpAGwAIAAoAGsAZwAgAE4AKQBcAG4ARQBGAE4AaQAgAD0AIABlAG0AaQBzAHMAaQBvAG4AIABmAGEAYwB0AG8AcgAgAGYAbwByACAAYwByAG8AcAAgAHIAZQBzAGkAZAB1AGUAcwAgAHIAZQB0AHUAcgBuAGUAZAAgAHQAbwAgAHQAaABlACAAcwBvAGkAbAAgAGkAbgAgAGMAbABpAG0AYQB0AGUAIAB6AG8AbgBlACAAaQ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cAAgAD0AIABQAGEAcwB0AHUAcgBlACAAdAB5AHAAZQBcAG4AaQAgAD0AIABDAGwAaQBtAGEAdABlACAAegBvAG4AZQBcAG4ALQAtAC0ALQAtAC0ALQAtAC0ALQAtAC0ALQAtAC0ALQAtAC0ALQAtAC0ALQAtAC0ALQAtAC0ALQAtAC0ALQAtAC0ALQAtAC0ALQAtAFwAbgAqAC8AXABuAFwAbgBWAEUARQBSAEcAXwA2AF8AMgBfADEAXwAxAF8AXwAxAF8AXwBOAGkAdAByAG8AdQBzAE8AeABpAGQAZQBFAG0AaQBzAHMAaQBvAG4AcwBGAHIAbwBtAFAAYQBzAHQAdQByAGUAUgBlAHMAaQBkAHUAZQBzAFwAbgAgACAAPQBMAEEATQBCAEQAQQAoAFwAbgAgACAAIAAgAE0AXwBwACwAIABFAEYAXwBOAGkALAAgAEMAXwBOADIATwAsAFwAbgAgACAAIAAgACgATQBfAHAAIAAqACAARQBGAF8ATgBpACkAIAAqACAAQwBfAE4AMgBPACAAKgAgADEAMABeACgALQAzACkAXABuACAAIAApADsAXABuAFwAbgBWAEUARQBSAEcAXwA2AF8AMgBfADEAXwAxAF8AXwAxAF8AXwBOAGkAdAByAG8AdQBzAE8AeABpAGQAZQBFAG0AaQBzAHMAaQBvAG4AcwBGAHIAbwBtAFAAYQBzAHQAdQByAGUAUgBlAHMAaQBkAHUAZQBzAF8AVABpAHQAbABlAFwAbgAgACAAPQBMAEEATQBCAEQAQQAoAFwAIgBOAGkAdAByAG8AdQBzACAAbwB4AGkAZABlACAAZQBtAGkAcwBzAGkAbwBuAHMAIABmAHIAbwBtACAAdABoAGUAIAByAGUAdAB1AHIAbgAgAG8AZgAgAHAAYQBzAHQAdQByAGUAIAByAGUAcwBpAGQAdQBlAHMAIABmAHIAbwBtACAAYQBsAGwAIABwAGEAcwB0AHUAcgBlACAAdAB5AHAAZQBzACAAdABvACAAdABoAGUAIABzAG8AaQBsAFwAIgApADsAXABuAFwAbgBWAEUARQBSAEcAXwA2AF8AMgBfADEAXwAxAF8AXwAxAF8AXwBOAGkAdAByAG8AdQBzAE8AeABpAGQAZQBFAG0AaQBzAHMAaQBvAG4AcwBGAHIAbwBtAFAAYQBzAHQAdQByAGUAUgBlAHMAaQBkAHUAZQBzAF8AVgBhAHIAaQBhAGIAbABlAFwAbgAgACAAPQBMAEEATQBCAEQAQQAoAFwAIgBFAE4AMgBPAFwAIgApADsAXABuAFwAbgBWAEUARQBSAEcAXwA2AF8AMgBfADEAXwAxAF8AXwAxAF8AXwBOAGkAdAByAG8AdQBzAE8AeABpAGQAZQBFAG0AaQBzAHMAaQBvAG4AcwBGAHIAbwBtAFAAYQBzAHQAdQByAGUAUgBlAHMAaQBkAHUAZQBzAF8AVQBuAGkAdABcAG4AIAAgAD0ATABBAE0AQgBEAEEAKABcACIAdAAgAE4AMgBPAFwAIgApADsAXABuAFwAbgBWAEUARQBSAEcAXwA2AF8AMgBfADEAXwAxAF8AXwAxAF8AXwBOAGkAdAByAG8AdQBzAE8AeABpAGQAZQBFAG0AaQBzAHMAaQBvAG4AcwBGAHIAbwBtAFAAYQBzAHQAdQByAGUAUgBlAHMAaQBkAHUAZQBzAF8AUwBvAHUAcgBjAGUAXABuACAAIAA9AEwAQQBNAEIARABBACgAXAAiAFYARQBFAFIARwAgADIAMAAyADYAOgAgADYALgAyAC4AMQAuADEALAAgAEUAcQB1AGEAdABpAG8AbgAgACgAMQApAFwAIgApADsAXABuAFwAbgBWAEUARQBSAEcAXwA2AF8AMgBfADEAXwAxAF8AXwAxAF8AXwBOAGkAdAByAG8AdQBzAE8AeABpAGQAZQBFAG0AaQBzAHMAaQBvAG4AcwBGAHIAbwBtAFAAYQBzAHQAdQByAGUAUgBlAHMAaQBkAHUAZQBzAF8ATgBJAFIAUgBlAGYAZQByAGUAbgBjAGUAXABuACAAIAA9AEwAQQBNAEIARABBACgAXAAiAFwAIgApADsAXABuAFwAbgBWAEUARQBSAEcAXwA2AF8AMgBfADEAXwAxAF8AXwAxAF8AXwBOAGkAdAByAG8AdQBzAE8AeABpAGQAZQBFAG0AaQBzAHMAaQBvAG4AcwBGAHIAbwBtAFAAYQBzAHQAdQByAGUAUgBlAHMAaQBkAHUAZQBzAF8ATABhAHQAZQB4AEUAcQB1AGEAdABpAG8AbgBcAG4AIAAgAD0ATABBAE0AQgBEAEEAKABcACIARQBfAHsATgAyAE8AfQA9AFwAXABzAHUAbQBcAFwAbgBvAGwAaQBtAGkAdABzAF8AcABcAFwAbABlAGYAdAAoAE0AXwBwAFwAXAB0AGkAbQBlAHMAIABFAEYAXwB7AE4AaQB9AFwAXAByAGkAZwBoAHQAKQBcAFwAdABpAG0AZQBzACAAQwBfAHsATgAyAE8AfQBcAFwAdABpAG0AZQBzAHsAMQAwAH0AXgB7AC0AMwB9AFwAIgApADsAXABuAFwAbgBWAEUARQBSAEcAXwA2AF8AMgBfADEAXwAxAF8AXwAxAF8AXwBOAGkAdAByAG8AdQBzAE8AeABpAGQAZQBFAG0AaQBzAHMAaQBvAG4AcwBGAHIAbwBtAFAAYQBzAHQAdQByAGU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cABcACIALABcACIAbQBhAHMAcwAgAG8AZgAgAG4AaQB0AHIAbwBnAGUAbgAgAGkAbgAgAHAAYQBzAHQAdQByAGUAIABwACAAcgBlAHMAaQBkAHUAZQBzACAAcgBlAHQAdQByAG4AZQBkACAAdABvACAAdABoAGUAIABzAG8AaQBsAFwAIgAsACAAXAAiAGsAZwAgAE4AXAAiACwAIABcACIAQwBhAGwAYwB1AGwAYQB0AGUAZAAgAGYAcgBvAG0AIAA2AC4AMgAuADEALgAxACAAKAAyACkAXAAiADsAXABuACAAIAAgACAAIAAgACAAIAAgACAAXAAiAEUARgBfAE4AaQBcACIALABcACIAZQBtAGkAcwBzAGkAbwBuACAAZgBhAGMAdABvAHIAIABmAG8AcgAgAGMAcgBvAHAAIAByAGUAcwBpAGQAdQBlAHMAIAByAGUAdAB1AHIAbgBlAGQAIAB0AG8AIAB0AGgAZQAgAHMAbwBpAGwAIABpAG4AIABjAGwAaQBtAGEAdABlACAAegBvAG4AZQAgAGk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cABcACIALABcACIAUABhAHMAdAB1AHIAZQ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IAXwAxAF8AMQBfAF8AMgBfAF8ATQBhAHMAcwBPAGYATgBpAHQAcgBvAGcAZQBuAEkAbgBQAGEAcwB0AHUAcgBlAFIAZQBzAGkAZAB1AGUAcwBcAG4ATQBhAHMAcwAgAG8AZgAgAG4AaQB0AHIAbwBnAGUAbgAgAGkAbgAgAHAAYQBzAHQAdQByAGUAIAByAGUAcwBpAGQAdQBlAHMAIAByAGUAdAB1AHIAbgBlAGQAIAB0AG8AIAB0AGgAZQAgAHMAbwBpAGwAXABuAE0AcABcAG4AawBnACAATgBcAG4ATQBfAHAAIAA9ACAAKABBAF8AcAAgANc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BuAEEAXwBwACAAPQAgAGEAcgBlAGEAIABvAGYAIABwAGEAcwB0AHUAcgBlACAAcgBlAG4AZQB3AGUAZAAgAG8AcgAgAHIAZQBtAG8AdgBlAGQAIAAoAGgAYQApAFwAbgBZAHAAIAA9ACAAYQB2AGUAcgBhAGcAZQAgAHkAaQBlAGwAZAAgAG8AZgAgAHAAYQBzAHQAdQByAGUAIABjAHIAbwBwACAAKAB0ACAARABNAC8AaABhACkAXABuAE4AQwBBAEcAcAAgAD0AIABOACAAYwBvAG4AdABlAG4AdAAgAG8AZgAgAGEAYgBvAHYAZQAtAGcAcgBvAHUAbgBkACAAcABhAHMAdAB1AHIAZQAgAHIAZQBzAGkAZAB1AGUAIAAoAGsAZwAgAE4ALwBrAGcAIABEAE0AKQBcAG4AUgBfAEIARwBwACAAPQAgAGIAZQBsAG8AdwAtAGcAcgBvAHUAbgBkACAAcgBlAHMAaQBkAHUAZQAgAHQAbwAgAGEAYgBvAHYAZQAtAGcAcgBvAHUAbgBkACAAcgBlAHMAaQBkAHUAZQAgAHIAYQB0AGkAbwAgAGYAbwByACAAcABhAHMAdAB1AHIAZQAgAGMAcgBvAHAAIAAoAGQAaQBtAGUAbgBzAGkAbwBuAGwAZQBzAHMAKQBcAG4ATgBDAF8AQgBHAHAAIAA9ACAATgAgAGMAbwBuAHQAZQBuAHQAIABvAGYAIABiAGUAbABvAHcALQBnAHIAbwB1AG4AZAAgAHAAYQBzAHQAdQByAGUAIABjAHIAbwBwACAAcgBlAHMAaQBkAHUAZQAgACgAawBnACAATgAvAGsAZwAgAEQATQApAFwAbgBGAEYATwBEAHAAIAA9ACAAZgByAGEAYwB0AGkAbwBuACAAbwBmACAAcABhAHMAdAB1AHIAZQAgAHkAaQBlAGwAZAAgAHQAaABhAHQAIABpAHMAIAByAGUAbQBvAHYAZQBkACAAKABkAGkAbQBlAG4AcwBpAG8AbgBsAGUAcwBzACkAXABuAHAAIAA9ACAAUABhAHMAdAB1AHIAZQAgAHQAeQBwAGUAXABuAC0ALQAtAC0ALQAtAC0ALQAtAC0ALQAtAC0ALQAtAC0ALQAtAC0ALQAtAC0ALQAtAC0ALQAtAC0ALQAtAC0ALQAtAC0ALQAtAC0ALQBcAG4AKgAvAFwAbgBcAG4AVgBFAEUAUgBHAF8ANgBfADIAXwAxAF8AMQBfAF8AMgBfAF8ATQBhAHMAcwBPAGYATgBpAHQAcgBvAGcAZQBuAEkAbgBQAGEAcwB0AHUAcgBlAFIAZQBzAGkAZAB1AGUAcwBcAG4AIAAgAD0ATABBAE0AQgBEAEEAKABcAG4AIAAgACAAIABBAF8AcAAsACAAWQBfAHAALAAgAEYARgBPAEQAXwBwACwAIABOAEMAXwBBAEcAcAAsACAAUgBfAEIARwBwACwAIABOAEMAXwBCAEcAcAAsAFwAbgAgACAAIAAgACgAQQBfAHAAIAAqACAAKABZAF8AcAAgACoAIAAxADAAXgAoAC0AMwApACkAIAAqACAAKAAxACAALQAgAEYARgBPAEQAXwBwACkAIAAqACAATgBDAF8AQQBHAHAAKQAgACsAIAAoAEEAXwBwACAAKgAgACgAWQBfAHAAIAAqACAAMQAwAF4AKAAtADMAKQApACAAKgAgAFIAXwBCAEcAcAAgACoAIABOAEMAXwBCAEcAcAApAFwAbgAgACAAKQA7AFwAbgBcAG4AVgBFAEUAUgBHAF8ANgBfADIAXwAxAF8AMQBfAF8AMgBfAF8ATQBhAHMAcwBPAGYATgBpAHQAcgBvAGcAZQBuAEkAbgBQAGEAcwB0AHUAcgBlAFIAZQBzAGkAZAB1AGUAcwBfAFQAaQB0AGwAZQBcAG4AIAAgAD0ATABBAE0AQgBEAEEAKABcACIATQBhAHMAcwAgAG8AZgAgAG4AaQB0AHIAbwBnAGUAbgAgAGkAbgAgAHAAYQBzAHQAdQByAGUAIAByAGUAcwBpAGQAdQBlAHMAIAByAGUAdAB1AHIAbgBlAGQAIAB0AG8AIAB0AGgAZQAgAHMAbwBpAGwAXAAiACkAOwBcAG4AXABuAFYARQBFAFIARwBfADYAXwAyAF8AMQBfADEAXwBfADIAXwBfAE0AYQBzAHMATwBmAE4AaQB0AHIAbwBnAGUAbgBJAG4AUABhAHMAdAB1AHIAZQBSAGUAcwBpAGQAdQBlAHMAXwBWAGEAcgBpAGEAYgBsAGUAXABuACAAIAA9AEwAQQBNAEIARABBACgAXAAiAE0AcABcACIAKQA7AFwAbgBcAG4AVgBFAEUAUgBHAF8ANgBfADIAXwAxAF8AMQBfAF8AMgBfAF8ATQBhAHMAcwBPAGYATgBpAHQAcgBvAGcAZQBuAEkAbgBQAGEAcwB0AHUAcgBlAFIAZQBzAGkAZAB1AGUAcwBfAFUAbgBpAHQAXABuACAAIAA9AEwAQQBNAEIARABBACgAXAAiAGsAZwAgAE4AXAAiACkAOwBcAG4AXABuAFYARQBFAFIARwBfADYAXwAyAF8AMQBfADEAXwBfADIAXwBfAE0AYQBzAHMATwBmAE4AaQB0AHIAbwBnAGUAbgBJAG4AUABhAHMAdAB1AHIAZQBSAGUAcwBpAGQAdQBlAHMAXwBTAG8AdQByAGMAZQBcAG4AIAAgAD0ATABBAE0AQgBEAEEAKABcACIAVgBFAEUAUgBHACAAMgAwADIANgA6ACAANgAuADIALgAxAC4AMQAsACAARQBxAHUAYQB0AGkAbwBuACAAKAAyACkAXAAiACkAOwBcAG4AXABuAFYARQBFAFIARwBfADYAXwAyAF8AMQBfADEAXwBfADIAXwBfAE0AYQBzAHMATwBmAE4AaQB0AHIAbwBnAGUAbgBJAG4AUABhAHMAdAB1AHIAZQBSAGUAcwBpAGQAdQBlAHMAXwBOAEkAUgBSAGUAZgBlAHIAZQBuAGMAZQBcAG4AIAAgAD0ATABBAE0AQgBEAEEAKABcACIAXAAiACkAOwBcAG4AXABuAFYARQBFAFIARwBfADYAXwAyAF8AMQBfADEAXwBfADIAXwBfAE0AYQBzAHMATwBmAE4AaQB0AHIAbwBnAGUAbgBJAG4AUABhAHMAdAB1AHIAZQBSAGUAcwBpAGQAdQBlAHMAXwBMAGEAdABlAHgARQBxAHUAYQB0AGkAbwBuAFwAbgAgACAAPQBMAEEATQBCAEQAQQAoAFwAIgBNAF8AcAAgAD0AIAAoAEEAXwBwACAAXABcAHQAaQBtAGUAcwAg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IgApADsAXABuAFwAbgBWAEUARQBSAEcAXwA2AF8AMgBfADEAXwAxAF8AXwAyAF8AXwBNAGEAcwBzAE8AZgBOAGkAdAByAG8AZwBlAG4ASQBuAFAAYQBzAHQAdQByAGUAUgBlAHMAaQBkAHUAZQBzAF8AQQByAGcAdQBtAGUAbgB0AHM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QwBvAG4AcwB0AGEAbg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VgBFAEUAUgBHAF8ANgBfADIAXwAxAF8AMQBfAF8AMgBfAF8ATQBhAHMAcwBPAGYATgBpAHQAcgBvAGcAZQBuAEkAbgBQAGEAcwB0AHUAcgBlAFIAZQBzAGkAZAB1AGUAcwBfAEEAcgBnAHUAbQBlAG4AdABzAF8ATQBlAHQAaABvAGQAMg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JAG4AcAB1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cAG4AXABuACIAfQAsAHsAIgBwAGEAdABoACIAOgAiAC8AcAByAG8AagBlAGMAdABzAC8AQQBnAFIAZQBzAGkAZAB1AGUAXwBFAHEAdQBhAHQAaQBvAG4AcwBfAEwAZQBhAGMAaABpAG4AZwAiACwAIgB0AGUAeAB0ACIAOgAiAC8AKgAgAFwAbgAtAC0ALQAtAC0ALQAtAC0ALQAtAC0ALQAtAC0ALQAtAC0ALQAtAC0ALQAtAC0ALQAtAC0ALQAtAC0ALQAtAC0ALQAtAC0ALQAtAC0AXABuAFYARQBFAFIARwBfADYAXwAzAF8AMQBfADEAXwBfADEAXwBfAEwAZQBhAGMAaABpAG4AZwBBAG4AZABSAHUAbgBvAGYAZgBFAG0AaQBzAHMAaQBvAG4AcwBDAHIAbwBwAEEAbgBkAFAAYQBzAHQAdQByAGUAUgBlAHMAaQBkAHUAZQBcAG4ATgBpAHQAcgBvAHUAcwAgAG8AeABpAGQAZQAgAGwAZQBhAGMAaABpAG4AZwAgAGEAbgBkACAAcgB1AG4AbwBmAGYAIABlAG0AaQBzAHMAaQBvAG4AcwAgAGYAcgBvAG0AIABjAHIAbwBwACAAYQBuAGQAIABwAGEAcwB0AHUAcgBlACAAcgBlAHMAaQBkAHUAZQBzACAAcgBlAHQAdQByAG4AZQBkACAAdABvACAAdABoAGUAIABzAG8AaQBsACwAIABhAGMAcgBvAHMAcwAgAGEAbABsACAAYwByAG8AcAAgAHIAZQBzAGkAZAB1AGUAcwAgAGMAIABhAG4AZAAgAHAAYQBzAHQAdQByAGUAIAByAGUAcwBpAGQAdQBlAHMAIABwAFwAbgBFAE4AMgBPAFwAbgB0ACAATgAyAE8AXABuAEUAXwB7AE4AMgBPAH0APQBcAFwAcwB1AG0AXwB7AGMAfQBcAFwAcwB1AG0AXwB7AHAAfQAoAE0AXwB7AGwAZQBhAGMAaAAsAGMAcAB9AFwAXAB0AGkAbQBlAHMAIABFAEYAXwB7AGwAZQBhAGMAaAB9AFwAXAB0AGkAbQBlAHMAIABDAF8AewBOADIATwB9AFwAXAB0AGkAbQBlAHMAIAAxADAAXgB7AC0AMwB9ACkAXABuAE0AXwBsAGUAYQBjAGgAYwBwACAAPQAgAG0AYQBzAHMAIABvAGYAIABuAGkAdAByAG8AZwBlAG4AIABsAG8AcwB0ACAAdABoAHIAbwB1AGcAaAAgAGwAZQBhAGMAaABpAG4AZwAgAGEAbgBkACAAcgB1AG4AbwBmAGYAIABmAHIAbwBtACAAdABoAGUAIABjAHIAbwBwACAAcgBlAHMAaQBkAHUAZQAgAGMAIABvAHIAIABwAGEAcwB0AHUAcgBlACAAcgBlAHMAaQBkAHUAZQAgAHAAIAAoAGsAZwAgAE4AKQBcAG4ARQBGAF8AbABlAGEAYwBoACAAPQAgAGUAbQBpAHMAcwBpAG8AbgAgAGYAYQBjAHQAbwByACAAZgBvAHIAIABsAGUAYQBjAGgAaQBuAGcAIABhAG4AZAAgAHIAdQBuAG8AZgBm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jACAAPQAgAEMAcgBvAHAAIAByAGUAcwBpAGQAdQBlACAAdAB5AHAAZQBcAG4AcAAgAD0AIABQAGEAcwB0AHUAcgBlACAAcgBlAHMAaQBkAHUAZQAgAHQAeQBwAGUAXABuAC0ALQAtAC0ALQAtAC0ALQAtAC0ALQAtAC0ALQAtAC0ALQAtAC0ALQAtAC0ALQAtAC0ALQAtAC0ALQAtAC0ALQAtAC0ALQAtAC0ALQBcAG4AKgAvAFwAbgBcAG4AVgBFAEUAUgBHAF8ANgBfADMAXwAxAF8AMQBfAF8AMQBfAF8ATABlAGEAYwBoAGkAbgBnAEEAbgBkAFIAdQBuAG8AZgBmAEUAbQBpAHMAcwBpAG8AbgBzAEMAcgBvAHAAQQBuAGQAUABhAHMAdAB1AHIAZQBSAGUAcwBpAGQAdQBlAFwAbgAgACAAPQBMAEEATQBCAEQAQQAoAFwAbgAgACAAIAAgAE0AXwBsAGUAYQBjAGgAYwBwACwAIABFAEYAXwBsAGUAYQBjAGgALAAgAEMAXwBOADIATwAsAFwAbgAgACAAIAAgACgATQBfAGwAZQBhAGMAaABjAHAAIAAqACAARQBGAF8AbABlAGEAYwBoACkAIAAqACAAQwBfAE4AMgBPACAAKgAgADEAMABeACgALQAzACkAXABuACAAIAApAFwAbgA7AFwAbgBcAG4AVgBFAEUAUgBHAF8ANgBfADMAXwAxAF8AMQBfAF8AMQBfAF8ATABlAGEAYwBoAGkAbgBnAEEAbgBkAFIAdQBuAG8AZgBmAEUAbQBpAHMAcwBpAG8AbgBzAEMAcgBvAHAAQQBuAGQAUABhAHMAdAB1AHIAZQBSAGUAcwBpAGQAdQBlAF8AVABpAHQAbABlAFwAbgAgACAAPQBMAEEATQBCAEQAQQAoAFwAIgBOAGkAdAByAG8AdQBzACAAbwB4AGkAZABlACAAbABlAGEAYwBoAGkAbgBnACAAYQBuAGQAIAByAHUAbgBvAGYAZgAgAGUAbQBpAHMAcwBpAG8AbgBzACAAZgByAG8AbQAgAGMAcgBvAHAAIABhAG4AZAAgAHAAYQBzAHQAdQByAGUAIAByAGUAcwBpAGQAdQBlAHMAIAByAGUAdAB1AHIAbgBlAGQAIAB0AG8AIAB0AGgAZQAgAHMAbwBpAGwAXAAiACkAOwBcAG4AXABuAFYARQBFAFIARwBfADYAXwAzAF8AMQBfADEAXwBfADEAXwBfAEwAZQBhAGMAaABpAG4AZwBBAG4AZABSAHUAbgBvAGYAZgBFAG0AaQBzAHMAaQBvAG4AcwBDAHIAbwBwAEEAbgBkAFAAYQBzAHQAdQByAGUAUgBlAHMAaQBkAHUAZQBfAFYAYQByAGkAYQBiAGwAZQBcAG4AIAAgAD0ATABBAE0AQgBEAEEAKABcACIARQBOADIATwBcACIAKQA7AFwAbgBcAG4AVgBFAEUAUgBHAF8ANgBfADMAXwAxAF8AMQBfAF8AMQBfAF8ATABlAGEAYwBoAGkAbgBnAEEAbgBkAFIAdQBuAG8AZgBmAEUAbQBpAHMAcwBpAG8AbgBzAEMAcgBvAHAAQQBuAGQAUABhAHMAdAB1AHIAZQBSAGUAcwBpAGQAdQBlAF8AVQBuAGkAdABcAG4AIAAgAD0ATABBAE0AQgBEAEEAKABcACIAdAAgAE4AMgBPAFwAIgApADsAXABuAFwAbgBWAEUARQBSAEcAXwA2AF8AMwBfADEAXwAxAF8AXwAxAF8AXwBMAGUAYQBjAGgAaQBuAGcAQQBuAGQAUgB1AG4AbwBmAGYARQBtAGkAcwBzAGkAbwBuAHMAQwByAG8AcABBAG4AZABQAGEAcwB0AHUAcgBlAFIAZQBzAGkAZAB1AGUAXwBTAG8AdQByAGMAZQBcAG4AIAAgAD0ATABBAE0AQgBEAEEAKABcACIAVgBFAEUAUgBHACAAMgAwADIANgA6ACAANgAuADMALgAxAC4AMQAsACAARQBxAHUAYQB0AGkAbwBuACAAKAAxACkAXAAiACkAOwBcAG4AXABuAFYARQBFAFIARwBfADYAXwAzAF8AMQBfADEAXwBfADEAXwBfAEwAZQBhAGMAaABpAG4AZwBBAG4AZABSAHUAbgBvAGYAZgBFAG0AaQBzAHMAaQBvAG4AcwBDAHIAbwBwAEEAbgBkAFAAYQBzAHQAdQByAGUAUgBlAHMAaQBkAHUAZQBfAE4ASQBSAFIAZQBmAGUAcgBlAG4AYwBlAFwAbgAgACAAPQBMAEEATQBCAEQAQQAoAFwAIgBcACIAKQA7AFwAbgBcAG4AVgBFAEUAUgBHAF8ANgBfADMAXwAxAF8AMQBfAF8AMQBfAF8ATABlAGEAYwBoAGkAbgBnAEEAbgBkAFIAdQBuAG8AZgBmAEUAbQBpAHMAcwBpAG8AbgBzAEMAcgBvAHAAQQBuAGQAUABhAHMAdAB1AHIAZQBSAGUAcwBpAGQAdQBlAF8ATABhAHQAZQB4AEUAcQB1AGEAdABpAG8AbgBcAG4AIAAgAD0ATABBAE0AQgBEAEEAKABcACIARQBfAHsATgAyAE8AfQA9AFwAXABzAHUAbQBcAFwAbgBvAGwAaQBtAGkAdABzAF8AYwBcAFwAcwB1AG0AXABcAG4AbwBsAGkAbQBpAHQAcwBfAHAAKABNAF8AewBsAGUAYQBjAGgALABjAHAAfQBcAFwAdABpAG0AZQBzACAARQBGAF8AewBsAGUAYQBjAGgAfQBcAFwAdABpAG0AZQBzACAAQwBfAHsATgAyAE8AfQBcAFwAdABpAG0AZQBzACAAMQAwAF4AewAtADMAfQApAFwAIgApADsAXABuAFwAbgBWAEUARQBSAEcAXwA2AF8AMwBfADEAXwAxAF8AXwAxAF8AXwBMAGUAYQBjAGgAaQBuAGcAQQBuAGQAUgB1AG4AbwBmAGYARQBtAGkAcwBzAGkAbwBuAHMAQwByAG8AcABBAG4AZABQAGEAcwB0AHUAcgBlAFIAZQBzAGkAZAB1AGUAXwBBAHIAZwB1AG0AZQBuAHQAcwBcAG4AIAAgAD0ATABBAE0AQgBEAEEAKABcAG4AIAAgACAAIABNAEEASwBFAEEAUgBSAEEAWQAoADUALAAgADQALAAgAFwAbgAgACAAIAAgACAAIABMAEEATQBCAEQAQQAoAHIALABjACwAIABcAG4AIAAgACAAIAAgACAAIAAgAEkATgBEAEUAWAAoAHsAXABuACAAIAAgACAAIAAgACAAIAAgACAAXAAiAE0AXwBsAGUAYQBjAGgAYwBwAFwAIgAsAFwAIgBtAGEAcwBzACAAbwBmACAAbgBpAHQAcgBvAGcAZQBuACAAbABvAHMAdAAgAHQAaAByAG8AdQBnAGgAIABsAGUAYQBjAGgAaQBuAGcAIABhAG4AZAAgAHIAdQBuAG8AZgBmACAAZgByAG8AbQAgAHQAaABlACAAYwByAG8AcAAgAHIAZQBzAGkAZAB1AGUAIABjACAAbwByACAAcABhAHMAdAB1AHIAZQAgAHIAZQBzAGkAZAB1AGUAIABwAFwAIgAsACAAXAAiAGsAZwAgAE4AXAAiACwAIABcACIAQwBhAGwAYwB1AGwAYQB0AGUAZAAgAGYAcgBvAG0AIAA2AC4AMwAuADEALgAxACAAKAAyACkAXAAiADsAXABuACAAIAAgACAAIAAgACAAIAAgACAAXAAiAEUARgBfAGwAZQBhAGMAaABcACIALABcACIAZQBtAGkAcwBzAGkAbwBuACAAZgBhAGMAdABvAHIAIABmAG8Ac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zAF8AMQBfADEAXwBfADIAXwBfAE0AYQBzAHMATwBmAE4AaQB0AHIAbwBnAGUAbgBMAG8AcwB0AFQAaAByAG8AdQBnAGgATABlAGEAYwBoAGkAbgBnAEEAbgBkAFIAdQBuAG8AZgBmAFwAbgBNAGEAcwBzACAAbwBmACAAbgBpAHQAcgBvAGcAZQBuACAAbABvAHMAdAAgAHQAaAByAG8AdQBnAGgAIABsAGUAYQBjAGgAaQBuAGcAIABhAG4AZAAgAHIAdQBuAG8AZgBmAFwAbgBNAF8AbABlAGEAYwBoAGMAcABcAG4AawBnACAATgBcAG4ATQBfAHsAbABlAGEAYwBoACwAYwBwAH0APQBNAF8AewBjAHAAfQBcAFwAdABpAG0AZQBzACAARgByAGEAYwBXAEUAVABfAHsAagB9AFwAXAB0AGkAbQBlAHMAIABGAHIAYQBjAEwARQBBAEMASABcAG4ATQBfAGMAcAAgAD0AIABtAGEAcwBzACAAbwBmACAAbgBpAHQAcgBvAGcAZQBuACAAaQBuACAAYwByAG8AcAAgAHIAZQBzAGkAZAB1AGUAcwAgAGMAIABvAHIAIABwAGEAcwB0AHUAcgBlACAAcgBlAHMAaQBkAHUAZQBzACAAcAAgAGEAcABwAGwAaQBlAGQAIAB0AG8AIABzAG8AaQBsAHMAIAAoAGsAZwAgAE4AKQBcAG4ARgByAGEAYwBXAEUAVABqACAAPQAgAGYAcgBhAGMAdABpAG8AbgAgAG8AZgAgAE4AIAB0AGgAYQB0ACAAaQBzACAAYQB2AGEAaQBsAGEAYgBsAGUAIABmAG8AcgAgAGwAZQBhAGMAaABpAG4AZwAgAGEAbgBkACAAcgB1AG4AbwBmAGYAIABmAHIAbwBtACAAcAByAG8AZAB1AGMAdABpAG8AbgAgAHMAeQBzAHQAZQBtACAAagAgACgAZABpAG0AZQBuAHMAaQBvAG4AbABlAHMAcwApAFwAbgBGAHIAYQBjAEwARQBBAEMASAAgAD0AIABmAHIAYQBjAHQAaQBvAG4AIABvAGYAIABOACAAdABoAGEAdAAgAGkAcwAgAGwAbwBzAHQAIAB0AGgAcgBvAHUAZwBoACAAbABlAGEAYwBoAGkAbgBnACAAYQBuAGQAIAByAHUAbgBvAGYAZgAgACgAZABpAG0AZQBuAHMAaQBvAG4AbABlAHMAcwApAFwAbgBjACAAPQAgAEMAcgBvAHAAIAByAGUAcwBpAGQAdQBlACAAdAB5AHAAZQBcAG4AcAAgAD0AIABQAGEAcwB0AHUAcgBlACAAcgBlAHMAaQBkAHUAZQAgAHQAeQBwAGUAXABuAGkAcgAgAD0AIABpAHIAcgBpAGcAYQB0AGkAbwBuACAAdAB5AHAAZQBcAG4ALQAtAC0ALQAtAC0ALQAtAC0ALQAtAC0ALQAtAC0ALQAtAC0ALQAtAC0ALQAtAC0ALQAtAC0ALQAtAC0ALQAtAC0ALQAtAC0ALQAtAFwAbgAqAC8AXABuAFwAbgBWAEUARQBSAEcAXwA2AF8AMwBfADEAXwAxAF8AXwAyAF8AXwBNAGEAcwBzAE8AZgBOAGkAdAByAG8AZwBlAG4ATABvAHMAdABUAGgAcgBvAHUAZwBoAEwAZQBhAGMAaABpAG4AZwBBAG4AZABSAHUAbgBvAGYAZgBcAG4AIAAgAD0ATABBAE0AQgBEAEEAKABcAG4AIAAgACAAIABNAF8AYwBwACwAIABGAHIAYQBjAFcARQBUAF8AagAsACAARgByAGEAYwBMAEUAQQBDAEgALABcAG4AIAAgACAAIABNAF8AYwBwACAAKgAgAEYAcgBhAGMAVwBFAFQAXwBqACAAKgAgAEYAcgBhAGMATABFAEEAQwBIAFwAbgAgACAAKQBcAG4AOwBcAG4AXABuAFYARQBFAFIARwBfADYAXwAzAF8AMQBfADEAXwBfADIAXwBfAE0AYQBzAHMATwBmAE4AaQB0AHIAbwBnAGUAbgBMAG8AcwB0AFQAaAByAG8AdQBnAGgATABlAGEAYwBoAGkAbgBnAEEAbgBkAFIAdQBuAG8AZgBmAF8AVABpAHQAbABlAFwAbgAgACAAPQBMAEEATQBCAEQAQQAoAFwAIgBNAGEAcwBzACAAbwBmACAAbgBpAHQAcgBvAGcAZQBuACAAbABvAHMAdAAgAHQAaAByAG8AdQBnAGgAIABsAGUAYQBjAGgAaQBuAGcAIABhAG4AZAAgAHIAdQBuAG8AZgBmAFwAIgApADsAXABuAFwAbgBWAEUARQBSAEcAXwA2AF8AMwBfADEAXwAxAF8AXwAyAF8AXwBNAGEAcwBzAE8AZgBOAGkAdAByAG8AZwBlAG4ATABvAHMAdABUAGgAcgBvAHUAZwBoAEwAZQBhAGMAaABpAG4AZwBBAG4AZABSAHUAbgBvAGYAZgBfAFYAYQByAGkAYQBiAGwAZQBcAG4AIAAgAD0ATABBAE0AQgBEAEEAKABcACIATQBfAGwAZQBhAGMAaABjAHAAXAAiACkAOwBcAG4AXABuAFYARQBFAFIARwBfADYAXwAzAF8AMQBfADEAXwBfADIAXwBfAE0AYQBzAHMATwBmAE4AaQB0AHIAbwBnAGUAbgBMAG8AcwB0AFQAaAByAG8AdQBnAGgATABlAGEAYwBoAGkAbgBnAEEAbgBkAFIAdQBuAG8AZgBmAF8AVQBuAGkAdABcAG4AIAAgAD0ATABBAE0AQgBEAEEAKABcACIAawBnACAATgBcACIAKQA7AFwAbgBcAG4AVgBFAEUAUgBHAF8ANgBfADMAXwAxAF8AMQBfAF8AMgBfAF8ATQBhAHMAcwBPAGYATgBpAHQAcgBvAGcAZQBuAEwAbwBzAHQAVABoAHIAbwB1AGcAaABMAGUAYQBjAGgAaQBuAGcAQQBuAGQAUgB1AG4AbwBmAGYAXwBTAG8AdQByAGMAZQBcAG4AIAAgAD0ATABBAE0AQgBEAEEAKABcACIAVgBFAEUAUgBHACAAMgAwADIANgA6ACAANgAuADMALgAxAC4AMQAsACAARQBxAHUAYQB0AGkAbwBuACAAKAAyACkAXAAiACkAOwBcAG4AXABuAFYARQBFAFIARwBfADYAXwAzAF8AMQBfADEAXwBfADIAXwBfAE0AYQBzAHMATwBmAE4AaQB0AHIAbwBnAGUAbgBMAG8AcwB0AFQAaAByAG8AdQBnAGgATABlAGEAYwBoAGkAbgBnAEEAbgBkAFIAdQBuAG8AZgBmAF8ATgBJAFIAUgBlAGYAZQByAGUAbgBjAGUAXABuACAAIAA9AEwAQQBNAEIARABBACgAXAAiAFwAIgApADsAXABuAFwAbgBWAEUARQBSAEcAXwA2AF8AMwBfADEAXwAxAF8AXwAyAF8AXwBNAGEAcwBzAE8AZgBOAGkAdAByAG8AZwBlAG4ATABvAHMAdABUAGgAcgBvAHUAZwBoAEwAZQBhAGMAaABpAG4AZwBBAG4AZABSAHUAbgBvAGYAZgBfAEwAYQB0AGUAeABFAHEAdQBhAHQAaQBvAG4AXABuACAAIAA9AEwAQQBNAEIARABBACgAXAAiAE0AXwB7AGwAZQBhAGMAaAAsAGMAcAB9AD0ATQBfAHsAYwBwAH0AXABcAHQAaQBtAGUAcwAgAEYAcgBhAGMAVwBFAFQAXwB7AGoAfQBcAFwAdABpAG0AZQBzACAARgByAGEAYwBMAEUAQQBDAEgAXAAiACkAOwBcAG4AXABuAFYARQBFAFIARwBfADYAXwAzAF8AMQBfADEAXwBfADIAXwBfAE0AYQBzAHMATwBmAE4AaQB0AHIAbwBnAGUAbgBMAG8AcwB0AFQAaAByAG8AdQBnAGgATABlAGEAYwBoAGkAbgBnAEEAbgBkAFIAdQBuAG8AZgBmAF8AQQByAGcAdQBtAGUAbgB0AHMAXABuACAAIAA9AEwAQQBNAEIARABBACgAXABuACAAIAAgACAATQBBAEsARQBBAFIAUgBBAFkAKAA3ACwAIAA0ACwAIABcAG4AIAAgACAAIAAgACAATABBAE0AQgBEAEEAKAByACwAYwAsACAAXABuACAAIAAgACAAIAAgACAAIABJAE4ARABFAFgAKAB7AFwAbgAgACAAIAAgACAAIAAgACAAIAAgAFwAIgBNAF8AYwBwAFwAIgAsAFwAIgBtAGEAcwBzACAAbwBmACAAbgBpAHQAcgBvAGcAZQBuACAAaQBuACAAYwByAG8AcAAgAHIAZQBzAGkAZAB1AGUAcwAgAGMAIABvAHIAIABwAGEAcwB0AHUAcgBlACAAcgBlAHMAaQBkAHUAZQBzACAAcAAgAGEAcABwAGwAaQBlAGQAIAB0AG8AIABzAG8AaQBsAHMAXAAiACwAIABcACIAawBnACAATgBcACIALAAgAFwAIgBDAGEAbABjACAAZgByAG8AbQAgADYALgAxAC4AMQAuADEAIAAoADIAKQAgAGEAbgBkACAANgAuADIALgAxAC4AMQAgACgAMgApAFwAIgA7AFwAbgAgACAAIAAgACAAIAAgACAAIAAgAFwAIgBGAHIAYQBjAFcARQBUAF8AagBcACIAL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MAG8AYwBhAHQAaQBvAG4AIABpAG4AIABsAGUAYQBjAGgAaQBuAGcAIAB6AG8AbgBlAFwAIgAsACAAXAAiAFwAIgAsACAAXAAiAEkAbgBwAHU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OwBcAG4AIAAgACAAIAAgACAAIAAgACAAIABcACIAaQByAFwAIgAsACAAXAAiAEkAcgByAGkAZwBhAHQAaQBvAG4AIAB0AHkAcABlAFwAIgAsACAAXAAiAFwAIgAsACAAXAAiAEkAbgBwAHUAdABcACIAXABuACAAIAAgACAAIAAgACAAIAB9ACwAIAByACwAIABjACkAXABuACAAIAAgACAAIAAgACkAXABuACAAIAAgACAAKQBcAG4AIAAgACkAOwBcAG4AXABuACAAIABWAEUARQBSAEcAXwA2AF8AMwBfADEAXwAxAF8AXwAyAF8AXwBNAGEAcwBzAE8AZgBOAGkAdAByAG8AZwBlAG4ATABvAHMAdABUAGgAcgBvAHUAZwBoAEwAZQBhAGMAaABpAG4AZwBBAG4AZABSAHUAbgBvAGYAZgBfAFYAYQByAGkAYQB0AGkAbwBuAFwAbgAgACAAPQBMAEEATQBCAEQAQQAoAFwAIgBcACIAKQA7AFwAbgBcAG4AXABuAFwAbgAiAH0ALAB7ACIAcABhAHQAaAAiADoAIgAvAHAAcgBvAGoAZQBjAHQAcwAvAEEAZwBSAGUAcwBpAGQAdQBlAF8ARQBxAHUAYQB0AGkAbwBuAHMAXwBGAGkAZQBsAGQAQgB1AHIAbgBpAG4AZwAiACwAIgB0AGUAeAB0ACIAOgAiAC8AKgAgAFwAbgAtAC0ALQAtAC0ALQAtAC0ALQAtAC0ALQAtAC0ALQAtAC0ALQAtAC0ALQAtAC0ALQAtAC0ALQAtAC0ALQAtAC0ALQAtAC0ALQAtAC0AXABuAFYARQBFAFIARwBfADYAXwA0AF8AMQBfADEAXwBfADEAXwBfAE0AZQB0AGgAYQBuAGUARQBtAGkAcwBzAGkAbwBuAHMARgByAG8AbQBCAHUAcgBuAGkAbgBnAE8AZgBDAHIAbwBwAFIAZQBzAGkAZAB1AGUAcwBcAG4ATQBlAHQAaABhAG4AZQAgAGUAbQBpAHMAcwBpAG8AbgBzACAAZgByAG8AbQAgAHQAaABlACAAYgB1AHIAbgBpAG4AZwAgAG8AZgAgAGMAcgBvAHAAIAByAGUAcwBpAGQAdQBlAHMAXABuAEUAQwBIADQAXABuAHQAIABDAEgANABcAG4ARQBfAHsAQwBIADQAfQA9AFwAbgBcAFwAcwB1AG0AXwB7AGMAfQAoAE0AXwB7AGIAdQByAG4ALABjAH0AXABcAHQAaQBtAGUAcwAgAEMAQwBfAHsAYwB9AFwAXAB0AGkAbQBlAHMAIABFAEYAXwB7AEMASAA0AH0AXABcAHQAaQBtAGUAcwAgAEMAXwB7AEMASAA0AH0AXABcAHQAaQBtAGUAcwAgADEAMABeAHsALQAzAH0AKQBcAG4ATQBfAGIAdQByAG4AYwAgAD0AIABtAGEAcwBzACAAbwBmACAAcgBlAHMAaQBkAHUAZQAgAGIAdQByAG4AdAAgAGYAbwByACAAYwByAG8AcAAgAHQAeQBwAGUAIABjACAAKABrAGcAKQBcAG4AQwBDAF8AYwAgAD0AIABjAGEAcgBiAG8AbgAgAG0AYQBzAHMAIABmAHIAYQBjAHQAaQBvAG4AIABpAG4AIAB0AGgAZQAgAHIAZQBzAGkAZAB1AGUAcwAgAG8AZgAgAGMAcgBvAHAAIAB0AHkAcABlACAAYwAgACgAZABpAG0AZQBuAHMAaQBvAG4AbABlAHMAcwApAFwAbgBFAEYAXwBDAEgANAAgAD0AIABlAG0AaQBzAHMAaQBvAG4AIABmAGEAYwB0AG8AcgAgAGYAbwByACAAbQBlAHQAaABhAG4AZQAgAGYAcgBvAG0AIABiAHUAcgBuAGkAbgBnACAAbwBmACAAYwByAG8AcAAgAHIAZQBzAGkAZAB1AGUAcwAgACgAawBnACAAQwBIADQALwBrAGcAIABDAEgANAAgAGIAdQByAG4AdAApAFwAbgBDAEMASAA0ACAAPQAgAGYAYQBjAHQAbwByACAAdABvACAAYwBvAG4AdgBlAHIAdAAgAGUAbABlAG0AZQBuAHQAYQBsACAAbQBhAHMAcwAgAG8AZgAgAG0AZQB0AGgAYQBu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xAF8AXwBNAGUAdABoAGEAbgBlAEUAbQBpAHMAcwBpAG8AbgBzAEYAcgBvAG0AQgB1AHIAbgBpAG4AZwBPAGYAQwByAG8AcABSAGUAcwBpAGQAdQBlAHMAXABuACAAIAA9AEwAQQBNAEIARABBACgAXABuACAAIAAgACAATQBfAGIAdQByAG4AYwAsACAAQwBDAF8AYwAsACAARQBGAF8AQwBIADQALAAgAEMAXwBDAEgANAAsAFwAbgAgACAAIAAgACgATQBfAGIAdQByAG4AYwAgACoAIABDAEMAXwBjACkAIAAqACAARQBGAF8AQwBIADQAIAAqACAAQwBfAEMASAA0ACAAKgAgADEAMABeACgALQAzACkAXABuACAAIAApADsAXABuAFwAbgBWAEUARQBSAEcAXwA2AF8ANABfADEAXwAxAF8AXwAxAF8AXwBNAGUAdABoAGEAbgBlAEUAbQBpAHMAcwBpAG8AbgBzAEYAcgBvAG0AQgB1AHIAbgBpAG4AZwBPAGYAQwByAG8AcABSAGUAcwBpAGQAdQBlAHMAXwBGAHUAbgBjAHQAaQBvAG4ATgBhAG0AZQBcAG4AIAAgAD0ATABBAE0AQgBEAEEAKABcACIAVgBFAEUAUgBHAF8ANgBfADQAXwAxAF8AMQBfAF8AMQBfAF8ATQBlAHQAaABhAG4AZQBFAG0AaQBzAHMAaQBvAG4AcwBGAHIAbwBtAEIAdQByAG4AaQBuAGcATwBmAEMAcgBvAHAAUgBlAHMAaQBkAHUAZQBzAFwAIgApADsAXABuAFwAbgBWAEUARQBSAEcAXwA2AF8ANABfADEAXwAxAF8AXwAxAF8AXwBNAGUAdABoAGEAbgBlAEUAbQBpAHMAcwBpAG8AbgBzAEYAcgBvAG0AQgB1AHIAbgBpAG4AZwBPAGYAQwByAG8AcABSAGUAcwBpAGQAdQBlAHMAXwBUAGkAdABsAGUAXABuACAAIAA9AEwAQQBNAEIARABBACgAXAAiAE0AZQB0AGgAYQBuAGUAIABlAG0AaQBzAHMAaQBvAG4AcwAgAGYAcgBvAG0AIAB0AGgAZQAgAGIAdQByAG4AaQBuAGcAIABvAGYAIABjAHIAbwBwACAAcgBlAHMAaQBkAHUAZQBzAFwAIgApADsAXABuAFwAbgBWAEUARQBSAEcAXwA2AF8ANABfADEAXwAxAF8AXwAxAF8AXwBNAGUAdABoAGEAbgBlAEUAbQBpAHMAcwBpAG8AbgBzAEYAcgBvAG0AQgB1AHIAbgBpAG4AZwBPAGYAQwByAG8AcABSAGUAcwBpAGQAdQBlAHMAXwBWAGEAcgBpAGEAYgBsAGUAXABuACAAIAA9AEwAQQBNAEIARABBACgAXAAiAEUAQwBIADQAXAAiACkAOwBcAG4AXABuAFYARQBFAFIARwBfADYAXwA0AF8AMQBfADEAXwBfADEAXwBfAE0AZQB0AGgAYQBuAGUARQBtAGkAcwBzAGkAbwBuAHMARgByAG8AbQBCAHUAcgBuAGkAbgBnAE8AZgBDAHIAbwBwAFIAZQBzAGkAZAB1AGUAcwBfAFUAbgBpAHQAXABuACAAIAA9AEwAQQBNAEIARABBACgAXAAiAHQAIABDAEgANABcACIAKQA7AFwAbgBcAG4AVgBFAEUAUgBHAF8ANgBfADQAXwAxAF8AMQBfAF8AMQBfAF8ATQBlAHQAaABhAG4AZQBFAG0AaQBzAHMAaQBvAG4AcwBGAHIAbwBtAEIAdQByAG4AaQBuAGcATwBmAEMAcgBvAHAAUgBlAHMAaQBkAHUAZQBzAF8AUwBvAHUAcgBjAGUAXABuACAAIAA9AEwAQQBNAEIARABBACgAXAAiAFYARQBFAFIARwAgADIAMAAyADYAOgAgADYALgA0AC4AMQAuADEALAAgAEUAcQB1AGEAdABpAG8AbgAgACgAMQApAFwAIgApADsAXABuAFwAbgBWAEUARQBSAEcAXwA2AF8ANABfADEAXwAxAF8AXwAxAF8AXwBNAGUAdABoAGEAbgBlAEUAbQBpAHMAcwBpAG8AbgBzAEYAcgBvAG0AQgB1AHIAbgBpAG4AZwBPAGYAQwByAG8AcABSAGUAcwBpAGQAdQBlAHMAXwBOAEkAUgBSAGUAZgBlAHIAZQBuAGMAZQBcAG4AIAAgAD0ATABBAE0AQgBEAEEAKABcACIAXAAiACkAOwBcAG4AXABuAFYARQBFAFIARwBfADYAXwA0AF8AMQBfADEAXwBfADEAXwBfAE0AZQB0AGgAYQBuAGUARQBtAGkAcwBzAGkAbwBuAHMARgByAG8AbQBCAHUAcgBuAGkAbgBnAE8AZgBDAHIAbwBwAFIAZQBzAGkAZAB1AGUAcwBfAEwAYQB0AGUAeABFAHEAdQBhAHQAaQBvAG4AXABuACAAIAA9AEwAQQBNAEIARABBACgAXAAiAEUAXwB7AEMASAA0AH0APQBcAFwAcwB1AG0AXABcAG4AbwBsAGkAbQBpAHQAcwBfAGMAKABNAF8AewBiAHUAcgBuACwAYwB9AFwAXAB0AGkAbQBlAHMAIABDAEMAXwB7AGMAfQApAFwAXAB0AGkAbQBlAHMAIABFAEYAXwB7AEMASAA0AH0AXABcAHQAaQBtAGUAcwAgAEMAXwB7AEMASAA0AH0AXABcAHQAaQBtAGUAcwAgADEAMABeAHsALQAzAH0AXAAiACkAOwBcAG4AXABuAFYARQBFAFIARwBfADYAXwA0AF8AMQBfADEAXwBfADEAXwBfAE0AZQB0AGgAYQBu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QwBDAF8AYwBcACIALABcACIAYwBhAHIAYgBvAG4AIABtAGEAcwBzACAAZgByAGEAYwB0AGkAbwBuACAAaQBuACAAdABoAGUAIAByAGUAcwBpAGQAdQBlAHMAIABvAGYAIABjAHIAbwBwACAAdAB5AHAAZQAgAGMAXAAiACwAIABcACIAZgByAGEAYwB0AGkAbwBuAFwAIgAsACAAXAAiAEMAbwBuAHMAdABhAG4AdABcACIAOwBcAG4AIAAgACAAIAAgACAAIAAgACAAIABcACIARQBGAF8AQwBIADQAXAAiACwAXAAiAGUAbQBpAHMAcwBpAG8AbgAgAGYAYQBjAHQAbwByACAAZgBvAHIAIABtAGUAdABoAGEAbgBlACAAZgByAG8AbQAgAGIAdQByAG4AaQBuAGcAIABvAGYAIABjAHIAbwBwACAAcgBlAHMAaQBkAHUAZQBzAFwAIgAsACAAXAAiAGsAZwAgAEMASAA0ACAALwAgAGsAZwAgAEMASAA0ACAAYgB1AHIAbgB0AFwAIgAsACAAXAAiAEMAbwBuAHMAdABhAG4AdABcACIAOwBcAG4AIAAgACAAIAAgACAAIAAgACAAIABcACIAQwBfAEMASAA0AFwAIgAsAFwAIgBmAGEAYwB0AG8AcgAgAHQAbwAgAGMAbwBuAHYAZQByAHQAIABlAGwAZQBtAGUAbgB0AGEAbAAgAG0AYQBzAHMAIABvAGYAIABtAGUAdABoAGEAbg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yAF8AXwBOAGkAdAByAG8AdQBzAE8AeABpAGQAZQBFAG0AaQBzAHMAaQBvAG4AcwBGAHIAbwBtAEIAdQByAG4AaQBuAGcATwBmAEMAcgBvAHAAUgBlAHMAaQBkAHUAZQBzAFwAbgBOAGkAdAByAG8AdQBzACAAbwB4AGkAZABlACAAZQBtAGkAcwBzAGkAbwBuAHMAIABmAHIAbwBtACAAdABoAGUAIABiAHUAcgBuAGkAbgBnACAAbwBmACAAYwByAG8AcAAgAHIAZQBzAGkAZAB1AGUAcwBcAG4ARQBOADIATwBcAG4AdAAgAE4AMgBPAFwAbgBFAF8AewBOADIATwB9AD0AXABcAHMAdQBtAF8AewBjAH0AKABNAF8AewBiAHUAcgBuACwAYwB9AFwAXAB0AGkAbQBlAHMAIABOAEMAXwB7AEEARwBjAH0AXABcAHQAaQBtAGUAcwAgAEUARgBfAHsATgAyAE8AfQBcAFwAdABpAG0AZQBzACAAQwBfAHsATgAyAE8AfQBcAFwAdABpAG0AZQBzACAAMQAwAF4AewAtADMAfQApAFwAbgBNAF8AYgB1AHIAbgBjACAAPQAgAG0AYQBzAHMAIABvAGYAIAByAGUAcwBpAGQAdQBlACAAYgB1AHIAbgB0ACAAZgBvAHIAIABjAHIAbwBwACAAdAB5AHAAZQAgAGMAIAAoAGsAZwApAFwAbgBOAEMAXwBBAEcAYwAgAD0AIABuAGkAdAByAG8AZwBlAG4AIABjAG8AbgB0AGUAbgB0ACAAaQBuACAAdABoAGUAIABhAGIAbwB2AGUALQBnAHIAbwB1AG4AZAAgAHIAZQBzAGkAZAB1AGUAIABvAGYAIABjAHIAbwBwACAAdAB5AHAAZQAgAGMAIAAoAGsAZwAgAE4ALwBrAGcAIABEAE0AKQBcAG4ARQBGAF8ATgAyAE8AIAA9ACAAZQBtAGkAcwBzAGkAbwBuACAAZgBhAGMAdABvAHIAIABmAG8AcgAgAG4AaQB0AHIAbwB1AHMAIABvAHgAaQBkAGUAIABmAHIAbwBtACAAYgB1AHIAbgBpAG4AZwAgAG8AZgAgAGMAcgBvAHAAIAByAGUAcwBpAGQAdQBlAHMAIAAoAGsAZwAgAE4AMgBPAC8AawBnACAATgAyAE8AIABiAHUAcgBuAHQAKQBcAG4AQwBf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yAF8AXwBOAGkAdAByAG8AdQBzAE8AeABpAGQAZQBFAG0AaQBzAHMAaQBvAG4AcwBGAHIAbwBtAEIAdQByAG4AaQBuAGcATwBmAEMAcgBvAHAAUgBlAHMAaQBkAHUAZQBzAFwAbgAgACAAPQBMAEEATQBCAEQAQQAoAFwAbgAgACAAIAAgAE0AXwBiAHUAcgBuAGMALAAgAE4AQwBfAEEARwBjACwAIABFAEYAXwBOADIATwAsACAAQwBfAE4AMgBPACwAXABuACAAIAAgACAAKABNAF8AYgB1AHIAbgBjACAAKgAgAE4AQwBfAEEARwBjACkAIAAqACAARQBGAF8ATgAyAE8AIAAqACAAQwBfAE4AMgBPACAAKgAgADEAMABeACgALQAzACkAXABuACAAIAApADsAXABuAFwAbgBWAEUARQBSAEcAXwA2AF8ANABfADEAXwAxAF8AXwAyAF8AXwBOAGkAdAByAG8AdQBzAE8AeABpAGQAZQBFAG0AaQBzAHMAaQBvAG4AcwBGAHIAbwBtAEIAdQByAG4AaQBuAGcATwBmAEMAcgBvAHAAUgBlAHMAaQBkAHUAZQBzAF8ARgB1AG4AYwB0AGkAbwBuAE4AYQBtAGUAXABuACAAIAA9AEwAQQBNAEIARABBACgAXAAiAFYARQBFAFIARwBfADYAXwA0AF8AMQBfADEAXwBfADIAXwBfAE4AaQB0AHIAbwB1AHMATwB4AGkAZABlAEUAbQBpAHMAcwBpAG8AbgBzAEYAcgBvAG0AQgB1AHIAbgBpAG4AZwBPAGYAQwByAG8AcABSAGUAcwBpAGQAdQBlAHMAXAAiACkAOwBcAG4AXABuAFYARQBFAFIARwBfADYAXwA0AF8AMQBfADEAXwBfADIAXwBfAE4AaQB0AHIAbwB1AHMATwB4AGkAZABlAEUAbQBpAHMAcwBpAG8AbgBzAEYAcgBvAG0AQgB1AHIAbgBpAG4AZwBPAGYAQwByAG8AcABSAGUAcwBpAGQAdQBlAHMAXwBUAGkAdABsAGUAXABuACAAIAA9AEwAQQBNAEIARABBACgAXAAiAE4AaQB0AHIAbwB1AHMAIABvAHgAaQBkAGUAIABlAG0AaQBzAHMAaQBvAG4AcwAgAGYAcgBvAG0AIAB0AGgAZQAgAGIAdQByAG4AaQBuAGcAIABvAGYAIABjAHIAbwBwACAAcgBlAHMAaQBkAHUAZQBzAFwAIgApADsAXABuAFwAbgBWAEUARQBSAEcAXwA2AF8ANABfADEAXwAxAF8AXwAyAF8AXwBOAGkAdAByAG8AdQBzAE8AeABpAGQAZQBFAG0AaQBzAHMAaQBvAG4AcwBGAHIAbwBtAEIAdQByAG4AaQBuAGcATwBmAEMAcgBvAHAAUgBlAHMAaQBkAHUAZQBzAF8AVgBhAHIAaQBhAGIAbABlAFwAbgAgACAAPQBMAEEATQBCAEQAQQAoAFwAIgBFAE4AMgBPAFwAIgApADsAXABuAFwAbgBWAEUARQBSAEcAXwA2AF8ANABfADEAXwAxAF8AXwAyAF8AXwBOAGkAdAByAG8AdQBzAE8AeABpAGQAZQBFAG0AaQBzAHMAaQBvAG4AcwBGAHIAbwBtAEIAdQByAG4AaQBuAGcATwBmAEMAcgBvAHAAUgBlAHMAaQBkAHUAZQBzAF8AVQBuAGkAdABcAG4AIAAgAD0ATABBAE0AQgBEAEEAKABcACIAdAAgAE4AMgBPAFwAIgApADsAXABuAFwAbgBWAEUARQBSAEcAXwA2AF8ANABfADEAXwAxAF8AXwAyAF8AXwBOAGkAdAByAG8AdQBzAE8AeABpAGQAZQBFAG0AaQBzAHMAaQBvAG4AcwBGAHIAbwBtAEIAdQByAG4AaQBuAGcATwBmAEMAcgBvAHAAUgBlAHMAaQBkAHUAZQBzAF8AUwBvAHUAcgBjAGUAXABuACAAIAA9AEwAQQBNAEIARABBACgAXAAiAFYARQBFAFIARwAgADIAMAAyADYAOgAgADYALgA0AC4AMQAuADEALAAgAEUAcQB1AGEAdABpAG8AbgAgACgAMgApAFwAIgApADsAXABuAFwAbgBWAEUARQBSAEcAXwA2AF8ANABfADEAXwAxAF8AXwAyAF8AXwBOAGkAdAByAG8AdQBzAE8AeABpAGQAZQBFAG0AaQBzAHMAaQBvAG4AcwBGAHIAbwBtAEIAdQByAG4AaQBuAGcATwBmAEMAcgBvAHAAUgBlAHMAaQBkAHUAZQBzAF8ATgBJAFIAUgBlAGYAZQByAGUAbgBjAGUAXABuACAAIAA9AEwAQQBNAEIARABBACgAXAAiAFwAIgApADsAXABuAFwAbgBWAEUARQBSAEcAXwA2AF8ANABfADEAXwAxAF8AXwAyAF8AXwBOAGkAdAByAG8AdQBzAE8AeABpAGQAZQBFAG0AaQBzAHMAaQBvAG4AcwBGAHIAbwBtAEIAdQByAG4AaQBuAGcATwBmAEMAcgBvAHAAUgBlAHMAaQBkAHUAZQBzAF8ATABhAHQAZQB4AEUAcQB1AGEAdABpAG8AbgBcAG4AIAAgAD0ATABBAE0AQgBEAEEAKABcACIARQBfAHsATgAyAE8AfQA9AFwAXABzAHUAbQBcAFwAbgBvAGwAaQBtAGkAdABzAF8AYwAoAE0AXwB7AGIAdQByAG4ALABjAH0AXABcAHQAaQBtAGUAcwAgAE4AQwBfAHsAQQBHAGMAfQApAFwAXAB0AGkAbQBlAHMAIABFAEYAXwB7AE4AMgBPAH0AXABcAHQAaQBtAGUAcwAgAEMAXwB7AE4AMgBPAH0AXABcAHQAaQBtAGUAcwAgADEAMABeAHsALQAzAH0AXAAiACkAOwBcAG4AXABuAFYARQBFAFIARwBfADYAXwA0AF8AMQBfADEAXwBfADIAXwBfAE4AaQB0AHIAbwB1AHMATwB4AGkAZA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4AQwBfAEEARwBjAFwAIgAsAFwAIgBuAGkAdAByAG8AZwBlAG4AIABjAG8AbgB0AGUAbgB0ACAAaQBuACAAdABoAGUAIABhAGIAbwB2AGUALQBnAHIAbwB1AG4AZAAgAHIAZQBzAGkAZAB1AGUAIABvAGYAIABjAHIAbwBwACAAdAB5AHAAZQAgAGMAXAAiACwAIABcACIAawBnACAATgAvAGsAZwAgAEQATQBcACIALAAgAFwAIgBDAG8AbgBzAHQAYQBuAHQAXAAiADsAXABuACAAIAAgACAAIAAgACAAIAAgACAAXAAiAEUARgBfAE4AMgBPAFwAIgAsAFwAIgBlAG0AaQBzAHMAaQBvAG4AIABmAGEAYwB0AG8AcgAgAGYAbwByACAAbgBpAHQAcgBvAHUAcwAgAG8AeABpAGQAZQAgAGYAcgBvAG0AIABiAHUAcgBuAGkAbgBnACAAbwBmACAAYwByAG8AcAAgAHIAZQBzAGkAZAB1AGUAcwBcACIALAAgAFwAIgBrAGcAIABOADIATwAvAGsAZwAgAE4AMgBPACAAYgB1AHIAbgB0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zAF8AXwBNAGEAcwBzAE8AZgBDAHIAbwBwAFIAZQBzAGkAZAB1AGUAQgB1AHIAbgB0AFwAbgBNAGEAcwBzACAAbwBmACAAcgBlAHMAaQBkAHUAZQAgAG8AZgAgAGMAcgBvAHAAIABjACAAYgB1AHIAbgB0AFwAbgBNAF8AYgB1AHIAbgBjAFwAbgBrAGcAXABuAE0AXwB7AGIAdQByAG4ALABjAH0APQBQAF8AewBjAH0AXABcAHQAaQBtAGUAcwAgAFIAXwB7AEEARwBjAH0AXABcAHQAaQBtAGUAcwAgAFMAXwB7AGMAfQBcAFwAdABpAG0AZQBzACAARABNAF8AewBjAH0AXABcAHQAaQBtAGUAcwAgAFoAXwB7AGMAfQBcAFwAdABpAG0AZQBzACAARgBfAHsAYwB9AFwAbgBQAF8AYwAgAD0AIABhAG4AbgB1AGEAbAAgAHAAcgBvAGQAdQBjAHQAaQBvAG4AIABvAGYAIABjAHIAbwBwACAAdAB5AHAAZQAgAGMAIAAoAGsAZwApAFwAbgBSAF8AQQBHAGMAIAA9ACAAcgBlAHMAaQBkAHUAZQAgAHQAbwAgAGMAcgBvAHAAIAByAGEAdABpAG8AIABvAGYAIABjAHIAbwBwACAAdAB5AHAAZQAgAGMAIAAoAGsAZwAgAGMAcgBvAHAAIAByAGUAcwBpAGQAdQBlAC8AawBnACAAYwByAG8AcAApAFwAbgBTAF8AYwAgAD0AIABmAHIAYQBjAHQAaQBvAG4AIABvAGYAIAByAGUAcwBpAGQAdQBlAHMAIABvAGYAIABjAHIAbwBwACAAdAB5AHAAZQAgAGMAIAByAGUAbQBhAGkAbgBpAG4AZwAgAGEAdAAgAGIAdQByAG4AaQBuAGcAIAAoAGQAaQBtAGUAbgBzAGkAbwBuAGwAZQBzAHMAKQBcAG4ARABNAF8AYwAgAD0AIABkAHIAeQAgAG0AYQB0AHQAZQByACAAYwBvAG4AdABlAG4AdAAgAG8AZgAgAGMAcgBvAHAAIAB0AHkAcABlACAAYwAgACgAawBnACAAZAByAHkAIAB3AGUAaQBnAGgAdAAvAGsAZwAgAGMAcgBvAHAAIAByAGUAcwBpAGQAdQBlACkAXABuAFoAXwBjACAAPQAgAGIAdQByAG4AaQBuAGcAIABlAGYAZgBpAGMAaQBlAG4AYwB5ACAAKAByAGEAdABpAG8AIABvAGYAIABmAHUAZQBsACAAYgB1AHIAbgB0ACAAdABvACAAZgB1AGUAbAAgAGwAbwBhAGQAKQAgAG8AZgAgAGMAcgBvAHAAIAB0AHkAcABlACAAYwAgACgAZABpAG0AZQBuAHMAaQBvAG4AbABlAHMAcwApAFwAbgBGAF8AYwAgAD0AIABmAHIAYQBjAHQAaQBvAG4AIABvAGYAIAB0AGgAZQAgAGEAbgBuAHUAYQBsACAAcAByAG8AZAB1AGMAdABpAG8AbgAgAG8AZgAgAGMAcgBvAHAAIAB0AHkAcABlACAAYwAgAHQAaABhAHQAIABpAHMAIABiAHUAcgBuAHQAIAAoAGQAaQBtAGUAbgBzAGkAbwBuAGwAZQBzAHMAKQBcAG4AYwAgAD0AIABDAHIAbwBwACAAdAB5AHAAZQBcAG4ALQAtAC0ALQAtAC0ALQAtAC0ALQAtAC0ALQAtAC0ALQAtAC0ALQAtAC0ALQAtAC0ALQAtAC0ALQAtAC0ALQAtAC0ALQAtAC0ALQAtAFwAbgAqAC8AXABuAFwAbgBWAEUARQBSAEcAXwA2AF8ANABfADEAXwAxAF8AXwAzAF8AXwBNAGEAcwBzAE8AZgBDAHIAbwBwAFIAZQBzAGkAZAB1AGUAQgB1AHIAbgB0AFwAbgAgACAAPQBMAEEATQBCAEQAQQAoAFwAbgAgACAAIAAgAFAAXwBjACwAIABSAF8AQQBHAGMALAAgAFMAXwBjACwAIABEAE0AXwBjACwAIABaAF8AYwAsACAARgBfAGMALABcAG4AIAAgACAAIABQAF8AYwAgACoAIABSAF8AQQBHAGMAIAAqACAAUwBfAGMAIAAqACAARABNAF8AYwAgACoAIABaAF8AYwAgACoAIABGAF8AYwBcAG4AIAAgACkAOwBcAG4AXABuAFYARQBFAFIARwBfADYAXwA0AF8AMQBfADEAXwBfADMAXwBfAE0AYQBzAHMATwBmAEMAcgBvAHAAUgBlAHMAaQBkAHUAZQBCAHUAcgBuAHQAXwBGAHUAbgBjAHQAaQBvAG4ATgBhAG0AZQBcAG4AIAAgAD0ATABBAE0AQgBEAEEAKABcACIAVgBFAEUAUgBHAF8ANgBfADQAXwAxAF8AMQBfAF8AMwBfAF8ATQBhAHMAcwBPAGYAQwByAG8AcABSAGUAcwBpAGQAdQBlAEIAdQByAG4AdABcACIAKQA7AFwAbgBcAG4AVgBFAEUAUgBHAF8ANgBfADQAXwAxAF8AMQBfAF8AMwBfAF8ATQBhAHMAcwBPAGYAQwByAG8AcABSAGUAcwBpAGQAdQBlAEIAdQByAG4AdABfAFQAaQB0AGwAZQBcAG4AIAAgAD0ATABBAE0AQgBEAEEAKABcACIATQBhAHMAcwAgAG8AZgAgAHIAZQBzAGkAZAB1AGUAIABvAGYAIABjAHIAbwBwACAAYwAgAGIAdQByAG4AdABcACIAKQA7AFwAbgBcAG4AVgBFAEUAUgBHAF8ANgBfADQAXwAxAF8AMQBfAF8AMwBfAF8ATQBhAHMAcwBPAGYAQwByAG8AcABSAGUAcwBpAGQAdQBlAEIAdQByAG4AdABfAFYAYQByAGkAYQBiAGwAZQBcAG4AIAAgAD0ATABBAE0AQgBEAEEAKABcACIATQBfAGIAdQByAG4AYwBcACIAKQA7AFwAbgBcAG4AVgBFAEUAUgBHAF8ANgBfADQAXwAxAF8AMQBfAF8AMwBfAF8ATQBhAHMAcwBPAGYAQwByAG8AcABSAGUAcwBpAGQAdQBlAEIAdQByAG4AdABfAFUAbgBpAHQAXABuACAAIAA9AEwAQQBNAEIARABBACgAXAAiAGsAZwBcACIAKQA7AFwAbgBcAG4AVgBFAEUAUgBHAF8ANgBfADQAXwAxAF8AMQBfAF8AMwBfAF8ATQBhAHMAcwBPAGYAQwByAG8AcABSAGUAcwBpAGQAdQBlAEIAdQByAG4AdABfAFMAbwB1AHIAYwBlAFwAbgAgACAAPQBMAEEATQBCAEQAQQAoAFwAIgBWAEUARQBSAEcAIAAyADAAMgA2ADoAIAA2AC4ANAAuADEALgAxACwAIABFAHEAdQBhAHQAaQBvAG4AIAAoADMAKQBcACIAKQA7AFwAbgBcAG4AVgBFAEUAUgBHAF8ANgBfADQAXwAxAF8AMQBfAF8AMwBfAF8ATQBhAHMAcwBPAGYAQwByAG8AcABSAGUAcwBpAGQAdQBlAEIAdQByAG4AdABfAE4ASQBSAFIAZQBmAGUAcgBlAG4AYwBlAFwAbgAgACAAPQBMAEEATQBCAEQAQQAoAFwAIgBcACIAKQA7AFwAbgBcAG4AVgBFAEUAUgBHAF8ANgBfADQAXwAxAF8AMQBfAF8AMwBfAF8ATQBhAHMAcwBPAGYAQwByAG8AcABSAGUAcwBpAGQAdQBlAEIAdQByAG4AdABfAEwAYQB0AGUAeABFAHEAdQBhAHQAaQBvAG4AXABuACAAIAA9AEwAQQBNAEIARABBACgAXAAiAE0AXwB7AGIAdQByAG4ALABjAH0APQBQAF8AewBjAH0AXABcAHQAaQBtAGUAcwAgAFIAXwB7AEEARwBjAH0AXABcAHQAaQBtAGUAcwAgAFMAXwB7AGMAfQBcAFwAdABpAG0AZQBzACAARABNAF8AewBjAH0AXABcAHQAaQBtAGUAcwAgAFoAXwB7AGMAfQBcAFwAdABpAG0AZQBzACAARgBfAHsAYwB9AFwAIgApADsAXABuAFwAbgBWAEUARQBSAEcAXwA2AF8ANABfADEAXwAxAF8AXwAzAF8AXwBNAGEAcwBzAE8AZgBDAHIAbwBwAFIAZQBzAGkAZAB1AGUAQgB1AHIAbgB0AF8AQQByAGcAdQBtAGUAbgB0AHMAXABuACAAIAA9AEwAQQBNAEIARABBACgAXABuACAAIAAgACAATQBBAEsARQBBAFIAUgBBAFkAKAA3ACwAIAA0ACwAXABuACAAIAAgACAAIAAgAEwAQQBNAEIARABBACgAcgAsAGMALABcAG4AIAAgACAAIAAgACAAIAAgAEkATgBEAEUAWAAoAHsAXABuACAAIAAgACAAIAAgACAAIAAgACAAXAAiAFAAXwBjAFwAIgAsAFwAIgBhAG4AbgB1AGEAbAAgAHAAcgBvAGQAdQBjAHQAaQBvAG4AIABvAGYAIABjAHIAbwBwACAAdAB5AHAAZQAgAGMAXAAiACwAIABcACIAawBnAFwAIgAsACAAXAAiAEkAbgBwAHUAdABcACIAOwBcAG4AIAAgACAAIAAgACAAIAAgACAAIABcACIAUgBfAEEARwBjAFwAIgAsAFwAIgByAGUAcwBpAGQAdQBlACAAdABvACAAYwByAG8AcAAgAHIAYQB0AGkAbwAgAG8AZgAgAGMAcgBvAHAAIAB0AHkAcABlACAAYwBcACIALAAgAFwAIgBrAGcAIABjAHIAbwBwACAAcgBlAHMAaQBkAHUAZQAvAGsAZwAgAGMAcgBvAHAAXAAiACwAIABcACIAQwBvAG4AcwB0AGEAbgB0AFwAIgA7AFwAbgAgACAAIAAgACAAIAAgACAAIAAgAFwAIgBTAF8AYwBcACIALABcACIAZgByAGEAYwB0AGkAbwBuACAAbwBmACAAcgBlAHMAaQBkAHUAZQBzACAAbwBmACAAYwByAG8AcAAgAHQAeQBwAGUAIABjACAAcgBlAG0AYQBpAG4AaQBuAGcAIABhAHQAIABiAHUAcgBuAGkAbgBnAFwAIgAsACAAXAAiAGYAcgBhAGMAdABpAG8AbgBcACIALAAgAFwAIgBDAG8AbgBzAHQAYQBuAHQAXAAiADsAXABuACAAIAAgACAAIAAgACAAIAAgACAAXAAiAEQATQBfAGMAXAAiACwAXAAiAGQAcgB5ACAAbQBhAHQAdABlAHIAIABjAG8AbgB0AGUAbgB0ACAAbwBmACAAYwByAG8AcAAgAHQAeQBwAGUAIABjAFwAIgAsACAAXAAiAGsAZwAgAGQAcgB5ACAAdwBlAGkAZwBoAHQALwBrAGcAIABjAHIAbwBwACAAcgBlAHMAaQBkAHUAZQBcACIALAAgAFwAIgBDAG8AbgBzAHQAYQBuAHQAXAAiADsAXABuACAAIAAgACAAIAAgACAAIAAgACAAXAAiAFoAXwBjAFwAIgAsAFwAIgBiAHUAcgBuAGkAbgBnACAAZQBmAGYAaQBjAGkAZQBuAGMAeQAgACgAcgBhAHQAaQBvACAAbwBmACAAZgB1AGUAbAAgAGIAdQByAG4AdAAgAHQAbwAgAGYAdQBlAGwAIABsAG8AYQBkACkAIABvAGYAIABjAHIAbwBwACAAdAB5AHAAZQAgAGMAXAAiACwAIABcACIAXAAiACwAIABcACIAQwBvAG4AcwB0AGEAbgB0AFwAIgA7AFwAbgAgACAAIAAgACAAIAAgACAAIAAgAFwAIgBGAF8AYwBcACIALABcACIAZgByAGEAYwB0AGkAbwBuACAAbwBmACAAdABoAGUAIABhAG4AbgB1AGEAbAAgAHAAcgBvAGQAdQBjAHQAaQBvAG4AIABvAGYAIABjAHIAbwBwACAAdAB5AHAAZQAgAGMAIAB0AGgAYQB0ACAAaQBzACAAYgB1AHIAbgB0AFwAIgAsACAAXAAiAGYAcgBhAGMAdABpAG8Abg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AiAH0ALAB7ACIAcABhAHQAaAAiADoAIgAvAHAAcgBvAGoAZQBjAHQAcwAvAEEAZwByAGUAcwBpAGQAdQBlAF8AUwBvAHUAcgBjAGUARABhAHQAYQAiACwAIgB0AGUAeAB0ACIAOgAiAC8AKgBcAG4APQA9AD0APQA9AD0APQA9AD0APQA9AD0APQA9AD0APQA9AD0APQA9AD0APQA9AD0APQA9AD0APQA9AD0APQA9AD0APQA9AD0APQA9AD0APQA9AD0APQA9AD0APQA9AD0APQA9AD0APQA9AD0APQA9AD0APQA9AD0APQA9AD0APQA9AD0APQA9AD0APQA9AD0APQA9AD0APQBcAG4AQwByAG8AcAAgAHAAdQByAHAAbwBzAGUAIABhAG4AZAAgAHkAaQBlAGwAZABcAG4APQA9AD0APQA9AD0APQA9AD0APQA9AD0APQA9AD0APQA9AD0APQA9AD0APQA9AD0APQA9AD0APQA9AD0APQA9AD0APQA9AD0APQA9AD0APQA9AD0APQA9AD0APQA9AD0APQA9AD0APQA9AD0APQA9AD0APQA9AD0APQA9AD0APQA9AD0APQA9AD0APQA9AD0APQA9AD0APQBcAG4AKgAvAFwAbgBcAG4AQwByAG8AcABQAHUAcgBwAG8AcwBlAEEAbgBkAFkAaQBlAGwAZABfAFQAaQB0AGwAZQBcAG4APQBMAEEATQBCAEQAQQAoACgAXAAiAEMAcgBvAHAAIABwAHUAcgBwAG8AcwBlACAAYQBuAGQAIAB5AGkAZQBsAGQAXAAiACkAKQA7AFwAbgBcAG4AQwByAG8AcABQAHUAcgBwAG8AcwBlAEEAbgBkAFkAaQBlAGwAZABfAEQAYQB0AGEAXABuAD0ATABBAE0AQgBEAEEAKABcAG4AIAAgAE0AQQBLAEUAQQBSAFIAQQBZACgANAAsACAAOAAsAFwAbgAgACAAIAAgAEwAQQBNAEIARABBACgAcgAsAGMALABcAG4AIAAgACAAIAAgACAASQBOAEQARQBYACgAewBcAG4AIAAgACAAIAAgACAAIAAgAFwAIgBQAHUAcgBwAG8AcwBlAFwAIgAsACAAXAAiAFAAZQByACAAaABlAGMAdABhAHIAZQAgAHUAbgBpAHQAXAAiACwAIABcACIAaABhAHIAdgBlAHMAdAAgAHQAZQByAG0AXAAiACwAIABcACIAaABhAHIAdgBlAHMAdAAgAGUAbgBkAHAAbwBpAG4AdABcACIALAAgAFwAIgBIAGEAcgB2AGUAcwB0ACAAdQBpAHQAXAAiACwAIABcACIAWQBpAGUAbABkACAAbgBvAHQAZQBcACIALAAgAFwAIgBSAGUAcwBpAGQAdQBlACAAYwByAG8AcAAgAHIAYQB0AGkAbwAgAG4AbwB0AGUAXAAiACwAIABcACIAVABvAHQAYQBsACAAcAByAG8AZAB1AGMAdABpAG8AbgAgAG4AbwB0AGUAXAAiADsAXABuACAAIAAgACAAIAAgACAAIABcACIAQwBhAHMAaAAgAGcAcgBhAGkAbgAgAGMAcgBvAHAAXAAiACwAIABcACIAZwByAGEAaQBuAFwAIgAsACAAXAAiAHkAaQBlAGwAZABcACIALAAgAFwAIgBoAGEAcgB2AGUAcwB0AFwAIgAsACAAXAAiAGcAcgBhAGkAbgBcACIALAAgAFwAIgBZAGkAZQBsAGQAIABpAHMAIAB0AGgAZQAgAGcAcgBhAGkAbgAgAGgAYQByAHYAZQBzAHQAZQBkACAAZgByAG8AbQAgAHQAaABlACAAcABsAGEAbgB0AFwAIgAsACAAXAAiAFIAZQBzAGkAZAB1AGUAIAB0AG8AIABjAHIAbwBwACAAcgBhAHQAaQBvACAAaQBzACAAcAByAG8AdgBpAGQAZQBkACAAZgByAG8AbQAgAGQAZQBmAGEAdQBsAHQAIAB2AGEAbAB1AGUAcwBcACIALAAgAFwAIgBUAG8AdABhAGwAIABwAHIAbwBkAHUAYwB0AGkAbwBuACAAaQBzACAAdABoAGUAIAB0AG8AdABhAGwAIABnAHIAYQBpAG4AIABoAGEAcgB2AGUAcwB0AGUAZABcACIAOwBcAG4AIAAgACAAIAAgACAAIAAgAFwAIgBDAGEAcwBoACAAYwByAG8AcAAgAGYAbwByACAAaABhAHkALwBzAGkAbABhAGcAZQBcACIALAAgAFwAIgBhAGIAbwB2AGUAIABnAHIAbwB1AG4AZAAgAGIAaQBvAG0AYQBzAHMAXAAiACwAIABcACIAeQBpAGUAbABkAFwAIgAsACAAXAAiAGgAYQByAHYAZQBzAHQAXAAiACwAIABcACIAcABsAGEAbgB0ACAAYgBpAG8AbQBhAHMAcwBcACIALAAgAFwAIgBZAGkAZQBsAGQAIABpAHMAIAB0AGgAZQAgAHcAaABvAGwAZQAgAHAAbABhAG4AdAAgAGgAYQByAHYAZQBzAHQAZQBkACAAZgBvAHIAIABoAGEAeQAvAHMAaQBsAGEAZwBlAFwAIgAsACAAXAAiAFIAZQBzAGkAZAB1AGUAIAB0AG8AIABjAHIAbwBwACAAcgBhAHQAaQBvACAAaQBzACAAMAAgAGEAcwBzAHUAbQBpAG4AZwAgAHQAaABlACAAdwBoAG8AbABlACAAcABsAGEAbgB0ACAAaQBzACAAaABhAHIAdgBlAHMAdABlAGQAIABmAG8AcgAgAGgAYQB5AC8AcwBpAGwAYQBnAGUAXAAiACwAIABcACIAVABvAHQAYQBsACAAcAByAG8AZAB1AGMAdABpAG8AbgAgAGkAcwAgAHQAaABlACAAdABvAHQAYQBsACAAdwBoAG8AbABlACAAcABsAGEAbgB0ACAAYgBpAG8AbQBhAHMAcwAgAGgAYQByAHYAZQBzAHQAZQBkACAAYQBzACAAaABhAHkALwBzAGkAbABhAGcAZQBcACIAOwBcAG4AIAAgACAAIAAgACAAIAAgAFwAIgBDAG8AdgBlAHIAIABjAHIAbwBwAFwAIgAsACAAXAAiAGEAYgBvAHYAZQAgAGcAcgBvAHUAbgBkACAAYgBpAG8AbQBhAHMAcwBcACIALAAgAFwAIgBtAGEAcwBzAFwAIgAsACAAXAAiAGUAbgBkACAAbwBmACAAYwByAG8AcAAgAGMAeQBjAGwAZQBcACIALAAgAFwAIgBhAGIAbwB2AGUAIABnAHIAbwB1AG4AZAAgAGIAaQBvAG0AYQBzAHMAXAAiACwAIABcACIAWQBpAGUAbABkACAAaQBzACAAdABoAGUAIAB3AGgAbwBsAGUAIABwAGwAYQBuAHQAIABrAGUAcAB0ACAAYQBzACAAYwBvAHYAZQByACAAYwByAG8AcABcACIALAAgAFwAIgBSAGUAcwBpAGQAdQBlACAAdABvACAAYwByAG8AcAAgAHIAYQB0AGkAbwAgAGkAcwAgADEAIABhAHMAcwB1AG0AaQBuAGcAIAB0AGgAZQAgAHcAaABvAGwAZQAgAHAAbABhAG4AdAAgAGkAcwAgAGsAZQBwAHQAIABhAHMAIABjAG8AdgBlAHIAIABjAHIAbwBwAFwAIgAsACAAXAAiAFQAbwB0AGEAbAAgAHAAcgBvAGQAdQBjAHQAaQBvAG4AIABpAHMAIAB0AGgAZQAgAHQAbwB0AGEAbAAgAHcAaABvAGwAZQAgAHAAbABhAG4AdAAgAGIAaQBvAG0AYQBzAHMAIABrAGUAcAB0ACAAYQBzACAAYwBvAHYAZQByACAAYwByAG8Ac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XAB1ADAAMAAyADcATgAvAEEAXAB1ADAAMAAyADcAIAB2AGEAbAB1AGUAcwAgAHAAYQBzAHMAZQBkACAAYQBzACAAegBlAHIAbwAgAGYAbwByACAAYwBhAGwAYwB1AGwAYQB0AGkAbwBuAHMALgBcACIAKQApADsAXABuAFwAbgAvACoAXABuAD0APQA9AD0APQA9AD0APQA9AD0APQA9AD0APQA9AD0APQA9AD0APQA9AD0APQA9AD0APQA9AD0APQA9AD0APQA9AD0APQA9AD0APQA9AD0APQA9AD0APQA9AD0APQA9AD0APQA9AD0APQA9AD0APQA9AD0APQA9AD0APQA9AD0APQA9AD0APQA9AD0APQA9AD0APQA9AD0AXABuAEMAcgBvAHAAIABhAHQAdAByAGkAYgB1AHQAZQBzACAALQAgAEYAcgBhAGMAdABpAG8AbgAgAHIAZQBtAG8AdgBlAGQAIAAoAEYARgBPAEQAYwApAFwAbgA9AD0APQA9AD0APQA9AD0APQA9AD0APQA9AD0APQA9AD0APQA9AD0APQA9AD0APQA9AD0APQA9AD0APQA9AD0APQA9AD0APQA9AD0APQA9AD0APQA9AD0APQA9AD0APQA9AD0APQA9AD0APQA9AD0APQA9AD0APQA9AD0APQA9AD0APQA9AD0APQA9AD0APQA9AD0APQA9AFwAbgAqAC8AXABuAFwAbgBDAHIAbwBwAEYAcgBhAGMAdABpAG8AbgBSAGUAbQBvAHYAZQBkAF8AVABpAHQAbABlAFwAbgA9AEwAQQBNAEIARABBACgAKABcACIAVABhAGIAbABlACAAQQAuADIALgAxAC4AMgA6ACAAQwByAG8AcAAgAGEAdAB0AHIAaQBiAHUAdABlAHMAIAAtACAARgByAGEAYwB0AGkAbwBuACAAcgBlAG0AbwB2AGUAZAAgACgARgBGAE8ARABjACkAXAAiACkAKQA7AFwAbgBcAG4AQwByAG8AcABGAHIAYQBjAHQAaQBvAG4AUgBlAG0AbwB2AGUAZABfAEQAZQBzAGMAcgBpAHAAdABpAG8AbgBcAG4APQBMAEEATQBCAEQAQQAoACgAXAAiAEMAcgBvAHAAIABhAHQAdAByAGkAYgB1AHQAZQBzACAALQAgAEYAcgBhAGMAdABpAG8AbgAgAHIAZQBtAG8AdgBlAGQAIAAoAEYARgBPAEQAYwApAFwAIgApACkAOwBcAG4AXABuAEMAcgBvAHAARgByAGEAYwB0AGkAbwBuAFIAZQBtAG8AdgBlAGQAXwBTAG8AdQByAGMAZQBcAG4APQBMAEEATQBCAEQAQQAoACgAXAAiAFYARQBFAFIARwAgADIAMAAyADYAOgAgAFQAYQBiAGwAZQAgAEEALgAyAC4AMQAuADIAOgAgAEMAcgBvAHAAIABhAHQAdAByAGkAYgB1AHQAZQBzACAALQAgAEYAcgBhAGMAdABpAG8AbgAgAHIAZQBtAG8AdgBlAGQAIAAoAEYARgBPAEQAYwApAFwAIgApACkAOwBcAG4AXABuAEMAcgBvAHAARgByAGEAYwB0AGkAbwBuAFIAZQBtAG8AdgBlAGQAXwBEAGEAdABhAFwAbgA9AEwAQQBNAEIARABBACgAXABuACAAIABNAEEASwBFAEEAUgBSAEEAWQAoADIAM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BAGwAbAAgAHMAdABhAHQAZQBzAFwAIgAsACAAMAAuADAANgA7AFwAbgAgACAAIAAgACAAIAAgACAAXAAiAFQAdQBiAGUAcgBzACAAYQBuAGQAIAByAG8AbwB0AHMAXAAiACwAIABcACIAQQBsAGwAIABzAHQAYQB0AGUAcwBcACIALAAgADEAOwBcAG4AIAAgACAAIAAgACAAIAAgAFwAIgBDAG8AdAB0AG8AbgBcACIALAAgAFwAIgBBAGwAbAAgAHMAdABhAHQAZQBzAFwAIgAsACAAMAA7AFwAbgAgACAAIAAgACAAIAAgACAAXAAiAEgAbwBwAHMAXAAiACwAIABcACIAQQBsAGwAIABzAHQAYQB0AGUAcwBcACIALAAgADAAOwBcAG4AIAAgACAAIAAgACAAIAAgAFwAIgBGAG8AcgBhAGcAZQAgAGMAcgBvAHAAcwBcACIALAAgAFwAIgBBAGwAbAAgAHMAdABhAHQAZQBzAFwAIgAsACAAMAAuADgAOwBcAG4AIAAgACAAIAAgACAAIAAgAFwAIgBTAHUAZwBhAHIAIABDAGEAbgBlAFwAIgAsACAAXAAiAE4AUwBXAFwAIgAsACAAMAA7AFwAbgAgACAAIAAgACAAIAAgACAAXAAiAFMAdQBnAGEAcgAgAEMAYQBuAGUAXAAiACwAIABcACIAUQBMAEQAXAAiACwAIAAwAC4AMAAzADsAXABuACAAIAAgACAAIAAgACAAIABcACIAUwB1AGcAYQByACAAQwBhAG4AZQBcACIALAAgAFwAIgBXAEEAXAAiACwAIAAwADsAXABuACAAIAAgACAAIAAgACAAIABcACIAQQBsAGwAIABvAHQAaABlAHIAIABjAHIAbwBwACAAdAB5AHAAZQBzAFwAIgAsACAAXAAiAE4AUwBXAFwAIgAsACAAMAAuADAANQA7AFwAbgAgACAAIAAgACAAIAAgACAAXAAiAEEAbABsACAAbwB0AGgAZQByACAAYwByAG8AcAAgAHQAeQBwAGUAcwBcACIALAAgAFwAIgBWAEkAQwBcACIALAAgADAALgAwADcAOwBcAG4AIAAgACAAIAAgACAAIAAgAFwAIgBBAGwAbAAgAG8AdABoAGUAcgAgAGMAcgBvAHAAIAB0AHkAcABlAHMAXAAiACwAIABcACIAUQBMAEQAXAAiACwAIAAwAC4AMAA0ADsAXABuACAAIAAgACAAIAAgACAAIABcACIAQQBsAGwAIABvAHQAaABlAHIAIABjAHIAbwBwACAAdAB5AHAAZQBzAFwAIgAsACAAXAAiAFMAQQBcACIALAAgADAALgAwADkAOwBcAG4AIAAgACAAIAAgACAAIAAgAFwAIgBBAGwAbAAgAG8AdABoAGUAcgAgAGMAcgBvAHAAIAB0AHkAcABlAHMAXAAiACwAIABcACIAVwBBAFwAIgAsACAAMAAuADEAMQA7AFwAbgAgACAAIAAgACAAIAAgACAAXAAiAEEAbABsACAAbwB0AGgAZQByACAAYwByAG8AcAAgAHQAeQBwAGUAcwBcACIALAAgAFwAIgBUAEEAUwBcACIALAAgADAALgAxADYAOwBcAG4AIAAgACAAIAAgACAAIAAgAFwAIgBBAGwAbAAgAG8AdABoAGUAcgAgAGMAcgBvAHAAIAB0AHkAcABlAHMAXAAiACwAIABcACIATgBUAFwAIgAsACAAMAAuADAAMQA7AFwAbgAgACAAIAAgACAAIAAgACAAXAAiAEEAbABsACAAbwB0AGgAZQByACAAYwByAG8AcAAgAHQAeQBwAGUAcwBcACIALAAgAFwAIgBBAEMAVABcACIALAAgADAALgAwADAAXABuACAAIAAgACAAIAAgAH0ALAAgAHIALAAgAGMAKQBcAG4AKQApACkAOwBcAG4AXABuAEMAcgBvAHAARgByAGEAYwB0AGkAbwBuAFIAZQBtAG8AdgBlAGQAXwBDAHUAcwB0AG8AbQBpAHMAZQBkAEQAYQB0AGEAXABuAD0ATABBAE0AQgBEAEEAKABcAG4AIAAgAE0AQQBLAEUAQQBSAFIAQQBZACgAMQA0ADQ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TgBTAFcAXAAiACwAIAAwAC4AMAA2ADsAXABuACAAIAAgACAAIAAgACAAIABcACIAUgBpAGMAZQBcACIALAAgAFwAIgBWAEkAQwBcACIALAAgADAALgAwADYAOwBcAG4AIAAgACAAIAAgACAAIAAgAFwAIgBSAGkAYwBlAFwAIgAsACAAXAAiAFEATABEAFwAIgAsACAAMAAuADAANgA7AFwAbgAgACAAIAAgACAAIAAgACAAXAAiAFIAaQBjAGUAXAAiACwAIABcACIAUwBBAFwAIgAsACAAMAAuADAANgA7AFwAbgAgACAAIAAgACAAIAAgACAAXAAiAFIAaQBjAGUAXAAiACwAIABcACIAVwBBAFwAIgAsACAAMAAuADAANgA7AFwAbgAgACAAIAAgACAAIAAgACAAXAAiAFIAaQBjAGUAXAAiACwAIABcACIAVABBAFMAXAAiACwAIAAwAC4AMAA2ADsAXABuACAAIAAgACAAIAAgACAAIABcACIAUgBpAGMAZQBcACIALAAgAFwAIgBOAFQAXAAiACwAIAAwAC4AMAA2ADsAXABuACAAIAAgACAAIAAgACAAIABcACIAUgBpAGMAZQBcACIALAAgAFwAIgBBAEMAVABcACIALAAgADAALgAwADYAOwBcAG4AIAAgACAAIAAgACAAIAAgAFwAIgBUAHUAYgBlAHIAcwAgAGEAbgBkACAAcgBvAG8AdABzAFwAIgAsACAAXAAiAE4AUwBXAFwAIgAsACAAMQA7AFwAbgAgACAAIAAgACAAIAAgACAAXAAiAFQAdQBiAGUAcgBzACAAYQBuAGQAIAByAG8AbwB0AHMAXAAiACwAIABcACIAVgBJAEMAXAAiACwAIAAxADsAXABuACAAIAAgACAAIAAgACAAIABcACIAVAB1AGIAZQByAHMAIABhAG4AZAAgAHIAbwBvAHQAcwBcACIALAAgAFwAIgBRAEwARABcACIALAAgADEAOwBcAG4AIAAgACAAIAAgACAAIAAgAFwAIgBUAHUAYgBlAHIAcwAgAGEAbgBkACAAcgBvAG8AdABzAFwAIgAsACAAXAAiAFMAQQBcACIALAAgADEAOwBcAG4AIAAgACAAIAAgACAAIAAgAFwAIgBUAHUAYgBlAHIAcwAgAGEAbgBkACAAcgBvAG8AdABzAFwAIgAsACAAXAAiAFcAQQBcACIALAAgADEAOwBcAG4AIAAgACAAIAAgACAAIAAgAFwAIgBUAHUAYgBlAHIAcwAgAGEAbgBkACAAcgBvAG8AdABzAFwAIgAsACAAXAAiAFQAQQBTAFwAIgAsACAAMQA7AFwAbgAgACAAIAAgACAAIAAgACAAXAAiAFQAdQBiAGUAcgBzACAAYQBuAGQAIAByAG8AbwB0AHMAXAAiACwAIABcACIATgBUAFwAIgAsACAAMQA7AFwAbgAgACAAIAAgACAAIAAgACAAXAAiAFQAdQBiAGUAcgBzACAAYQBuAGQAIAByAG8AbwB0AHMAXAAiACwAIABcACIAQQBDAFQAXAAiACwAIAAxADsAXABuACAAIAAgACAAIAAgACAAIABcACIAQwBvAHQAdABvAG4AXAAiACwAIABcACIATgBTAFcAXAAiACwAIAAwADsAXABuACAAIAAgACAAIAAgACAAIABcACIAQwBvAHQAdABvAG4AXAAiACwAIABcACIAVgBJAEMAXAAiACwAIAAwADsAXABuACAAIAAgACAAIAAgACAAIABcACIAQwBvAHQAdABvAG4AXAAiACwAIABcACIAUQBMAEQAXAAiACwAIAAwADsAXABuACAAIAAgACAAIAAgACAAIABcACIAQwBvAHQAdABvAG4AXAAiACwAIABcACIAUwBBAFwAIgAsACAAMAA7AFwAbgAgACAAIAAgACAAIAAgACAAXAAiAEMAbwB0AHQAbwBuAFwAIgAsACAAXAAiAFcAQQBcACIALAAgADAAOwBcAG4AIAAgACAAIAAgACAAIAAgAFwAIgBDAG8AdAB0AG8AbgBcACIALAAgAFwAIgBUAEEAUwBcACIALAAgADAAOwBcAG4AIAAgACAAIAAgACAAIAAgAFwAIgBDAG8AdAB0AG8AbgBcACIALAAgAFwAIgBOAFQAXAAiACwAIAAwADsAXABuACAAIAAgACAAIAAgACAAIABcACIAQwBvAHQAdABvAG4AXAAiACwAIABcACIAQQBDAFQAXAAiACwAIAAwADsAXABuACAAIAAgACAAIAAgACAAIABcACIASABvAHAAcwBcACIALAAgAFwAIgBOAFMAVwBcACIALAAgADAAOwBcAG4AIAAgACAAIAAgACAAIAAgAFwAIgBIAG8AcABzAFwAIgAsACAAXAAiAFYASQBDAFwAIgAsACAAMAA7AFwAbgAgACAAIAAgACAAIAAgACAAXAAiAEgAbwBwAHMAXAAiACwAIABcACIAUQBMAEQAXAAiACwAIAAwADsAXABuACAAIAAgACAAIAAgACAAIABcACIASABvAHAAcwBcACIALAAgAFwAIgBTAEEAXAAiACwAIAAwADsAXABuACAAIAAgACAAIAAgACAAIABcACIASABvAHAAcwBcACIALAAgAFwAIgBXAEEAXAAiACwAIAAwADsAXABuACAAIAAgACAAIAAgACAAIABcACIASABvAHAAcwBcACIALAAgAFwAIgBUAEEAUwBcACIALAAgADAAOwBcAG4AIAAgACAAIAAgACAAIAAgAFwAIgBIAG8AcABzAFwAIgAsACAAXAAiAE4AVABcACIALAAgADAAOwBcAG4AIAAgACAAIAAgACAAIAAgAFwAIgBIAG8AcABzAFwAIgAsACAAXAAiAEEAQwBUAFwAIgAsACAAMAA7AFwAbgAgACAAIAAgACAAIAAgACAAXAAiAEYAbwByAGEAZwBlACAAYwByAG8AcABzAFwAIgAsACAAXAAiAE4AUwBXAFwAIgAsACAAMAAuADgAOwBcAG4AIAAgACAAIAAgACAAIAAgAFwAIgBGAG8AcgBhAGcAZQAgAGMAcgBvAHAAcwBcACIALAAgAFwAIgBWAEkAQwBcACIALAAgADAALgA4ADsAXABuACAAIAAgACAAIAAgACAAIABcACIARgBvAHIAYQBnAGUAIABjAHIAbwBwAHMAXAAiACwAIABcACIAUQBMAEQAXAAiACwAIAAwAC4AOAA7AFwAbgAgACAAIAAgACAAIAAgACAAXAAiAEYAbwByAGEAZwBlACAAYwByAG8AcABzAFwAIgAsACAAXAAiAFMAQQBcACIALAAgADAALgA4ADsAXABuACAAIAAgACAAIAAgACAAIABcACIARgBvAHIAYQBnAGUAIABjAHIAbwBwAHMAXAAiACwAIABcACIAVwBBAFwAIgAsACAAMAAuADgAOwBcAG4AIAAgACAAIAAgACAAIAAgAFwAIgBGAG8AcgBhAGcAZQAgAGMAcgBvAHAAcwBcACIALAAgAFwAIgBUAEEAUwBcACIALAAgADAALgA4ADsAXABuACAAIAAgACAAIAAgACAAIABcACIARgBvAHIAYQBnAGUAIABjAHIAbwBwAHMAXAAiACwAIABcACIATgBUAFwAIgAsACAAMAAuADgAOwBcAG4AIAAgACAAIAAgACAAIAAgAFwAIgBGAG8AcgBhAGcAZQAgAGMAcgBvAHAAcwBcACIALAAgAFwAIgBBAEMAVABcACIALAAgADAALgA4ADsAXABuACAAIAAgACAAIAAgACAAIABcACIAUwB1AGcAYQByACAAQwBhAG4AZQBcACIALAAgAFwAIgBOAFMAVwBcACIALAAgADAAOwBcAG4AIAAgACAAIAAgACAAIAAgAFwAIgBTAHUAZwBhAHIAIABDAGEAbgBlAFwAIgAsACAAXAAiAFYASQBDAFwAIgAsACAAXAAiAE4ALwBBAFwAIgA7AFwAbgAgACAAIAAgACAAIAAgACAAXAAiAFMAdQBnAGEAcgAgAEMAYQBuAGUAXAAiACwAIABcACIAUQBMAEQAXAAiACwAIAAwAC4AMAAzADsAXABuACAAIAAgACAAIAAgACAAIABcACIAUwB1AGcAYQByACAAQwBhAG4AZQBcACIALAAgAFwAIgBTAEEAXAAiACwAIABcACIATgAvAEEAXAAiADsAXABuACAAIAAgACAAIAAgACAAIABcACIAUwB1AGcAYQByACAAQwBhAG4AZQBcACIALAAgAFwAIgBXAEEAXAAiACwAIAAwADsAXABuACAAIAAgACAAIAAgACAAIABcACIAUwB1AGcAYQByACAAQwBhAG4AZQBcACIALAAgAFwAIgBUAEEAUwBcACIALAAgAFwAIgBOAC8AQQBcACIAOwBcAG4AIAAgACAAIAAgACAAIAAgAFwAIgBTAHUAZwBhAHIAIABDAGEAbgBlAFwAIgAsACAAXAAiAE4AVABcACIALAAgAFwAIgBOAC8AQQBcACIAOwBcAG4AIAAgACAAIAAgACAAIAAgAFwAIgBTAHUAZwBhAHIAIABDAGEAbgBlAFwAIgAsACAAXAAiAEEAQwBUAFwAIgAsACAAXAAiAE4ALwBBAFwAIgA7AFwAbgAgACAAIAAgACAAIAAgACAAXAAiAFcAaABlAGEAdABcACIALAAgAFwAIgBOAFMAVwBcACIALAAgADAALgAwADUAOwBcAG4AIAAgACAAIAAgACAAIAAgAFwAIgBXAGgAZQBhAHQAXAAiACwAIABcACIAVgBJAEMAXAAiACwAIAAwAC4AMAA3ADsAXABuACAAIAAgACAAIAAgACAAIABcACIAVwBoAGUAYQB0AFwAIgAsACAAXAAiAFEATABEAFwAIgAsACAAMAAuADAANAA7AFwAbgAgACAAIAAgACAAIAAgACAAXAAiAFcAaABlAGEAdABcACIALAAgAFwAIgBTAEEAXAAiACwAIAAwAC4AMAA5ADsAXABuACAAIAAgACAAIAAgACAAIABcACIAVwBoAGUAYQB0AFwAIgAsACAAXAAiAFcAQQBcACIALAAgADAALgAxADEAOwBcAG4AIAAgACAAIAAgACAAIAAgAFwAIgBXAGgAZQBhAHQAXAAiACwAIABcACIAVABBAFMAXAAiACwAIAAwAC4AMQA2ADsAXABuACAAIAAgACAAIAAgACAAIABcACIAVwBoAGUAYQB0AFwAIgAsACAAXAAiAE4AVABcACIALAAgADAALgAwADEAOwBcAG4AIAAgACAAIAAgACAAIAAgAFwAIgBXAGgAZQBhAHQAXAAiACwAIABcACIAQQBDAFQAXAAiACwAIAAwAC4AMAAwADsAXABuACAAIAAgACAAIAAgACAAIABcACIAQgBhAHIAbABlAHkAXAAiACwAIABcACIATgBTAFcAXAAiACwAIAAwAC4AMAA1ADsAXABuACAAIAAgACAAIAAgACAAIABcACIAQgBhAHIAbABlAHkAXAAiACwAIABcACIAVgBJAEMAXAAiACwAIAAwAC4AMAA3ADsAXABuACAAIAAgACAAIAAgACAAIABcACIAQgBhAHIAbABlAHkAXAAiACwAIABcACIAUQBMAEQAXAAiACwAIAAwAC4AMAA0ADsAXABuACAAIAAgACAAIAAgACAAIABcACIAQgBhAHIAbABlAHkAXAAiACwAIABcACIAUwBBAFwAIgAsACAAMAAuADAAOQA7AFwAbgAgACAAIAAgACAAIAAgACAAXAAiAEIAYQByAGwAZQB5AFwAIgAsACAAXAAiAFcAQQBcACIALAAgADAALgAxADEAOwBcAG4AIAAgACAAIAAgACAAIAAgAFwAIgBCAGEAcgBsAGUAeQBcACIALAAgAFwAIgBUAEEAUwBcACIALAAgADAALgAxADYAOwBcAG4AIAAgACAAIAAgACAAIAAgAFwAIgBCAGEAcgBsAGUAeQBcACIALAAgAFwAIgBOAFQAXAAiACwAIAAwAC4AMAAxADsAXABuACAAIAAgACAAIAAgACAAIABcACIAQgBhAHIAbABlAHkAXAAiACwAIABcACIAQQBDAFQAXAAiACwAIAAwAC4AMAAwADsAXABuACAAIAAgACAAIAAgACAAIABcACIATQBhAGkAegBlAFwAIgAsACAAXAAiAE4AUwBXAFwAIgAsACAAMAAuADAANQA7AFwAbgAgACAAIAAgACAAIAAgACAAXAAiAE0AYQBpAHoAZQBcACIALAAgAFwAIgBWAEkAQwBcACIALAAgADAALgAwADcAOwBcAG4AIAAgACAAIAAgACAAIAAgAFwAIgBNAGEAaQB6AGUAXAAiACwAIABcACIAUQBMAEQAXAAiACwAIAAwAC4AMAA0ADsAXABuACAAIAAgACAAIAAgACAAIABcACIATQBhAGkAegBlAFwAIgAsACAAXAAiAFMAQQBcACIALAAgADAALgAwADkAOwBcAG4AIAAgACAAIAAgACAAIAAgAFwAIgBNAGEAaQB6AGUAXAAiACwAIABcACIAVwBBAFwAIgAsACAAMAAuADEAMQA7AFwAbgAgACAAIAAgACAAIAAgACAAXAAiAE0AYQBpAHoAZQBcACIALAAgAFwAIgBUAEEAUwBcACIALAAgADAALgAxADYAOwBcAG4AIAAgACAAIAAgACAAIAAgAFwAIgBNAGEAaQB6AGUAXAAiACwAIABcACIATgBUAFwAIgAsACAAMAAuADAAMQA7AFwAbgAgACAAIAAgACAAIAAgACAAXAAiAE0AYQBpAHoAZQBcACIALAAgAFwAIgBBAEMAVABcACIALAAgADAALgAwADAAOwBcAG4AIAAgACAAIAAgACAAIAAgAFwAIgBPAGEAdABzAFwAIgAsACAAXAAiAE4AUwBXAFwAIgAsACAAMAAuADAANQA7AFwAbgAgACAAIAAgACAAIAAgACAAXAAiAE8AYQB0AHMAXAAiACwAIABcACIAVgBJAEMAXAAiACwAIAAwAC4AMAA3ADsAXABuACAAIAAgACAAIAAgACAAIABcACIATwBhAHQAcwBcACIALAAgAFwAIgBRAEwARABcACIALAAgADAALgAwADQAOwBcAG4AIAAgACAAIAAgACAAIAAgAFwAIgBPAGEAdABzAFwAIgAsACAAXAAiAFMAQQBcACIALAAgADAALgAwADkAOwBcAG4AIAAgACAAIAAgACAAIAAgAFwAIgBPAGEAdABzAFwAIgAsACAAXAAiAFcAQQBcACIALAAgADAALgAxADEAOwBcAG4AIAAgACAAIAAgACAAIAAgAFwAIgBPAGEAdABzAFwAIgAsACAAXAAiAFQAQQBTAFwAIgAsACAAMAAuADEANgA7AFwAbgAgACAAIAAgACAAIAAgACAAXAAiAE8AYQB0AHMAXAAiACwAIABcACIATgBUAFwAIgAsACAAMAAuADAAMQA7AFwAbgAgACAAIAAgACAAIAAgACAAXAAiAE8AYQB0AHMAXAAiACwAIABcACIAQQBDAFQAXAAiACwAIAAwAC4AMAAwADsAXABuACAAIAAgACAAIAAgACAAIABcACIAUwBvAHIAZwBoAHUAbQBcACIALAAgAFwAIgBOAFMAVwBcACIALAAgADAALgAwADUAOwBcAG4AIAAgACAAIAAgACAAIAAgAFwAIgBTAG8AcgBnAGgAdQBtAFwAIgAsACAAXAAiAFYASQBDAFwAIgAsACAAMAAuADAANwA7AFwAbgAgACAAIAAgACAAIAAgACAAXAAiAFMAbwByAGcAaAB1AG0AXAAiACwAIABcACIAUQBMAEQAXAAiACwAIAAwAC4AMAA0ADsAXABuACAAIAAgACAAIAAgACAAIABcACIAUwBvAHIAZwBoAHUAbQBcACIALAAgAFwAIgBTAEEAXAAiACwAIAAwAC4AMAA5ADsAXABuACAAIAAgACAAIAAgACAAIABcACIAUwBvAHIAZwBoAHUAbQBcACIALAAgAFwAIgBXAEEAXAAiACwAIAAwAC4AMQAxADsAXABuACAAIAAgACAAIAAgACAAIABcACIAUwBvAHIAZwBoAHUAbQBcACIALAAgAFwAIgBUAEEAUwBcACIALAAgADAALgAxADYAOwBcAG4AIAAgACAAIAAgACAAIAAgAFwAIgBTAG8AcgBnAGgAdQBtAFwAIgAsACAAXAAiAE4AVABcACIALAAgADAALgAwADEAOwBcAG4AIAAgACAAIAAgACAAIAAgAFwAIgBTAG8AcgBnAGgAdQBtAFwAIgAsACAAXAAiAEEAQwBUAFwAIgAsACAAMAAuADAAMAA7AFwAbgAgACAAIAAgACAAIAAgACAAXAAiAFQAcgBpAHQAaQBjAGEAbABlAFwAIgAsACAAXAAiAE4AUwBXAFwAIgAsACAAMAAuADAANQA7AFwAbgAgACAAIAAgACAAIAAgACAAXAAiAFQAcgBpAHQAaQBjAGEAbABlAFwAIgAsACAAXAAiAFYASQBDAFwAIgAsACAAMAAuADAANwA7AFwAbgAgACAAIAAgACAAIAAgACAAXAAiAFQAcgBpAHQAaQBjAGEAbABlAFwAIgAsACAAXAAiAFEATABEAFwAIgAsACAAMAAuADAANAA7AFwAbgAgACAAIAAgACAAIAAgACAAXAAiAFQAcgBpAHQAaQBjAGEAbABlAFwAIgAsACAAXAAiAFMAQQBcACIALAAgADAALgAwADkAOwBcAG4AIAAgACAAIAAgACAAIAAgAFwAIgBUAHIAaQB0AGkAYwBhAGwAZQBcACIALAAgAFwAIgBXAEEAXAAiACwAIAAwAC4AMQAxADsAXABuACAAIAAgACAAIAAgACAAIABcACIAVAByAGkAdABpAGMAYQBsAGUAXAAiACwAIABcACIAVABBAFMAXAAiACwAIAAwAC4AMQA2ADsAXABuACAAIAAgACAAIAAgACAAIABcACIAVAByAGkAdABpAGMAYQBsAGUAXAAiACwAIABcACIATgBUAFwAIgAsACAAMAAuADAAMQA7AFwAbgAgACAAIAAgACAAIAAgACAAXAAiAFQAcgBpAHQAaQBjAGEAbABlAFwAIgAsACAAXAAiAEEAQwBUAFwAIgAsACAAMAAuADAAMAA7AFwAbgAgACAAIAAgACAAIAAgACAAXAAiAE8AdABoAGUAcgAgAGMAZQByAGUAYQBsAHMAXAAiACwAIABcACIATgBTAFcAXAAiACwAIAAwAC4AMAA1ADsAXABuACAAIAAgACAAIAAgACAAIABcACIATwB0AGgAZQByACAAYwBlAHIAZQBhAGwAcwBcACIALAAgAFwAIgBWAEkAQwBcACIALAAgADAALgAwADcAOwBcAG4AIAAgACAAIAAgACAAIAAgAFwAIgBPAHQAaABlAHIAIABjAGUAcgBlAGEAbABzAFwAIgAsACAAXAAiAFEATABEAFwAIgAsACAAMAAuADAANAA7AFwAbgAgACAAIAAgACAAIAAgACAAXAAiAE8AdABoAGUAcgAgAGMAZQByAGUAYQBsAHMAXAAiACwAIABcACIAUwBBAFwAIgAsACAAMAAuADAAOQA7AFwAbgAgACAAIAAgACAAIAAgACAAXAAiAE8AdABoAGUAcgAgAGMAZQByAGUAYQBsAHMAXAAiACwAIABcACIAVwBBAFwAIgAsACAAMAAuADEAMQA7AFwAbgAgACAAIAAgACAAIAAgACAAXAAiAE8AdABoAGUAcgAgAGMAZQByAGUAYQBsAHMAXAAiACwAIABcACIAVABBAFMAXAAiACwAIAAwAC4AMQA2ADsAXABuACAAIAAgACAAIAAgACAAIABcACIATwB0AGgAZQByACAAYwBlAHIAZQBhAGwAcwBcACIALAAgAFwAIgBOAFQAXAAiACwAIAAwAC4AMAAxADsAXABuACAAIAAgACAAIAAgACAAIABcACIATwB0AGgAZQByACAAYwBlAHIAZQBhAGwAcwBcACIALAAgAFwAIgBBAEMAVABcACIALAAgADAALgAwADAAOwBcAG4AIAAgACAAIAAgACAAIAAgAFwAIgBQAHUAbABzAGUAcwBcACIALAAgAFwAIgBOAFMAVwBcACIALAAgADAALgAwADUAOwBcAG4AIAAgACAAIAAgACAAIAAgAFwAIgBQAHUAbABzAGUAcwBcACIALAAgAFwAIgBWAEkAQwBcACIALAAgADAALgAwADcAOwBcAG4AIAAgACAAIAAgACAAIAAgAFwAIgBQAHUAbABzAGUAcwBcACIALAAgAFwAIgBRAEwARABcACIALAAgADAALgAwADQAOwBcAG4AIAAgACAAIAAgACAAIAAgAFwAIgBQAHUAbABzAGUAcwBcACIALAAgAFwAIgBTAEEAXAAiACwAIAAwAC4AMAA5ADsAXABuACAAIAAgACAAIAAgACAAIABcACIAUAB1AGwAcwBlAHMAXAAiACwAIABcACIAVwBBAFwAIgAsACAAMAAuADEAMQA7AFwAbgAgACAAIAAgACAAIAAgACAAXAAiAFAAdQBsAHMAZQBzAFwAIgAsACAAXAAiAFQAQQBTAFwAIgAsACAAMAAuADEANgA7AFwAbgAgACAAIAAgACAAIAAgACAAXAAiAFAAdQBsAHMAZQBzAFwAIgAsACAAXAAiAE4AVABcACIALAAgADAALgAwADEAOwBcAG4AIAAgACAAIAAgACAAIAAgAFwAIgBQAHUAbABzAGUAcwBcACIALAAgAFwAIgBBAEMAVABcACIALAAgADAALgAwADAAOwBcAG4AIAAgACAAIAAgACAAIAAgAFwAIgBQAGUAYQBuAHUAdABzAFwAIgAsACAAXAAiAE4AUwBXAFwAIgAsACAAMAAuADAANQA7AFwAbgAgACAAIAAgACAAIAAgACAAXAAiAFAAZQBhAG4AdQB0AHMAXAAiACwAIABcACIAVgBJAEMAXAAiACwAIAAwAC4AMAA3ADsAXABuACAAIAAgACAAIAAgACAAIABcACIAUABlAGEAbgB1AHQAcwBcACIALAAgAFwAIgBRAEwARABcACIALAAgADAALgAwADQAOwBcAG4AIAAgACAAIAAgACAAIAAgAFwAIgBQAGUAYQBuAHUAdABzAFwAIgAsACAAXAAiAFMAQQBcACIALAAgADAALgAwADkAOwBcAG4AIAAgACAAIAAgACAAIAAgAFwAIgBQAGUAYQBuAHUAdABzAFwAIgAsACAAXAAiAFcAQQBcACIALAAgADAALgAxADEAOwBcAG4AIAAgACAAIAAgACAAIAAgAFwAIgBQAGUAYQBuAHUAdABzAFwAIgAsACAAXAAiAFQAQQBTAFwAIgAsACAAMAAuADEANgA7AFwAbgAgACAAIAAgACAAIAAgACAAXAAiAFAAZQBhAG4AdQB0AHMAXAAiACwAIABcACIATgBUAFwAIgAsACAAMAAuADAAMQA7AFwAbgAgACAAIAAgACAAIAAgACAAXAAiAFAAZQBhAG4AdQB0AHMAXAAiACwAIABcACIAQQBDAFQAXAAiACwAIAAwAC4AMAAwADsAXABuACAAIAAgACAAIAAgACAAIABcACIATwBpAGwAcwBlAGUAZABzAFwAIgAsACAAXAAiAE4AUwBXAFwAIgAsACAAMAAuADAANQA7AFwAbgAgACAAIAAgACAAIAAgACAAXAAiAE8AaQBsAHMAZQBlAGQAcwBcACIALAAgAFwAIgBWAEkAQwBcACIALAAgADAALgAwADcAOwBcAG4AIAAgACAAIAAgACAAIAAgAFwAIgBPAGkAbABzAGUAZQBkAHMAXAAiACwAIABcACIAUQBMAEQAXAAiACwAIAAwAC4AMAA0ADsAXABuACAAIAAgACAAIAAgACAAIABcACIATwBpAGwAcwBlAGUAZABzAFwAIgAsACAAXAAiAFMAQQBcACIALAAgADAALgAwADkAOwBcAG4AIAAgACAAIAAgACAAIAAgAFwAIgBPAGkAbABzAGUAZQBkAHMAXAAiACwAIABcACIAVwBBAFwAIgAsACAAMAAuADEAMQA7AFwAbgAgACAAIAAgACAAIAAgACAAXAAiAE8AaQBsAHMAZQBlAGQAcwBcACIALAAgAFwAIgBUAEEAUwBcACIALAAgADAALgAxADYAOwBcAG4AIAAgACAAIAAgACAAIAAgAFwAIgBPAGkAbABzAGUAZQBkAHMAXAAiACwAIABcACIATgBUAFwAIgAsACAAMAAuADAAMQA7AFwAbgAgACAAIAAgACAAIAAgACAAXAAiAE8AaQBsAHMAZQBlAGQAcwBcACIALAAgAFwAIgBBAEMAVABcACIALAAgADAALgAwADAAOwBcAG4AIAAgACAAIAAgACAAIAAgAFwAIgBPAHQAaABlAHIAIABhAG4AbgB1AGEAbAAgAGMAcgBvAHAAcwBcACIALAAgAFwAIgBOAFMAVwBcACIALAAgADAALgAwADUAOwBcAG4AIAAgACAAIAAgACAAIAAgAFwAIgBPAHQAaABlAHIAIABhAG4AbgB1AGEAbAAgAGMAcgBvAHAAcwBcACIALAAgAFwAIgBWAEkAQwBcACIALAAgADAALgAwADcAOwBcAG4AIAAgACAAIAAgACAAIAAgAFwAIgBPAHQAaABlAHIAIABhAG4AbgB1AGEAbAAgAGMAcgBvAHAAcwBcACIALAAgAFwAIgBRAEwARABcACIALAAgADAALgAwADQAOwBcAG4AIAAgACAAIAAgACAAIAAgAFwAIgBPAHQAaABlAHIAIABhAG4AbgB1AGEAbAAgAGMAcgBvAHAAcwBcACIALAAgAFwAIgBTAEEAXAAiACwAIAAwAC4AMAA5ADsAXABuACAAIAAgACAAIAAgACAAIABcACIATwB0AGgAZQByACAAYQBuAG4AdQBhAGwAIABjAHIAbwBwAHMAXAAiACwAIABcACIAVwBBAFwAIgAsACAAMAAuADEAMQA7AFwAbgAgACAAIAAgACAAIAAgACAAXAAiAE8AdABoAGUAcgAgAGEAbgBuAHUAYQBsACAAYwByAG8AcABzAFwAIgAsACAAXAAiAFQAQQBTAFwAIgAsACAAMAAuADEANgA7AFwAbgAgACAAIAAgACAAIAAgACAAXAAiAE8AdABoAGUAcgAgAGEAbgBuAHUAYQBsACAAYwByAG8AcABzAFwAIgAsACAAXAAiAE4AVABcACIALAAgADAALgAwADEAOwBcAG4AIAAgACAAIAAgACAAIAAgAFwAIgBPAHQAaABlAHIAIABhAG4AbgB1AGEAbAAgAGMAcgBvAHAAcwBcACIALAAgAFwAIgBBAEMAVABcACIALAAgADAALgAwADAAOwBcAG4AIAAgACAAIAAgACAAIAAgAFwAIgBPAHQAaABlAHIAIABwAGUAcgBlAG4AbgBpAGEAbAAgAGMAcgBvAHAAcwBcACIALAAgAFwAIgBOAFMAVwBcACIALAAgADAALgAwADUAOwBcAG4AIAAgACAAIAAgACAAIAAgAFwAIgBPAHQAaABlAHIAIABwAGUAcgBlAG4AbgBpAGEAbAAgAGMAcgBvAHAAcwBcACIALAAgAFwAIgBWAEkAQwBcACIALAAgADAALgAwADcAOwBcAG4AIAAgACAAIAAgACAAIAAgAFwAIgBPAHQAaABlAHIAIABwAGUAcgBlAG4AbgBpAGEAbAAgAGMAcgBvAHAAcwBcACIALAAgAFwAIgBRAEwARABcACIALAAgADAALgAwADQAOwBcAG4AIAAgACAAIAAgACAAIAAgAFwAIgBPAHQAaABlAHIAIABwAGUAcgBlAG4AbgBpAGEAbAAgAGMAcgBvAHAAcwBcACIALAAgAFwAIgBTAEEAXAAiACwAIAAwAC4AMAA5ADsAXABuACAAIAAgACAAIAAgACAAIABcACIATwB0AGgAZQByACAAcABlAHIAZQBuAG4AaQBhAGwAIABjAHIAbwBwAHMAXAAiACwAIABcACIAVwBBAFwAIgAsACAAMAAuADEAMQA7AFwAbgAgACAAIAAgACAAIAAgACAAXAAiAE8AdABoAGUAcgAgAHAAZQByAGUAbgBuAGkAYQBsACAAYwByAG8AcABzAFwAIgAsACAAXAAiAFQAQQBTAFwAIgAsACAAMAAuADEANgA7AFwAbgAgACAAIAAgACAAIAAgACAAXAAiAE8AdABoAGUAcgAgAHAAZQByAGUAbgBuAGkAYQBsACAAYwByAG8AcABzAFwAIgAsACAAXAAiAE4AVABcACIALAAgADAALgAwADEAOwBcAG4AIAAgACAAIAAgACAAIAAgAFwAIgBPAHQAaABlAHIAIABwAGUAcgBlAG4AbgBpAGEAbAAgAGMAcgBvAHAAcwBcACIALAAgAFwAIgBBAEMAVABcACIALAAgADAALgAwADAAXABuACAAIAAgACAAIAAgAH0ALAAgAHIALAAgAGMAKQBcAG4AKQApACkAOwBcAG4AXABuAEMAcgBvAHAARgByAGEAYwB0AGkAbwBuAFIAZQBtAG8AdgBlAGQAXwBWAGEAcgBpAGEAdABpAG8AbgBcAG4APQBMAEEATQBCAEQAQQAoACgAXAAiAFYAQQBSAEkAQQBUAEkATwBOACAATwBGACAAUwBPAFUAUgBDAEUAIABEAEEAVABBADoAIABTAHAAbABpAHQAIABcAHUAMAAwADIANwBBAGwAbAAgAG8AdABoAGUAcgAgAGMAcgBvAHAAIAB0AHkAcABlAHMAXAB1ADAAMAAyADcAIABpAG4AdABvACAAaQBuAGQAaQB2AGkAZAB1AGEAbAAgAGMAcgBvAHAAIAB0AHkAcABlAHMAIABmAG8AcgAgAGUAYQBjAGgAIABzAHQAYQB0AGUALgAgAEwAaQBzAHQAZQBkACAAYQBsAGwAIABzAHQAYQB0AGUAcwAgAGYAbwByACAAUwB1AGcAYQByACAAQwBhAG4AZQAsACAAdwBpAHQAaAAgAFwAdQAwADAAMgA3AE4ALwBBAFwAdQAwADAAMgA3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LwAqACAAXABuAC0ALQAtAC0ALQAtAC0ALQAtAC0ALQAtAC0ALQAtAC0ALQAtAC0ALQAtAC0ALQAtAC0ALQAtAC0ALQAtAC0ALQAtAC0ALQAtAC0ALQBcAG4ATgAyAE8ARQBGAE8AcgBnAGEAbgBpAGMARgBlAHIAdABpAGwAaQBzAGUAcgBcAG4AVgBFAEUAUgBHACAAMgAwADIANgA6ACAAVABhAGIAbABlACAAQQAuADIALgAxAC4ANAAgAEUAbQBpAHMAcwBpAG8AbgAgAGYAYQBjAHQAbwByACAAZgBvAHIAIABvAHIAZwBhAG4AaQBjACAAZgBlAHIAdABpAGwAaQBzAGUAcgAgAGEAbgBkACAAYwByAG8AcAAgAHIAZQBzAGkAZAB1AGUAcwAgAHIAZQB0AHUAcgBuAGUAZAAgAHQAbwAgAHQAaABlACAAcwBvAGkAbABcAG4ALQAtAC0ALQAtAC0ALQAtAC0ALQAtAC0ALQAtAC0ALQAtAC0ALQAtAC0ALQAtAC0ALQAtAC0ALQAtAC0ALQAtAC0ALQAtAC0ALQAtAFwAbgAqAC8AXABuAFwAbgBOADIATwBFAEYATwByAGcAYQBuAGkAYwBGAGUAcgB0AGkAbABpAHMAZQBy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4AMgBPAEUARgBPAHIAZwBhAG4AaQBjAEYAZQByAHQAaQBsAGkAcwBlAHIAXwBVAG4AaQB0AFwAbgAgACAAPQBMAEEATQBCAEQAQQAoAFwAIgBrAGcAIABOADIATwAgAC0AIABOACAALwAgAGsAZwAgAE4AXAAiACkAOwBcAG4AXABuAE4AMgBPAEUARgBPAHIAZwBhAG4AaQBjAEYAZQByAHQAaQBsAGkAcwBlAHIAXwBTAG8AdQByAGMAZQBcAG4AIAAgAD0ATABBAE0AQgBEAEEAKABcACIAVgBFAEUAUgBHACAAMgAwADIANgA6ACAAVABhAGIAbABlACAAQQAuADIALgAxAC4ANABcACIAKQA7AFwAbgBcAG4ATgAyAE8ARQBGAE8AcgBnAGEAbgBpAGMARgBlAHIAdABpAGwAaQBzAGUAcgBfAE4ASQBSAFIAZQBmAGUAcgBlAG4AYwBlAFwAbgAgACAAPQBMAEEATQBCAEQAQQAoAFwAIgBJAFAAQwBDACAAMgAwADEAOQAgAFIAZQBmAGkAbgBlAG0AZQBuAHQAIABWAG8AbAB1AG0AZQAgADQAIABUAGEAYgBsAGUAIAAxADEALgAxACAAWwAxACwAIABwAC4AIAAxADEAXQBcACIAKQA7AFwAbgBcAG4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XABuAFwAbg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XwBUAGkAdABsAGUAXABuACAAIAA9AEwAQQBNAEIARABBACgAXAAiAEUAbQBpAHMAcwBpAG8AbgBzACAAZgByAG8AbQAgAHAAdQByAGMAaABhAHMAZQBkACAAZgBlAGUAZABcACIAKQA7AFwAbgBcAG4AVgBFAEUAUgBHAF8AMQA1AF8AMgBfADEAXwAxAF8AXwAxAF8ARQBtAGkAcwBzAGkAbwBuAHMARgByAG8AbQBQAHUAcgBjAGgAYQBzAGUAZABGAGUAZQBkAF8AVgBhAHIAaQBhAGIAbABlAFwAbgAgACAAPQBMAEEATQBCAEQAQQAoAFwAIgBFAFwAIgApADsAXABuAFwAbgBWAEUARQBSAEcAXwAxADUAXwAyAF8AMQBfADEAXwBfADEAXwBFAG0AaQBzAHMAaQBvAG4AcwBGAHIAbwBtAFAAdQByAGMAaABhAHMAZQBkAEYAZQBlAGQAXwBVAG4AaQB0AFwAbgAgACAAPQBMAEEATQBCAEQAQQAoAFwAIgB0ACAAQwBPADIAZQBcACIAKQA7AFwAbgBcAG4AVgBFAEUAUgBHAF8AMQA1AF8AMgBfADEAXwAxAF8AXwAxAF8ARQBtAGkAcwBzAGkAbwBuAHMARgByAG8AbQBQAHUAcgBjAGgAYQBzAGUAZABGAGUAZQBkAF8AUwBvAHUAcgBjAGUAXABuACAAIAA9AEwAQQBNAEIARABBACgAXAAiAFYARQBFAFIARwAgADIAMAAyADYAOgAgADEANQAuADIALgAxAC4AMQAsACAARQBxAHUAYQB0AGkAbwBuACAAKAAxACkAXAAiACkAOwBcAG4AXABuAFYARQBFAFIARwBfADEANQBfADIAXwAxAF8AMQBfAF8AMQBfAEUAbQBpAHMAcwBpAG8AbgBzAEYAcgBvAG0AUAB1AHIAYwBoAGEAcwBlAGQARgBlAGUAZABfAE4ASQBSAFIAZQBmAGUAcgBlAG4AYwBlAFwAbgAgACAAPQBMAEEATQBCAEQAQQAoAFwAIgBcACIAKQA7AFwAbgBcAG4AVgBFAEUAUgBHAF8AMQA1AF8AMgBfADEAXwAxAF8AXwAxAF8ARQBtAGkAcwBzAGkAbwBuAHMARgByAG8AbQBQAHUAcgBjAGgAYQBzAGUAZABGAGUAZQBkAF8ATABhAHQAZQB4AEUAcQB1AGEAdABpAG8AbgBcAG4AIAAgAD0ATABBAE0AQgBEAEEAKABcACIARQA9AFwAXABzAHUAbQBcAFwAbgBvAGwAaQBtAGkAdABzAF8AagBcAFwAbABlAGYAdAAoAFEAXwBqAFwAXAB0AGkAbQBlAHMAIABFAEYAXwBqAFwAXAByAGkAZwBoAHQAK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EAXwBFAG0AaQBzAHMAaQBvAG4AcwBGAHIAbwBtAFAAdQByAGMAaABhAHMAZQBkAEYAZQByAHQAaQBsAGkAcwBlAHIAXABuAEUAbQBpAHMAcwBpAG8AbgBzACAAZgByAG8AbQAgAHAAdQByAGMAaABhAHMAZQBkACAAZgBlAHIAdABpAGwAaQBzAGUAcgBcAG4ARQBcAG4AdAAgAEMATwAyAGUAXABuAEUAPQBcAFwAcwB1AG0AXABcAG4AbwBsAGkAbQBpAHQAcwBfAGYAXABcAHMAdQBtAFwAXABuAG8AbABpAG0AaQB0AHMAXwBqAFwAXABsAGUAZgB0ACgAVABNAF8AewBqAGYAfQBcAFwAdABpAG0AZQBzACAARQBGAF8AZgBcAFwAcgBpAGcAaAB0ACkAXABcAHQAaQBtAGUAcwAgADEAMABeAHsALQAzAH0AXABuAFQATQBfAGoAZgAgAD0AIABxAHUAYQBuAHQAaQB0AHkAIABvAGYAIABpAG4AbwByAGcAYQBuAGkAYwAgAGYAZQByAHQAaQBsAGkAcwBlAHIAIAB0AHkAcABlACAAZgAgAHAAdQByAGMAaABhAHMAZQBkACAAYQBuAGQAIABhAHAAcABsAGkAZQBkACAAdABvACAAcAByAG8AZAB1AGMAdABpAG8AbgAgAHMAeQBzAHQAZQBtACAAagBcAG4ARQBGAF8AZgAgAD0AIABlAG0AaQBzAHMAaQBvAG4AIABmAGEAYwB0AG8AcgAgAG8AZgAgAHAAdQByAGMAaABhAHMAZQBkACAAaQBuAG8AcgBnAGEAbgBpAGMAIABmAGUAcgB0AGkAbABpAHMAZQByAFwAbgAtAC0ALQAtAC0ALQAtAC0ALQAtAC0ALQAtAC0ALQAtAC0ALQAtAC0ALQAtAC0ALQAtAC0ALQAtAC0ALQAtAC0ALQAtAC0ALQAtAC0AXABuACoALwBcAG4AXABuAFYARQBFAFIARwBfADEANQBfADQAXwAxAF8AMQBfAF8AMQBfAEUAbQBpAHMAcwBpAG8AbgBzAEYAcgBvAG0AUAB1AHIAYwBoAGEAcwBlAGQARgBlAHIAdABpAGwAaQBzAGUAcgBcAG4AIAAgAD0ATABBAE0AQgBEAEEAKABcAG4AIAAgACAAIABUAE0AXwBqAGYALAAgAEUARgBfAGYALABcAG4AIAAgACAAIAAoAFQATQBfAGoAZgAgACoAIABFAEYAXwBmACkAIAAqACAAMQAwACAAXgAgAC0AMwBcAG4AIAAgACkAOwBcAG4AXABuAFYARQBFAFIARwBfADEANQBfADQAXwAxAF8AMQBfAF8AMQBfAEUAbQBpAHMAcwBpAG8AbgBzAEYAcgBvAG0AUAB1AHIAYwBoAGEAcwBlAGQARgBlAHIAdABpAGwAaQBzAGUAcgBfAFQAaQB0AGwAZQBcAG4AIAAgAD0ATABBAE0AQgBEAEEAKABcACIARQBtAGkAcwBzAGkAbwBuAHMAIABmAHIAbwBtACAAcAB1AHIAYwBoAGEAcwBlAGQAIABmAGUAcgB0AGkAbABpAHMAZQByAFwAIgApADsAXABuAFwAbgBWAEUARQBSAEcAXwAxADUAXwA0AF8AMQBfADEAXwBfADEAXwBFAG0AaQBzAHMAaQBvAG4AcwBGAHIAbwBtAFAAdQByAGMAaABhAHMAZQBkAEYAZQByAHQAaQBsAGkAcwBlAHIAXwBWAGEAcgBpAGEAYgBsAGUAXABuACAAIAA9AEwAQQBNAEIARABBACgAXAAiAEUAXAAiACkAOwBcAG4AXABuAFYARQBFAFIARwBfADEANQBfADQAXwAxAF8AMQBfAF8AMQBfAEUAbQBpAHMAcwBpAG8AbgBzAEYAcgBvAG0AUAB1AHIAYwBoAGEAcwBlAGQARgBlAHIAdABpAGwAaQBzAGUAcgBfAFUAbgBpAHQAXABuACAAIAA9AEwAQQBNAEIARABBACgAXAAiAHQAIABDAE8AMgBlAFwAIgApADsAXABuAFwAbgBWAEUARQBSAEcAXwAxADUAXwA0AF8AMQBfADEAXwBfADEAXwBFAG0AaQBzAHMAaQBvAG4AcwBGAHIAbwBtAFAAdQByAGMAaABhAHMAZQBkAEYAZQByAHQAaQBsAGkAcwBlAHIAXwBTAG8AdQByAGMAZQBcAG4AIAAgAD0ATABBAE0AQgBEAEEAKABcACIAVgBFAEUAUgBHACAAMgAwADIANgA6ACAAMQA1AC4ANAAuADEALgAxACwAIABFAHEAdQBhAHQAaQBvAG4AIAAoADEAKQBcACIAKQA7AFwAbgBcAG4AVgBFAEUAUgBHAF8AMQA1AF8ANABfADEAXwAxAF8AXwAxAF8ARQBtAGkAcwBzAGkAbwBuAHMARgByAG8AbQBQAHUAcgBjAGgAYQBzAGUAZABGAGUAcgB0AGkAbABpAHMAZQByAF8ATgBJAFIAUgBlAGYAZQByAGUAbgBjAGUAXABuACAAIAA9AEwAQQBNAEIARABBACgAXAAiAFwAIgApADsAXABuAFwAbgBWAEUARQBSAEcAXwAxADUAXwA0AF8AMQBfADEAXwBfADEAXwBFAG0AaQBzAHMAaQBvAG4AcwBGAHIAbwBtAFAAdQByAGMAaABhAHMAZQBkAEYAZQByAHQAaQBsAGkAcwBlAHIAXwBMAGEAdABlAHgARQBxAHUAYQB0AGkAbwBuAFwAbgAgACAAPQBMAEEATQBCAEQAQQAoAFwAIgBFAD0AXABcAHMAdQBtAFwAXABuAG8AbABpAG0AaQB0AHMAXwBmAFwAXABzAHUAbQBcAFwAbgBvAGwAaQBtAGkAdABzAF8AagBcAFwAbABlAGYAdAAoAFQATQBfAHsAagBmAH0AXABcAHQAaQBtAGUAcwAgAEUARgBfAGYAXABcAHIAaQBnAGgAdAApAFwAXAB0AGkAbQBlAHMAIAAxADAAXgB7AC0AMwB9AFwAIgApADsAXABuAFwAbgBWAEUARQBSAEcAXwAxADUAXwA0AF8AMQBfADEAXwBfADEAXwBFAG0AaQBzAHMAaQBvAG4AcwBGAHIAbwBtAFAAdQByAGMAaABhAHMAZQBkAEYAZQByAHQAaQBsAGkAcwBlAHIAXwBBAHIAZwB1AG0AZQBuAHQAcwBcAG4AIAAgAD0ATABBAE0AQgBEAEEAKABcAG4AIAAgACAAIABNAEEASwBFAEEAUgBSAEEAWQAoADQALAAgADQALABcAG4AIAAgACAAIAAgACAATABBAE0AQgBEAEEAKAByACwAYwAsAFwAbgAgACAAIAAgACAAIAAgACAASQBOAEQARQBYACgAe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YAXAAiACwAIABcACIAZQBtAGkAcwBzAGkAbwBuACAAZgBhAGMAdABvAHIAIABvAGYAIABwAHUAcgBjAGgAYQBzAGUAZAAgAGkAbgBvAHIAZwBhAG4AaQBjACAAZgBlAHIAdABpAGwAaQBzAGUAcgBcACIALAAgAFwAIgBrAGcAIABDAE8AMgBlAC8AawBnAFwAIgAsACAAXAAiAEMAbwBuAHMAdABhAG4AdABcACIAOwBcAG4AIAAgACAAIAAgACAAIAAgACAAIABcACIAagBcACIALAAgAFwAIgBwAHIAbwBkAHUAYwB0AGkAbwBuACAAcwB5AHMAdABlAG0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gBfAEUAbQBpAHMAcwBpAG8AbgBzAEYAcgBvAG0AUAB1AHIAYwBoAGEAcwBlAGQARgBlAHIAdABpAGwAaQBzAGUAcgBDAG8AbQBwAG8AbgBlAG4AdABzAFwAbgBFAG0AaQBzAHMAaQBvAG4AcwAgAGYAcgBvAG0AIABwAHUAcgBjAGgAYQBzAGUAZAAgAGYAZQByAHQAaQBsAGkAcwBlAHIAIABjAG8AbQBwAG8AbgBlAG4AdABzAFwAbgBFAFwAbgB0ACAAQwBPADIAZQBcAG4ARQA9AFwAXABzAHUAbQBcAFwAbgBvAGwAaQBtAGkAdABzAF8AZgBcAFwAcwB1AG0AXABcAG4AbwBsAGkAbQBpAHQAcwBfAGMAXABcAHMAdQBtAFwAXABuAG8AbABpAG0AaQB0AHMAXwBqAFwAXABsAGUAZgB0ACgAKABGAF8AewBjAGYAfQBcAFwAdABpAG0AZQBzACAAVABNAF8AewBqAGYAfQApAC8AMQAwADAAXABcAHQAaQBtAGUAcwAgAEUARgBfAGMAXABcAHIAaQBnAGgAdAApAFwAbgBGAF8AYwBmACAAPQAgAGYAcgBhAGMAdABpAG8AbgAgAG8AZgAgAGMAbwBtAHAAbwBuAGUAbgB0ACAAYwAgAGMAbwBuAHQAYQBpAG4AZQBkACAAdwBpAHQAaABpAG4AIAB0AGgAZQAgAGkAbgBvAHIAZwBhAG4AaQBjACAAZgBlAHIAdABpAGwAaQBzAGUAcgAgAGYAXABuAFQATQBfAGoAZgAgAD0AIABxAHUAYQBuAHQAaQB0AHkAIABvAGYAIABpAG4AbwByAGcAYQBuAGkAYwAgAGYAZQByAHQAaQBsAGkAcwBlAHIAIAB0AHkAcABlACAAZgAgAHAAdQByAGMAaABhAHMAZQBkACAAYQBuAGQAIABhAHAAcABsAGkAZQBkACAAdABvACAAcAByAG8AZAB1AGMAdABpAG8AbgAgAHMAeQBzAHQAZQBtACAAagBcAG4ARQBGAF8AYwAgAD0AIABlAG0AaQBzAHMAaQBvAG4AIABmAGEAYwB0AG8AcgAgAGYAbwByACAAdABoAGUAIABwAHIAbwBkAHUAYwB0AGkAbwBuACAAbwBmACAAYwBvAG0AcABvAG4AZQBuAHQAIABjAFwAbgAtAC0ALQAtAC0ALQAtAC0ALQAtAC0ALQAtAC0ALQAtAC0ALQAtAC0ALQAtAC0ALQAtAC0ALQAtAC0ALQAtAC0ALQAtAC0ALQAtAC0AXABuACoALwBcAG4AXABuAFYARQBFAFIARwBfADEANQBfADQAXwAxAF8AMQBfAF8AMgBfAEUAbQBpAHMAcwBpAG8AbgBzAEYAcgBvAG0AUAB1AHIAYwBoAGEAcwBlAGQARgBlAHIAdABpAGwAaQBzAGUAcgBDAG8AbQBwAG8AbgBlAG4AdABzAFwAbgAgACAAPQBMAEEATQBCAEQAQQAoAFwAbgAgACAAIAAgAEYAXwBjAGYALAAgAFQATQBfAGoAZgAsACAARQBGAF8AYwAsAFwAbgAgACAAIAAgACgAKABGAF8AYwBmACAAKgAgAFQATQBfAGoAZgApACAALwAgADEAMAAwACkAIAAqACAARQBGAF8AYwBcAG4AIAAgACkAOwBcAG4AXABuAFYARQBFAFIARwBfADEANQBfADQAXwAxAF8AMQBfAF8AMgBfAEUAbQBpAHMAcwBpAG8AbgBzAEYAcgBvAG0AUAB1AHIAYwBoAGEAcwBlAGQARgBlAHIAdABpAGwAaQBzAGUAcgBDAG8AbQBwAG8AbgBlAG4AdABzAFYAYQByAGkAYQB0AGkAbwBuAFwAbgAgACAAPQBMAEEATQBCAEQAQQAoAFwAbgAgACAAIAAgAEYAXwBjAGYALAAgAFQATQBfAGoAZgAsACAARQBGAF8AYwAsAFwAbgAgACAAIAAgACgARgBfAGMAZgAgACoAIABUAE0AXwBqAGYAKQAgACoAIABFAEYAXwBjACAAKgAgADEAMABeAC0AMwBcAG4AIAAgACkAOwBcAG4AXABuAFYARQBFAFIARwBfADEANQBfADQAXwAxAF8AMQBfAF8AMgBfAEUAbQBpAHMAcwBpAG8AbgBzAEYAcgBvAG0AUAB1AHIAYwBoAGEAcwBlAGQARgBlAHIAdABpAGwAaQBzAGUAcgBDAG8AbQBwAG8AbgBlAG4AdABzAF8AVABpAHQAbABlAFwAbgAgACAAPQBMAEEATQBCAEQAQQAoAFwAIgBFAG0AaQBzAHMAaQBvAG4AcwAgAGYAcgBvAG0AIABwAHUAcgBjAGgAYQBzAGUAZAAgAGYAZQByAHQAaQBsAGkAcwBlAHIAIABjAG8AbQBwAG8AbgBlAG4AdABzAFwAIgApADsAXABuAFwAbgBWAEUARQBSAEcAXwAxADUAXwA0AF8AMQBfADEAXwBfADIAXwBFAG0AaQBzAHMAaQBvAG4AcwBGAHIAbwBtAFAAdQByAGMAaABhAHMAZQBkAEYAZQByAHQAaQBsAGkAcwBlAHIAQwBvAG0AcABvAG4AZQBuAHQAcwBfAFYAYQByAGkAYQBiAGwAZQBcAG4AIAAgAD0ATABBAE0AQgBEAEEAKABcACIARQBcACIAKQA7AFwAbgBcAG4AVgBFAEUAUgBHAF8AMQA1AF8ANABfADEAXwAxAF8AXwAyAF8ARQBtAGkAcwBzAGkAbwBuAHMARgByAG8AbQBQAHUAcgBjAGgAYQBzAGUAZABGAGUAcgB0AGkAbABpAHMAZQByAEMAbwBtAHAAbwBuAGUAbgB0AHMAXwBVAG4AaQB0AFwAbgAgACAAPQBMAEEATQBCAEQAQQAoAFwAIgB0ACAAQwBPADIAZQBcACIAKQA7AFwAbgBcAG4AVgBFAEUAUgBHAF8AMQA1AF8ANABfADEAXwAxAF8AXwAyAF8ARQBtAGkAcwBzAGkAbwBuAHMARgByAG8AbQBQAHUAcgBjAGgAYQBzAGUAZABGAGUAcgB0AGkAbABpAHMAZQByAEMAbwBtAHAAbwBuAGUAbgB0AHMAXwBTAG8AdQByAGMAZQBcAG4AIAAgAD0ATABBAE0AQgBEAEEAKABcACIAVgBFAEUAUgBHACAAMgAwADIANgA6ACAAMQA1AC4ANAAuADEALgAxACwAIABFAHEAdQBhAHQAaQBvAG4AIAAoADIAKQBcACIAKQA7AFwAbgBcAG4AVgBFAEUAUgBHAF8AMQA1AF8ANABfADEAXwAxAF8AXwAyAF8ARQBtAGkAcwBzAGkAbwBuAHMARgByAG8AbQBQAHUAcgBjAGgAYQBzAGUAZABGAGUAcgB0AGkAbABpAHMAZQByAEMAbwBtAHAAbwBuAGUAbgB0AHMAXwBOAEkAUgBSAGUAZgBlAHIAZQBuAGMAZQBcAG4AIAAgAD0ATABBAE0AQgBEAEEAKABcACIAXAAiACkAOwBcAG4AXABuAFYARQBFAFIARwBfADEANQBfADQAXwAxAF8AMQBfAF8AMgBfAEUAbQBpAHMAcwBpAG8AbgBzAEYAcgBvAG0AUAB1AHIAYwBoAGEAcwBlAGQARgBlAHIAdABpAGwAaQBzAGUAcgBDAG8AbQBwAG8AbgBlAG4AdABzAF8ATABhAHQAZQB4AEUAcQB1AGEAdABpAG8AbgBcAG4AIAAgAD0ATABBAE0AQgBEAEEAKABcACIARQA9AFwAXABzAHUAbQBcAFwAbgBvAGwAaQBtAGkAdABzAF8AZgBcAFwAcwB1AG0AXABcAG4AbwBsAGkAbQBpAHQAcwBfAGMAXABcAHMAdQBtAFwAXABuAG8AbABpAG0AaQB0AHMAXwBqAFwAXABsAGUAZgB0ACgAXABcAGYAcgBhAGMAewBGAF8AewBjAGYAfQBcAFwAdABpAG0AZQBzACAAVABNAF8AewBqAGYAfQB9AHsAMQAwADAAfQBcAFwAdABpAG0AZQBzACAARQBGAF8AYwBcAFwAcgBpAGcAaAB0ACkAXAAiACkAOwBcAG4AXABuAFYARQBFAFIARwBfADEANQBfADQAXwAxAF8AMQBfAF8AMgBfAEUAbQBpAHMAcwBpAG8AbgBzAEYAcgBvAG0AUAB1AHIAYwBoAGEAcwBlAGQARgBlAHIAdABpAGwAaQBzAGUAcgBDAG8AbQBwAG8AbgBlAG4AdABzAF8ATABhAHQAZQB4AEUAcQB1AGEAdABpAG8AbgBWAGEAcgBpAGEAdABpAG8AbgBcAG4AIAAgAD0ATABBAE0AQgBEAEEAKABcACIARQA9AFwAXABzAHUAbQBcAFwAbgBvAGwAaQBtAGkAdABzAF8AZgBcAFwAcwB1AG0AXABcAG4AbwBsAGkAbQBpAHQAcwBfAGMAXABcAHMAdQBtAFwAXABuAG8AbABpAG0AaQB0AHMAXwBqAFwAXABsAGUAZgB0ACgARgBfAHsAYwBmAH0AXABcAHQAaQBtAGUAcwAgAFQATQBfAHsAagBmAH0AXABcAHQAaQBtAGUAcwAgAEUARgBfAGMAXABcAHIAaQBnAGgAdAApAFwAXAB0AGkAbQBlAHMAIAAxADAAXgB7AC0AMwB9AFwAIgApADsAXABuAFwAbgBWAEUARQBSAEcAXwAxADUAXwA0AF8AMQBfADEAXwBfADIAXwBFAG0AaQBzAHMAaQBvAG4AcwBGAHIAbwBtAFAAdQByAGMAaABhAHMAZQBkAEYAZQByAHQAaQBsAGkAcwBlAHIAQwBvAG0AcABvAG4AZQBuAHQAcwBfAEEAcgBnAHUAbQBlAG4AdABzAFwAbgAgACAAPQBMAEEATQBCAEQAQQAoAFwAbgAgACAAIAAgAE0AQQBLAEUAQQBSAFIAQQBZACgANg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BcAG4AXABuAFwAbgAvACoAXABuAC0ALQAtAC0ALQAtAC0ALQAtAC0ALQAtAC0ALQAtAC0ALQAtAC0ALQAtAC0ALQAtAC0ALQAtAC0ALQAtAC0ALQAtAC0ALQAtAC0ALQBcAG4AVgBFAEUAUgBHAF8AMQA1AF8ANABfADEAXwAxAF8AXwBYAF8ARQBtAGkAcwBzAGkAbwBuAEYAYQBjAHQAbwByAEYAcgBvAG0AUAB1AHIAYwBoAGEAcwBlAGQARgBlAHIAdABpAGwAaQBzAGUAcgBDAG8AbQBwAG8AbgBlAG4AdABzAFwAbgBFAG0AaQBzAHMAaQBvAG4AIABmAGEAYwB0AG8AcgAgAGYAbwByACAAZgBlAHIAdABpAGwAaQBzAGUAcgAgAHAAcgBvAGQAdQBjAHQAIABkAGUAcgBpAHYAZQBkACAAZgByAG8AbQAgAGMAbwBtAHAAbwBuAGUAbgB0AHMAXABuAC0ALQAtAC0ALQAtAC0ALQAtAC0ALQAtAC0ALQAtAC0ALQAtAC0ALQAtAC0ALQAtAC0ALQAtAC0ALQAtAC0ALQAtAC0ALQAtAC0ALQBcAG4AKgAvAFwAbgBcAG4AVgBFAEUAUgBHAF8AMQA1AF8ANABfADEAXwAxAF8AXwBYAF8ARQBtAGkAcwBzAGkAbwBuAEYAYQBjAHQAbwByAEYAcgBvAG0AUAB1AHIAYwBoAGEAcwBlAGQARgBlAHIAdABpAGwAaQBzAGUAcgBDAG8AbQBwAG8AbgBlAG4AdABzAFwAbgAgACAAPQBMAEEATQBCAEQAQQAoAFwAbgAgACAAIAAgAEYAXwBjAGYALAAgAEUARgBfAGMALABcAG4AIAAgACAAIABGAF8AYwBmACAAKgAgAEUARgBfAGMAXABuACAAIAApADsAXABuAFwAbgBWAEUARQBSAEcAXwAxADUAXwA0AF8AMQBfADEAXwBfAFgAXwBFAG0AaQBzAHMAaQBvAG4ARgBhAGMAdABvAHIARgByAG8AbQBQAHUAcgBjAGgAYQBzAGUAZABGAGUAcgB0AGkAbABpAHMAZQByAEMAbwBtAHAAbwBuAGUAbgB0AHMAXwBUAGkAdABsAGUAXABuACAAIAA9AEwAQQBNAEIARABBACgAXAAiAEUAbQBpAHMAcwBpAG8AbgAgAGYAYQBjAHQAbwByACAAZgBvAHIAIABmAGUAcgB0AGkAbABpAHMAZQByACAAcAByAG8AZAB1AGMAdAAgAGQAZQByAGkAdgBlAGQAIABmAHIAbwBtACAAYwBvAG0AcABvAG4AZQBuAHQAcwBcACIAKQA7AFwAbgBcAG4AVgBFAEUAUgBHAF8AMQA1AF8ANABfADEAXwAxAF8AXwBYAF8ARQBtAGkAcwBzAGkAbwBuAEYAYQBjAHQAbwByAEYAcgBvAG0AUAB1AHIAYwBoAGEAcwBlAGQARgBlAHIAdABpAGwAaQBzAGUAcgBDAG8AbQBwAG8AbgBlAG4AdABzAF8AVgBhAHIAaQBhAGIAbABlAFwAbgAgACAAPQBMAEEATQBCAEQAQQAoAFwAIgBFAEYAXwBmAFwAIgApADsAXABuAFwAbgBWAEUARQBSAEcAXwAxADUAXwA0AF8AMQBfADEAXwBfAFgAXwBFAG0AaQBzAHMAaQBvAG4ARgBhAGMAdABvAHIARgByAG8AbQBQAHUAcgBjAGgAYQBzAGUAZABGAGUAcgB0AGkAbABpAHMAZQByAEMAbwBtAHAAbwBuAGUAbgB0AHMAXwBVAG4AaQB0AFwAbgAgACAAPQBMAEEATQBCAEQAQQAoAFwAIgBrAGcAIABDAE8AMgBlAC8AawBnACAAZgBlAHIAdABpAGwAaQBzAGUAcgBcACIAKQA7AFwAbgBcAG4AVgBFAEUAUgBHAF8AMQA1AF8ANABfADEAXwAxAF8AXwBYAF8ARQBtAGkAcwBzAGkAbwBuAEYAYQBjAHQAbwByAEYAcgBvAG0AUAB1AHIAYwBoAGEAcwBlAGQARgBlAHIAdABpAGwAaQBzAGUAcgBDAG8AbQBwAG8AbgBlAG4AdABzAF8AUwBvAHUAcgBjAGUAXABuACAAIAA9AEwAQQBNAEIARABBACgAXAAiAEcAQQBGAFwAIgApADsAXABuAFwAbgBWAEUARQBSAEcAXwAxADUAXwA0AF8AMQBfADEAXwBfAFgAXwBFAG0AaQBzAHMAaQBvAG4ARgBhAGMAdABvAHIARgByAG8AbQBQAHUAcgBjAGgAYQBzAGUAZABGAGUAcgB0AGkAbABpAHMAZQByAEMAbwBtAHAAbwBuAGUAbgB0AHMAXwBOAEkAUgBSAGUAZgBlAHIAZQBuAGMAZQBcAG4AIAAgAD0ATABBAE0AQgBEAEEAKABcACIAXAAiACkAOwBcAG4AXABuAFYARQBFAFIARwBfADEANQBfADQAXwAxAF8AMQBfAF8AWABfAEUAbQBpAHMAcwBpAG8AbgBGAGEAYwB0AG8AcgBGAHIAbwBtAFAAdQByAGMAaABhAHMAZQBkAEYAZQByAHQAaQBsAGkAcwBlAHIAQwBvAG0AcABvAG4AZQBuAHQAcwBfAEwAYQB0AGUAeABFAHEAdQBhAHQAaQBvAG4AXABuACAAIAA9AEwAQQBNAEIARABBACgAXAAiAEUARgBfAGYAPQBcAFwAcwB1AG0AXABcAG4AbwBsAGkAbQBpAHQAcwBfAGMAXABcAGwAZQBmAHQAKABGAF8AewBjAGYAfQBcAFwAdABpAG0AZQBzACAARQBGAF8AYwBcAFwAcgBpAGcAaAB0ACkAXAAiACkAOwBcAG4AXABuAFYARQBFAFIARwBfADEANQBfADQAXwAxAF8AMQBfAF8AWABfAEUAbQBpAHMAcwBpAG8AbgBGAGEAYwB0AG8AcgBGAHIAbwBtAFAAdQByAGMAaABhAHMAZQBkAEYAZQByAHQAaQBsAGkAcwBlAHIAQwBvAG0AcABvAG4AZQBuAHQAcwBfAEEAcgBnAHUAbQBlAG4AdABzAFwAbgAgACAAPQBMAEEATQBCAEQAQQAoAFwAbgAgACAAIAAgAE0AQQBLAEUAQQBSAFIAQQBZACgANA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VgBFAEUAUgBHAF8AMQA1AF8ANABfADEAXwAxAF8AXwBYAF8ARQBtAGkAcwBzAGkAbwBuAEYAYQBjAHQAbwByAEYAcgBvAG0AUAB1AHIAYwBoAGEAcwBlAGQARgBlAHIAdABpAGwAaQBzAGUAcgBDAG8AbQBwAG8AbgBlAG4AdABzAF8AVgBhAHIAaQBhAHQAaQBvAG4AXABuACAAIAA9AEwAQQBNAEIARABBACgAXAAiAFYAQQBSAEkAQQBUAEkATwBOACAATwBOACAAUwBPAFUAUgBDAEUAOgAgAFQAaABpAHMAIABlAHEAdQBhAHQAaQBvAG4AIABpAHMAIABhAGQAZABlAGQAIAB0AG8AIABjAGEAbABjAHUAbABhAHQAZQAgAGEAbgAgAEUARgAgAHYAYQBsAHUAZQAgAGYAcgBvAG0AIABmAGUAcgB0AGkAbABpAHMAZQByACAAYwBvAG0AcABvAG4AZQBuAHQAcwAgAHQAaABhAHQAIABjAGEAbgAgAGIAZQAgAHUAcwBlAGQAIABpAG4AIAAxADUALgA0AC4AMQAuADEAIAAoADEAKQBcACIAKQA7AFwAbgBcAG4ALwAqAFwAbgAtAC0ALQAtAC0ALQAtAC0ALQAtAC0ALQAtAC0ALQAtAC0ALQAtAC0ALQAtAC0ALQAtAC0ALQAtAC0ALQAtAC0ALQAtAC0ALQAtAC0AXABuAFYARQBFAFIARwBfADEANQBfADUAXwAxAF8AMQBfAF8AMQBfAEUAbQBpAHMAcwBpAG8AbgBzAEYAcgBvAG0AUAB1AHIAYwBoAGEAcwBlAGQAQQBnAHIAaQBjAGgAZQBtAGkAYwBhAGwAcwBcAG4AVABvAHQAYQBsACAAZQBtAGkAcwBzAGkAbwBuAHMAIABmAHIAbwBtACAAcAB1AHIAYwBoAGEAcwBlAGQAIABhAGcAcgBpAGMAaABlAG0AaQBjAGEAbABzAFwAbgBFAFwAbgB0ACAAQwBPADIAZQBcAG4ARQA9AFwAXABzAHUAbQBcAFwAbgBvAGwAaQBtAGkAdABzAF8AaABcAFwAbABlAGYAdAAoAFEAXwBoAFwAXAB0AGkAbQBlAHMAIABFAEYAXwBoAFwAXAByAGkAZwBoAHQAKQBcAFwAdABpAG0AZQBzACAAMQAwAF4AewAtADMAfQBcAG4AUQBfAGgAIAA9ACAAcQB1AGEAbgB0AGkAdAB5ACAAbwBmACAAYQBjAHQAaQB2AGUAIABpAG4AZwByAGUAZABpAGUAbgB0AHMAIABpAG4AIABhAGcAcgBpAGMAaABlAG0AaQBjAGEAbAAgAHQAeQBwAGUAIABoACAAcAB1AHIAYwBoAGEAcwBlAGQAIABhAG4AZAAgAGEAcABwAGwAaQBlAGQAIAB0AG8AIABzAG8AaQBsAHMAXABuAEUARgBfAGgAIAA9ACAAZQBtAGkAcwBzAGkAbwBuACAAZgBhAGMAdABvAHIAIABmAG8AcgAgAHAAdQByAGMAaABhAHMAZQBkACAAYQBnAHIAaQBjAGgAZQBtAGkAYwBhAGwAIABhAGMAdABpAHYAZQAgAGkAbgBnAHIAZQBkAGkAZQBuAHQAXABuAC0ALQAtAC0ALQAtAC0ALQAtAC0ALQAtAC0ALQAtAC0ALQAtAC0ALQAtAC0ALQAtAC0ALQAtAC0ALQAtAC0ALQAtAC0ALQAtAC0ALQBcAG4AKgAvAFwAbgBcAG4AVgBFAEUAUgBHAF8AMQA1AF8ANQBfADEAXwAxAF8AXwAxAF8ARQBtAGkAcwBzAGkAbwBuAHMARgByAG8AbQBQAHUAcgBjAGgAYQBzAGUAZABBAGcAcgBpAGMAaABlAG0AaQBjAGEAbABzAFwAbgAgACAAPQBMAEEATQBCAEQAQQAoAFwAbgAgACAAIAAgAFEAXwBoACwAIABFAEYAXwBoACwAXABuACAAIAAgACAAKABRAF8AaAAgACoAIABFAEYAXwBoACkAIAAqACAAMQAwACAAXgAgAC0AMwBcAG4AIAAgACkAOwBcAG4AXABuAFYARQBFAFIARwBfADEANQBfADUAXwAxAF8AMQBfAF8AMQBfAEUAbQBpAHMAcwBpAG8AbgBzAEYAcgBvAG0AUAB1AHIAYwBoAGEAcwBlAGQAQQBnAHIAaQBjAGgAZQBtAGkAYwBhAGwAcwBfAFQAaQB0AGwAZQBcAG4AIAAgAD0ATABBAE0AQgBEAEEAKABcACIAVABvAHQAYQBsACAAZQBtAGkAcwBzAGkAbwBuAHMAIABmAHIAbwBtACAAcAB1AHIAYwBoAGEAcwBlAGQAIABhAGcAcgBpAGMAaABlAG0AaQBjAGEAbABzAFwAIgApADsAXABuAFwAbgBWAEUARQBSAEcAXwAxADUAXwA1AF8AMQBfADEAXwBfADEAXwBFAG0AaQBzAHMAaQBvAG4AcwBGAHIAbwBtAFAAdQByAGMAaABhAHMAZQBkAEEAZwByAGkAYwBoAGUAbQBpAGMAYQBsAHMAXwBWAGEAcgBpAGEAYgBsAGUAXABuACAAIAA9AEwAQQBNAEIARABBACgAXAAiAEUAXAAiACkAOwBcAG4AXABuAFYARQBFAFIARwBfADEANQBfADUAXwAxAF8AMQBfAF8AMQBfAEUAbQBpAHMAcwBpAG8AbgBzAEYAcgBvAG0AUAB1AHIAYwBoAGEAcwBlAGQAQQBnAHIAaQBjAGgAZQBtAGkAYwBhAGwAcwBfAFUAbgBpAHQAXABuACAAIAA9AEwAQQBNAEIARABBACgAXAAiAHQAIABDAE8AMgBlAFwAIgApADsAXABuAFwAbgBWAEUARQBSAEcAXwAxADUAXwA1AF8AMQBfADEAXwBfADEAXwBFAG0AaQBzAHMAaQBvAG4AcwBGAHIAbwBtAFAAdQByAGMAaABhAHMAZQBkAEEAZwByAGkAYwBoAGUAbQBpAGMAYQBsAHMAXwBTAG8AdQByAGMAZQBcAG4AIAAgAD0ATABBAE0AQgBEAEEAKABcACIAVgBFAEUAUgBHACAAMgAwADIANgA6ACAAMQA1AC4ANQAuADEALgAxACwAIABFAHEAdQBhAHQAaQBvAG4AIAAoADEAKQBcACIAKQA7AFwAbgBcAG4AVgBFAEUAUgBHAF8AMQA1AF8ANQBfADEAXwAxAF8AXwAxAF8ARQBtAGkAcwBzAGkAbwBuAHMARgByAG8AbQBQAHUAcgBjAGgAYQBzAGUAZABBAGcAcgBpAGMAaABlAG0AaQBjAGEAbABzAF8ATgBJAFIAUgBlAGYAZQByAGUAbgBjAGUAXABuACAAIAA9AEwAQQBNAEIARABBACgAXAAiAFwAIgApADsAXABuAFwAbgBWAEUARQBSAEcAXwAxADUAXwA1AF8AMQBfADEAXwBfADEAXwBFAG0AaQBzAHMAaQBvAG4AcwBGAHIAbwBtAFAAdQByAGMAaABhAHMAZQBkAEEAZwByAGkAYwBoAGUAbQBpAGMAYQBsAHMAXwBMAGEAdABlAHgARQBxAHUAYQB0AGkAbwBuAFwAbgAgACAAPQBMAEEATQBCAEQAQQAoAFwAIgBFAD0AXABcAHMAdQBtAFwAXABuAG8AbABpAG0AaQB0AHMAXwBoAFwAXABsAGUAZgB0ACgAUQBfAGgAXABcAHQAaQBtAGUAcwAgAEUARgBfAGgAXABcAHIAaQBnAGgAdAApAFwAXAB0AGkAbQBlAHMAIAAxADAAXgB7AC0AMwB9AFwAIgApADsAXABuAFwAbgBWAEUARQBSAEcAXwAxADUAXwA1AF8AMQBfADEAXwBfADEAXwBFAG0AaQBzAHMAaQBvAG4AcwBGAHIAbwBtAFAAdQByAGMAaABhAHMAZQBkAEEAZwByAGkAYwBoAGUAbQBpAGMAYQBsAHMAXwBBAHIAZwB1AG0AZQBuAHQAcwBcAG4AIAAgAD0ATABBAE0AQgBEAEEAKABcAG4AIAAgACAAIABNAEEASwBFAEEAUgBSAEEAWQAoADMALAAgADQALABcAG4AIAAgACAAIAAgACAATABBAE0AQgBEAEEAKAByACwAYwAsAFwAbgAgACAAIAAgACAAIAAgACAASQBOAEQARQBYACgAewBcAG4AIAAgACAAIAAgACAAIAAgACAAIABcACIAUQBfAGgAXAAiACwAIABcACIAcQB1AGEAbgB0AGkAdAB5ACAAbwBmACAAYQBjAHQAaQB2AGUAIABpAG4AZwByAGUAZABpAGUAbgB0AHMAIABpAG4AIABhAGcAcgBpAGMAaABlAG0AaQBjAGEAbAAgAHQAeQBwAGUAIABoACAAcAB1AHIAYwBoAGEAcwBlAGQAIABhAG4AZAAgAGEAcABwAGwAaQBlAGQAIAB0AG8AIABzAG8AaQBsAHMAXAAiACwAIABcACIAawBnACAAYQBpAFwAIgAsACAAXAAiAEkAbgBwAHUAdABcACIAOwBcAG4AIAAgACAAIAAgACAAIAAgACAAIABcACIARQBGAF8AaABcACIALAAgAFwAIgBlAG0AaQBzAHMAaQBvAG4AIABmAGEAYwB0AG8AcgAgAGYAbwByACAAcAB1AHIAYwBoAGEAcwBlAGQAIABhAGcAcgBpAGMAaABlAG0AaQBjAGEAbAAgAGEAYwB0AGkAdgBlACAAaQBuAGcAcgBlAGQAaQBlAG4AdABcACIALAAgAFwAIgBrAGcAIABDAE8AMgBlAC8AawBnACAAYQBpAFwAIgAsACAAXAAiAEMAbwBuAHMAdABhAG4AdABcACIAOwBcAG4AIAAgACAAIAAgACAAIAAgACAAIABcACIAaABcACIALAAgAFwAIgBhAGcAcgBpAGMAaABlAG0AaQBjAGE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YAXwAxAF8AMQBfAF8AMQBfAEUAbQBpAHMAcwBpAG8AbgBzAEYAcgBvAG0AUAB1AHIAYwBoAGEAcwBlAGQATABpAG0AZQBcAG4ARQBtAGIAZQBkAGQAZQBkACAAZQBtAGkAcwBzAGkAbwBuAHMAIABmAG8AcgAgAHAAdQByAGMAaABhAHMAZQBkACAAbABpAG0AZQBcAG4ARQBcAG4AdAAgAEMATwAyAGUAXABuAEUAPQBNAF8AbABpAG0AZQBcAFwAdABpAG0AZQBzACAARQBGAF8AbABcAG4ATQBfAGwAaQBtAGUAIAA9ACAAdABvAHQAYQBsACAAcQB1AGEAbgB0AGkAdAB5ACAAbwBmACAAbABpAG0AZQAgAGEAcABwAGwAaQBlAGQAIAB0AG8AIABzAG8AaQBsAHMAXABuAEUARgBfAGwAIAA9ACAAZQBtAGkAcwBzAGkAbwBuACAAZgBhAGMAdABvAHIAIABmAG8AcgAgAHAAdQByAGMAaABhAHMAZQBkACAAbABpAG0AZQBcAG4ALQAtAC0ALQAtAC0ALQAtAC0ALQAtAC0ALQAtAC0ALQAtAC0ALQAtAC0ALQAtAC0ALQAtAC0ALQAtAC0ALQAtAC0ALQAtAC0ALQAtAFwAbgAqAC8AXABuAFwAbgBWAEUARQBSAEcAXwAxADUAXwA2AF8AMQBfADEAXwBfADEAXwBFAG0AaQBzAHMAaQBvAG4AcwBGAHIAbwBtAFAAdQByAGMAaABhAHMAZQBkAEwAaQBtAGUAXABuACAAIAA9AEwAQQBNAEIARABBACgAXABuACAAIAAgACAATQBfAGwAaQBtAGUALAAgAEUARgBfAGwALABcAG4AIAAgACAAIABNAF8AbABpAG0AZQAgACoAIABFAEYAXwBsAFwAbgAgACAAKQA7AFwAbgBcAG4AVgBFAEUAUgBHAF8AMQA1AF8ANgBfADEAXwAxAF8AXwAxAF8ARQBtAGkAcwBzAGkAbwBuAHMARgByAG8AbQBQAHUAcgBjAGgAYQBzAGUAZABMAGkAbQBlAF8AVABpAHQAbABlAFwAbgAgACAAPQBMAEEATQBCAEQAQQAoAFwAIgBFAG0AYgBlAGQAZABlAGQAIABlAG0AaQBzAHMAaQBvAG4AcwAgAGYAbwByACAAcAB1AHIAYwBoAGEAcwBlAGQAIABsAGkAbQBlAFwAIgApADsAXABuAFwAbgBWAEUARQBSAEcAXwAxADUAXwA2AF8AMQBfADEAXwBfADEAXwBFAG0AaQBzAHMAaQBvAG4AcwBGAHIAbwBtAFAAdQByAGMAaABhAHMAZQBkAEwAaQBtAGUAXwBWAGEAcgBpAGEAYgBsAGUAXABuACAAIAA9AEwAQQBNAEIARABBACgAXAAiAEUAXAAiACkAOwBcAG4AXABuAFYARQBFAFIARwBfADEANQBfADYAXwAxAF8AMQBfAF8AMQBfAEUAbQBpAHMAcwBpAG8AbgBzAEYAcgBvAG0AUAB1AHIAYwBoAGEAcwBlAGQATABpAG0AZQBfAFUAbgBpAHQAXABuACAAIAA9AEwAQQBNAEIARABBACgAXAAiAHQAIABDAE8AMgBlAFwAIgApADsAXABuAFwAbgBWAEUARQBSAEcAXwAxADUAXwA2AF8AMQBfADEAXwBfADEAXwBFAG0AaQBzAHMAaQBvAG4AcwBGAHIAbwBtAFAAdQByAGMAaABhAHMAZQBkAEwAaQBtAGUAXwBTAG8AdQByAGMAZQBcAG4AIAAgAD0ATABBAE0AQgBEAEEAKABcACIAVgBFAEUAUgBHACAAMgAwADIANgA6ACAAMQA1AC4ANgAuADEALgAxACwAIABFAHEAdQBhAHQAaQBvAG4AIAAoADEAKQBcACIAKQA7AFwAbgBcAG4AVgBFAEUAUgBHAF8AMQA1AF8ANgBfADEAXwAxAF8AXwAxAF8ARQBtAGkAcwBzAGkAbwBuAHMARgByAG8AbQBQAHUAcgBjAGgAYQBzAGUAZABMAGkAbQBlAF8ATgBJAFIAUgBlAGYAZQByAGUAbgBjAGUAXABuACAAIAA9AEwAQQBNAEIARABBACgAXAAiAFwAIgApADsAXABuAFwAbgBWAEUARQBSAEcAXwAxADUAXwA2AF8AMQBfADEAXwBfADEAXwBFAG0AaQBzAHMAaQBvAG4AcwBGAHIAbwBtAFAAdQByAGMAaABhAHMAZQBkAEwAaQBtAGUAXwBMAGEAdABlAHgARQBxAHUAYQB0AGkAbwBuAFwAbgAgACAAPQBMAEEATQBCAEQAQQAoAFwAIgBFAD0ATQBfAHsAbABpAG0AZQB9AFwAXAB0AGkAbQBlAHMAIABFAEYAXwBsAFwAIgApADsAXABuAFwAbgBWAEUARQBSAEcAXwAxADUAXwA2AF8AMQBfADEAXwBfADEAXwBFAG0AaQBzAHMAaQBvAG4AcwBGAHIAbwBtAFAAdQByAGMAaABhAHMAZQBkAEwAaQBtAGUAXwBBAHIAZwB1AG0AZQBuAHQAcwBcAG4AIAAgAD0ATABBAE0AQgBEAEEAKABcAG4AIAAgACAAIABNAEEASwBFAEEAUgBSAEEAWQAoADIALAAgADQALABcAG4AIAAgACAAIAAgACAATABBAE0AQgBEAEEAKAByACwAYwAsAFwAbgAgACAAIAAgACAAIAAgACAASQBOAEQARQBYACgAewBcAG4AIAAgACAAIAAgACAAIAAgACAAIABcACIATQBfAGwAaQBtAGUAXAAiACwAIABcACIAdABvAHQAYQBsACAAcQB1AGEAbgB0AGkAdAB5ACAAbwBmACAAbABpAG0AZQAgAGEAcABwAGwAaQBlAGQAIAB0AG8AIABzAG8AaQBsAHMAXAAiACwAIABcACIAdABcACIALAAgAFwAIgBJAG4AcAB1AHQAXAAiADsAXABuACAAIAAgACAAIAAgACAAIAAgACAAXAAiAEUARgBfAGwAXAAiACwAIABcACIAZQBtAGkAcwBzAGkAbwBuACAAZgBhAGMAdABvAHIAIABmAG8AcgAgAHAAdQByAGMAaABhAHMAZQBkACAAbABpAG0AZQBcACIALAAgAFwAIgB0ACAAQwBPADIAZQAvAHQ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cAXwAxAF8AMQBfAF8AMQBfAEUAbQBpAHMAcwBpAG8AbgBzAEYAcgBvAG0AUAB1AHIAYwBoAGEAcwBlAGQAUwBlAHIAdgBpAGMAZQBzAFwAbgBFAG0AaQBzAHMAaQBvAG4AcwAgAG8AZgAgAHAAdQByAGMAaABhAHMAZQBkACAAcwBlAHIAdgBpAGMAZQBzACAAYQBuAGQAIABjAG8AbgB0AHIAYQBjAHQAbwByACAAbwBwAGUAcgBhAHQAaQBvAG4AcwBcAG4ARQBcAG4AdAAgAEMATwAyAGUAXABuAEUAPQBcAFwAcwB1AG0AXABcAG4AbwBsAGkAbQBpAHQAcwBfAHAAXABcAGwAZQBmAHQAKABBAF8AcABcAFwAdABpAG0AZQBzACAARQBGAF8AcABcAFwAcgBpAGcAaAB0ACkAXABcAHQAaQBtAGUAcwAgADEAMABeAHsALQAzAH0AXABuAEEAXwBwACAAPQAgAGEAYwB0AGkAdgBpAHQAeQAgAGQAYQB0AGEAIABvAGYAIAB0AGgAZQAgAHMAZQByAHYAaQBjAGUAIAB0AGgAYQB0ACAAdwBhAHMAIABwAHUAcgBjAGgAYQBzAGUAZABcAG4ARQBGAF8AcAAgAD0AIABsAGkAZgBlACAAYwB5AGMAbABlACAAZQBtAGkAcwBzAGkAbwBuACAAZgBhAGMAdABvAHIAIABmAG8AcgAgAHQAaABlACAAcAB1AHIAYwBoAGEAcwBlAGQAIABzAGUAcgB2AGkAYwBlAFwAbgAtAC0ALQAtAC0ALQAtAC0ALQAtAC0ALQAtAC0ALQAtAC0ALQAtAC0ALQAtAC0ALQAtAC0ALQAtAC0ALQAtAC0ALQAtAC0ALQAtAC0AXABuACoALwBcAG4AXABuAFYARQBFAFIARwBfADEANQBfADcAXwAxAF8AMQBfAF8AMQBfAEUAbQBpAHMAcwBpAG8AbgBzAEYAcgBvAG0AUAB1AHIAYwBoAGEAcwBlAGQAUwBlAHIAdgBpAGMAZQBzAFwAbgAgACAAPQBMAEEATQBCAEQAQQAoAFwAbgAgACAAIAAgAEEAXwBwACwAIABFAEYAXwBwACwAXABuACAAIAAgACAAKABBAF8AcAAgACoAIABFAEYAXwBwACkAIAAqACAAMQAwACAAXgAgAC0AMwBcAG4AIAAgACkAOwBcAG4AXABuAFYARQBFAFIARwBfADEANQBfADcAXwAxAF8AMQBfAF8AMQBfAEUAbQBpAHMAcwBpAG8AbgBzAEYAcgBvAG0AUAB1AHIAYwBoAGEAcwBlAGQAUwBlAHIAdgBpAGMAZQBzAF8AVABpAHQAbABlAFwAbgAgACAAPQBMAEEATQBCAEQAQQAoAFwAIgBFAG0AaQBzAHMAaQBvAG4AcwAgAG8AZgAgAHAAdQByAGMAaABhAHMAZQBkACAAcwBlAHIAdgBpAGMAZQBzACAAYQBuAGQAIABjAG8AbgB0AHIAYQBjAHQAbwByACAAbwBwAGUAcgBhAHQAaQBvAG4AcwBcACIAKQA7AFwAbgBcAG4AVgBFAEUAUgBHAF8AMQA1AF8ANwBfADEAXwAxAF8AXwAxAF8ARQBtAGkAcwBzAGkAbwBuAHMARgByAG8AbQBQAHUAcgBjAGgAYQBzAGUAZABTAGUAcgB2AGkAYwBlAHMAXwBWAGEAcgBpAGEAYgBsAGUAXABuACAAIAA9AEwAQQBNAEIARABBACgAXAAiAEUAXAAiACkAOwBcAG4AXABuAFYARQBFAFIARwBfADEANQBfADcAXwAxAF8AMQBfAF8AMQBfAEUAbQBpAHMAcwBpAG8AbgBzAEYAcgBvAG0AUAB1AHIAYwBoAGEAcwBlAGQAUwBlAHIAdgBpAGMAZQBzAF8AVQBuAGkAdABcAG4AIAAgAD0ATABBAE0AQgBEAEEAKABcACIAdAAgAEMATwAyAGUAXAAiACkAOwBcAG4AXABuAFYARQBFAFIARwBfADEANQBfADcAXwAxAF8AMQBfAF8AMQBfAEUAbQBpAHMAcwBpAG8AbgBzAEYAcgBvAG0AUAB1AHIAYwBoAGEAcwBlAGQAUwBlAHIAdgBpAGMAZQBzAF8AUwBvAHUAcgBjAGUAXABuACAAIAA9AEwAQQBNAEIARABBACgAXAAiAFYARQBFAFIARwAgADIAMAAyADYAOgAgADEANQAuADcALgAxAC4AMQAsACAARQBxAHUAYQB0AGkAbwBuACAAKAAxACkAXAAiACkAOwBcAG4AXABuAFYARQBFAFIARwBfADEANQBfADcAXwAxAF8AMQBfAF8AMQBfAEUAbQBpAHMAcwBpAG8AbgBzAEYAcgBvAG0AUAB1AHIAYwBoAGEAcwBlAGQAUwBlAHIAdgBpAGMAZQBzAF8ATgBJAFIAUgBlAGYAZQByAGUAbgBjAGUAXABuACAAIAA9AEwAQQBNAEIARABBACgAXAAiAFwAIgApADsAXABuAFwAbgBWAEUARQBSAEcAXwAxADUAXwA3AF8AMQBfADEAXwBfADEAXwBFAG0AaQBzAHMAaQBvAG4AcwBGAHIAbwBtAFAAdQByAGMAaABhAHMAZQBkAFMAZQByAHYAaQBjAGUAcwBfAEwAYQB0AGUAeABFAHEAdQBhAHQAaQBvAG4AXABuACAAIAA9AEwAQQBNAEIARABBACgAXAAiAEUAPQBcAFwAcwB1AG0AXABcAG4AbwBsAGkAbQBpAHQAcwBfAHAAXABcAGwAZQBmAHQAKABBAF8AcABcAFwAdABpAG0AZQBzACAARQBGAF8AcABcAFwAcgBpAGcAaAB0ACkAXABcAHQAaQBtAGUAcwAgADEAMABeAHsALQAzAH0AXAAiACkAOwBcAG4AXABuAFYARQBFAFIARwBfADEANQBfADcAXwAxAF8AMQBfAF8AMQBfAEUAbQBpAHMAcwBpAG8AbgBzAEYAcgBvAG0AUAB1AHIAYwBoAGEAcwBlAGQAUwBlAHIAdgBpAGMAZQBzAF8AQQByAGcAdQBtAGUAbgB0AHMAXABuACAAIAA9AEwAQQBNAEIARABBACgAXABuACAAIAAgACAATQBBAEsARQBBAFIAUgBBAFkAKAAzACwAIAA0ACwAXABuACAAIAAgACAAIAAgAEwAQQBNAEIARABBACgAcgAsAGMALABcAG4AIAAgACAAIAAgACAAIAAgAEkATgBEAEUAWAAoAHsAXABuACAAIAAgACAAIAAgACAAIAAgACAAXAAiAEEAXwBwAFwAIgAsACAAXAAiAGEAYwB0AGkAdgBpAHQAeQAgAGQAYQB0AGEAIABvAGYAIAB0AGgAZQAgAHMAZQByAHYAaQBjAGUAIAB0AGgAYQB0ACAAdwBhAHMAIABwAHUAcgBjAGgAYQBzAGUAZABcACIALAAgAFwAIgBoAGEAIABvAHIAIABoAFwAIgAsACAAXAAiAEkAbgBwAHUAdABcACIAOwBcAG4AIAAgACAAIAAgACAAIAAgACAAIABcACIARQBGAF8AcABcACIALAAgAFwAIgBsAGkAZgBlACAAYwB5AGMAbABlACAAZQBtAGkAcwBzAGkAbwBuACAAZgBhAGMAdABvAHIAIABmAG8AcgAgAHQAaABlACAAcAB1AHIAYwBoAGEAcwBlAGQAIABzAGUAcgB2AGkAYwBlAFwAIgAsACAAXAAiAGsAZwAgAEMATwAyAGUALwBoAGEAIABvAHIAIABrAGcAIABDAE8AMgBlAC8AaABcACIALAAgAFwAIgBDAG8AbgBzAHQAYQBuAHQAXAAiADsAXABuACAAIAAgACAAIAAgACAAIAAgACAAXAAiAHAAXAAiACwAIABcACIAcwBlAHIAdgBpAGMAZ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gAXwAxAF8AMQBfAF8AMQBfAEUAbQBpAHMAcwBpAG8AbgBzAEYAcgBvAG0AUAB1AHIAYwBoAGEAcwBlAGQAUABhAGMAawBhAGcAaQBuAGcAXABuAEUAbQBiAGUAZABkAGUAZAAgAGUAbQBpAHMAcwBpAG8AbgBzACAAZgByAG8AbQAgAHUAcwBlACAAbwBmACAAcABhAGMAawBhAGcAaQBuAGcAIABtAGEAdABlAHIAaQBhAGwAcwBcAG4ARQBcAG4AdAAgAEMATwAyAGUAXABuAEUAPQBcAFwAcwB1AG0AXABcAG4AbwBsAGkAbQBpAHQAcwBfAHAAXABcAGwAZQBmAHQAKABRAF8AcABcAFwAdABpAG0AZQBzACAARQBGAF8AcABcAFwAcgBpAGcAaAB0ACkAXABcAHQAaQBtAGUAcwAgADEAMABeAHsALQAzAH0AXABuAFEAXwBwACAAPQAgAHUAbgBpAHQAcwAgAG8AZgAgAHAAYQBjAGsAYQBnAGkAbgBnACAAdAB5AHAAZQAgAHAAXABuAEUARgBfAHAAIAA9ACAAZQBtAGkAcwBzAGkAbwBuACAAZgBhAGMAdABvAHIAIABmAG8AcgAgAHAAYQBjAGsAYQBnAGkAbgBnACAAdAB5AHAAZQAgAHAAXABuAC0ALQAtAC0ALQAtAC0ALQAtAC0ALQAtAC0ALQAtAC0ALQAtAC0ALQAtAC0ALQAtAC0ALQAtAC0ALQAtAC0ALQAtAC0ALQAtAC0ALQBcAG4AKgAvAFwAbgBcAG4AVgBFAEUAUgBHAF8AMQA1AF8AOABfADEAXwAxAF8AXwAxAF8ARQBtAGkAcwBzAGkAbwBuAHMARgByAG8AbQBQAHUAcgBjAGgAYQBzAGUAZABQAGEAYwBrAGEAZwBpAG4AZwBcAG4AIAAgAD0ATABBAE0AQgBEAEEAKABcAG4AIAAgACAAIABRAF8AcAAsACAARQBGAF8AcAAsAFwAbgAgACAAIAAgACgAUQBfAHAAIAAqACAARQBGAF8AcAApACAAKgAgADEAMAAgAF4AIAAtADMAXABuACAAIAApADsAXABuAFwAbgBWAEUARQBSAEcAXwAxADUAXwA4AF8AMQBfADEAXwBfADEAXwBFAG0AaQBzAHMAaQBvAG4AcwBGAHIAbwBtAFAAdQByAGMAaABhAHMAZQBkAFAAYQBjAGsAYQBnAGkAbgBnAF8AVABpAHQAbABlAFwAbgAgACAAPQBMAEEATQBCAEQAQQAoAFwAIgBFAG0AYgBlAGQAZABlAGQAIABlAG0AaQBzAHMAaQBvAG4AcwAgAGYAcgBvAG0AIAB1AHMAZQAgAG8AZgAgAHAAYQBjAGsAYQBnAGkAbgBnACAAbQBhAHQAZQByAGkAYQBsAHMAXAAiACkAOwBcAG4AXABuAFYARQBFAFIARwBfADEANQBfADgAXwAxAF8AMQBfAF8AMQBfAEUAbQBpAHMAcwBpAG8AbgBzAEYAcgBvAG0AUAB1AHIAYwBoAGEAcwBlAGQAUABhAGMAawBhAGcAaQBuAGcAXwBWAGEAcgBpAGEAYgBsAGUAXABuACAAIAA9AEwAQQBNAEIARABBACgAXAAiAEUAXAAiACkAOwBcAG4AXABuAFYARQBFAFIARwBfADEANQBfADgAXwAxAF8AMQBfAF8AMQBfAEUAbQBpAHMAcwBpAG8AbgBzAEYAcgBvAG0AUAB1AHIAYwBoAGEAcwBlAGQAUABhAGMAawBhAGcAaQBuAGcAXwBVAG4AaQB0AFwAbgAgACAAPQBMAEEATQBCAEQAQQAoAFwAIgB0ACAAQwBPADIAZQBcACIAKQA7AFwAbgBcAG4AVgBFAEUAUgBHAF8AMQA1AF8AOABfADEAXwAxAF8AXwAxAF8ARQBtAGkAcwBzAGkAbwBuAHMARgByAG8AbQBQAHUAcgBjAGgAYQBzAGUAZABQAGEAYwBrAGEAZwBpAG4AZwBfAFMAbwB1AHIAYwBlAFwAbgAgACAAPQBMAEEATQBCAEQAQQAoAFwAIgBWAEUARQBSAEcAIAAyADAAMgA2ADoAIAAxADUALgA4AC4AMQAuADEALAAgAEUAcQB1AGEAdABpAG8AbgAgACgAMQApAFwAIgApADsAXABuAFwAbgBWAEUARQBSAEcAXwAxADUAXwA4AF8AMQBfADEAXwBfADEAXwBFAG0AaQBzAHMAaQBvAG4AcwBGAHIAbwBtAFAAdQByAGMAaABhAHMAZQBkAFAAYQBjAGsAYQBnAGkAbgBnAF8ATgBJAFIAUgBlAGYAZQByAGUAbgBjAGUAXABuACAAIAA9AEwAQQBNAEIARABBACgAXAAiAFwAIgApADsAXABuAFwAbgBWAEUARQBSAEcAXwAxADUAXwA4AF8AMQBfADEAXwBfADEAXwBFAG0AaQBzAHMAaQBvAG4AcwBGAHIAbwBtAFAAdQByAGMAaABhAHMAZQBkAFAAYQBjAGsAYQBnAGkAbgBnAF8ATABhAHQAZQB4AEUAcQB1AGEAdABpAG8AbgBcAG4AIAAgAD0ATABBAE0AQgBEAEEAKABcACIARQA9AFwAXABzAHUAbQBcAFwAbgBvAGwAaQBtAGkAdABzAF8AcABcAFwAbABlAGYAdAAoAFEAXwBwAFwAXAB0AGkAbQBlAHMAIABFAEYAXwBwAFwAXAByAGkAZwBoAHQAKQBcAFwAdABpAG0AZQBzACAAMQAwAF4AewAtADMAfQBcACIAKQA7AFwAbgBcAG4AVgBFAEUAUgBHAF8AMQA1AF8AOABfADEAXwAxAF8AXwAxAF8ARQBtAGkAcwBzAGkAbwBuAHMARgByAG8AbQBQAHUAcgBjAGgAYQBzAGUAZABQAGEAYwBrAGEAZwBpAG4AZwBfAEEAcgBnAHUAbQBlAG4AdABzAFwAbgAgACAAPQBMAEEATQBCAEQAQQAoAFwAbgAgACAAIAAgAE0AQQBLAEUAQQBSAFIAQQBZACgAMwAsACAANAAsAFwAbgAgACAAIAAgACAAIABMAEEATQBCAEQAQQAoAHIALABjACwAXABuACAAIAAgACAAIAAgACAAIABJAE4ARABFAFgAKAB7AFwAbgAgACAAIAAgACAAIAAgACAAIAAgAFwAIgBRAF8AcABcACIALAAgAFwAIgB1AG4AaQB0AHMAIABvAGYAIABwAGEAYwBrAGEAZwBpAG4AZwAgAHQAeQBwAGUAIABwAFwAIgAsACAAXAAiAHUAbgBpAHQAcwBcACIALAAgAFwAIgBJAG4AcAB1AHQAXAAiADsAXABuACAAIAAgACAAIAAgACAAIAAgACAAXAAiAEUARgBfAHAAXAAiACwAIABcACIAZQBtAGkAcwBzAGkAbwBuACAAZgBhAGMAdABvAHIAIABmAG8AcgAgAHAAYQBjAGsAYQBnAGkAbgBnACAAdAB5AHAAZQAgAHAAXAAiACwAIABcACIAawBnACAAQwBPADIAZQAvAHUAbgBpAHQAXAAiACwAIABcACIAQwBvAG4AcwB0AGEAbgB0AFwAIgA7AFwAbgAgACAAIAAgACAAIAAgACAAIAAgAFwAIgBwAFwAIgAsACAAXAAiAHAAYQBjAGsAYQBnAGkAbgBnACAAdAB5AHAAZQBcACIALAAgAFwAIgBcACIALAAgAFwAIgBJAG4AcAB1AHQAXAAiAFwAbgAgACAAIAAgACAAIAAgACAAfQAsACAAcgAsACAAYwApAFwAbgAgACAAIAAgACAAIAApAFwAbgAgACAAIAAgACkAXABuACAAIAApADsAXABuAFwAbgBWAEUARQBSAEcAXwAxADUAXwA4AF8AMQBfADEAXwBfADEAXwBFAG0AaQBzAHMAaQBvAG4AcwBGAHIAbwBtAFAAdQByAGMAaABhAHMAZQBkAFAAYQBjAGsAYQBnAGkAbgBnAF8AVgBhAHIAaQBhAHQAaQBvAG4AXABuACAAIAA9AEwAQQBNAEIARABBACgAXAAiAFYAQQBSAEkAQQBUAEkATwBOACAATwBOACAAUwBPAFUAUgBDAEUAOgAgAEMAaABhAG4AZwBlAGQAIAB1AG4AaQB0ACAAbwBmACAAUQAgAGYAcgBvAG0AIABcAHUAMAAwADIANwB1AG4AaQB0AHMAXAB1ADAAMAAyADcAIAB0AG8AIABcAHUAMAAwADIANwBrAGcAXAB1ADAAMAAyAD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XAB1ADAAMAAyADcAcwB0AGEAdABlAFwAdQAwADAAMgA3ACAAYQBuAGQAIABcAHUAMAAwADIANwBtAGUAdAByAG8ALwBuAG8AbgAtAG0AZQB0AHIAbwBcAHUAMAAwADIAN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FwAdQAwADAAMwBjAD0AIAAyACwAIAAgAFwAIgBTAHUAbQBtAGUAcgBcACIALABcAG4AIAAgACAAIAAgACAATQBPAE4AVABIACgAUAB1AHIAYwBoAGEAcwBlAEQAYQB0AGUAKQAgAFwAdQAwADAAMwBjAD0AIAA1ACwAIAAgAFwAIgBBAHUAdAB1AG0AbgBcACIALABcAG4AIAAgACAAIAAgACAATQBPAE4AVABIACgAUAB1AHIAYwBoAGEAcwBlAEQAYQB0AGUAKQAgAFwAdQAwADAAMwBjAD0AIAA4ACwAIAAgAFwAIgBXAGkAbgB0AGUAcgBcACIALABcAG4AIAAgACAAIAAgACAATQBPAE4AVABIACgAUAB1AHIAYwBoAGEAcwBlAEQAYQB0AGUAKQAgAFwAdQAwADAAMwBj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F0AfQ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438</vt:i4>
      </vt:variant>
    </vt:vector>
  </HeadingPairs>
  <TitlesOfParts>
    <vt:vector size="490" baseType="lpstr">
      <vt:lpstr>Home</vt:lpstr>
      <vt:lpstr>Results</vt:lpstr>
      <vt:lpstr>Input - Enterprise</vt:lpstr>
      <vt:lpstr>Input - Site</vt:lpstr>
      <vt:lpstr>Input - Dairy</vt:lpstr>
      <vt:lpstr>Input - Dairy (Enteric)</vt:lpstr>
      <vt:lpstr>Input - Livestock sales</vt:lpstr>
      <vt:lpstr>Input - Dairy cattle purchases</vt:lpstr>
      <vt:lpstr>Input - Pasture</vt:lpstr>
      <vt:lpstr>Input - Fert Prod System</vt:lpstr>
      <vt:lpstr>Input - Fertiliser</vt:lpstr>
      <vt:lpstr>Input - Fuel</vt:lpstr>
      <vt:lpstr>Input - Electricity</vt:lpstr>
      <vt:lpstr>Input - Farm Inputs</vt:lpstr>
      <vt:lpstr>Input - Freight</vt:lpstr>
      <vt:lpstr>Input - Manure sent off-site</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14.1.1-2 Purchased electricity</vt:lpstr>
      <vt:lpstr>15 Scope 3</vt:lpstr>
      <vt:lpstr>Calcs - Manure sent off-site</vt:lpstr>
      <vt:lpstr>Constants - Dairy</vt:lpstr>
      <vt:lpstr>Constants - Ag Residue</vt:lpstr>
      <vt:lpstr>Constants - Common Livestock</vt:lpstr>
      <vt:lpstr>Constants - Electricity</vt:lpstr>
      <vt:lpstr>Constants - Fertiliser</vt:lpstr>
      <vt:lpstr>Constants - Fuel</vt:lpstr>
      <vt:lpstr>Constants - Scope 3</vt:lpstr>
      <vt:lpstr>Constants - Common</vt:lpstr>
      <vt:lpstr>Acknowledgements</vt:lpstr>
      <vt:lpstr>Input - Solid waste</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3.3.1.1-2 Enteric Methane</vt:lpstr>
      <vt:lpstr>10.1.1-2 Solid waste treatment</vt:lpstr>
      <vt:lpstr>Constants - Solid Waste</vt:lpstr>
      <vt:lpstr>Overview</vt:lpstr>
      <vt:lpstr>Input - Data quality</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M1_Table_AE_j</vt:lpstr>
      <vt:lpstr>M1_Table_AE_j_Consumer_1</vt:lpstr>
      <vt:lpstr>M1_Table_AE_j_Consumer_2</vt:lpstr>
      <vt:lpstr>M1_Table_AE_j124</vt:lpstr>
      <vt:lpstr>M1_Table_CP_j</vt:lpstr>
      <vt:lpstr>M1_Table_CPI_j</vt:lpstr>
      <vt:lpstr>'3.3.1.1-2 Enteric Methane'!M1_Table_D_j</vt:lpstr>
      <vt:lpstr>M1_Table_D_j</vt:lpstr>
      <vt:lpstr>M1_Table_D_j124</vt:lpstr>
      <vt:lpstr>M1_Table_D_j35</vt:lpstr>
      <vt:lpstr>M1_Table_D_j35_Consumer_1</vt:lpstr>
      <vt:lpstr>'3.3.1.1-2 Enteric Methane'!M1_Table_DMD_j</vt:lpstr>
      <vt:lpstr>M1_Table_DMD_j</vt:lpstr>
      <vt:lpstr>M1_Table_DPW_j</vt:lpstr>
      <vt:lpstr>M1_Table_DPW_j_Consumer_1</vt:lpstr>
      <vt:lpstr>M1_Table_DPW_j_Consumer_2</vt:lpstr>
      <vt:lpstr>M1_Table_DPW_j_Consumer_3</vt:lpstr>
      <vt:lpstr>M1_Table_DPW_j35</vt:lpstr>
      <vt:lpstr>M1_Table_E_CH4</vt:lpstr>
      <vt:lpstr>M1_Table_E_CH4_Consumer_1</vt:lpstr>
      <vt:lpstr>M1_Table_E_CO2</vt:lpstr>
      <vt:lpstr>M1_Table_E_enteric</vt:lpstr>
      <vt:lpstr>M1_Table_E_enteric_Consumer_1</vt:lpstr>
      <vt:lpstr>'6.3.1.1-2 Leach runoff pasture'!M1_Table_E_N2O</vt:lpstr>
      <vt:lpstr>M1_Table_E_N2O</vt:lpstr>
      <vt:lpstr>'6.3.1.1-2 Leach runoff pasture'!M1_Table_E_N2O_Consumer_1</vt:lpstr>
      <vt:lpstr>M1_Table_E_N2O_dir</vt:lpstr>
      <vt:lpstr>M1_Table_E_N2O_dir_Consumer_1</vt:lpstr>
      <vt:lpstr>M1_Table_EF_N2O_leach</vt:lpstr>
      <vt:lpstr>M1_Table_FVS_j_m</vt:lpstr>
      <vt:lpstr>M1_Table_FVS_j_m_Consumer_1</vt:lpstr>
      <vt:lpstr>M1_Table_FVS_j_m4</vt:lpstr>
      <vt:lpstr>'3.3.1.1-2 Enteric Methane'!M1_Table_I_j</vt:lpstr>
      <vt:lpstr>M1_Table_I_j</vt:lpstr>
      <vt:lpstr>M1_Table_I_j_Consumer_1</vt:lpstr>
      <vt:lpstr>M1_Table_L_j</vt:lpstr>
      <vt:lpstr>'3.3.1.1-2 Enteric Methane'!M1_Table_LWG_j</vt:lpstr>
      <vt:lpstr>M1_Table_LWG_j</vt:lpstr>
      <vt:lpstr>M1_Table_LWG_j_Consumer_1</vt:lpstr>
      <vt:lpstr>M1_Table_M_j</vt:lpstr>
      <vt:lpstr>'6.3.1.1-2 Leach runoff pasture'!M1_Table_M_leach_cp</vt:lpstr>
      <vt:lpstr>M1_Table_M_leach_M14</vt:lpstr>
      <vt:lpstr>M1_Table_M_vol_m14</vt:lpstr>
      <vt:lpstr>'3.3.1.1-2 Enteric Methane'!M1_Table_MI_j</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'3.3.1.1-2 Enteric Methane'!M1_Table_MP_j_from_solids</vt:lpstr>
      <vt:lpstr>M1_Table_MP_j_from_solids</vt:lpstr>
      <vt:lpstr>M1_Table_MP_j_from_solids_Consumer_1</vt:lpstr>
      <vt:lpstr>M1_Table_MPW_j35</vt:lpstr>
      <vt:lpstr>'3.3.1.1-2 Enteric Methane'!M1_Table_MS_j</vt:lpstr>
      <vt:lpstr>M1_Table_MS_j</vt:lpstr>
      <vt:lpstr>M1_Table_NE_j</vt:lpstr>
      <vt:lpstr>M1_Table_NR_j</vt:lpstr>
      <vt:lpstr>'3.3.1.1-2 Enteric Methane'!M1_Table_qm_j</vt:lpstr>
      <vt:lpstr>M1_Table_qm_j</vt:lpstr>
      <vt:lpstr>M1_Table_SS_m</vt:lpstr>
      <vt:lpstr>M1_Table_VS_j</vt:lpstr>
      <vt:lpstr>'3.3.1.1-2 Enteric Methane'!M1_Table_W_j</vt:lpstr>
      <vt:lpstr>M1_Table_W_j</vt:lpstr>
      <vt:lpstr>M1_Table_W_j_Consumer_1</vt:lpstr>
      <vt:lpstr>M1_Table_Z_j</vt:lpstr>
      <vt:lpstr>M1_Table_Z_j_Consumer_1</vt:lpstr>
      <vt:lpstr>M2_Table_AE_j</vt:lpstr>
      <vt:lpstr>M2_Table_AE_j124</vt:lpstr>
      <vt:lpstr>M2_Table_CP_j</vt:lpstr>
      <vt:lpstr>M2_Table_CPI_j</vt:lpstr>
      <vt:lpstr>'3.3.1.1-2 Enteric Methane'!M2_Table_D_j</vt:lpstr>
      <vt:lpstr>M2_Table_D_j</vt:lpstr>
      <vt:lpstr>M2_Table_D_j124</vt:lpstr>
      <vt:lpstr>'3.3.1.1-2 Enteric Methane'!M2_Table_DMD_j</vt:lpstr>
      <vt:lpstr>M2_Table_DMD_j</vt:lpstr>
      <vt:lpstr>M2_Table_DPW_j</vt:lpstr>
      <vt:lpstr>M2_Table_E_N2O_dir</vt:lpstr>
      <vt:lpstr>M2_Table_E_N2O_dir_Consumer_1</vt:lpstr>
      <vt:lpstr>M2_Table_EF_N2O_leach</vt:lpstr>
      <vt:lpstr>M2_Table_FertApplications</vt:lpstr>
      <vt:lpstr>M2_Table_FVS_j_m4</vt:lpstr>
      <vt:lpstr>'3.3.1.1-2 Enteric Methane'!M2_Table_I_j</vt:lpstr>
      <vt:lpstr>M2_Table_I_j</vt:lpstr>
      <vt:lpstr>M2_Table_I_j_Consumer_1</vt:lpstr>
      <vt:lpstr>M2_Table_L_j</vt:lpstr>
      <vt:lpstr>'3.3.1.1-2 Enteric Methane'!M2_Table_LWG_j</vt:lpstr>
      <vt:lpstr>M2_Table_LWG_j</vt:lpstr>
      <vt:lpstr>M2_Table_LWG_j_Consumer_1</vt:lpstr>
      <vt:lpstr>M2_Table_M_j</vt:lpstr>
      <vt:lpstr>'6.3.1.1-2 Leach runoff pasture'!M2_Table_M_leach_cp</vt:lpstr>
      <vt:lpstr>M2_Table_M_leach_M14</vt:lpstr>
      <vt:lpstr>M2_Table_M_vol_m14</vt:lpstr>
      <vt:lpstr>'3.3.1.1-2 Enteric Methane'!M2_Table_MI_j</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'3.3.1.1-2 Enteric Methane'!M2_Table_MP_j_from_solids</vt:lpstr>
      <vt:lpstr>M2_Table_MP_j_from_solids</vt:lpstr>
      <vt:lpstr>M2_Table_MP_j_from_solids_Consumer_1</vt:lpstr>
      <vt:lpstr>M2_Table_NE_j</vt:lpstr>
      <vt:lpstr>M2_Table_NR_j</vt:lpstr>
      <vt:lpstr>'3.3.1.1-2 Enteric Methane'!M2_Table_qm_j</vt:lpstr>
      <vt:lpstr>M2_Table_qm_j</vt:lpstr>
      <vt:lpstr>M2_Table_SS_m</vt:lpstr>
      <vt:lpstr>M2_Table_VS_j</vt:lpstr>
      <vt:lpstr>'3.3.1.1-2 Enteric Methane'!M2_Table_W_j</vt:lpstr>
      <vt:lpstr>M2_Table_W_j</vt:lpstr>
      <vt:lpstr>M2_Table_W_j_Consumer_1</vt:lpstr>
      <vt:lpstr>Result_CarbonRemovalsFromPlantings</vt:lpstr>
      <vt:lpstr>Result_EmissionsForWholeProductionCycle_Method1</vt:lpstr>
      <vt:lpstr>Result_EmissionsForWholeProductionCycle_Method2</vt:lpstr>
      <vt:lpstr>Result_Enterprise_Method1</vt:lpstr>
      <vt:lpstr>Result_Enterprise_Method2</vt:lpstr>
      <vt:lpstr>Result_NetEmissions_Method1</vt:lpstr>
      <vt:lpstr>Result_NetEmissions_Method2</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'3.3.1.1-2 Enteric Methane'!SourceData_Dairy_FatContentInMilk_Data</vt:lpstr>
      <vt:lpstr>'Input - Dairy (Enteric)'!SourceData_Dairy_FatContentInMilk_Data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'3.3.1.1-2 Enteric Methane'!SourceData_Dairy_ProteinContentInMilk_Data</vt:lpstr>
      <vt:lpstr>'Input - Dairy (Enteric)'!SourceData_Dairy_ProteinContentInMilk_Data</vt:lpstr>
      <vt:lpstr>SourceData_Dairy_ProteinContentInMilk_Data</vt:lpstr>
      <vt:lpstr>Table_E_ad_inorganic</vt:lpstr>
      <vt:lpstr>Table_E_ad_organic</vt:lpstr>
      <vt:lpstr>Table_E_g</vt:lpstr>
      <vt:lpstr>Table_E_g_Consumer_1</vt:lpstr>
      <vt:lpstr>Table_E_g_offsite</vt:lpstr>
      <vt:lpstr>Table_E_g_onsite</vt:lpstr>
      <vt:lpstr>Table_E_lime</vt:lpstr>
      <vt:lpstr>Table_EF_m</vt:lpstr>
      <vt:lpstr>Table_EF_m_Consumer_1</vt:lpstr>
      <vt:lpstr>Table_FracGASM_m</vt:lpstr>
      <vt:lpstr>Table_FracGASM_m_Consumer_1</vt:lpstr>
      <vt:lpstr>Table_M_leach_inorganic_j</vt:lpstr>
      <vt:lpstr>Table_M_leach_organic_j</vt:lpstr>
      <vt:lpstr>Table_M_vol_inorganic_j_f</vt:lpstr>
      <vt:lpstr>Table_M_vol_organic_j_f</vt:lpstr>
      <vt:lpstr>Table_MN_j_f</vt:lpstr>
      <vt:lpstr>Table_MNSoil_j_f</vt:lpstr>
      <vt:lpstr>'3.3.1.1-2 Enteric Methane'!Table_MP_j</vt:lpstr>
      <vt:lpstr>Table_MP_j</vt:lpstr>
      <vt:lpstr>Table_MP_j_Consumer_1</vt:lpstr>
      <vt:lpstr>Table_MPW_manure_j35</vt:lpstr>
      <vt:lpstr>'3.3.1.1-2 Enteric Methane'!Table_MR_j</vt:lpstr>
      <vt:lpstr>Table_MR_j</vt:lpstr>
      <vt:lpstr>Table_MR_j_Consumer_1</vt:lpstr>
      <vt:lpstr>Table_MU_j_f</vt:lpstr>
      <vt:lpstr>'3.3.1.1-2 Enteric Methane'!Table_N_j</vt:lpstr>
      <vt:lpstr>Table_N_j</vt:lpstr>
      <vt:lpstr>Table_N_j_Consumer_1</vt:lpstr>
      <vt:lpstr>Table_NPW_j35</vt:lpstr>
      <vt:lpstr>Table_PF_fert</vt:lpstr>
      <vt:lpstr>Table_PF_scope</vt:lpstr>
      <vt:lpstr>Table_V_w_t_offsite</vt:lpstr>
      <vt:lpstr>Table_V_w_t_onsite</vt:lpstr>
      <vt:lpstr>Table_WR_j</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VEERG_3_3_1_1__1_TotalAnnualMethaneFromEntericFermentationVariation_Result_Method1</vt:lpstr>
      <vt:lpstr>VEERG_3_3_1_1__1_TotalAnnualMethaneFromEntericFermentationVariation_Result_Method2</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VEERG_4_3_1_6__1_AnnualEmissionsFromLeachingAndRunoffFromMMS_Result_Method1</vt:lpstr>
      <vt:lpstr>VEERG_4_3_1_6__1_AnnualEmissionsFromLeachingAndRunoffFromMMS_Result_Method2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'15 Scope 3'!VEERG_5_4_1_3__1_OrganicFertiliserAtmosphericDepositionN2OEmissions_Result_Method1</vt:lpstr>
      <vt:lpstr>'Calcs - Manure sent off-site'!VEERG_5_4_1_3__1_OrganicFertiliserAtmosphericDepositionN2OEmissions_Result_Method1</vt:lpstr>
      <vt:lpstr>'Constants - Scope 3'!VEERG_5_4_1_3__1_OrganicFertiliserAtmosphericDepositionN2OEmissions_Result_Method1</vt:lpstr>
      <vt:lpstr>'Input - Dairy cattle purchases'!VEERG_5_4_1_3__1_OrganicFertiliserAtmosphericDepositionN2OEmissions_Result_Method1</vt:lpstr>
      <vt:lpstr>'Input - Farm Inputs'!VEERG_5_4_1_3__1_OrganicFertiliserAtmosphericDepositionN2OEmissions_Result_Method1</vt:lpstr>
      <vt:lpstr>'Input - Freight'!VEERG_5_4_1_3__1_OrganicFertiliserAtmosphericDepositionN2OEmissions_Result_Method1</vt:lpstr>
      <vt:lpstr>'Input - Manure sent off-site'!VEERG_5_4_1_3__1_OrganicFertiliserAtmosphericDepositionN2OEmissions_Result_Method1</vt:lpstr>
      <vt:lpstr>VEERG_5_4_1_3__1_OrganicFertiliserAtmosphericDepositionN2OEmissions_Result_Method1</vt:lpstr>
      <vt:lpstr>VEERG_5_4_1_3__1_OrganicFertiliserAtmosphericDepositionN2OEmissions_Result_Method2</vt:lpstr>
      <vt:lpstr>'15 Scope 3'!VEERG_5_5_1_1__1_FertiliserLeachingAndRunoffN2OEmissions_Result_Method1</vt:lpstr>
      <vt:lpstr>'Calcs - Manure sent off-site'!VEERG_5_5_1_1__1_FertiliserLeachingAndRunoffN2OEmissions_Result_Method1</vt:lpstr>
      <vt:lpstr>'Constants - Scope 3'!VEERG_5_5_1_1__1_FertiliserLeachingAndRunoffN2OEmissions_Result_Method1</vt:lpstr>
      <vt:lpstr>'Input - Dairy cattle purchases'!VEERG_5_5_1_1__1_FertiliserLeachingAndRunoffN2OEmissions_Result_Method1</vt:lpstr>
      <vt:lpstr>'Input - Farm Inputs'!VEERG_5_5_1_1__1_FertiliserLeachingAndRunoffN2OEmissions_Result_Method1</vt:lpstr>
      <vt:lpstr>'Input - Freight'!VEERG_5_5_1_1__1_FertiliserLeachingAndRunoffN2OEmissions_Result_Method1</vt:lpstr>
      <vt:lpstr>'Input - Manure sent off-site'!VEERG_5_5_1_1__1_FertiliserLeachingAndRunoffN2OEmissions_Result_Method1</vt:lpstr>
      <vt:lpstr>VEERG_5_5_1_1__1_FertiliserLeachingAndRunoffN2OEmissions_result_Method1</vt:lpstr>
      <vt:lpstr>VEERG_5_5_1_1__1_FertiliserLeachingAndRunoffN2OEmissions_Result_Method2</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'Input - Dairy (Enteric)'!X_Cell_Dairy_Breed</vt:lpstr>
      <vt:lpstr>X_Cell_Dairy_Breed</vt:lpstr>
      <vt:lpstr>X_Cell_Dairy_ManureAppliedIrrigationMethod</vt:lpstr>
      <vt:lpstr>X_Cell_Dairy_ManureAppliedProductionSystem</vt:lpstr>
      <vt:lpstr>'Input - Dairy (Enteric)'!X_Cell_Dairy_MilkProductionAmount</vt:lpstr>
      <vt:lpstr>X_Cell_Dairy_MilkProductionAmount</vt:lpstr>
      <vt:lpstr>'Input - Dairy (Enteric)'!X_Cell_Dairy_MilkProductionUnit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X_Cell_Enterprise_PercentIncomeFromGrain</vt:lpstr>
      <vt:lpstr>X_Cell_Enterprise_ProductionTimeframeEnd</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'Input - Dairy (Enteric)'!X_Table_Dairy_Diet_Method1</vt:lpstr>
      <vt:lpstr>X_Table_Dairy_Diet_Method1</vt:lpstr>
      <vt:lpstr>'Input - Dairy (Enteric)'!X_Table_Dairy_Diet_Method2</vt:lpstr>
      <vt:lpstr>X_Table_Dairy_Diet_Method2</vt:lpstr>
      <vt:lpstr>'Input - Dairy (Enteric)'!X_Table_Dairy_DurationOfStay_Method1</vt:lpstr>
      <vt:lpstr>X_Table_Dairy_DurationOfStay_Method1</vt:lpstr>
      <vt:lpstr>'Input - Dairy (Enteric)'!X_Table_Dairy_DurationOfStay_Method2</vt:lpstr>
      <vt:lpstr>X_Table_Dairy_DurationOfStay_Method2</vt:lpstr>
      <vt:lpstr>'Input - Dairy (Enteric)'!X_Table_Dairy_HerdMovement</vt:lpstr>
      <vt:lpstr>X_Table_Dairy_HerdMovement</vt:lpstr>
      <vt:lpstr>'Input - Dairy (Enteric)'!X_Table_Dairy_Liveweight_Method1</vt:lpstr>
      <vt:lpstr>X_Table_Dairy_Liveweight_Method1</vt:lpstr>
      <vt:lpstr>'Input - Dairy (Enteric)'!X_Table_Dairy_Liveweight_Method2</vt:lpstr>
      <vt:lpstr>X_Table_Dairy_Liveweight_Method2</vt:lpstr>
      <vt:lpstr>'Input - Dairy (Enteric)'!X_Table_Dairy_MilkSolidAttributes</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2026-08-06T07:35:27Z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